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F6B" lockStructure="1"/>
  <bookViews>
    <workbookView xWindow="9210" yWindow="120" windowWidth="9680" windowHeight="8110" activeTab="1"/>
  </bookViews>
  <sheets>
    <sheet name="Setup" sheetId="1" r:id="rId1"/>
    <sheet name="Matches" sheetId="2" r:id="rId2"/>
    <sheet name="Language" sheetId="3" state="hidden" r:id="rId3"/>
    <sheet name="Dummy Table" sheetId="4" state="hidden" r:id="rId4"/>
    <sheet name="License" sheetId="6" r:id="rId5"/>
    <sheet name="About" sheetId="5" r:id="rId6"/>
  </sheets>
  <definedNames>
    <definedName name="Cities">"                             © journalSHEET.com"</definedName>
    <definedName name="Countries">Language!$C$1:$J$1</definedName>
    <definedName name="Country">Setup!$C$9:$C$18</definedName>
    <definedName name="Flag37">INDIRECT('Dummy Table'!$DV$40)</definedName>
    <definedName name="Flag37b">INDIRECT('Dummy Table'!$DV$55)</definedName>
    <definedName name="Flag38">INDIRECT('Dummy Table'!$DV$41)</definedName>
    <definedName name="Flag38b">INDIRECT('Dummy Table'!$DV$56)</definedName>
    <definedName name="Flag39">INDIRECT('Dummy Table'!$DV$42)</definedName>
    <definedName name="Flag39b">INDIRECT('Dummy Table'!$DV$57)</definedName>
    <definedName name="Flag40">INDIRECT('Dummy Table'!$DV$43)</definedName>
    <definedName name="Flag40b">INDIRECT('Dummy Table'!$DV$58)</definedName>
    <definedName name="Flag41">INDIRECT('Dummy Table'!$DV$44)</definedName>
    <definedName name="Flag41b">INDIRECT('Dummy Table'!$DV$59)</definedName>
    <definedName name="Flag42">INDIRECT('Dummy Table'!$DV$45)</definedName>
    <definedName name="Flag42b">INDIRECT('Dummy Table'!$DV$60)</definedName>
    <definedName name="Flag43">INDIRECT('Dummy Table'!$DV$46)</definedName>
    <definedName name="Flag43b">INDIRECT('Dummy Table'!$DV$61)</definedName>
    <definedName name="Flag44">INDIRECT('Dummy Table'!$DV$47)</definedName>
    <definedName name="Flag44b">INDIRECT('Dummy Table'!$DV$62)</definedName>
    <definedName name="Flag45">INDIRECT('Dummy Table'!$DV$48)</definedName>
    <definedName name="Flag45b">INDIRECT('Dummy Table'!$DV$63)</definedName>
    <definedName name="Flag46">INDIRECT('Dummy Table'!$DV$49)</definedName>
    <definedName name="Flag46b">INDIRECT('Dummy Table'!$DV$64)</definedName>
    <definedName name="Flag47">INDIRECT('Dummy Table'!$DV$50)</definedName>
    <definedName name="Flag47b">INDIRECT('Dummy Table'!$DV$65)</definedName>
    <definedName name="Flag48">INDIRECT('Dummy Table'!$DV$51)</definedName>
    <definedName name="Flag48b">INDIRECT('Dummy Table'!$DV$66)</definedName>
    <definedName name="Flag49">INDIRECT('Dummy Table'!$DV$52)</definedName>
    <definedName name="Flag49b">INDIRECT('Dummy Table'!$DV$67)</definedName>
    <definedName name="Flag50">INDIRECT('Dummy Table'!$DV$53)</definedName>
    <definedName name="Flag50b">INDIRECT('Dummy Table'!$DV$68)</definedName>
    <definedName name="Flag51">INDIRECT('Dummy Table'!$DV$54)</definedName>
    <definedName name="Flag51b">INDIRECT('Dummy Table'!$DV$69)</definedName>
    <definedName name="PoolTeam">'Dummy Table'!$B$50:$B$75</definedName>
    <definedName name="_xlnm.Print_Area" localSheetId="1">Matches!$B$3:$Z$35</definedName>
    <definedName name="Team">'Dummy Table'!$DT$7:$DT$38</definedName>
    <definedName name="TimezoneData">Setup!$D$5</definedName>
    <definedName name="TimezoneList">'Dummy Table'!$EA$8:$EA$57</definedName>
    <definedName name="Venues">'Dummy Table'!$C$50:$C$59</definedName>
  </definedNames>
  <calcPr calcId="145621"/>
</workbook>
</file>

<file path=xl/calcChain.xml><?xml version="1.0" encoding="utf-8"?>
<calcChain xmlns="http://schemas.openxmlformats.org/spreadsheetml/2006/main">
  <c r="F35" i="2" l="1"/>
  <c r="K35" i="2"/>
  <c r="K34" i="2"/>
  <c r="F34" i="2"/>
  <c r="F32" i="2"/>
  <c r="K32" i="2"/>
  <c r="F33" i="2"/>
  <c r="K33" i="2"/>
  <c r="K14" i="2"/>
  <c r="F25" i="2" s="1"/>
  <c r="K12" i="2"/>
  <c r="K16" i="2" s="1"/>
  <c r="K10" i="2"/>
  <c r="F26" i="2" s="1"/>
  <c r="K9" i="2"/>
  <c r="F13" i="2" s="1"/>
  <c r="F22" i="2" s="1"/>
  <c r="K8" i="2"/>
  <c r="K15" i="2" s="1"/>
  <c r="K7" i="2"/>
  <c r="K11" i="2" s="1"/>
  <c r="F10" i="2"/>
  <c r="K18" i="2" s="1"/>
  <c r="K22" i="2" s="1"/>
  <c r="F9" i="2"/>
  <c r="F18" i="2" s="1"/>
  <c r="F8" i="2"/>
  <c r="F11" i="2" s="1"/>
  <c r="F7" i="2"/>
  <c r="K23" i="2" s="1"/>
  <c r="K20" i="2" l="1"/>
  <c r="F16" i="2"/>
  <c r="K13" i="2"/>
  <c r="K17" i="2"/>
  <c r="DE13" i="4" s="1"/>
  <c r="K21" i="2"/>
  <c r="K25" i="2"/>
  <c r="F15" i="2"/>
  <c r="F24" i="2" s="1"/>
  <c r="F19" i="2"/>
  <c r="F23" i="2"/>
  <c r="F12" i="2"/>
  <c r="F20" i="2" s="1"/>
  <c r="K26" i="2"/>
  <c r="K19" i="2"/>
  <c r="K24" i="2" s="1"/>
  <c r="F17" i="2"/>
  <c r="F21" i="2"/>
  <c r="F14" i="2"/>
  <c r="DD22" i="4"/>
  <c r="DC22" i="4"/>
  <c r="DD21" i="4"/>
  <c r="DC21" i="4"/>
  <c r="DD20" i="4"/>
  <c r="DF20" i="4" s="1"/>
  <c r="DG20" i="4" s="1"/>
  <c r="DC20" i="4"/>
  <c r="DD19" i="4"/>
  <c r="DC19" i="4"/>
  <c r="DD18" i="4"/>
  <c r="DC18" i="4"/>
  <c r="DD17" i="4"/>
  <c r="DC17" i="4"/>
  <c r="DF17" i="4" s="1"/>
  <c r="DG17" i="4" s="1"/>
  <c r="DT16" i="4"/>
  <c r="DD16" i="4"/>
  <c r="DC16" i="4"/>
  <c r="DT15" i="4"/>
  <c r="DD15" i="4"/>
  <c r="DC15" i="4"/>
  <c r="DF15" i="4" s="1"/>
  <c r="DG15" i="4" s="1"/>
  <c r="B15" i="4"/>
  <c r="DT14" i="4"/>
  <c r="DD14" i="4"/>
  <c r="DC14" i="4"/>
  <c r="B14" i="4"/>
  <c r="DT13" i="4"/>
  <c r="DD13" i="4"/>
  <c r="DC13" i="4"/>
  <c r="DF13" i="4" s="1"/>
  <c r="DG13" i="4" s="1"/>
  <c r="B13" i="4"/>
  <c r="DT12" i="4"/>
  <c r="DD12" i="4"/>
  <c r="DC12" i="4"/>
  <c r="B12" i="4"/>
  <c r="DT11" i="4"/>
  <c r="DD11" i="4"/>
  <c r="DC11" i="4"/>
  <c r="B11" i="4"/>
  <c r="DT10" i="4"/>
  <c r="DD10" i="4"/>
  <c r="DC10" i="4"/>
  <c r="DT9" i="4"/>
  <c r="DD9" i="4"/>
  <c r="DC9" i="4"/>
  <c r="DT8" i="4"/>
  <c r="DD8" i="4"/>
  <c r="DC8" i="4"/>
  <c r="B8" i="4"/>
  <c r="DW7" i="4"/>
  <c r="DY10" i="4" s="1"/>
  <c r="E10" i="2" s="1"/>
  <c r="D10" i="2" s="1"/>
  <c r="DT7" i="4"/>
  <c r="DD7" i="4"/>
  <c r="DC7" i="4"/>
  <c r="B7" i="4"/>
  <c r="DD6" i="4"/>
  <c r="DC6" i="4"/>
  <c r="DF6" i="4" s="1"/>
  <c r="DG6" i="4" s="1"/>
  <c r="B6" i="4"/>
  <c r="DD5" i="4"/>
  <c r="DC5" i="4"/>
  <c r="B5" i="4"/>
  <c r="DD4" i="4"/>
  <c r="DC4" i="4"/>
  <c r="B4" i="4"/>
  <c r="DD3" i="4"/>
  <c r="DC3" i="4"/>
  <c r="DF3" i="4" s="1"/>
  <c r="DG3" i="4" s="1"/>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C34" i="2" s="1"/>
  <c r="B3" i="3"/>
  <c r="J1" i="3"/>
  <c r="C35" i="2"/>
  <c r="C32" i="2"/>
  <c r="C28" i="2"/>
  <c r="B27" i="2"/>
  <c r="DB22" i="4"/>
  <c r="DB21" i="4"/>
  <c r="DB20" i="4"/>
  <c r="DB19" i="4"/>
  <c r="DB18" i="4"/>
  <c r="DB17" i="4"/>
  <c r="DB16" i="4"/>
  <c r="DB15" i="4"/>
  <c r="DE14" i="4"/>
  <c r="DB14" i="4"/>
  <c r="DB13" i="4"/>
  <c r="DE12" i="4"/>
  <c r="DB12" i="4"/>
  <c r="DE11" i="4"/>
  <c r="DB11" i="4"/>
  <c r="DE10" i="4"/>
  <c r="DB10" i="4"/>
  <c r="P13" i="2"/>
  <c r="DE9" i="4"/>
  <c r="DB9" i="4"/>
  <c r="DE8" i="4"/>
  <c r="DB8" i="4"/>
  <c r="DE7" i="4"/>
  <c r="DB7" i="4"/>
  <c r="DE6" i="4"/>
  <c r="DB6" i="4"/>
  <c r="DE5" i="4"/>
  <c r="DB5" i="4"/>
  <c r="DE4" i="4"/>
  <c r="DB4" i="4"/>
  <c r="DE3" i="4"/>
  <c r="DB3" i="4"/>
  <c r="P6" i="2"/>
  <c r="B6" i="2"/>
  <c r="P5" i="2"/>
  <c r="N5" i="2"/>
  <c r="K5" i="2"/>
  <c r="H5" i="2"/>
  <c r="F5" i="2"/>
  <c r="E5" i="2"/>
  <c r="D5" i="2"/>
  <c r="B5" i="2"/>
  <c r="B3" i="2"/>
  <c r="D67" i="1"/>
  <c r="J61" i="3" s="1"/>
  <c r="D66" i="1"/>
  <c r="J60" i="3" s="1"/>
  <c r="D65" i="1"/>
  <c r="J59" i="3" s="1"/>
  <c r="D64" i="1"/>
  <c r="J58" i="3" s="1"/>
  <c r="D63" i="1"/>
  <c r="J57" i="3" s="1"/>
  <c r="D62" i="1"/>
  <c r="J56" i="3" s="1"/>
  <c r="D61" i="1"/>
  <c r="J55" i="3" s="1"/>
  <c r="D60" i="1"/>
  <c r="J54" i="3" s="1"/>
  <c r="D59" i="1"/>
  <c r="J53" i="3" s="1"/>
  <c r="D58" i="1"/>
  <c r="J52" i="3" s="1"/>
  <c r="D57" i="1"/>
  <c r="J51" i="3" s="1"/>
  <c r="D56" i="1"/>
  <c r="J50" i="3" s="1"/>
  <c r="D55" i="1"/>
  <c r="J49" i="3" s="1"/>
  <c r="D54" i="1"/>
  <c r="J48" i="3" s="1"/>
  <c r="D53" i="1"/>
  <c r="J47" i="3" s="1"/>
  <c r="D52" i="1"/>
  <c r="J46" i="3" s="1"/>
  <c r="D51" i="1"/>
  <c r="J45" i="3" s="1"/>
  <c r="D50" i="1"/>
  <c r="J44" i="3" s="1"/>
  <c r="D49" i="1"/>
  <c r="J43" i="3" s="1"/>
  <c r="D48" i="1"/>
  <c r="J42" i="3" s="1"/>
  <c r="D47" i="1"/>
  <c r="J41" i="3" s="1"/>
  <c r="D46" i="1"/>
  <c r="J40" i="3" s="1"/>
  <c r="D45" i="1"/>
  <c r="J39" i="3" s="1"/>
  <c r="D44" i="1"/>
  <c r="J38" i="3" s="1"/>
  <c r="D43" i="1"/>
  <c r="J37" i="3" s="1"/>
  <c r="D42" i="1"/>
  <c r="J36" i="3" s="1"/>
  <c r="D41" i="1"/>
  <c r="J35" i="3" s="1"/>
  <c r="D40" i="1"/>
  <c r="J34" i="3" s="1"/>
  <c r="D39" i="1"/>
  <c r="J33" i="3" s="1"/>
  <c r="D38" i="1"/>
  <c r="J32" i="3" s="1"/>
  <c r="D37" i="1"/>
  <c r="J31" i="3" s="1"/>
  <c r="D36" i="1"/>
  <c r="J30" i="3" s="1"/>
  <c r="D35" i="1"/>
  <c r="J29" i="3" s="1"/>
  <c r="D34" i="1"/>
  <c r="J28" i="3" s="1"/>
  <c r="D33" i="1"/>
  <c r="J27" i="3" s="1"/>
  <c r="D32" i="1"/>
  <c r="J26" i="3" s="1"/>
  <c r="D31" i="1"/>
  <c r="J25" i="3" s="1"/>
  <c r="D30" i="1"/>
  <c r="J24" i="3" s="1"/>
  <c r="D29" i="1"/>
  <c r="J23" i="3" s="1"/>
  <c r="D28" i="1"/>
  <c r="J22" i="3" s="1"/>
  <c r="D27" i="1"/>
  <c r="J21" i="3" s="1"/>
  <c r="D26" i="1"/>
  <c r="J20" i="3" s="1"/>
  <c r="D25" i="1"/>
  <c r="J19" i="3" s="1"/>
  <c r="D24" i="1"/>
  <c r="J18" i="3" s="1"/>
  <c r="D23" i="1"/>
  <c r="J17" i="3" s="1"/>
  <c r="D22" i="1"/>
  <c r="J16" i="3" s="1"/>
  <c r="D21" i="1"/>
  <c r="J15" i="3" s="1"/>
  <c r="D20" i="1"/>
  <c r="J14" i="3" s="1"/>
  <c r="D19" i="1"/>
  <c r="J13" i="3" s="1"/>
  <c r="D18" i="1"/>
  <c r="J12" i="3" s="1"/>
  <c r="D17" i="1"/>
  <c r="J11" i="3" s="1"/>
  <c r="D16" i="1"/>
  <c r="J10" i="3" s="1"/>
  <c r="D15" i="1"/>
  <c r="J9" i="3" s="1"/>
  <c r="D14" i="1"/>
  <c r="J8" i="3" s="1"/>
  <c r="D13" i="1"/>
  <c r="J7" i="3" s="1"/>
  <c r="D12" i="1"/>
  <c r="J6" i="3" s="1"/>
  <c r="D11" i="1"/>
  <c r="J5" i="3" s="1"/>
  <c r="D10" i="1"/>
  <c r="J4" i="3" s="1"/>
  <c r="D9" i="1"/>
  <c r="J3" i="3" s="1"/>
  <c r="DF18" i="4" l="1"/>
  <c r="DG18" i="4" s="1"/>
  <c r="DF14" i="4"/>
  <c r="DG14" i="4" s="1"/>
  <c r="DF7" i="4"/>
  <c r="DG7" i="4" s="1"/>
  <c r="DF4" i="4"/>
  <c r="DG4" i="4" s="1"/>
  <c r="DF10" i="4"/>
  <c r="DG10" i="4" s="1"/>
  <c r="DF11" i="4"/>
  <c r="DG11" i="4" s="1"/>
  <c r="DF12" i="4"/>
  <c r="DG12" i="4" s="1"/>
  <c r="DF16" i="4"/>
  <c r="DG16" i="4" s="1"/>
  <c r="DF19" i="4"/>
  <c r="DG19" i="4" s="1"/>
  <c r="DF21" i="4"/>
  <c r="DG21" i="4" s="1"/>
  <c r="DF5" i="4"/>
  <c r="DG5" i="4" s="1"/>
  <c r="DF8" i="4"/>
  <c r="DG8" i="4" s="1"/>
  <c r="DF9" i="4"/>
  <c r="DG9" i="4" s="1"/>
  <c r="DF22" i="4"/>
  <c r="DG22" i="4" s="1"/>
  <c r="DE15" i="4"/>
  <c r="DE16" i="4"/>
  <c r="DE17" i="4"/>
  <c r="DE18" i="4"/>
  <c r="DE19" i="4"/>
  <c r="DE20" i="4"/>
  <c r="DE21" i="4"/>
  <c r="DE22" i="4"/>
  <c r="DY7" i="4"/>
  <c r="E7" i="2" s="1"/>
  <c r="D7" i="2" s="1"/>
  <c r="DV69" i="4"/>
  <c r="DV61" i="4"/>
  <c r="DV54" i="4"/>
  <c r="DV46" i="4"/>
  <c r="DV44" i="4"/>
  <c r="DV68" i="4"/>
  <c r="DV60" i="4"/>
  <c r="DV65" i="4"/>
  <c r="DV59" i="4"/>
  <c r="DV53" i="4"/>
  <c r="DV50" i="4"/>
  <c r="DV47" i="4"/>
  <c r="DV45" i="4"/>
  <c r="DV62" i="4"/>
  <c r="DY9" i="4"/>
  <c r="E9" i="2" s="1"/>
  <c r="D9" i="2" s="1"/>
  <c r="DY55" i="4"/>
  <c r="DY42" i="4"/>
  <c r="DY36" i="4"/>
  <c r="DY32" i="4"/>
  <c r="E33" i="2" s="1"/>
  <c r="D33" i="2" s="1"/>
  <c r="DY28" i="4"/>
  <c r="E29" i="2" s="1"/>
  <c r="D29" i="2" s="1"/>
  <c r="DY24" i="4"/>
  <c r="E24" i="2" s="1"/>
  <c r="D24" i="2" s="1"/>
  <c r="DY20" i="4"/>
  <c r="E20" i="2" s="1"/>
  <c r="D20" i="2" s="1"/>
  <c r="DY16" i="4"/>
  <c r="E16" i="2" s="1"/>
  <c r="D16" i="2" s="1"/>
  <c r="DY15" i="4"/>
  <c r="E15" i="2" s="1"/>
  <c r="D15" i="2" s="1"/>
  <c r="DY56" i="4"/>
  <c r="DY53" i="4"/>
  <c r="DY50" i="4"/>
  <c r="DY47" i="4"/>
  <c r="DY45" i="4"/>
  <c r="DY43" i="4"/>
  <c r="DY39" i="4"/>
  <c r="DY35" i="4"/>
  <c r="DY31" i="4"/>
  <c r="E32" i="2" s="1"/>
  <c r="D32" i="2" s="1"/>
  <c r="DY27" i="4"/>
  <c r="E28" i="2" s="1"/>
  <c r="D28" i="2" s="1"/>
  <c r="DY23" i="4"/>
  <c r="E23" i="2" s="1"/>
  <c r="D23" i="2" s="1"/>
  <c r="DY21" i="4"/>
  <c r="E21" i="2" s="1"/>
  <c r="D21" i="2" s="1"/>
  <c r="DY17" i="4"/>
  <c r="E17" i="2" s="1"/>
  <c r="D17" i="2" s="1"/>
  <c r="DY57" i="4"/>
  <c r="DY51" i="4"/>
  <c r="DY48" i="4"/>
  <c r="DY40" i="4"/>
  <c r="DY38" i="4"/>
  <c r="DY34" i="4"/>
  <c r="E35" i="2" s="1"/>
  <c r="D35" i="2" s="1"/>
  <c r="DY30" i="4"/>
  <c r="E31" i="2" s="1"/>
  <c r="D31" i="2" s="1"/>
  <c r="DY26" i="4"/>
  <c r="E26" i="2" s="1"/>
  <c r="D26" i="2" s="1"/>
  <c r="DY22" i="4"/>
  <c r="E22" i="2" s="1"/>
  <c r="D22" i="2" s="1"/>
  <c r="DY18" i="4"/>
  <c r="E18" i="2" s="1"/>
  <c r="D18" i="2" s="1"/>
  <c r="DY58" i="4"/>
  <c r="DY54" i="4"/>
  <c r="DY52" i="4"/>
  <c r="DY49" i="4"/>
  <c r="DY46" i="4"/>
  <c r="DY44" i="4"/>
  <c r="DY41" i="4"/>
  <c r="DY37" i="4"/>
  <c r="DY33" i="4"/>
  <c r="E34" i="2" s="1"/>
  <c r="D34" i="2" s="1"/>
  <c r="DY29" i="4"/>
  <c r="E30" i="2" s="1"/>
  <c r="D30" i="2" s="1"/>
  <c r="DY25" i="4"/>
  <c r="E25" i="2" s="1"/>
  <c r="D25" i="2" s="1"/>
  <c r="DY19" i="4"/>
  <c r="E19" i="2" s="1"/>
  <c r="D19" i="2" s="1"/>
  <c r="DY14" i="4"/>
  <c r="E14" i="2" s="1"/>
  <c r="D14" i="2" s="1"/>
  <c r="DY8" i="4"/>
  <c r="E8" i="2" s="1"/>
  <c r="D8" i="2" s="1"/>
  <c r="DY13" i="4"/>
  <c r="E13" i="2" s="1"/>
  <c r="D13" i="2" s="1"/>
  <c r="DY11" i="4"/>
  <c r="E11" i="2" s="1"/>
  <c r="D11" i="2" s="1"/>
  <c r="DY12" i="4"/>
  <c r="E12" i="2" s="1"/>
  <c r="D12" i="2" s="1"/>
  <c r="F14" i="4"/>
  <c r="C13" i="4" l="1"/>
  <c r="E12" i="4"/>
  <c r="F12" i="4"/>
  <c r="C7" i="4"/>
  <c r="F7" i="4"/>
  <c r="G7" i="4"/>
  <c r="D13" i="4"/>
  <c r="E13" i="4"/>
  <c r="D8" i="4"/>
  <c r="F11" i="4"/>
  <c r="F13" i="4"/>
  <c r="D15" i="4"/>
  <c r="F15" i="4"/>
  <c r="G13" i="4"/>
  <c r="E7" i="4"/>
  <c r="F5" i="4"/>
  <c r="F8" i="4"/>
  <c r="C4" i="4"/>
  <c r="E6" i="4"/>
  <c r="G11" i="4"/>
  <c r="C5" i="4"/>
  <c r="F6" i="4"/>
  <c r="E11" i="4"/>
  <c r="C14" i="4"/>
  <c r="E15" i="4"/>
  <c r="C6" i="4"/>
  <c r="F4" i="4"/>
  <c r="G12" i="4"/>
  <c r="H12" i="4" s="1"/>
  <c r="D5" i="4"/>
  <c r="D7" i="4"/>
  <c r="C8" i="4"/>
  <c r="D12" i="4"/>
  <c r="C15" i="4"/>
  <c r="D6" i="4"/>
  <c r="G6" i="4"/>
  <c r="G5" i="4"/>
  <c r="G14" i="4"/>
  <c r="H14" i="4" s="1"/>
  <c r="D4" i="4"/>
  <c r="E8" i="4"/>
  <c r="C11" i="4"/>
  <c r="E14" i="4"/>
  <c r="E4" i="4"/>
  <c r="G4" i="4"/>
  <c r="G8" i="4"/>
  <c r="G15" i="4"/>
  <c r="E5" i="4"/>
  <c r="D11" i="4"/>
  <c r="C12" i="4"/>
  <c r="D14" i="4"/>
  <c r="I13" i="4" l="1"/>
  <c r="I7" i="4"/>
  <c r="H7" i="4"/>
  <c r="H15" i="4"/>
  <c r="I8" i="4"/>
  <c r="I12" i="4"/>
  <c r="H5" i="4"/>
  <c r="I15" i="4"/>
  <c r="H11" i="4"/>
  <c r="H13" i="4"/>
  <c r="H6" i="4"/>
  <c r="I4" i="4"/>
  <c r="H4" i="4"/>
  <c r="I5" i="4"/>
  <c r="H8" i="4"/>
  <c r="I11" i="4"/>
  <c r="I6" i="4"/>
  <c r="I14" i="4"/>
  <c r="K4" i="4" l="1"/>
  <c r="K8" i="4"/>
  <c r="K11" i="4"/>
  <c r="K13" i="4"/>
  <c r="K7" i="4"/>
  <c r="K5" i="4"/>
  <c r="K15" i="4"/>
  <c r="K14" i="4"/>
  <c r="K6" i="4"/>
  <c r="K12" i="4"/>
  <c r="M7" i="4" l="1"/>
  <c r="L7" i="4"/>
  <c r="M4" i="4"/>
  <c r="L4" i="4"/>
  <c r="L8" i="4"/>
  <c r="M5" i="4"/>
  <c r="L6" i="4"/>
  <c r="L5" i="4"/>
  <c r="M6" i="4"/>
  <c r="M8" i="4"/>
  <c r="L15" i="4"/>
  <c r="M15" i="4"/>
  <c r="M14" i="4"/>
  <c r="L13" i="4"/>
  <c r="M12" i="4"/>
  <c r="L14" i="4"/>
  <c r="L12" i="4"/>
  <c r="M13" i="4"/>
  <c r="L11" i="4"/>
  <c r="M11" i="4"/>
  <c r="N12" i="4" l="1"/>
  <c r="N7" i="4"/>
  <c r="N4" i="4"/>
  <c r="N5" i="4"/>
  <c r="N11" i="4"/>
  <c r="N15" i="4"/>
  <c r="N14" i="4"/>
  <c r="N6" i="4"/>
  <c r="N13" i="4"/>
  <c r="N8" i="4"/>
  <c r="O12" i="4" l="1"/>
  <c r="O11" i="4"/>
  <c r="O13" i="4"/>
  <c r="O15" i="4"/>
  <c r="O6" i="4"/>
  <c r="O14" i="4"/>
  <c r="O5" i="4"/>
  <c r="O7" i="4"/>
  <c r="O4" i="4"/>
  <c r="O8" i="4"/>
  <c r="P14" i="4" l="1"/>
  <c r="Q14" i="4" s="1"/>
  <c r="T11" i="4" s="1"/>
  <c r="T12" i="4" s="1"/>
  <c r="P12" i="4"/>
  <c r="Q12" i="4" s="1"/>
  <c r="P13" i="4"/>
  <c r="Q13" i="4" s="1"/>
  <c r="P11" i="4"/>
  <c r="Q11" i="4" s="1"/>
  <c r="P15" i="4"/>
  <c r="Q15" i="4" s="1"/>
  <c r="U11" i="4" s="1"/>
  <c r="U12" i="4" s="1"/>
  <c r="CE15" i="4" s="1"/>
  <c r="P8" i="4"/>
  <c r="Q8" i="4" s="1"/>
  <c r="U4" i="4" s="1"/>
  <c r="P7" i="4"/>
  <c r="Q7" i="4" s="1"/>
  <c r="P6" i="4"/>
  <c r="Q6" i="4" s="1"/>
  <c r="S4" i="4" s="1"/>
  <c r="P4" i="4"/>
  <c r="Q4" i="4" s="1"/>
  <c r="P5" i="4"/>
  <c r="Q5" i="4" s="1"/>
  <c r="BK13" i="4"/>
  <c r="T4" i="4" l="1"/>
  <c r="BK6" i="4" s="1"/>
  <c r="S11" i="4"/>
  <c r="S12" i="4" s="1"/>
  <c r="AQ13" i="4" s="1"/>
  <c r="CE14" i="4"/>
  <c r="R4" i="4"/>
  <c r="W4" i="4" s="1"/>
  <c r="R11" i="4"/>
  <c r="T13" i="4"/>
  <c r="BK15" i="4" s="1"/>
  <c r="BK14" i="4"/>
  <c r="S5" i="4"/>
  <c r="AQ5" i="4"/>
  <c r="CD13" i="4"/>
  <c r="BZ13" i="4"/>
  <c r="BR13" i="4"/>
  <c r="BV13" i="4" s="1"/>
  <c r="CB13" i="4"/>
  <c r="BW13" i="4"/>
  <c r="CA13" i="4"/>
  <c r="BU13" i="4"/>
  <c r="BY13" i="4"/>
  <c r="BT13" i="4"/>
  <c r="CC13" i="4"/>
  <c r="BX13" i="4"/>
  <c r="BS13" i="4"/>
  <c r="S13" i="4"/>
  <c r="CN15" i="4"/>
  <c r="CF15" i="4"/>
  <c r="CL15" i="4" s="1"/>
  <c r="CP15" i="4" s="1"/>
  <c r="CM15" i="4"/>
  <c r="CH15" i="4"/>
  <c r="CO15" i="4"/>
  <c r="CG15" i="4"/>
  <c r="CE7" i="4"/>
  <c r="U5" i="4"/>
  <c r="CE8" i="4" s="1"/>
  <c r="T5" i="4" l="1"/>
  <c r="AQ12" i="4"/>
  <c r="CJ15" i="4"/>
  <c r="R5" i="4"/>
  <c r="R6" i="4" s="1"/>
  <c r="CI15" i="4"/>
  <c r="CK15" i="4" s="1"/>
  <c r="CR15" i="4" s="1"/>
  <c r="CI14" i="4"/>
  <c r="CM14" i="4"/>
  <c r="CO14" i="4"/>
  <c r="CJ14" i="4"/>
  <c r="CK14" i="4" s="1"/>
  <c r="CH14" i="4"/>
  <c r="CG14" i="4"/>
  <c r="CF14" i="4"/>
  <c r="CL14" i="4" s="1"/>
  <c r="CP14" i="4" s="1"/>
  <c r="CN14" i="4"/>
  <c r="BL13" i="4"/>
  <c r="CD15" i="4"/>
  <c r="W11" i="4"/>
  <c r="R12" i="4"/>
  <c r="BO13" i="4"/>
  <c r="CB15" i="4"/>
  <c r="BX15" i="4"/>
  <c r="BT15" i="4"/>
  <c r="BP15" i="4"/>
  <c r="BL15" i="4"/>
  <c r="CA15" i="4"/>
  <c r="BW15" i="4"/>
  <c r="BS15" i="4"/>
  <c r="BO15" i="4"/>
  <c r="BZ15" i="4"/>
  <c r="BR15" i="4"/>
  <c r="BV15" i="4" s="1"/>
  <c r="BN15" i="4"/>
  <c r="CC15" i="4"/>
  <c r="BY15" i="4"/>
  <c r="BU15" i="4"/>
  <c r="BM15" i="4"/>
  <c r="BK7" i="4"/>
  <c r="T6" i="4"/>
  <c r="BK8" i="4" s="1"/>
  <c r="AE4" i="4"/>
  <c r="AG4" i="4"/>
  <c r="AF4" i="4"/>
  <c r="BT6" i="4"/>
  <c r="BS6" i="4"/>
  <c r="BU6" i="4"/>
  <c r="BP13" i="4"/>
  <c r="AZ5" i="4"/>
  <c r="BA5" i="4"/>
  <c r="AY5" i="4"/>
  <c r="CV8" i="4"/>
  <c r="CR8" i="4"/>
  <c r="CN8" i="4"/>
  <c r="CJ8" i="4"/>
  <c r="CF8" i="4"/>
  <c r="CS8" i="4"/>
  <c r="CM8" i="4"/>
  <c r="CH8" i="4"/>
  <c r="CW8" i="4"/>
  <c r="CQ8" i="4"/>
  <c r="CL8" i="4"/>
  <c r="CP8" i="4" s="1"/>
  <c r="CG8" i="4"/>
  <c r="CU8" i="4"/>
  <c r="CT8" i="4"/>
  <c r="CO8" i="4"/>
  <c r="CI8" i="4"/>
  <c r="CK8" i="4" s="1"/>
  <c r="BA13" i="4"/>
  <c r="AZ13" i="4"/>
  <c r="AY13" i="4"/>
  <c r="BM13" i="4"/>
  <c r="AQ6" i="4"/>
  <c r="S6" i="4"/>
  <c r="CV7" i="4"/>
  <c r="CR7" i="4"/>
  <c r="CN7" i="4"/>
  <c r="CJ7" i="4"/>
  <c r="CF7" i="4"/>
  <c r="CU7" i="4"/>
  <c r="CQ7" i="4"/>
  <c r="CM7" i="4"/>
  <c r="CI7" i="4"/>
  <c r="CX7" i="4"/>
  <c r="CT7" i="4"/>
  <c r="CL7" i="4"/>
  <c r="CP7" i="4" s="1"/>
  <c r="CH7" i="4"/>
  <c r="CW7" i="4"/>
  <c r="CS7" i="4"/>
  <c r="CO7" i="4"/>
  <c r="CG7" i="4"/>
  <c r="S14" i="4"/>
  <c r="AQ15" i="4" s="1"/>
  <c r="AQ14" i="4"/>
  <c r="BN13" i="4"/>
  <c r="CD14" i="4"/>
  <c r="BZ14" i="4"/>
  <c r="BR14" i="4"/>
  <c r="BV14" i="4" s="1"/>
  <c r="BN14" i="4"/>
  <c r="CB14" i="4"/>
  <c r="BX14" i="4"/>
  <c r="BT14" i="4"/>
  <c r="BP14" i="4"/>
  <c r="BL14" i="4"/>
  <c r="BW14" i="4"/>
  <c r="BO14" i="4"/>
  <c r="CC14" i="4"/>
  <c r="BU14" i="4"/>
  <c r="BM14" i="4"/>
  <c r="CA14" i="4"/>
  <c r="BS14" i="4"/>
  <c r="BY14" i="4"/>
  <c r="CQ15" i="4" l="1"/>
  <c r="CS14" i="4"/>
  <c r="CQ14" i="4"/>
  <c r="CT14" i="4"/>
  <c r="CR14" i="4"/>
  <c r="CV14" i="4"/>
  <c r="CU14" i="4"/>
  <c r="CS15" i="4"/>
  <c r="CT15" i="4"/>
  <c r="CU15" i="4"/>
  <c r="CV15" i="4"/>
  <c r="AZ12" i="4"/>
  <c r="BA12" i="4"/>
  <c r="AY12" i="4"/>
  <c r="W5" i="4"/>
  <c r="AF5" i="4" s="1"/>
  <c r="BQ13" i="4"/>
  <c r="W12" i="4"/>
  <c r="R13" i="4"/>
  <c r="AG11" i="4"/>
  <c r="AF11" i="4"/>
  <c r="AE11" i="4"/>
  <c r="BL6" i="4"/>
  <c r="CK7" i="4"/>
  <c r="BN6" i="4"/>
  <c r="BO6" i="4"/>
  <c r="BQ15" i="4"/>
  <c r="AT14" i="4"/>
  <c r="AZ14" i="4"/>
  <c r="AV14" i="4"/>
  <c r="AR14" i="4"/>
  <c r="AY14" i="4"/>
  <c r="AU14" i="4"/>
  <c r="BA14" i="4"/>
  <c r="AS14" i="4"/>
  <c r="AX14" i="4" s="1"/>
  <c r="BB14" i="4" s="1"/>
  <c r="AU12" i="4"/>
  <c r="AT12" i="4"/>
  <c r="AS12" i="4"/>
  <c r="AV12" i="4"/>
  <c r="AZ6" i="4"/>
  <c r="AY6" i="4"/>
  <c r="BA6" i="4"/>
  <c r="AV13" i="4"/>
  <c r="AS13" i="4"/>
  <c r="BT8" i="4"/>
  <c r="BP8" i="4"/>
  <c r="BL8" i="4"/>
  <c r="BM8" i="4"/>
  <c r="BR8" i="4" s="1"/>
  <c r="BV8" i="4" s="1"/>
  <c r="BU8" i="4"/>
  <c r="BO8" i="4"/>
  <c r="BS8" i="4"/>
  <c r="BN8" i="4"/>
  <c r="BH15" i="4"/>
  <c r="BD15" i="4"/>
  <c r="AZ15" i="4"/>
  <c r="AV15" i="4"/>
  <c r="AR15" i="4"/>
  <c r="BG15" i="4"/>
  <c r="BC15" i="4"/>
  <c r="AY15" i="4"/>
  <c r="AU15" i="4"/>
  <c r="BJ15" i="4"/>
  <c r="BF15" i="4"/>
  <c r="AX15" i="4"/>
  <c r="BB15" i="4" s="1"/>
  <c r="AT15" i="4"/>
  <c r="BI15" i="4"/>
  <c r="BE15" i="4"/>
  <c r="BA15" i="4"/>
  <c r="AS15" i="4"/>
  <c r="CX8" i="4"/>
  <c r="AR12" i="4"/>
  <c r="BT7" i="4"/>
  <c r="BP7" i="4"/>
  <c r="BL7" i="4"/>
  <c r="BS7" i="4"/>
  <c r="BO7" i="4"/>
  <c r="BN7" i="4"/>
  <c r="BU7" i="4"/>
  <c r="BM7" i="4"/>
  <c r="BM6" i="4"/>
  <c r="BP6" i="4"/>
  <c r="BQ6" i="4" s="1"/>
  <c r="AG5" i="4"/>
  <c r="BQ14" i="4"/>
  <c r="AQ7" i="4"/>
  <c r="S7" i="4"/>
  <c r="AQ8" i="4" s="1"/>
  <c r="AU13" i="4"/>
  <c r="AR13" i="4"/>
  <c r="AX13" i="4" s="1"/>
  <c r="BB13" i="4" s="1"/>
  <c r="AT13" i="4"/>
  <c r="R7" i="4"/>
  <c r="W6" i="4"/>
  <c r="AE5" i="4" l="1"/>
  <c r="AX12" i="4"/>
  <c r="BB12" i="4" s="1"/>
  <c r="BC13" i="4" s="1"/>
  <c r="CW14" i="4"/>
  <c r="CX14" i="4" s="1"/>
  <c r="CX15" i="4" s="1"/>
  <c r="CW15" i="4"/>
  <c r="BC14" i="4"/>
  <c r="BQ8" i="4"/>
  <c r="AW13" i="4"/>
  <c r="AW12" i="4"/>
  <c r="BR7" i="4"/>
  <c r="BV7" i="4" s="1"/>
  <c r="AV6" i="4"/>
  <c r="BR6" i="4"/>
  <c r="BV6" i="4" s="1"/>
  <c r="W13" i="4"/>
  <c r="R14" i="4"/>
  <c r="AG12" i="4"/>
  <c r="AF12" i="4"/>
  <c r="AE12" i="4"/>
  <c r="AR5" i="4"/>
  <c r="BQ7" i="4"/>
  <c r="AF6" i="4"/>
  <c r="AG6" i="4"/>
  <c r="AE6" i="4"/>
  <c r="W7" i="4"/>
  <c r="R8" i="4"/>
  <c r="W8" i="4" s="1"/>
  <c r="BH8" i="4"/>
  <c r="BD8" i="4"/>
  <c r="AZ8" i="4"/>
  <c r="AV8" i="4"/>
  <c r="AR8" i="4"/>
  <c r="BG8" i="4"/>
  <c r="BF8" i="4"/>
  <c r="BA8" i="4"/>
  <c r="AU8" i="4"/>
  <c r="BJ8" i="4"/>
  <c r="BE8" i="4"/>
  <c r="AY8" i="4"/>
  <c r="AT8" i="4"/>
  <c r="BI8" i="4"/>
  <c r="BC8" i="4"/>
  <c r="AX8" i="4"/>
  <c r="BB8" i="4" s="1"/>
  <c r="AS8" i="4"/>
  <c r="AW15" i="4"/>
  <c r="AV5" i="4"/>
  <c r="AZ7" i="4"/>
  <c r="AV7" i="4"/>
  <c r="AY7" i="4"/>
  <c r="AU7" i="4"/>
  <c r="AT7" i="4"/>
  <c r="BA7" i="4"/>
  <c r="AS7" i="4"/>
  <c r="AR7" i="4"/>
  <c r="AX7" i="4" s="1"/>
  <c r="BB7" i="4" s="1"/>
  <c r="AU5" i="4"/>
  <c r="AT5" i="4"/>
  <c r="AS5" i="4"/>
  <c r="AS6" i="4"/>
  <c r="AT6" i="4"/>
  <c r="AU6" i="4"/>
  <c r="AW6" i="4" s="1"/>
  <c r="AR6" i="4"/>
  <c r="AW14" i="4"/>
  <c r="BC12" i="4" l="1"/>
  <c r="BF14" i="4"/>
  <c r="BF12" i="4"/>
  <c r="BF13" i="4"/>
  <c r="AX6" i="4"/>
  <c r="BB6" i="4" s="1"/>
  <c r="BG14" i="4"/>
  <c r="BH14" i="4"/>
  <c r="BG12" i="4"/>
  <c r="BG13" i="4"/>
  <c r="BD14" i="4"/>
  <c r="BE14" i="4"/>
  <c r="BH12" i="4"/>
  <c r="BE13" i="4"/>
  <c r="BH13" i="4"/>
  <c r="BD12" i="4"/>
  <c r="BE12" i="4"/>
  <c r="BI12" i="4" s="1"/>
  <c r="BD13" i="4"/>
  <c r="BI14" i="4"/>
  <c r="AA4" i="4"/>
  <c r="AW5" i="4"/>
  <c r="AB4" i="4"/>
  <c r="BX8" i="4"/>
  <c r="AW7" i="4"/>
  <c r="BZ7" i="4"/>
  <c r="BY7" i="4"/>
  <c r="BX7" i="4"/>
  <c r="CA8" i="4"/>
  <c r="AX5" i="4"/>
  <c r="BB5" i="4" s="1"/>
  <c r="AW8" i="4"/>
  <c r="CB7" i="4"/>
  <c r="CA7" i="4"/>
  <c r="BW8" i="4"/>
  <c r="R15" i="4"/>
  <c r="W15" i="4" s="1"/>
  <c r="W14" i="4"/>
  <c r="AG13" i="4"/>
  <c r="AF13" i="4"/>
  <c r="AE13" i="4"/>
  <c r="BY8" i="4"/>
  <c r="BX6" i="4"/>
  <c r="CA6" i="4"/>
  <c r="BZ6" i="4"/>
  <c r="BY6" i="4"/>
  <c r="CB6" i="4"/>
  <c r="BW6" i="4"/>
  <c r="BW7" i="4"/>
  <c r="BZ8" i="4"/>
  <c r="CB8" i="4"/>
  <c r="Y6" i="4"/>
  <c r="X4" i="4"/>
  <c r="Y4" i="4"/>
  <c r="Z5" i="4"/>
  <c r="AB5" i="4"/>
  <c r="Z4" i="4"/>
  <c r="X5" i="4"/>
  <c r="AA5" i="4"/>
  <c r="AF8" i="4"/>
  <c r="AG8" i="4"/>
  <c r="AE8" i="4"/>
  <c r="AB6" i="4"/>
  <c r="Y5" i="4"/>
  <c r="AB8" i="4"/>
  <c r="X8" i="4"/>
  <c r="AA8" i="4"/>
  <c r="AE7" i="4"/>
  <c r="AA7" i="4"/>
  <c r="Z8" i="4"/>
  <c r="Z7" i="4"/>
  <c r="Y8" i="4"/>
  <c r="AG7" i="4"/>
  <c r="Y7" i="4"/>
  <c r="AB7" i="4"/>
  <c r="X7" i="4"/>
  <c r="AF7" i="4"/>
  <c r="AA6" i="4"/>
  <c r="Z6" i="4"/>
  <c r="X6" i="4"/>
  <c r="AD6" i="4" s="1"/>
  <c r="AH6" i="4" s="1"/>
  <c r="BI13" i="4" l="1"/>
  <c r="BJ12" i="4" s="1"/>
  <c r="BG7" i="4"/>
  <c r="BJ13" i="4"/>
  <c r="BJ14" i="4"/>
  <c r="AC4" i="4"/>
  <c r="AA12" i="4"/>
  <c r="AC5" i="4"/>
  <c r="AD7" i="4"/>
  <c r="AH7" i="4" s="1"/>
  <c r="CC7" i="4"/>
  <c r="CC6" i="4"/>
  <c r="CD8" i="4" s="1"/>
  <c r="BC6" i="4"/>
  <c r="BE6" i="4"/>
  <c r="BC7" i="4"/>
  <c r="BH6" i="4"/>
  <c r="BD6" i="4"/>
  <c r="BD7" i="4"/>
  <c r="BF6" i="4"/>
  <c r="BE7" i="4"/>
  <c r="BH5" i="4"/>
  <c r="BD5" i="4"/>
  <c r="BC5" i="4"/>
  <c r="BE5" i="4"/>
  <c r="BF5" i="4"/>
  <c r="BG5" i="4"/>
  <c r="BG6" i="4"/>
  <c r="BF7" i="4"/>
  <c r="BH7" i="4"/>
  <c r="CC8" i="4"/>
  <c r="X11" i="4"/>
  <c r="Z12" i="4"/>
  <c r="AA15" i="4"/>
  <c r="AF14" i="4"/>
  <c r="AG14" i="4"/>
  <c r="AB13" i="4"/>
  <c r="Z11" i="4"/>
  <c r="Z14" i="4"/>
  <c r="AB14" i="4"/>
  <c r="Y14" i="4"/>
  <c r="Y13" i="4"/>
  <c r="AA11" i="4"/>
  <c r="X12" i="4"/>
  <c r="AB15" i="4"/>
  <c r="Z15" i="4"/>
  <c r="X14" i="4"/>
  <c r="AE14" i="4"/>
  <c r="Z13" i="4"/>
  <c r="AB12" i="4"/>
  <c r="AC12" i="4" s="1"/>
  <c r="X13" i="4"/>
  <c r="Y12" i="4"/>
  <c r="AA13" i="4"/>
  <c r="AC13" i="4" s="1"/>
  <c r="AB11" i="4"/>
  <c r="X15" i="4"/>
  <c r="Y15" i="4"/>
  <c r="AA14" i="4"/>
  <c r="Y11" i="4"/>
  <c r="AF15" i="4"/>
  <c r="AE15" i="4"/>
  <c r="AG15" i="4"/>
  <c r="AD4" i="4"/>
  <c r="AH4" i="4" s="1"/>
  <c r="AC8" i="4"/>
  <c r="AC6" i="4"/>
  <c r="AD8" i="4"/>
  <c r="AH8" i="4" s="1"/>
  <c r="AD5" i="4"/>
  <c r="AH5" i="4" s="1"/>
  <c r="AC7" i="4"/>
  <c r="AC14" i="4" l="1"/>
  <c r="AI6" i="4"/>
  <c r="AD13" i="4"/>
  <c r="AH13" i="4" s="1"/>
  <c r="CD7" i="4"/>
  <c r="AD14" i="4"/>
  <c r="AH14" i="4" s="1"/>
  <c r="CD6" i="4"/>
  <c r="BI5" i="4"/>
  <c r="BI7" i="4"/>
  <c r="BI6" i="4"/>
  <c r="AD15" i="4"/>
  <c r="AH15" i="4" s="1"/>
  <c r="AC11" i="4"/>
  <c r="AC15" i="4"/>
  <c r="AD12" i="4"/>
  <c r="AH12" i="4" s="1"/>
  <c r="AD11" i="4"/>
  <c r="AH11" i="4" s="1"/>
  <c r="AI7" i="4"/>
  <c r="AN7" i="4"/>
  <c r="AM6" i="4"/>
  <c r="AI5" i="4"/>
  <c r="AN4" i="4"/>
  <c r="AL4" i="4"/>
  <c r="AJ5" i="4"/>
  <c r="AJ4" i="4"/>
  <c r="AL5" i="4"/>
  <c r="AM5" i="4"/>
  <c r="AK4" i="4"/>
  <c r="AN5" i="4"/>
  <c r="AI4" i="4"/>
  <c r="AM4" i="4"/>
  <c r="AK5" i="4"/>
  <c r="AI8" i="4"/>
  <c r="AL8" i="4"/>
  <c r="AK7" i="4"/>
  <c r="AK6" i="4"/>
  <c r="AJ8" i="4"/>
  <c r="AK8" i="4"/>
  <c r="AL7" i="4"/>
  <c r="AJ6" i="4"/>
  <c r="AN6" i="4"/>
  <c r="AN8" i="4"/>
  <c r="AM7" i="4"/>
  <c r="AJ7" i="4"/>
  <c r="AL6" i="4"/>
  <c r="AM8" i="4"/>
  <c r="AM14" i="4" l="1"/>
  <c r="AK13" i="4"/>
  <c r="BJ5" i="4"/>
  <c r="BJ6" i="4"/>
  <c r="BJ7" i="4"/>
  <c r="AI13" i="4"/>
  <c r="AM11" i="4"/>
  <c r="AJ11" i="4"/>
  <c r="AK11" i="4"/>
  <c r="AL11" i="4"/>
  <c r="AM13" i="4"/>
  <c r="AN11" i="4"/>
  <c r="AI14" i="4"/>
  <c r="AI11" i="4"/>
  <c r="AJ13" i="4"/>
  <c r="AL12" i="4"/>
  <c r="AN12" i="4"/>
  <c r="AI12" i="4"/>
  <c r="AK12" i="4"/>
  <c r="AJ12" i="4"/>
  <c r="AM12" i="4"/>
  <c r="AN13" i="4"/>
  <c r="AL14" i="4"/>
  <c r="AJ14" i="4"/>
  <c r="AK14" i="4"/>
  <c r="AM15" i="4"/>
  <c r="AK15" i="4"/>
  <c r="AI15" i="4"/>
  <c r="AL15" i="4"/>
  <c r="AJ15" i="4"/>
  <c r="AN15" i="4"/>
  <c r="AN14" i="4"/>
  <c r="AL13" i="4"/>
  <c r="AO6" i="4"/>
  <c r="AO4" i="4"/>
  <c r="AP8" i="4" s="1"/>
  <c r="CY8" i="4" s="1"/>
  <c r="AO7" i="4"/>
  <c r="AO8" i="4"/>
  <c r="AO5" i="4"/>
  <c r="AP4" i="4" l="1"/>
  <c r="CY4" i="4" s="1"/>
  <c r="AO12" i="4"/>
  <c r="AO14" i="4"/>
  <c r="AO15" i="4"/>
  <c r="AO11" i="4"/>
  <c r="AO13" i="4"/>
  <c r="AP7" i="4"/>
  <c r="CY7" i="4" s="1"/>
  <c r="AP6" i="4"/>
  <c r="CY6" i="4" s="1"/>
  <c r="AP5" i="4"/>
  <c r="CY5" i="4" s="1"/>
  <c r="A4" i="4" s="1"/>
  <c r="DT64" i="4"/>
  <c r="DV64" i="4" s="1"/>
  <c r="AP13" i="4" l="1"/>
  <c r="CY13" i="4" s="1"/>
  <c r="AP15" i="4"/>
  <c r="CY15" i="4" s="1"/>
  <c r="AP14" i="4"/>
  <c r="CY14" i="4" s="1"/>
  <c r="AP12" i="4"/>
  <c r="CY12" i="4" s="1"/>
  <c r="AP11" i="4"/>
  <c r="CY11" i="4" s="1"/>
  <c r="A8" i="4"/>
  <c r="A7" i="4"/>
  <c r="A5" i="4"/>
  <c r="A6" i="4"/>
  <c r="DT48" i="4"/>
  <c r="DV48" i="4" s="1"/>
  <c r="DT51" i="4"/>
  <c r="DV51" i="4" s="1"/>
  <c r="DT67" i="4"/>
  <c r="DV67" i="4" s="1"/>
  <c r="P34" i="2"/>
  <c r="Q7" i="2" l="1"/>
  <c r="T7" i="2" s="1"/>
  <c r="Q8" i="2"/>
  <c r="U8" i="2" s="1"/>
  <c r="A15" i="4"/>
  <c r="A13" i="4"/>
  <c r="A14" i="4"/>
  <c r="A12" i="4"/>
  <c r="A11" i="4"/>
  <c r="Q10" i="2"/>
  <c r="T10" i="2" s="1"/>
  <c r="Q9" i="2"/>
  <c r="T9" i="2" s="1"/>
  <c r="Q11" i="2"/>
  <c r="T11" i="2" s="1"/>
  <c r="DT49" i="4"/>
  <c r="DV49" i="4" s="1"/>
  <c r="DT66" i="4"/>
  <c r="DV66" i="4" s="1"/>
  <c r="DT63" i="4"/>
  <c r="DV63" i="4" s="1"/>
  <c r="DT52" i="4"/>
  <c r="DV52" i="4" s="1"/>
  <c r="V7" i="2" l="1"/>
  <c r="U7" i="2"/>
  <c r="X7" i="2"/>
  <c r="S7" i="2"/>
  <c r="DV7" i="4"/>
  <c r="S10" i="2"/>
  <c r="Z10" i="2" s="1"/>
  <c r="V10" i="2"/>
  <c r="S8" i="2"/>
  <c r="X8" i="2"/>
  <c r="U10" i="2"/>
  <c r="T8" i="2"/>
  <c r="U11" i="2"/>
  <c r="V11" i="2"/>
  <c r="X10" i="2"/>
  <c r="DV10" i="4"/>
  <c r="DV8" i="4"/>
  <c r="S11" i="2"/>
  <c r="X11" i="2"/>
  <c r="V8" i="2"/>
  <c r="X9" i="2"/>
  <c r="V9" i="2"/>
  <c r="S9" i="2"/>
  <c r="Z9" i="2" s="1"/>
  <c r="DV9" i="4"/>
  <c r="U9" i="2"/>
  <c r="Q16" i="2"/>
  <c r="Q18" i="2"/>
  <c r="Q15" i="2"/>
  <c r="Q14" i="2"/>
  <c r="Q17" i="2"/>
  <c r="Z7" i="2"/>
  <c r="R7" i="2"/>
  <c r="Y7" i="2" l="1"/>
  <c r="R11" i="2"/>
  <c r="Y8" i="2"/>
  <c r="Y11" i="2"/>
  <c r="Z8" i="2"/>
  <c r="Y10" i="2"/>
  <c r="Z11" i="2"/>
  <c r="R10" i="2"/>
  <c r="R8" i="2"/>
  <c r="R9" i="2"/>
  <c r="Y9" i="2"/>
  <c r="T18" i="2"/>
  <c r="S18" i="2"/>
  <c r="U18" i="2"/>
  <c r="X18" i="2"/>
  <c r="V18" i="2"/>
  <c r="S17" i="2"/>
  <c r="X17" i="2"/>
  <c r="U17" i="2"/>
  <c r="DV15" i="4"/>
  <c r="T17" i="2"/>
  <c r="V17" i="2"/>
  <c r="U16" i="2"/>
  <c r="V16" i="2"/>
  <c r="T16" i="2"/>
  <c r="X16" i="2"/>
  <c r="DV14" i="4"/>
  <c r="S16" i="2"/>
  <c r="S14" i="2"/>
  <c r="V14" i="2"/>
  <c r="U14" i="2"/>
  <c r="DV12" i="4"/>
  <c r="T14" i="2"/>
  <c r="X14" i="2"/>
  <c r="DV13" i="4"/>
  <c r="V15" i="2"/>
  <c r="T15" i="2"/>
  <c r="X15" i="2"/>
  <c r="U15" i="2"/>
  <c r="S15" i="2"/>
  <c r="K28" i="2" l="1"/>
  <c r="F31" i="2"/>
  <c r="K29" i="2"/>
  <c r="F30" i="2"/>
  <c r="Y17" i="2"/>
  <c r="Y15" i="2"/>
  <c r="Y16" i="2"/>
  <c r="Y18" i="2"/>
  <c r="Z15" i="2"/>
  <c r="R15" i="2"/>
  <c r="Z16" i="2"/>
  <c r="R16" i="2"/>
  <c r="Y14" i="2"/>
  <c r="R14" i="2"/>
  <c r="Z14" i="2"/>
  <c r="Z17" i="2"/>
  <c r="R17" i="2"/>
  <c r="R18" i="2"/>
  <c r="Z18" i="2"/>
  <c r="K31" i="2" l="1"/>
  <c r="DT58" i="4" s="1"/>
  <c r="DV58" i="4" s="1"/>
  <c r="F29" i="2"/>
  <c r="DT41" i="4" s="1"/>
  <c r="DV41" i="4" s="1"/>
  <c r="K30" i="2"/>
  <c r="DT57" i="4" s="1"/>
  <c r="DV57" i="4" s="1"/>
  <c r="F28" i="2"/>
  <c r="DT40" i="4" s="1"/>
  <c r="DV40" i="4" s="1"/>
  <c r="DT56" i="4"/>
  <c r="DV56" i="4" s="1"/>
  <c r="DT55" i="4"/>
  <c r="DV55" i="4" s="1"/>
  <c r="DT43" i="4"/>
  <c r="DV43" i="4" s="1"/>
  <c r="DT42" i="4"/>
  <c r="DV42" i="4" s="1"/>
</calcChain>
</file>

<file path=xl/sharedStrings.xml><?xml version="1.0" encoding="utf-8"?>
<sst xmlns="http://schemas.openxmlformats.org/spreadsheetml/2006/main" count="755" uniqueCount="484">
  <si>
    <t>SETUP</t>
  </si>
  <si>
    <t>Select Your Time</t>
  </si>
  <si>
    <t>t</t>
  </si>
  <si>
    <t>Select time difference between Match local time and your local time. Date and time in Matches worksheet will be adjusted accordingly</t>
  </si>
  <si>
    <t>Select Language</t>
  </si>
  <si>
    <t>English</t>
  </si>
  <si>
    <t>Select your language. Language in Matches worksheet will be adjusted accordingly</t>
  </si>
  <si>
    <r>
      <t xml:space="preserve">Language Name </t>
    </r>
    <r>
      <rPr>
        <sz val="11"/>
        <color theme="0"/>
        <rFont val="Wingdings 3"/>
        <family val="1"/>
        <charset val="2"/>
      </rPr>
      <t>u</t>
    </r>
  </si>
  <si>
    <t>NEW WORLD</t>
  </si>
  <si>
    <t>Original Language (English)</t>
  </si>
  <si>
    <t>Your Language Translation</t>
  </si>
  <si>
    <t>To set schedule language to your language do the following :</t>
  </si>
  <si>
    <t>Argentina</t>
  </si>
  <si>
    <t>Set title of your language in cell D7 (Arabic, Chinese, Portuguese, etc)</t>
  </si>
  <si>
    <t>Bolivia</t>
  </si>
  <si>
    <t>Type your translation in column D (cell D9 : D99)</t>
  </si>
  <si>
    <t>Uruguay</t>
  </si>
  <si>
    <t>Change language selection in cell D6 to your language name title</t>
  </si>
  <si>
    <t>Chile</t>
  </si>
  <si>
    <t>Paraguay</t>
  </si>
  <si>
    <t>Colombia</t>
  </si>
  <si>
    <t>Brazil</t>
  </si>
  <si>
    <t>Venezuela</t>
  </si>
  <si>
    <t>Ecuador</t>
  </si>
  <si>
    <t>Peru</t>
  </si>
  <si>
    <t>Language</t>
  </si>
  <si>
    <t>Timezone</t>
  </si>
  <si>
    <t>Group Stages</t>
  </si>
  <si>
    <t>Venue</t>
  </si>
  <si>
    <t>Standings</t>
  </si>
  <si>
    <t>Group</t>
  </si>
  <si>
    <t>Date</t>
  </si>
  <si>
    <t>Country</t>
  </si>
  <si>
    <t>Score</t>
  </si>
  <si>
    <t>Time</t>
  </si>
  <si>
    <t>Quarter Finals</t>
  </si>
  <si>
    <t>Semi Finals</t>
  </si>
  <si>
    <t>Final</t>
  </si>
  <si>
    <t>3rd Place</t>
  </si>
  <si>
    <t>Winner</t>
  </si>
  <si>
    <t>Runner Up</t>
  </si>
  <si>
    <t>Normal Time</t>
  </si>
  <si>
    <t>Extra Time</t>
  </si>
  <si>
    <t>Penalty Shoot Out</t>
  </si>
  <si>
    <t>Champion</t>
  </si>
  <si>
    <t>M#</t>
  </si>
  <si>
    <t>Group A Winner</t>
  </si>
  <si>
    <t>Group B Winner</t>
  </si>
  <si>
    <t>Group A 3rd Place</t>
  </si>
  <si>
    <t>Group A 4th Place</t>
  </si>
  <si>
    <t>Group B 3rd Place</t>
  </si>
  <si>
    <t>Group B 4th Place</t>
  </si>
  <si>
    <t>Group A Runner Up</t>
  </si>
  <si>
    <t>Group B Runner Up</t>
  </si>
  <si>
    <t>Match 21 Winner</t>
  </si>
  <si>
    <t>Match 22 Winner</t>
  </si>
  <si>
    <t>Match 23 Winner</t>
  </si>
  <si>
    <t>Match 24 Winner</t>
  </si>
  <si>
    <t>Match 25 Winner</t>
  </si>
  <si>
    <t>Match 26 Winner</t>
  </si>
  <si>
    <t>Match 27 Winner</t>
  </si>
  <si>
    <t>Match 28 Winner</t>
  </si>
  <si>
    <t>Match 25 Loser</t>
  </si>
  <si>
    <t>Match 26 Loser</t>
  </si>
  <si>
    <t>COPA AMERICA 2021 FIXTURES</t>
  </si>
  <si>
    <t>Group A</t>
  </si>
  <si>
    <t>Group B</t>
  </si>
  <si>
    <t>Win</t>
  </si>
  <si>
    <t>Draw</t>
  </si>
  <si>
    <t>Lose</t>
  </si>
  <si>
    <t>For</t>
  </si>
  <si>
    <t>Against</t>
  </si>
  <si>
    <t>Points</t>
  </si>
  <si>
    <t>Knock Out Rounds</t>
  </si>
  <si>
    <t>P</t>
  </si>
  <si>
    <t>W</t>
  </si>
  <si>
    <t>D</t>
  </si>
  <si>
    <t>L</t>
  </si>
  <si>
    <t>F</t>
  </si>
  <si>
    <t>A</t>
  </si>
  <si>
    <t>GD</t>
  </si>
  <si>
    <t>Pts</t>
  </si>
  <si>
    <t>-</t>
  </si>
  <si>
    <t>B</t>
  </si>
  <si>
    <t>PSO</t>
  </si>
  <si>
    <t>CHAMPION</t>
  </si>
  <si>
    <t>© 2020 | journalSHEET.com</t>
  </si>
  <si>
    <t>Notes :</t>
  </si>
  <si>
    <t>l</t>
  </si>
  <si>
    <t>Fill full time scores in column I and J</t>
  </si>
  <si>
    <t>Fill penalty shoot out scores in column M and N</t>
  </si>
  <si>
    <t>Pairing teams in Knock Out rounds will be placed automatically</t>
  </si>
  <si>
    <t>Color meaning :</t>
  </si>
  <si>
    <t>Team Name</t>
  </si>
  <si>
    <t>Won in Full Time</t>
  </si>
  <si>
    <t>Lose in Full Time</t>
  </si>
  <si>
    <t>Won by Penalty Shoot Out</t>
  </si>
  <si>
    <t>Lose by Penalty Shoot Out</t>
  </si>
  <si>
    <t>Country Language</t>
  </si>
  <si>
    <t>French</t>
  </si>
  <si>
    <t>German/Deutsch</t>
  </si>
  <si>
    <t>Italian</t>
  </si>
  <si>
    <t>Portuguese</t>
  </si>
  <si>
    <t>Dutch</t>
  </si>
  <si>
    <t>Spanish</t>
  </si>
  <si>
    <t>Argentine</t>
  </si>
  <si>
    <t>Argentinien</t>
  </si>
  <si>
    <t>Argentinië</t>
  </si>
  <si>
    <t>Bolivie</t>
  </si>
  <si>
    <t>Bolivien</t>
  </si>
  <si>
    <t>Bolívia</t>
  </si>
  <si>
    <t>Uruguai</t>
  </si>
  <si>
    <t>Chili</t>
  </si>
  <si>
    <t>Paraguai</t>
  </si>
  <si>
    <t>Colombie</t>
  </si>
  <si>
    <t>Kolumbien</t>
  </si>
  <si>
    <t>Colômbia</t>
  </si>
  <si>
    <t>Brésil</t>
  </si>
  <si>
    <t>Brasilien</t>
  </si>
  <si>
    <t>Brasile</t>
  </si>
  <si>
    <t>Brasil</t>
  </si>
  <si>
    <t>Brazilië</t>
  </si>
  <si>
    <t>Equateur</t>
  </si>
  <si>
    <t>Equador</t>
  </si>
  <si>
    <t>Pérou</t>
  </si>
  <si>
    <t>Perù</t>
  </si>
  <si>
    <t>Perú</t>
  </si>
  <si>
    <t>Langue</t>
  </si>
  <si>
    <t>Sprache</t>
  </si>
  <si>
    <t>Lingua</t>
  </si>
  <si>
    <t>Língua</t>
  </si>
  <si>
    <t>Taal</t>
  </si>
  <si>
    <t>idioma</t>
  </si>
  <si>
    <t>Fuseau horaire</t>
  </si>
  <si>
    <t>Zeitzone</t>
  </si>
  <si>
    <t>Fuso orario</t>
  </si>
  <si>
    <t>Fuso horário</t>
  </si>
  <si>
    <t>Tijdzone</t>
  </si>
  <si>
    <t>Zona horaria</t>
  </si>
  <si>
    <t>Phase de groupes</t>
  </si>
  <si>
    <t>Gruppenphase</t>
  </si>
  <si>
    <t>Stadi di gruppo</t>
  </si>
  <si>
    <t>Fases do Grupo</t>
  </si>
  <si>
    <t>Groepsstadia</t>
  </si>
  <si>
    <t>Etapas del Grupo</t>
  </si>
  <si>
    <t>Lieu</t>
  </si>
  <si>
    <t>Tagungsort</t>
  </si>
  <si>
    <t>Sede</t>
  </si>
  <si>
    <t>Local</t>
  </si>
  <si>
    <t>Evenementenlocatie</t>
  </si>
  <si>
    <t>Lugar de encuentro</t>
  </si>
  <si>
    <t>Classements</t>
  </si>
  <si>
    <t>Platzierungen</t>
  </si>
  <si>
    <t>Classifiche</t>
  </si>
  <si>
    <t>Classificação</t>
  </si>
  <si>
    <t>Stand</t>
  </si>
  <si>
    <t>Tabla de posiciones</t>
  </si>
  <si>
    <t>Groupe</t>
  </si>
  <si>
    <t>Gruppe</t>
  </si>
  <si>
    <t>Gruppo</t>
  </si>
  <si>
    <t>Grupo</t>
  </si>
  <si>
    <t>Groep</t>
  </si>
  <si>
    <t>date</t>
  </si>
  <si>
    <t>Datum</t>
  </si>
  <si>
    <t>Data</t>
  </si>
  <si>
    <t>Fecha</t>
  </si>
  <si>
    <t>Pays</t>
  </si>
  <si>
    <t>Land</t>
  </si>
  <si>
    <t>Nazione</t>
  </si>
  <si>
    <t>País</t>
  </si>
  <si>
    <t>But</t>
  </si>
  <si>
    <t>Ergebnis</t>
  </si>
  <si>
    <t>Punto</t>
  </si>
  <si>
    <t>Pontuação</t>
  </si>
  <si>
    <t>Puntuación</t>
  </si>
  <si>
    <t>Temps</t>
  </si>
  <si>
    <t>Zeit</t>
  </si>
  <si>
    <t>Orario</t>
  </si>
  <si>
    <t>Tempo</t>
  </si>
  <si>
    <t>Tijd</t>
  </si>
  <si>
    <t>Hora</t>
  </si>
  <si>
    <t>Quarts de finale</t>
  </si>
  <si>
    <t>Viertel Finale</t>
  </si>
  <si>
    <t>Quarti di finale</t>
  </si>
  <si>
    <t>Quartas de final</t>
  </si>
  <si>
    <t>Kwartfinales</t>
  </si>
  <si>
    <t>Cuartos de final</t>
  </si>
  <si>
    <t>Demi-finales</t>
  </si>
  <si>
    <t>Semifinale</t>
  </si>
  <si>
    <t>Semifinali</t>
  </si>
  <si>
    <t>Semifinais</t>
  </si>
  <si>
    <t>Halve finale</t>
  </si>
  <si>
    <t>Semifinales</t>
  </si>
  <si>
    <t>Finale</t>
  </si>
  <si>
    <t>Definitivo</t>
  </si>
  <si>
    <t>Laatste</t>
  </si>
  <si>
    <t>Match pour la troisième place</t>
  </si>
  <si>
    <t>Spiel um Platz 3</t>
  </si>
  <si>
    <t>Finale per il terzo posto</t>
  </si>
  <si>
    <t>3º lugar</t>
  </si>
  <si>
    <t>3de plaats</t>
  </si>
  <si>
    <t>Partido por el tercer lugar</t>
  </si>
  <si>
    <t>Gagnant</t>
  </si>
  <si>
    <t>Gewinner</t>
  </si>
  <si>
    <t>Vincitore</t>
  </si>
  <si>
    <t>Vencedora</t>
  </si>
  <si>
    <t>Winnaar</t>
  </si>
  <si>
    <t>Ganador</t>
  </si>
  <si>
    <t>Finaliste</t>
  </si>
  <si>
    <t>Verfolger, Zweitplatzierter, Vizemeister</t>
  </si>
  <si>
    <t>Secondo classificato</t>
  </si>
  <si>
    <t>Vice-campeão</t>
  </si>
  <si>
    <t>Tweede plaats</t>
  </si>
  <si>
    <t>Subcampeón</t>
  </si>
  <si>
    <t>Durée normale</t>
  </si>
  <si>
    <t>Normalzeit</t>
  </si>
  <si>
    <t>Tempo normale</t>
  </si>
  <si>
    <t>Tempo normal</t>
  </si>
  <si>
    <t>Normale tijd</t>
  </si>
  <si>
    <t>Tiempo normal</t>
  </si>
  <si>
    <t>Du temps en plus</t>
  </si>
  <si>
    <t>Extra Zeit</t>
  </si>
  <si>
    <t>Tempo extra</t>
  </si>
  <si>
    <t>Extra tijd</t>
  </si>
  <si>
    <t>Tiempo adicional</t>
  </si>
  <si>
    <t>Tir au pénalty</t>
  </si>
  <si>
    <t>Elfmeterschießen</t>
  </si>
  <si>
    <t>Calcio di rigore</t>
  </si>
  <si>
    <t>Pênaltis</t>
  </si>
  <si>
    <t>Strafschieten</t>
  </si>
  <si>
    <t>Campione</t>
  </si>
  <si>
    <t>Campeão</t>
  </si>
  <si>
    <t>Kampioen</t>
  </si>
  <si>
    <t>Campeón</t>
  </si>
  <si>
    <t>Rencontre #</t>
  </si>
  <si>
    <t>Spiel #</t>
  </si>
  <si>
    <t>Incontro #</t>
  </si>
  <si>
    <t>M #</t>
  </si>
  <si>
    <t>Juego #</t>
  </si>
  <si>
    <t>Vainqueur du groupe A</t>
  </si>
  <si>
    <t>Gruppe A Winner</t>
  </si>
  <si>
    <t>Gruppo A Vincitore</t>
  </si>
  <si>
    <t>Vencedor do Grupo A</t>
  </si>
  <si>
    <t>Winnaar groep A</t>
  </si>
  <si>
    <t>Grupo A Ganador</t>
  </si>
  <si>
    <t>Vainqueur du groupe B</t>
  </si>
  <si>
    <t>Gruppe B Sieger</t>
  </si>
  <si>
    <t>Gruppo B Vincitore</t>
  </si>
  <si>
    <t>Vencedor do Grupo B</t>
  </si>
  <si>
    <t>Winnaar groep B</t>
  </si>
  <si>
    <t>Grupo B Ganador</t>
  </si>
  <si>
    <t>Groep A 3e plaats</t>
  </si>
  <si>
    <t>Gruppe A 3. Platz</t>
  </si>
  <si>
    <t>Gruppo A 3 ° posto</t>
  </si>
  <si>
    <t>Grupo A, 3º lugar</t>
  </si>
  <si>
    <t>Grupo A 3er lugar</t>
  </si>
  <si>
    <t>Groep A 4e plaats</t>
  </si>
  <si>
    <t>Gruppe A 4. Platz</t>
  </si>
  <si>
    <t>Gruppo A 4 ° posto</t>
  </si>
  <si>
    <t>4º lugar do Grupo A</t>
  </si>
  <si>
    <t>Grupo A 4to lugar</t>
  </si>
  <si>
    <t>Groep B 3e plaats</t>
  </si>
  <si>
    <t>Gruppe B 3. Platz</t>
  </si>
  <si>
    <t>Gruppo B 3 ° posto</t>
  </si>
  <si>
    <t>Grupo B 3º lugar</t>
  </si>
  <si>
    <t>Grupo B 3er lugar</t>
  </si>
  <si>
    <t>Groep B 4e plaats</t>
  </si>
  <si>
    <t>Gruppe B 4. Platz</t>
  </si>
  <si>
    <t>Gruppo B 4 ° posto</t>
  </si>
  <si>
    <t>Grupo B 4º lugar</t>
  </si>
  <si>
    <t>Grupo B 4to lugar</t>
  </si>
  <si>
    <t>Groupe A Runner Up</t>
  </si>
  <si>
    <t>Gruppe A Runner Up</t>
  </si>
  <si>
    <t>Gruppo A Runner Up</t>
  </si>
  <si>
    <t>Vice-Campeão do Grupo A</t>
  </si>
  <si>
    <t>Groep A tweede</t>
  </si>
  <si>
    <t>Grupo A Finalista</t>
  </si>
  <si>
    <t>Groupe B Runner Up</t>
  </si>
  <si>
    <t>Gruppe B Runner Up</t>
  </si>
  <si>
    <t>Gruppo B Runner Up</t>
  </si>
  <si>
    <t>Vice-Campeão do Grupo B</t>
  </si>
  <si>
    <t>Groep B tweede</t>
  </si>
  <si>
    <t>Grupo B Finalista</t>
  </si>
  <si>
    <t>Vainqueur match 21</t>
  </si>
  <si>
    <t>Spiel 21 Sieger</t>
  </si>
  <si>
    <t>Partita 21 Vincitore</t>
  </si>
  <si>
    <t>Vencedor da 21ª partida</t>
  </si>
  <si>
    <t>Match 21 winnaar</t>
  </si>
  <si>
    <t>Partido 21 Ganador</t>
  </si>
  <si>
    <t>Vainqueur match 22</t>
  </si>
  <si>
    <t>Spiel 22 Sieger</t>
  </si>
  <si>
    <t>Partita 22 Vincitore</t>
  </si>
  <si>
    <t>Vencedor da partida 22</t>
  </si>
  <si>
    <t>Match 22 winnaar</t>
  </si>
  <si>
    <t>Partido 22 Ganador</t>
  </si>
  <si>
    <t>Vainqueur match 23</t>
  </si>
  <si>
    <t>Spiel 23 Sieger</t>
  </si>
  <si>
    <t>Partita 23 Vincitore</t>
  </si>
  <si>
    <t>Vencedor da partida 23</t>
  </si>
  <si>
    <t>Match 23 winnaar</t>
  </si>
  <si>
    <t>Partido 23 Ganador</t>
  </si>
  <si>
    <t>Vainqueur match 24</t>
  </si>
  <si>
    <t>Spiel 24 Sieger</t>
  </si>
  <si>
    <t>Partita 24 Vincitore</t>
  </si>
  <si>
    <t>Vencedor da 24ª partida</t>
  </si>
  <si>
    <t>Match 24 winnaar</t>
  </si>
  <si>
    <t>Partido 24 Ganador</t>
  </si>
  <si>
    <t>Vainqueur match 25</t>
  </si>
  <si>
    <t>Spiel 25 Sieger</t>
  </si>
  <si>
    <t>Partita 25 Vincitore</t>
  </si>
  <si>
    <t>Vencedor da partida 25</t>
  </si>
  <si>
    <t>Match 25 winnaar</t>
  </si>
  <si>
    <t>Partido 25 Ganador</t>
  </si>
  <si>
    <t>Vainqueur match 26</t>
  </si>
  <si>
    <t>Spiel 26 Sieger</t>
  </si>
  <si>
    <t>Partita 26 Vincitore</t>
  </si>
  <si>
    <t>Vencedor da partida 26</t>
  </si>
  <si>
    <t>Match 26 winnaar</t>
  </si>
  <si>
    <t>Partido 26 Ganador</t>
  </si>
  <si>
    <t>Vainqueur match 27</t>
  </si>
  <si>
    <t>Spiel 27 Sieger</t>
  </si>
  <si>
    <t>Partita 27 Vincitore</t>
  </si>
  <si>
    <t>Vencedor da 27ª partida</t>
  </si>
  <si>
    <t>Match 27 winnaar</t>
  </si>
  <si>
    <t>Partido 27 Ganador</t>
  </si>
  <si>
    <t>Vainqueur match 28</t>
  </si>
  <si>
    <t>Spiel 28 Sieger</t>
  </si>
  <si>
    <t>Partita 28 Vincitore</t>
  </si>
  <si>
    <t>Vencedor da partida 28</t>
  </si>
  <si>
    <t>Match 28 winnaar</t>
  </si>
  <si>
    <t>Partido 28 Ganador</t>
  </si>
  <si>
    <t>Match 25 Perdant</t>
  </si>
  <si>
    <t>Verlierer Spiel 25</t>
  </si>
  <si>
    <t>Perdente partita 25</t>
  </si>
  <si>
    <t>Perdedor do 25º jogo</t>
  </si>
  <si>
    <t>Wed strijd 25 verliezer</t>
  </si>
  <si>
    <t>Perdedor partido 25</t>
  </si>
  <si>
    <t>Match 26 Perdant</t>
  </si>
  <si>
    <t>Verlierer Spiel 26</t>
  </si>
  <si>
    <t>Perdente partita 26</t>
  </si>
  <si>
    <t>Perdedor de 26 jogos</t>
  </si>
  <si>
    <t>Wed strijd 26 verliezer</t>
  </si>
  <si>
    <t>Perdedor partido 26</t>
  </si>
  <si>
    <t>Copa America 2021 Horaire et Feuille de pointage</t>
  </si>
  <si>
    <t>Copa America 2021 Spielplan</t>
  </si>
  <si>
    <t>Copa America 2021 Pianificazione e Score Sheet</t>
  </si>
  <si>
    <t>COPA AMERICA 2021 ARMATUREN</t>
  </si>
  <si>
    <t>Copa America 2021 Horario y Score Hoja</t>
  </si>
  <si>
    <t>Groupe A</t>
  </si>
  <si>
    <t>Gruppe A</t>
  </si>
  <si>
    <t>Gruppo A</t>
  </si>
  <si>
    <t>Grupo A</t>
  </si>
  <si>
    <t>groep A</t>
  </si>
  <si>
    <t>Groupe B</t>
  </si>
  <si>
    <t>Gruppe B</t>
  </si>
  <si>
    <t>Gruppo B</t>
  </si>
  <si>
    <t>Grupo B</t>
  </si>
  <si>
    <t>Groep B</t>
  </si>
  <si>
    <t>Gagner</t>
  </si>
  <si>
    <t>Gewinnen</t>
  </si>
  <si>
    <t>Vincere</t>
  </si>
  <si>
    <t>Vencer</t>
  </si>
  <si>
    <t>Winnen</t>
  </si>
  <si>
    <t>Ganar</t>
  </si>
  <si>
    <t>Dessiner</t>
  </si>
  <si>
    <t>Zeichnen</t>
  </si>
  <si>
    <t>Disegnare</t>
  </si>
  <si>
    <t>Desenhar</t>
  </si>
  <si>
    <t>Trek</t>
  </si>
  <si>
    <t>Dibujar</t>
  </si>
  <si>
    <t>Perdre</t>
  </si>
  <si>
    <t>Verlieren</t>
  </si>
  <si>
    <t>Perdere</t>
  </si>
  <si>
    <t>Perder</t>
  </si>
  <si>
    <t>Verliezen</t>
  </si>
  <si>
    <t>Pour</t>
  </si>
  <si>
    <t>Für</t>
  </si>
  <si>
    <t>Per</t>
  </si>
  <si>
    <t>Para</t>
  </si>
  <si>
    <t>Voor</t>
  </si>
  <si>
    <t>por</t>
  </si>
  <si>
    <t>Contre</t>
  </si>
  <si>
    <t>Gegen</t>
  </si>
  <si>
    <t>Contro</t>
  </si>
  <si>
    <t>Contra</t>
  </si>
  <si>
    <t>Tegen</t>
  </si>
  <si>
    <t>En contra</t>
  </si>
  <si>
    <t>Des points</t>
  </si>
  <si>
    <t>Punkte</t>
  </si>
  <si>
    <t>Punti</t>
  </si>
  <si>
    <t>Pontos</t>
  </si>
  <si>
    <t>Punten</t>
  </si>
  <si>
    <t>Puntos</t>
  </si>
  <si>
    <t>Knock Out rounds</t>
  </si>
  <si>
    <t>Knock Out Runden</t>
  </si>
  <si>
    <t>Rodadas de nocaute</t>
  </si>
  <si>
    <t>Knock-out rondes</t>
  </si>
  <si>
    <t>Knock Out Rondas</t>
  </si>
  <si>
    <t>Rule</t>
  </si>
  <si>
    <t>urutan terakhir</t>
  </si>
  <si>
    <t>ini utk ngurutin</t>
  </si>
  <si>
    <t>table rank 1- ok</t>
  </si>
  <si>
    <t>table rank 2</t>
  </si>
  <si>
    <t>table rank 3</t>
  </si>
  <si>
    <t>table rank 4</t>
  </si>
  <si>
    <t>GS</t>
  </si>
  <si>
    <t>GA</t>
  </si>
  <si>
    <t>Diff</t>
  </si>
  <si>
    <t>UEFA Rank</t>
  </si>
  <si>
    <t>rankall points</t>
  </si>
  <si>
    <t>Rank GD</t>
  </si>
  <si>
    <t>Rank GS</t>
  </si>
  <si>
    <t>PGDGS</t>
  </si>
  <si>
    <t>rerank</t>
  </si>
  <si>
    <t>rank 1</t>
  </si>
  <si>
    <t>rank 2</t>
  </si>
  <si>
    <t>rank 3</t>
  </si>
  <si>
    <t>rank 4</t>
  </si>
  <si>
    <t>Team</t>
  </si>
  <si>
    <t>Sdif</t>
  </si>
  <si>
    <t>SGS</t>
  </si>
  <si>
    <t>Koef</t>
  </si>
  <si>
    <t>R</t>
  </si>
  <si>
    <t>Sdiff</t>
  </si>
  <si>
    <t>FR</t>
  </si>
  <si>
    <t>DS7</t>
  </si>
  <si>
    <t>DS8</t>
  </si>
  <si>
    <t>Y</t>
  </si>
  <si>
    <t>DS9</t>
  </si>
  <si>
    <t>DS10</t>
  </si>
  <si>
    <t>DS11</t>
  </si>
  <si>
    <t>DS12</t>
  </si>
  <si>
    <t>DS13</t>
  </si>
  <si>
    <t>DS14</t>
  </si>
  <si>
    <t>DS15</t>
  </si>
  <si>
    <t>DS16</t>
  </si>
  <si>
    <t>ABOUT</t>
  </si>
  <si>
    <t>Editiion</t>
  </si>
  <si>
    <t>:</t>
  </si>
  <si>
    <t>Version</t>
  </si>
  <si>
    <t>License</t>
  </si>
  <si>
    <t>Single User</t>
  </si>
  <si>
    <t>Product Info</t>
  </si>
  <si>
    <t>https://journalsheet.com</t>
  </si>
  <si>
    <t>Support</t>
  </si>
  <si>
    <t>support@journalsheet.com</t>
  </si>
  <si>
    <t>COPA AMERICA 2021 FIXTURES | FULLY EDITABLE</t>
  </si>
  <si>
    <t>Copyrights ©</t>
  </si>
  <si>
    <t>2020 | journalSHEET.com</t>
  </si>
  <si>
    <t>US$ 7</t>
  </si>
  <si>
    <t>You can purchase the Unprotected Version if you plan to learn the formula or used it for your commercial business (put your own logo, place it in your coffee shop etc)</t>
  </si>
  <si>
    <t>Go to journalSHEET.com for other sport spreadsheets</t>
  </si>
  <si>
    <t>LICENSE</t>
  </si>
  <si>
    <t>+0.5</t>
  </si>
  <si>
    <t>+1</t>
  </si>
  <si>
    <t>+1.5</t>
  </si>
  <si>
    <t>+2</t>
  </si>
  <si>
    <t>+2.5</t>
  </si>
  <si>
    <t>+3</t>
  </si>
  <si>
    <t>+3.5</t>
  </si>
  <si>
    <t>+4</t>
  </si>
  <si>
    <t>+4.5</t>
  </si>
  <si>
    <t>+5</t>
  </si>
  <si>
    <t>+5.5</t>
  </si>
  <si>
    <t>+6</t>
  </si>
  <si>
    <t>+6.5</t>
  </si>
  <si>
    <t>+7</t>
  </si>
  <si>
    <t>+7.5</t>
  </si>
  <si>
    <t>+8</t>
  </si>
  <si>
    <t>+8.5</t>
  </si>
  <si>
    <t>+9</t>
  </si>
  <si>
    <t>+9.5</t>
  </si>
  <si>
    <t>+10</t>
  </si>
  <si>
    <t>+10.5</t>
  </si>
  <si>
    <t>+11</t>
  </si>
  <si>
    <t>+11.5</t>
  </si>
  <si>
    <t>+12</t>
  </si>
  <si>
    <t>1.74</t>
  </si>
  <si>
    <t>Copa America 2021 Fixtures</t>
  </si>
  <si>
    <t>Nacional Mané Garrincha, Brasília</t>
  </si>
  <si>
    <t>Arena Pantanal, Cuiabá</t>
  </si>
  <si>
    <t>Olímpico Nilton Santos, Rio de Janeiro</t>
  </si>
  <si>
    <t>Olímpico Pedro Ludovico, Goiânia</t>
  </si>
  <si>
    <t>Maracanã, Rio de Janeiro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</si>
</sst>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09]d\-mmm;@"/>
    <numFmt numFmtId="165" formatCode="hh:mm;@"/>
    <numFmt numFmtId="166" formatCode="m/d/yy\ h:mm;@"/>
    <numFmt numFmtId="167" formatCode="m/d/yy\ hh:mm;@"/>
    <numFmt numFmtId="168" formatCode="\+#,##0_);\(&quot;$&quot;#,##0\)"/>
  </numFmts>
  <fonts count="29" x14ac:knownFonts="1">
    <font>
      <sz val="10"/>
      <name val="Arial"/>
      <family val="2"/>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sz val="11"/>
      <color indexed="10"/>
      <name val="Calibri"/>
      <family val="2"/>
      <scheme val="minor"/>
    </font>
    <font>
      <sz val="11"/>
      <color indexed="9"/>
      <name val="Calibri"/>
      <family val="2"/>
      <scheme val="minor"/>
    </font>
    <font>
      <b/>
      <sz val="28"/>
      <name val="Calibri"/>
      <family val="2"/>
      <scheme val="minor"/>
    </font>
    <font>
      <sz val="11"/>
      <name val="Wingdings 3"/>
      <family val="1"/>
      <charset val="2"/>
    </font>
    <font>
      <sz val="11"/>
      <color theme="0"/>
      <name val="Wingdings 3"/>
      <family val="1"/>
      <charset val="2"/>
    </font>
    <font>
      <b/>
      <sz val="11"/>
      <name val="Calibri"/>
      <family val="2"/>
      <scheme val="minor"/>
    </font>
    <font>
      <b/>
      <sz val="10"/>
      <color theme="0"/>
      <name val="Calibri"/>
      <family val="2"/>
      <scheme val="minor"/>
    </font>
    <font>
      <b/>
      <sz val="12"/>
      <color theme="0"/>
      <name val="Calibri"/>
      <family val="2"/>
      <scheme val="minor"/>
    </font>
    <font>
      <sz val="10"/>
      <name val="Calibri"/>
      <family val="2"/>
      <scheme val="minor"/>
    </font>
    <font>
      <b/>
      <sz val="11"/>
      <color rgb="FF0000FF"/>
      <name val="Calibri"/>
      <family val="2"/>
      <scheme val="minor"/>
    </font>
    <font>
      <b/>
      <sz val="16"/>
      <color theme="0"/>
      <name val="Calibri"/>
      <family val="2"/>
      <scheme val="minor"/>
    </font>
    <font>
      <b/>
      <sz val="20"/>
      <name val="Calibri"/>
      <family val="2"/>
      <scheme val="minor"/>
    </font>
    <font>
      <sz val="11"/>
      <name val="Wingdings"/>
      <charset val="2"/>
    </font>
    <font>
      <i/>
      <sz val="11"/>
      <color theme="1" tint="0.499984740745262"/>
      <name val="Calibri"/>
      <family val="2"/>
      <scheme val="minor"/>
    </font>
    <font>
      <i/>
      <sz val="11"/>
      <color rgb="FF0000FF"/>
      <name val="Calibri"/>
      <family val="2"/>
      <scheme val="minor"/>
    </font>
    <font>
      <sz val="10"/>
      <color theme="1"/>
      <name val="Calibri"/>
      <family val="2"/>
      <scheme val="minor"/>
    </font>
    <font>
      <u/>
      <sz val="11"/>
      <color theme="0"/>
      <name val="Calibri"/>
      <family val="2"/>
      <scheme val="minor"/>
    </font>
    <font>
      <u/>
      <sz val="10"/>
      <color indexed="12"/>
      <name val="Arial"/>
      <family val="2"/>
    </font>
    <font>
      <u/>
      <sz val="11"/>
      <color theme="0" tint="-4.9989318521683403E-2"/>
      <name val="Calibri"/>
      <family val="2"/>
      <scheme val="minor"/>
    </font>
    <font>
      <sz val="11"/>
      <color theme="0" tint="-4.9989318521683403E-2"/>
      <name val="Calibri"/>
      <family val="2"/>
      <scheme val="minor"/>
    </font>
    <font>
      <sz val="12"/>
      <name val="Calibri"/>
      <family val="2"/>
      <scheme val="minor"/>
    </font>
    <font>
      <u/>
      <sz val="12"/>
      <color indexed="12"/>
      <name val="Calibri"/>
      <family val="2"/>
      <scheme val="minor"/>
    </font>
    <font>
      <sz val="11"/>
      <color theme="1" tint="0.499984740745262"/>
      <name val="Calibri"/>
      <family val="2"/>
      <scheme val="minor"/>
    </font>
    <font>
      <sz val="10"/>
      <color theme="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medium">
        <color theme="0"/>
      </right>
      <top style="thin">
        <color theme="8" tint="-0.499984740745262"/>
      </top>
      <bottom style="medium">
        <color theme="0"/>
      </bottom>
      <diagonal/>
    </border>
    <border>
      <left style="medium">
        <color theme="0"/>
      </left>
      <right/>
      <top style="thin">
        <color theme="8" tint="-0.499984740745262"/>
      </top>
      <bottom style="medium">
        <color theme="0"/>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thin">
        <color theme="8" tint="-0.499984740745262"/>
      </right>
      <top/>
      <bottom/>
      <diagonal/>
    </border>
    <border>
      <left/>
      <right style="medium">
        <color theme="0"/>
      </right>
      <top style="medium">
        <color theme="0"/>
      </top>
      <bottom style="thin">
        <color theme="8" tint="-0.499984740745262"/>
      </bottom>
      <diagonal/>
    </border>
    <border>
      <left style="medium">
        <color theme="0"/>
      </left>
      <right/>
      <top style="medium">
        <color theme="0"/>
      </top>
      <bottom style="thin">
        <color theme="8" tint="-0.499984740745262"/>
      </bottom>
      <diagonal/>
    </border>
    <border>
      <left/>
      <right style="medium">
        <color theme="0"/>
      </right>
      <top style="thin">
        <color theme="8" tint="-0.499984740745262"/>
      </top>
      <bottom/>
      <diagonal/>
    </border>
    <border>
      <left style="medium">
        <color theme="0"/>
      </left>
      <right/>
      <top style="thin">
        <color theme="8" tint="-0.499984740745262"/>
      </top>
      <bottom/>
      <diagonal/>
    </border>
    <border>
      <left/>
      <right style="medium">
        <color theme="0"/>
      </right>
      <top/>
      <bottom/>
      <diagonal/>
    </border>
    <border>
      <left style="medium">
        <color theme="0"/>
      </left>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medium">
        <color theme="0"/>
      </right>
      <top/>
      <bottom style="thin">
        <color theme="8" tint="-0.499984740745262"/>
      </bottom>
      <diagonal/>
    </border>
    <border>
      <left style="medium">
        <color theme="0"/>
      </left>
      <right/>
      <top/>
      <bottom style="thin">
        <color theme="8" tint="-0.499984740745262"/>
      </bottom>
      <diagonal/>
    </border>
    <border>
      <left/>
      <right style="thin">
        <color theme="8" tint="-0.499984740745262"/>
      </right>
      <top/>
      <bottom style="thin">
        <color theme="8" tint="-0.499984740745262"/>
      </bottom>
      <diagonal/>
    </border>
    <border>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theme="8" tint="-0.499984740745262"/>
      </top>
      <bottom style="thin">
        <color theme="8" tint="-0.499984740745262"/>
      </bottom>
      <diagonal/>
    </border>
    <border>
      <left style="medium">
        <color theme="0"/>
      </left>
      <right/>
      <top style="thin">
        <color theme="8" tint="-0.499984740745262"/>
      </top>
      <bottom style="thin">
        <color theme="8" tint="-0.499984740745262"/>
      </bottom>
      <diagonal/>
    </border>
    <border>
      <left style="double">
        <color theme="8" tint="-0.499984740745262"/>
      </left>
      <right/>
      <top style="double">
        <color theme="8" tint="-0.499984740745262"/>
      </top>
      <bottom/>
      <diagonal/>
    </border>
    <border>
      <left/>
      <right/>
      <top style="double">
        <color theme="8" tint="-0.499984740745262"/>
      </top>
      <bottom/>
      <diagonal/>
    </border>
    <border>
      <left/>
      <right style="double">
        <color theme="8" tint="-0.499984740745262"/>
      </right>
      <top style="double">
        <color theme="8" tint="-0.499984740745262"/>
      </top>
      <bottom/>
      <diagonal/>
    </border>
    <border>
      <left style="double">
        <color theme="8" tint="-0.499984740745262"/>
      </left>
      <right/>
      <top/>
      <bottom/>
      <diagonal/>
    </border>
    <border>
      <left/>
      <right style="double">
        <color theme="8" tint="-0.499984740745262"/>
      </right>
      <top/>
      <bottom/>
      <diagonal/>
    </border>
    <border>
      <left style="double">
        <color theme="8" tint="-0.499984740745262"/>
      </left>
      <right/>
      <top/>
      <bottom style="double">
        <color theme="8" tint="-0.499984740745262"/>
      </bottom>
      <diagonal/>
    </border>
    <border>
      <left/>
      <right/>
      <top/>
      <bottom style="double">
        <color theme="8" tint="-0.499984740745262"/>
      </bottom>
      <diagonal/>
    </border>
    <border>
      <left/>
      <right style="double">
        <color theme="8" tint="-0.499984740745262"/>
      </right>
      <top/>
      <bottom style="double">
        <color theme="8" tint="-0.499984740745262"/>
      </bottom>
      <diagonal/>
    </border>
  </borders>
  <cellStyleXfs count="2">
    <xf numFmtId="0" fontId="0" fillId="0" borderId="0"/>
    <xf numFmtId="0" fontId="22" fillId="0" borderId="0" applyNumberFormat="0" applyFill="0" applyBorder="0" applyAlignment="0" applyProtection="0">
      <alignment vertical="top"/>
      <protection locked="0"/>
    </xf>
  </cellStyleXfs>
  <cellXfs count="219">
    <xf numFmtId="0" fontId="0" fillId="0" borderId="0" xfId="0"/>
    <xf numFmtId="0" fontId="4" fillId="0" borderId="0" xfId="0" applyFont="1" applyBorder="1" applyProtection="1">
      <protection hidden="1"/>
    </xf>
    <xf numFmtId="0" fontId="4" fillId="0" borderId="0" xfId="0" applyFont="1" applyBorder="1" applyAlignment="1" applyProtection="1">
      <alignment wrapText="1"/>
      <protection hidden="1"/>
    </xf>
    <xf numFmtId="0" fontId="4" fillId="0" borderId="0" xfId="0" applyFont="1" applyBorder="1" applyAlignment="1" applyProtection="1">
      <protection hidden="1"/>
    </xf>
    <xf numFmtId="0" fontId="5" fillId="0" borderId="0" xfId="0" applyFont="1" applyBorder="1" applyProtection="1">
      <protection hidden="1"/>
    </xf>
    <xf numFmtId="0" fontId="6" fillId="0" borderId="0" xfId="0" applyFont="1" applyBorder="1" applyProtection="1">
      <protection hidden="1"/>
    </xf>
    <xf numFmtId="0" fontId="6" fillId="0" borderId="0" xfId="0" applyFont="1" applyFill="1" applyBorder="1" applyProtection="1">
      <protection hidden="1"/>
    </xf>
    <xf numFmtId="0" fontId="3" fillId="0" borderId="0" xfId="0" applyFont="1" applyBorder="1" applyAlignment="1" applyProtection="1">
      <alignment horizontal="left" indent="1"/>
      <protection hidden="1"/>
    </xf>
    <xf numFmtId="0" fontId="3" fillId="0" borderId="0" xfId="0" applyFont="1" applyBorder="1" applyAlignment="1" applyProtection="1">
      <alignment horizontal="center"/>
      <protection locked="0"/>
    </xf>
    <xf numFmtId="0" fontId="2" fillId="0" borderId="0" xfId="0" applyFont="1" applyBorder="1" applyProtection="1">
      <protection hidden="1"/>
    </xf>
    <xf numFmtId="0" fontId="4" fillId="0" borderId="0" xfId="0" applyFont="1" applyFill="1" applyBorder="1" applyAlignment="1" applyProtection="1">
      <alignment vertical="center"/>
      <protection hidden="1"/>
    </xf>
    <xf numFmtId="0" fontId="7" fillId="0" borderId="0" xfId="0" applyFont="1" applyFill="1" applyBorder="1" applyAlignment="1" applyProtection="1">
      <alignment vertical="center"/>
      <protection hidden="1"/>
    </xf>
    <xf numFmtId="0" fontId="4" fillId="0" borderId="0" xfId="0" applyFont="1" applyFill="1" applyBorder="1" applyProtection="1">
      <protection hidden="1"/>
    </xf>
    <xf numFmtId="0" fontId="4" fillId="0" borderId="0" xfId="0" applyFont="1" applyFill="1" applyBorder="1" applyAlignment="1" applyProtection="1">
      <alignment wrapText="1"/>
      <protection hidden="1"/>
    </xf>
    <xf numFmtId="0" fontId="4" fillId="0" borderId="0" xfId="0" applyFont="1" applyFill="1" applyBorder="1" applyAlignment="1" applyProtection="1">
      <protection hidden="1"/>
    </xf>
    <xf numFmtId="0" fontId="4" fillId="0" borderId="0" xfId="0" applyFont="1" applyFill="1" applyBorder="1" applyAlignment="1" applyProtection="1">
      <alignment horizontal="left" indent="1"/>
      <protection hidden="1"/>
    </xf>
    <xf numFmtId="0" fontId="4" fillId="0" borderId="0" xfId="0" applyFont="1" applyFill="1" applyBorder="1" applyAlignment="1" applyProtection="1">
      <alignment horizontal="center"/>
      <protection locked="0"/>
    </xf>
    <xf numFmtId="0" fontId="4" fillId="0" borderId="0" xfId="0" applyFont="1" applyBorder="1" applyAlignment="1" applyProtection="1">
      <alignment vertical="center"/>
      <protection hidden="1"/>
    </xf>
    <xf numFmtId="0" fontId="4" fillId="0" borderId="0" xfId="0" applyFont="1" applyBorder="1" applyAlignment="1" applyProtection="1">
      <alignment vertical="center" wrapText="1"/>
      <protection hidden="1"/>
    </xf>
    <xf numFmtId="0" fontId="5" fillId="0" borderId="0" xfId="0" applyFont="1" applyFill="1" applyBorder="1" applyProtection="1">
      <protection hidden="1"/>
    </xf>
    <xf numFmtId="0" fontId="5" fillId="0" borderId="0" xfId="0" applyFont="1" applyBorder="1" applyAlignment="1" applyProtection="1">
      <alignment vertical="center"/>
      <protection hidden="1"/>
    </xf>
    <xf numFmtId="0" fontId="3" fillId="0" borderId="0" xfId="0" applyFont="1" applyProtection="1">
      <protection hidden="1"/>
    </xf>
    <xf numFmtId="0" fontId="4" fillId="0" borderId="0" xfId="0" applyFont="1" applyAlignment="1">
      <alignment vertical="center"/>
    </xf>
    <xf numFmtId="0" fontId="4" fillId="0" borderId="1" xfId="0" applyFont="1" applyBorder="1" applyAlignment="1">
      <alignment vertical="center"/>
    </xf>
    <xf numFmtId="0" fontId="8" fillId="0" borderId="0" xfId="0" applyFont="1" applyAlignment="1">
      <alignment vertical="center"/>
    </xf>
    <xf numFmtId="0" fontId="4" fillId="2" borderId="2" xfId="0" applyFont="1" applyFill="1" applyBorder="1" applyProtection="1">
      <protection locked="0"/>
    </xf>
    <xf numFmtId="0" fontId="3" fillId="3" borderId="1" xfId="0" applyFont="1" applyFill="1" applyBorder="1" applyAlignment="1">
      <alignment horizontal="right" vertical="center"/>
    </xf>
    <xf numFmtId="0" fontId="4" fillId="0" borderId="0" xfId="0" applyFont="1" applyProtection="1">
      <protection hidden="1"/>
    </xf>
    <xf numFmtId="0" fontId="1" fillId="5" borderId="3" xfId="0" applyFont="1" applyFill="1" applyBorder="1" applyAlignment="1">
      <alignment vertical="center"/>
    </xf>
    <xf numFmtId="0" fontId="1" fillId="5" borderId="4" xfId="0" applyFont="1" applyFill="1" applyBorder="1" applyAlignment="1" applyProtection="1">
      <alignment vertical="center"/>
      <protection locked="0"/>
    </xf>
    <xf numFmtId="0" fontId="10" fillId="0" borderId="0" xfId="0" applyFont="1" applyAlignment="1">
      <alignment vertical="center"/>
    </xf>
    <xf numFmtId="0" fontId="4" fillId="0" borderId="5" xfId="0" applyFont="1" applyBorder="1" applyAlignment="1">
      <alignment vertical="center"/>
    </xf>
    <xf numFmtId="0" fontId="4" fillId="4" borderId="2" xfId="0" applyFont="1" applyFill="1" applyBorder="1" applyAlignment="1" applyProtection="1">
      <alignment vertical="center"/>
      <protection locked="0"/>
    </xf>
    <xf numFmtId="0" fontId="4" fillId="0" borderId="0" xfId="0" applyFont="1" applyAlignment="1">
      <alignment vertical="center" wrapText="1"/>
    </xf>
    <xf numFmtId="0" fontId="4" fillId="0" borderId="6" xfId="0" applyFont="1" applyBorder="1" applyAlignment="1">
      <alignment vertical="center"/>
    </xf>
    <xf numFmtId="0" fontId="4" fillId="4" borderId="1" xfId="0" applyFont="1" applyFill="1" applyBorder="1" applyAlignment="1" applyProtection="1">
      <alignment vertical="center"/>
      <protection locked="0"/>
    </xf>
    <xf numFmtId="0" fontId="4" fillId="6" borderId="0" xfId="0" applyFont="1" applyFill="1" applyAlignment="1">
      <alignment vertical="center"/>
    </xf>
    <xf numFmtId="0" fontId="4" fillId="6" borderId="0" xfId="0" applyFont="1" applyFill="1" applyAlignment="1">
      <alignment horizontal="center" vertical="center"/>
    </xf>
    <xf numFmtId="0" fontId="1" fillId="3" borderId="7" xfId="0" applyNumberFormat="1" applyFont="1" applyFill="1" applyBorder="1" applyAlignment="1" applyProtection="1">
      <alignment horizontal="left" vertical="center"/>
      <protection hidden="1"/>
    </xf>
    <xf numFmtId="0" fontId="3" fillId="3" borderId="8" xfId="0" applyNumberFormat="1" applyFont="1" applyFill="1" applyBorder="1" applyAlignment="1" applyProtection="1">
      <alignment vertical="center"/>
      <protection hidden="1"/>
    </xf>
    <xf numFmtId="0" fontId="1" fillId="3" borderId="8" xfId="0" applyNumberFormat="1" applyFont="1" applyFill="1" applyBorder="1" applyAlignment="1" applyProtection="1">
      <alignment horizontal="center" vertical="center"/>
      <protection hidden="1"/>
    </xf>
    <xf numFmtId="0" fontId="1" fillId="3" borderId="8" xfId="0" applyNumberFormat="1" applyFont="1" applyFill="1" applyBorder="1" applyAlignment="1" applyProtection="1">
      <alignment horizontal="center" vertical="center" wrapText="1"/>
      <protection hidden="1"/>
    </xf>
    <xf numFmtId="0" fontId="1" fillId="3" borderId="8" xfId="0" applyNumberFormat="1" applyFont="1" applyFill="1" applyBorder="1" applyAlignment="1" applyProtection="1">
      <alignment horizontal="right" vertical="center"/>
      <protection hidden="1"/>
    </xf>
    <xf numFmtId="0" fontId="1" fillId="3" borderId="8" xfId="0" applyNumberFormat="1" applyFont="1" applyFill="1" applyBorder="1" applyAlignment="1" applyProtection="1">
      <alignment horizontal="left" vertical="center"/>
      <protection hidden="1"/>
    </xf>
    <xf numFmtId="0" fontId="1" fillId="3" borderId="9" xfId="0" applyNumberFormat="1" applyFont="1" applyFill="1" applyBorder="1" applyAlignment="1" applyProtection="1">
      <alignment vertical="center"/>
      <protection hidden="1"/>
    </xf>
    <xf numFmtId="0" fontId="11" fillId="0"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12" fillId="3" borderId="0" xfId="0" applyFont="1" applyFill="1" applyBorder="1" applyAlignment="1" applyProtection="1">
      <alignment vertical="center"/>
      <protection hidden="1"/>
    </xf>
    <xf numFmtId="0" fontId="1" fillId="5" borderId="7" xfId="0" applyFont="1" applyFill="1" applyBorder="1" applyAlignment="1" applyProtection="1">
      <alignment horizontal="left" vertical="center"/>
      <protection hidden="1"/>
    </xf>
    <xf numFmtId="0" fontId="3" fillId="5" borderId="8" xfId="0" applyFont="1" applyFill="1" applyBorder="1" applyAlignment="1" applyProtection="1">
      <alignment vertical="center"/>
      <protection hidden="1"/>
    </xf>
    <xf numFmtId="0" fontId="1" fillId="5" borderId="8" xfId="0" applyFont="1" applyFill="1" applyBorder="1" applyAlignment="1" applyProtection="1">
      <alignment horizontal="center" vertical="center"/>
      <protection hidden="1"/>
    </xf>
    <xf numFmtId="0" fontId="1" fillId="5" borderId="8" xfId="0" applyFont="1" applyFill="1" applyBorder="1" applyAlignment="1" applyProtection="1">
      <alignment horizontal="center" vertical="center" wrapText="1"/>
      <protection hidden="1"/>
    </xf>
    <xf numFmtId="0" fontId="1" fillId="5" borderId="8" xfId="0" applyFont="1" applyFill="1" applyBorder="1" applyAlignment="1" applyProtection="1">
      <alignment horizontal="right" vertical="center"/>
      <protection hidden="1"/>
    </xf>
    <xf numFmtId="0" fontId="1" fillId="5" borderId="8" xfId="0" applyFont="1" applyFill="1" applyBorder="1" applyAlignment="1" applyProtection="1">
      <alignment horizontal="left" vertical="center"/>
      <protection hidden="1"/>
    </xf>
    <xf numFmtId="0" fontId="1" fillId="5" borderId="9" xfId="0" applyFont="1" applyFill="1" applyBorder="1" applyAlignment="1" applyProtection="1">
      <alignment vertical="center"/>
      <protection hidden="1"/>
    </xf>
    <xf numFmtId="0" fontId="13" fillId="0" borderId="0" xfId="0" applyFont="1" applyBorder="1" applyAlignment="1" applyProtection="1">
      <alignment vertical="center"/>
      <protection hidden="1"/>
    </xf>
    <xf numFmtId="0" fontId="1" fillId="5" borderId="0" xfId="0" applyFont="1" applyFill="1" applyBorder="1" applyAlignment="1" applyProtection="1">
      <alignment horizontal="center" vertical="center"/>
      <protection hidden="1"/>
    </xf>
    <xf numFmtId="0" fontId="1" fillId="5" borderId="0" xfId="0" quotePrefix="1" applyFont="1" applyFill="1" applyBorder="1" applyAlignment="1" applyProtection="1">
      <alignment horizontal="center" vertical="center"/>
      <protection hidden="1"/>
    </xf>
    <xf numFmtId="0" fontId="4" fillId="7" borderId="10" xfId="0" applyFont="1" applyFill="1" applyBorder="1" applyAlignment="1" applyProtection="1">
      <alignment horizontal="center" vertical="center"/>
      <protection hidden="1"/>
    </xf>
    <xf numFmtId="164" fontId="4" fillId="0" borderId="11" xfId="0" applyNumberFormat="1" applyFont="1" applyBorder="1" applyAlignment="1" applyProtection="1">
      <alignment horizontal="right" vertical="center" wrapText="1" shrinkToFit="1"/>
      <protection hidden="1"/>
    </xf>
    <xf numFmtId="165" fontId="4" fillId="0" borderId="11" xfId="0" applyNumberFormat="1" applyFont="1" applyBorder="1" applyAlignment="1" applyProtection="1">
      <alignment horizontal="center" vertical="center"/>
      <protection hidden="1"/>
    </xf>
    <xf numFmtId="0" fontId="4" fillId="0" borderId="11" xfId="0" applyFont="1" applyBorder="1" applyAlignment="1" applyProtection="1">
      <alignment horizontal="right" vertical="center"/>
      <protection hidden="1"/>
    </xf>
    <xf numFmtId="0" fontId="4" fillId="8" borderId="12" xfId="0" applyFont="1" applyFill="1" applyBorder="1" applyAlignment="1" applyProtection="1">
      <alignment horizontal="center" vertical="center"/>
      <protection locked="0"/>
    </xf>
    <xf numFmtId="0" fontId="4" fillId="8" borderId="13" xfId="0" applyFont="1" applyFill="1" applyBorder="1" applyAlignment="1" applyProtection="1">
      <alignment horizontal="center" vertical="center"/>
      <protection locked="0"/>
    </xf>
    <xf numFmtId="0" fontId="4" fillId="0" borderId="11" xfId="0" applyFont="1" applyBorder="1" applyAlignment="1" applyProtection="1">
      <alignment vertical="center"/>
      <protection hidden="1"/>
    </xf>
    <xf numFmtId="0" fontId="4" fillId="0" borderId="14" xfId="0" applyFont="1" applyBorder="1" applyAlignment="1" applyProtection="1">
      <alignment vertical="center"/>
      <protection locked="0"/>
    </xf>
    <xf numFmtId="0" fontId="4" fillId="7" borderId="15" xfId="0" applyFont="1" applyFill="1" applyBorder="1" applyAlignment="1" applyProtection="1">
      <alignment horizontal="center" vertical="center"/>
      <protection hidden="1"/>
    </xf>
    <xf numFmtId="16" fontId="4" fillId="4" borderId="0" xfId="0" applyNumberFormat="1" applyFont="1" applyFill="1" applyBorder="1" applyAlignment="1" applyProtection="1">
      <alignment horizontal="right" vertical="center" wrapText="1" shrinkToFit="1"/>
      <protection hidden="1"/>
    </xf>
    <xf numFmtId="165" fontId="4" fillId="4" borderId="0" xfId="0" applyNumberFormat="1" applyFont="1" applyFill="1" applyBorder="1" applyAlignment="1" applyProtection="1">
      <alignment horizontal="center" vertical="center"/>
      <protection hidden="1"/>
    </xf>
    <xf numFmtId="0" fontId="4" fillId="4" borderId="0" xfId="0" applyFont="1" applyFill="1" applyBorder="1" applyAlignment="1" applyProtection="1">
      <alignment horizontal="right" vertical="center"/>
      <protection hidden="1"/>
    </xf>
    <xf numFmtId="0" fontId="4" fillId="8" borderId="16" xfId="0" applyFont="1" applyFill="1" applyBorder="1" applyAlignment="1" applyProtection="1">
      <alignment horizontal="center" vertical="center"/>
      <protection locked="0"/>
    </xf>
    <xf numFmtId="0" fontId="4" fillId="8" borderId="17" xfId="0" applyFont="1" applyFill="1" applyBorder="1" applyAlignment="1" applyProtection="1">
      <alignment horizontal="center" vertical="center"/>
      <protection locked="0"/>
    </xf>
    <xf numFmtId="0" fontId="4" fillId="4" borderId="0" xfId="0" applyFont="1" applyFill="1" applyBorder="1" applyAlignment="1" applyProtection="1">
      <alignment vertical="center"/>
      <protection hidden="1"/>
    </xf>
    <xf numFmtId="0" fontId="4" fillId="4" borderId="18" xfId="0" applyFont="1" applyFill="1" applyBorder="1" applyAlignment="1" applyProtection="1">
      <alignment vertical="center"/>
      <protection locked="0"/>
    </xf>
    <xf numFmtId="16" fontId="4" fillId="0" borderId="0" xfId="0" applyNumberFormat="1" applyFont="1" applyBorder="1" applyAlignment="1" applyProtection="1">
      <alignment horizontal="right" vertical="center" wrapText="1" shrinkToFit="1"/>
      <protection hidden="1"/>
    </xf>
    <xf numFmtId="165" fontId="4" fillId="0" borderId="0" xfId="0" applyNumberFormat="1" applyFont="1" applyBorder="1" applyAlignment="1" applyProtection="1">
      <alignment horizontal="center" vertical="center"/>
      <protection hidden="1"/>
    </xf>
    <xf numFmtId="0" fontId="4" fillId="0" borderId="0" xfId="0" applyFont="1" applyBorder="1" applyAlignment="1" applyProtection="1">
      <alignment horizontal="right" vertical="center"/>
      <protection hidden="1"/>
    </xf>
    <xf numFmtId="0" fontId="4" fillId="0" borderId="18" xfId="0" applyFont="1" applyBorder="1" applyAlignment="1" applyProtection="1">
      <alignment vertical="center"/>
      <protection locked="0"/>
    </xf>
    <xf numFmtId="0" fontId="4" fillId="9" borderId="0" xfId="0" applyFont="1" applyFill="1" applyBorder="1" applyAlignment="1" applyProtection="1">
      <alignment horizontal="center" vertical="center"/>
      <protection hidden="1"/>
    </xf>
    <xf numFmtId="0" fontId="4" fillId="9" borderId="0" xfId="0" applyFont="1" applyFill="1" applyBorder="1" applyAlignment="1" applyProtection="1">
      <alignment horizontal="left" vertical="center"/>
      <protection locked="0" hidden="1"/>
    </xf>
    <xf numFmtId="0" fontId="4" fillId="0" borderId="0" xfId="0" applyFont="1" applyBorder="1" applyAlignment="1" applyProtection="1">
      <alignment horizontal="center" vertical="center"/>
      <protection hidden="1"/>
    </xf>
    <xf numFmtId="0" fontId="4" fillId="0" borderId="0" xfId="0" applyFont="1" applyBorder="1" applyAlignment="1" applyProtection="1">
      <alignment horizontal="left" vertical="center"/>
      <protection locked="0" hidden="1"/>
    </xf>
    <xf numFmtId="0" fontId="5" fillId="0" borderId="0" xfId="0" applyFont="1" applyFill="1" applyBorder="1" applyAlignment="1" applyProtection="1">
      <alignment vertical="center"/>
      <protection hidden="1"/>
    </xf>
    <xf numFmtId="0" fontId="13" fillId="0" borderId="0" xfId="0" applyFont="1" applyFill="1" applyBorder="1" applyAlignment="1" applyProtection="1">
      <alignment vertical="center"/>
      <protection hidden="1"/>
    </xf>
    <xf numFmtId="0" fontId="4" fillId="8" borderId="19" xfId="0" applyFont="1" applyFill="1" applyBorder="1" applyAlignment="1" applyProtection="1">
      <alignment horizontal="center" vertical="center"/>
      <protection locked="0"/>
    </xf>
    <xf numFmtId="0" fontId="4" fillId="8" borderId="20" xfId="0" applyFont="1" applyFill="1" applyBorder="1" applyAlignment="1" applyProtection="1">
      <alignment horizontal="center" vertical="center"/>
      <protection locked="0"/>
    </xf>
    <xf numFmtId="0" fontId="1" fillId="5" borderId="10" xfId="0" applyFont="1" applyFill="1" applyBorder="1" applyAlignment="1" applyProtection="1">
      <alignment horizontal="left" vertical="center"/>
      <protection hidden="1"/>
    </xf>
    <xf numFmtId="0" fontId="3" fillId="5" borderId="11" xfId="0" applyFont="1" applyFill="1" applyBorder="1" applyAlignment="1" applyProtection="1">
      <alignment vertical="center"/>
      <protection hidden="1"/>
    </xf>
    <xf numFmtId="0" fontId="1" fillId="5" borderId="11" xfId="0" applyFont="1" applyFill="1" applyBorder="1" applyAlignment="1" applyProtection="1">
      <alignment horizontal="center" vertical="center" wrapText="1"/>
      <protection hidden="1"/>
    </xf>
    <xf numFmtId="165" fontId="1" fillId="5" borderId="11" xfId="0" applyNumberFormat="1" applyFont="1" applyFill="1" applyBorder="1" applyAlignment="1" applyProtection="1">
      <alignment horizontal="center" vertical="center"/>
      <protection hidden="1"/>
    </xf>
    <xf numFmtId="0" fontId="1" fillId="5" borderId="11" xfId="0" applyFont="1" applyFill="1" applyBorder="1" applyAlignment="1" applyProtection="1">
      <alignment horizontal="right" vertical="center"/>
      <protection hidden="1"/>
    </xf>
    <xf numFmtId="0" fontId="1" fillId="5" borderId="0" xfId="0" applyFont="1" applyFill="1" applyBorder="1" applyAlignment="1" applyProtection="1">
      <alignment horizontal="center" vertical="center"/>
      <protection locked="0"/>
    </xf>
    <xf numFmtId="0" fontId="1" fillId="5" borderId="11" xfId="0" applyFont="1" applyFill="1" applyBorder="1" applyAlignment="1" applyProtection="1">
      <alignment horizontal="left" vertical="center"/>
      <protection hidden="1"/>
    </xf>
    <xf numFmtId="0" fontId="1" fillId="5" borderId="14" xfId="0" applyFont="1" applyFill="1" applyBorder="1" applyAlignment="1" applyProtection="1">
      <alignment vertical="center"/>
      <protection locked="0"/>
    </xf>
    <xf numFmtId="16" fontId="4" fillId="0" borderId="11" xfId="0" applyNumberFormat="1" applyFont="1" applyBorder="1" applyAlignment="1" applyProtection="1">
      <alignment horizontal="right" vertical="center" wrapText="1" shrinkToFit="1"/>
      <protection hidden="1"/>
    </xf>
    <xf numFmtId="0" fontId="4" fillId="0" borderId="11" xfId="0" applyFont="1" applyBorder="1" applyAlignment="1" applyProtection="1">
      <alignment horizontal="right"/>
      <protection hidden="1"/>
    </xf>
    <xf numFmtId="0" fontId="4" fillId="0" borderId="21" xfId="0" applyFont="1" applyFill="1" applyBorder="1" applyAlignment="1" applyProtection="1">
      <alignment horizontal="center" vertical="center"/>
      <protection locked="0"/>
    </xf>
    <xf numFmtId="0" fontId="4" fillId="0" borderId="22" xfId="0" applyFont="1" applyFill="1" applyBorder="1" applyAlignment="1" applyProtection="1">
      <alignment horizontal="center" vertical="center"/>
      <protection locked="0"/>
    </xf>
    <xf numFmtId="0" fontId="4" fillId="0" borderId="14" xfId="0" applyFont="1" applyBorder="1" applyProtection="1">
      <protection locked="0"/>
    </xf>
    <xf numFmtId="0" fontId="4" fillId="4" borderId="0" xfId="0" applyFont="1" applyFill="1" applyBorder="1" applyAlignment="1" applyProtection="1">
      <alignment horizontal="right"/>
      <protection hidden="1"/>
    </xf>
    <xf numFmtId="0" fontId="4" fillId="4" borderId="23" xfId="0" applyFont="1" applyFill="1" applyBorder="1" applyAlignment="1" applyProtection="1">
      <alignment horizontal="center" vertical="center"/>
      <protection locked="0"/>
    </xf>
    <xf numFmtId="0" fontId="4" fillId="4" borderId="24" xfId="0" applyFont="1" applyFill="1" applyBorder="1" applyAlignment="1" applyProtection="1">
      <alignment horizontal="center" vertical="center"/>
      <protection locked="0"/>
    </xf>
    <xf numFmtId="0" fontId="4" fillId="4" borderId="18" xfId="0" applyFont="1" applyFill="1" applyBorder="1" applyProtection="1">
      <protection locked="0"/>
    </xf>
    <xf numFmtId="0" fontId="4" fillId="0" borderId="0" xfId="0" applyFont="1" applyBorder="1" applyAlignment="1" applyProtection="1">
      <alignment horizontal="right"/>
      <protection hidden="1"/>
    </xf>
    <xf numFmtId="0" fontId="4" fillId="0" borderId="23" xfId="0" applyFont="1" applyFill="1" applyBorder="1" applyAlignment="1" applyProtection="1">
      <alignment horizontal="center" vertical="center"/>
      <protection locked="0"/>
    </xf>
    <xf numFmtId="0" fontId="4" fillId="0" borderId="24" xfId="0" applyFont="1" applyFill="1" applyBorder="1" applyAlignment="1" applyProtection="1">
      <alignment horizontal="center" vertical="center"/>
      <protection locked="0"/>
    </xf>
    <xf numFmtId="0" fontId="4" fillId="0" borderId="18" xfId="0" applyFont="1" applyBorder="1" applyProtection="1">
      <protection locked="0"/>
    </xf>
    <xf numFmtId="0" fontId="4" fillId="7" borderId="25" xfId="0" applyFont="1" applyFill="1" applyBorder="1" applyAlignment="1" applyProtection="1">
      <alignment horizontal="center" vertical="center"/>
      <protection hidden="1"/>
    </xf>
    <xf numFmtId="16" fontId="4" fillId="4" borderId="26" xfId="0" applyNumberFormat="1" applyFont="1" applyFill="1" applyBorder="1" applyAlignment="1" applyProtection="1">
      <alignment horizontal="right" vertical="center" wrapText="1" shrinkToFit="1"/>
      <protection hidden="1"/>
    </xf>
    <xf numFmtId="165" fontId="4" fillId="4" borderId="26" xfId="0" applyNumberFormat="1" applyFont="1" applyFill="1" applyBorder="1" applyAlignment="1" applyProtection="1">
      <alignment horizontal="center" vertical="center"/>
      <protection hidden="1"/>
    </xf>
    <xf numFmtId="0" fontId="4" fillId="4" borderId="26" xfId="0" applyFont="1" applyFill="1" applyBorder="1" applyAlignment="1" applyProtection="1">
      <alignment horizontal="right" vertical="center"/>
      <protection hidden="1"/>
    </xf>
    <xf numFmtId="0" fontId="4" fillId="4" borderId="26" xfId="0" applyFont="1" applyFill="1" applyBorder="1" applyAlignment="1" applyProtection="1">
      <alignment horizontal="right"/>
      <protection hidden="1"/>
    </xf>
    <xf numFmtId="0" fontId="4" fillId="4" borderId="26" xfId="0" applyFont="1" applyFill="1" applyBorder="1" applyAlignment="1" applyProtection="1">
      <alignment vertical="center"/>
      <protection hidden="1"/>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9" xfId="0" applyFont="1" applyFill="1" applyBorder="1" applyProtection="1">
      <protection locked="0"/>
    </xf>
    <xf numFmtId="0" fontId="4" fillId="0" borderId="30" xfId="0" applyFont="1" applyFill="1" applyBorder="1" applyAlignment="1" applyProtection="1">
      <alignment horizontal="center" vertical="center"/>
      <protection locked="0"/>
    </xf>
    <xf numFmtId="0" fontId="4" fillId="0" borderId="31" xfId="0" applyFont="1" applyFill="1" applyBorder="1" applyAlignment="1" applyProtection="1">
      <alignment horizontal="center" vertical="center"/>
      <protection locked="0"/>
    </xf>
    <xf numFmtId="0" fontId="4" fillId="8" borderId="32" xfId="0" applyFont="1" applyFill="1" applyBorder="1" applyAlignment="1" applyProtection="1">
      <alignment horizontal="center" vertical="center"/>
      <protection locked="0"/>
    </xf>
    <xf numFmtId="0" fontId="4" fillId="8" borderId="33" xfId="0" applyFont="1" applyFill="1" applyBorder="1" applyAlignment="1" applyProtection="1">
      <alignment horizontal="center" vertical="center"/>
      <protection locked="0"/>
    </xf>
    <xf numFmtId="0" fontId="4" fillId="4" borderId="32" xfId="0" applyFont="1" applyFill="1" applyBorder="1" applyAlignment="1" applyProtection="1">
      <alignment horizontal="center" vertical="center"/>
      <protection locked="0"/>
    </xf>
    <xf numFmtId="0" fontId="4" fillId="4" borderId="33" xfId="0" applyFont="1" applyFill="1" applyBorder="1" applyAlignment="1" applyProtection="1">
      <alignment horizontal="center" vertical="center"/>
      <protection locked="0"/>
    </xf>
    <xf numFmtId="0" fontId="4" fillId="7" borderId="7" xfId="0" applyFont="1" applyFill="1" applyBorder="1" applyAlignment="1" applyProtection="1">
      <alignment horizontal="center" vertical="center"/>
      <protection hidden="1"/>
    </xf>
    <xf numFmtId="16" fontId="4" fillId="4" borderId="8" xfId="0" applyNumberFormat="1" applyFont="1" applyFill="1" applyBorder="1" applyAlignment="1" applyProtection="1">
      <alignment horizontal="right" vertical="center" wrapText="1" shrinkToFit="1"/>
      <protection hidden="1"/>
    </xf>
    <xf numFmtId="165" fontId="4" fillId="0" borderId="8" xfId="0" applyNumberFormat="1" applyFont="1" applyFill="1" applyBorder="1" applyAlignment="1" applyProtection="1">
      <alignment horizontal="center" vertical="center"/>
      <protection hidden="1"/>
    </xf>
    <xf numFmtId="0" fontId="4" fillId="0" borderId="8" xfId="0" applyFont="1" applyFill="1" applyBorder="1" applyAlignment="1" applyProtection="1">
      <alignment horizontal="right" vertical="center"/>
      <protection hidden="1"/>
    </xf>
    <xf numFmtId="0" fontId="4" fillId="0" borderId="8" xfId="0" applyFont="1" applyFill="1" applyBorder="1" applyAlignment="1" applyProtection="1">
      <alignment horizontal="right"/>
      <protection hidden="1"/>
    </xf>
    <xf numFmtId="0" fontId="4" fillId="8" borderId="34" xfId="0" applyFont="1" applyFill="1" applyBorder="1" applyAlignment="1" applyProtection="1">
      <alignment horizontal="center" vertical="center"/>
      <protection locked="0"/>
    </xf>
    <xf numFmtId="0" fontId="4" fillId="8" borderId="35" xfId="0" applyFont="1" applyFill="1" applyBorder="1" applyAlignment="1" applyProtection="1">
      <alignment horizontal="center" vertical="center"/>
      <protection locked="0"/>
    </xf>
    <xf numFmtId="0" fontId="4" fillId="0" borderId="8" xfId="0" applyFont="1" applyFill="1" applyBorder="1" applyAlignment="1" applyProtection="1">
      <alignment vertical="center"/>
      <protection hidden="1"/>
    </xf>
    <xf numFmtId="0" fontId="4" fillId="0" borderId="34" xfId="0" applyFont="1" applyFill="1" applyBorder="1" applyAlignment="1" applyProtection="1">
      <alignment horizontal="center" vertical="center"/>
      <protection locked="0"/>
    </xf>
    <xf numFmtId="0" fontId="4" fillId="0" borderId="35" xfId="0" applyFont="1" applyFill="1" applyBorder="1" applyAlignment="1" applyProtection="1">
      <alignment horizontal="center" vertical="center"/>
      <protection locked="0"/>
    </xf>
    <xf numFmtId="0" fontId="4" fillId="4" borderId="9" xfId="0" applyFont="1" applyFill="1" applyBorder="1" applyProtection="1">
      <protection locked="0"/>
    </xf>
    <xf numFmtId="16" fontId="4" fillId="0" borderId="8" xfId="0" applyNumberFormat="1" applyFont="1" applyBorder="1" applyAlignment="1" applyProtection="1">
      <alignment horizontal="right" vertical="center" wrapText="1" shrinkToFit="1"/>
      <protection hidden="1"/>
    </xf>
    <xf numFmtId="165"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right" vertical="center"/>
      <protection hidden="1"/>
    </xf>
    <xf numFmtId="0" fontId="4" fillId="0" borderId="8" xfId="0" applyFont="1" applyBorder="1" applyAlignment="1" applyProtection="1">
      <alignment horizontal="right"/>
      <protection hidden="1"/>
    </xf>
    <xf numFmtId="0" fontId="4" fillId="0" borderId="8" xfId="0" applyFont="1" applyBorder="1" applyAlignment="1" applyProtection="1">
      <alignment vertical="center"/>
      <protection hidden="1"/>
    </xf>
    <xf numFmtId="0" fontId="4" fillId="0" borderId="9" xfId="0" applyFont="1" applyBorder="1" applyProtection="1">
      <protection locked="0"/>
    </xf>
    <xf numFmtId="0" fontId="13" fillId="0" borderId="0" xfId="0" applyFont="1" applyBorder="1" applyProtection="1">
      <protection hidden="1"/>
    </xf>
    <xf numFmtId="0" fontId="10" fillId="0" borderId="0" xfId="0" applyFont="1" applyBorder="1" applyProtection="1">
      <protection hidden="1"/>
    </xf>
    <xf numFmtId="0" fontId="17" fillId="0" borderId="0" xfId="0" applyFont="1" applyBorder="1" applyAlignment="1" applyProtection="1">
      <alignment horizontal="center"/>
      <protection hidden="1"/>
    </xf>
    <xf numFmtId="0" fontId="18" fillId="0" borderId="0" xfId="0" applyFont="1" applyBorder="1" applyProtection="1">
      <protection hidden="1"/>
    </xf>
    <xf numFmtId="0" fontId="14" fillId="0" borderId="0" xfId="0" applyFont="1" applyBorder="1" applyProtection="1">
      <protection hidden="1"/>
    </xf>
    <xf numFmtId="0" fontId="19" fillId="0" borderId="0" xfId="0" applyFont="1" applyBorder="1" applyProtection="1">
      <protection hidden="1"/>
    </xf>
    <xf numFmtId="0" fontId="20" fillId="0" borderId="1" xfId="0" applyFont="1" applyBorder="1" applyAlignment="1" applyProtection="1">
      <protection hidden="1"/>
    </xf>
    <xf numFmtId="0" fontId="20" fillId="0" borderId="0" xfId="0" applyFont="1" applyBorder="1" applyAlignment="1" applyProtection="1">
      <protection hidden="1"/>
    </xf>
    <xf numFmtId="0" fontId="20" fillId="0" borderId="1" xfId="0" applyFont="1" applyBorder="1" applyAlignment="1"/>
    <xf numFmtId="0" fontId="20" fillId="0" borderId="1" xfId="0" applyFont="1" applyBorder="1"/>
    <xf numFmtId="0" fontId="20" fillId="0" borderId="1" xfId="0" applyFont="1" applyBorder="1" applyAlignment="1" applyProtection="1">
      <alignment horizontal="left" vertical="center"/>
    </xf>
    <xf numFmtId="0" fontId="13" fillId="0" borderId="0" xfId="0" applyFont="1"/>
    <xf numFmtId="0" fontId="13" fillId="0" borderId="0" xfId="0" applyFont="1" applyBorder="1"/>
    <xf numFmtId="0" fontId="4" fillId="5" borderId="0" xfId="0" applyFont="1" applyFill="1" applyAlignment="1">
      <alignment vertical="center"/>
    </xf>
    <xf numFmtId="0" fontId="3" fillId="5" borderId="0" xfId="0" applyFont="1" applyFill="1" applyBorder="1"/>
    <xf numFmtId="0" fontId="13" fillId="0" borderId="36" xfId="0" applyFont="1" applyBorder="1"/>
    <xf numFmtId="0" fontId="13" fillId="0" borderId="37" xfId="0" applyFont="1" applyBorder="1"/>
    <xf numFmtId="0" fontId="13" fillId="0" borderId="38" xfId="0" applyFont="1" applyBorder="1"/>
    <xf numFmtId="0" fontId="1" fillId="5" borderId="0" xfId="0" applyFont="1" applyFill="1" applyBorder="1" applyAlignment="1">
      <alignment vertical="center"/>
    </xf>
    <xf numFmtId="0" fontId="13" fillId="0" borderId="39" xfId="0" applyFont="1" applyBorder="1"/>
    <xf numFmtId="0" fontId="13" fillId="0" borderId="40" xfId="0" applyFont="1" applyBorder="1"/>
    <xf numFmtId="0" fontId="3" fillId="5" borderId="0" xfId="0" applyFont="1" applyFill="1" applyBorder="1" applyAlignment="1"/>
    <xf numFmtId="0" fontId="3" fillId="5" borderId="0" xfId="0" quotePrefix="1" applyFont="1" applyFill="1" applyBorder="1" applyAlignment="1">
      <alignment horizontal="left"/>
    </xf>
    <xf numFmtId="0" fontId="21" fillId="5" borderId="0" xfId="0" applyFont="1" applyFill="1" applyBorder="1" applyAlignment="1"/>
    <xf numFmtId="0" fontId="23" fillId="5" borderId="0" xfId="1" applyFont="1" applyFill="1" applyBorder="1" applyAlignment="1" applyProtection="1"/>
    <xf numFmtId="0" fontId="21" fillId="5" borderId="0" xfId="1" applyFont="1" applyFill="1" applyBorder="1" applyAlignment="1" applyProtection="1"/>
    <xf numFmtId="0" fontId="24" fillId="5" borderId="0" xfId="0" applyFont="1" applyFill="1" applyBorder="1" applyAlignment="1">
      <alignment horizontal="left"/>
    </xf>
    <xf numFmtId="0" fontId="24" fillId="5" borderId="0" xfId="0" applyFont="1" applyFill="1" applyBorder="1"/>
    <xf numFmtId="0" fontId="13" fillId="2" borderId="39" xfId="0" applyFont="1" applyFill="1" applyBorder="1"/>
    <xf numFmtId="0" fontId="13" fillId="2" borderId="40" xfId="0" applyFont="1" applyFill="1" applyBorder="1"/>
    <xf numFmtId="0" fontId="13" fillId="2" borderId="41" xfId="0" applyFont="1" applyFill="1" applyBorder="1"/>
    <xf numFmtId="0" fontId="13" fillId="2" borderId="43" xfId="0" applyFont="1" applyFill="1" applyBorder="1"/>
    <xf numFmtId="0" fontId="25" fillId="0" borderId="0" xfId="0" applyFont="1"/>
    <xf numFmtId="0" fontId="4" fillId="2" borderId="0" xfId="0" applyFont="1" applyFill="1" applyBorder="1" applyAlignment="1" applyProtection="1">
      <alignment horizontal="center" vertical="center"/>
      <protection hidden="1"/>
    </xf>
    <xf numFmtId="0" fontId="14" fillId="2" borderId="0" xfId="0" applyFont="1" applyFill="1" applyBorder="1" applyAlignment="1" applyProtection="1">
      <alignment horizontal="left" vertical="center"/>
      <protection locked="0" hidden="1"/>
    </xf>
    <xf numFmtId="0" fontId="14" fillId="2" borderId="0" xfId="0" applyFont="1" applyFill="1" applyBorder="1" applyAlignment="1" applyProtection="1">
      <alignment horizontal="center" vertical="center"/>
      <protection hidden="1"/>
    </xf>
    <xf numFmtId="0" fontId="14" fillId="2" borderId="0" xfId="0" quotePrefix="1" applyFont="1" applyFill="1" applyBorder="1" applyAlignment="1" applyProtection="1">
      <alignment horizontal="center" vertical="center"/>
      <protection hidden="1"/>
    </xf>
    <xf numFmtId="0" fontId="10" fillId="2" borderId="0" xfId="0" applyFont="1" applyFill="1" applyBorder="1" applyAlignment="1" applyProtection="1">
      <alignment horizontal="left" vertical="center"/>
      <protection locked="0" hidden="1"/>
    </xf>
    <xf numFmtId="0" fontId="10" fillId="2" borderId="0" xfId="0" applyFont="1" applyFill="1" applyBorder="1" applyAlignment="1" applyProtection="1">
      <alignment horizontal="center" vertical="center"/>
      <protection hidden="1"/>
    </xf>
    <xf numFmtId="0" fontId="4" fillId="2" borderId="0" xfId="0" applyFont="1" applyFill="1" applyBorder="1" applyAlignment="1" applyProtection="1">
      <alignment horizontal="left" vertical="center"/>
      <protection locked="0" hidden="1"/>
    </xf>
    <xf numFmtId="0" fontId="14" fillId="9" borderId="0" xfId="0" applyFont="1" applyFill="1" applyBorder="1" applyAlignment="1" applyProtection="1">
      <alignment horizontal="left" vertical="center"/>
      <protection locked="0" hidden="1"/>
    </xf>
    <xf numFmtId="0" fontId="14" fillId="9" borderId="0" xfId="0" applyFont="1" applyFill="1" applyBorder="1" applyAlignment="1" applyProtection="1">
      <alignment horizontal="center" vertical="center"/>
      <protection hidden="1"/>
    </xf>
    <xf numFmtId="0" fontId="14" fillId="9" borderId="0" xfId="0" quotePrefix="1" applyFont="1" applyFill="1" applyBorder="1" applyAlignment="1" applyProtection="1">
      <alignment horizontal="center" vertical="center"/>
      <protection hidden="1"/>
    </xf>
    <xf numFmtId="0" fontId="10" fillId="9" borderId="0" xfId="0" applyFont="1" applyFill="1" applyBorder="1" applyAlignment="1" applyProtection="1">
      <alignment horizontal="left" vertical="center"/>
      <protection locked="0" hidden="1"/>
    </xf>
    <xf numFmtId="0" fontId="10" fillId="9" borderId="0" xfId="0" applyFont="1" applyFill="1" applyBorder="1" applyAlignment="1" applyProtection="1">
      <alignment horizontal="center" vertical="center"/>
      <protection hidden="1"/>
    </xf>
    <xf numFmtId="0" fontId="27" fillId="0" borderId="0" xfId="0" applyFont="1" applyBorder="1" applyAlignment="1" applyProtection="1">
      <alignment horizontal="center" vertical="center"/>
      <protection hidden="1"/>
    </xf>
    <xf numFmtId="0" fontId="27" fillId="0" borderId="0" xfId="0" applyFont="1" applyBorder="1" applyAlignment="1" applyProtection="1">
      <alignment horizontal="left" vertical="center"/>
      <protection locked="0" hidden="1"/>
    </xf>
    <xf numFmtId="0" fontId="3" fillId="3" borderId="8" xfId="0" applyFont="1" applyFill="1" applyBorder="1" applyAlignment="1" applyProtection="1">
      <alignment horizontal="center" vertical="center" wrapText="1"/>
      <protection hidden="1"/>
    </xf>
    <xf numFmtId="0" fontId="4" fillId="4" borderId="0" xfId="0" applyFont="1" applyFill="1" applyBorder="1" applyAlignment="1" applyProtection="1">
      <alignment horizontal="center" vertical="center"/>
      <protection hidden="1"/>
    </xf>
    <xf numFmtId="0" fontId="4" fillId="0" borderId="0" xfId="0" applyFont="1" applyBorder="1" applyAlignment="1" applyProtection="1">
      <alignment horizontal="center" vertical="center"/>
      <protection hidden="1"/>
    </xf>
    <xf numFmtId="0" fontId="4" fillId="0" borderId="11" xfId="0" applyFont="1" applyBorder="1" applyAlignment="1" applyProtection="1">
      <alignment horizontal="center" vertical="center"/>
      <protection hidden="1"/>
    </xf>
    <xf numFmtId="0" fontId="4" fillId="0" borderId="1" xfId="0" applyFont="1" applyBorder="1" applyAlignment="1" applyProtection="1">
      <alignment horizontal="center" vertical="center"/>
      <protection locked="0"/>
    </xf>
    <xf numFmtId="0" fontId="3" fillId="0" borderId="0" xfId="0" applyFont="1" applyFill="1" applyBorder="1" applyProtection="1">
      <protection hidden="1"/>
    </xf>
    <xf numFmtId="0" fontId="28" fillId="0" borderId="0" xfId="0" applyFont="1"/>
    <xf numFmtId="0" fontId="28" fillId="0" borderId="0" xfId="0" applyFont="1" applyBorder="1"/>
    <xf numFmtId="0" fontId="11" fillId="0" borderId="0" xfId="0" applyFont="1" applyFill="1" applyBorder="1" applyAlignment="1">
      <alignment horizontal="center"/>
    </xf>
    <xf numFmtId="0" fontId="11" fillId="0" borderId="0" xfId="0" applyFont="1" applyBorder="1" applyAlignment="1">
      <alignment vertical="center" textRotation="255"/>
    </xf>
    <xf numFmtId="0" fontId="28" fillId="0" borderId="0" xfId="0" applyFont="1" applyBorder="1" applyAlignment="1">
      <alignment horizontal="center" vertical="center" textRotation="255"/>
    </xf>
    <xf numFmtId="0" fontId="28" fillId="0" borderId="0" xfId="0" applyFont="1" applyBorder="1" applyAlignment="1">
      <alignment horizontal="left" vertical="center" indent="1"/>
    </xf>
    <xf numFmtId="0" fontId="28" fillId="0" borderId="0" xfId="0" applyFont="1" applyBorder="1" applyAlignment="1" applyProtection="1">
      <alignment horizontal="left" vertical="center" indent="1"/>
      <protection hidden="1"/>
    </xf>
    <xf numFmtId="166" fontId="3" fillId="0" borderId="0" xfId="0" applyNumberFormat="1" applyFont="1" applyFill="1" applyBorder="1" applyProtection="1">
      <protection hidden="1"/>
    </xf>
    <xf numFmtId="167" fontId="3" fillId="0" borderId="0" xfId="0" applyNumberFormat="1" applyFont="1" applyFill="1" applyBorder="1" applyProtection="1">
      <protection hidden="1"/>
    </xf>
    <xf numFmtId="0" fontId="3" fillId="0" borderId="0" xfId="0" applyFont="1" applyFill="1" applyBorder="1"/>
    <xf numFmtId="15" fontId="3" fillId="0" borderId="0" xfId="0" applyNumberFormat="1" applyFont="1" applyFill="1" applyBorder="1" applyProtection="1">
      <protection hidden="1"/>
    </xf>
    <xf numFmtId="168" fontId="3" fillId="0" borderId="0" xfId="0" applyNumberFormat="1" applyFont="1" applyFill="1" applyBorder="1" applyAlignment="1" applyProtection="1">
      <alignment horizontal="right"/>
      <protection hidden="1"/>
    </xf>
    <xf numFmtId="0" fontId="3" fillId="3" borderId="11" xfId="0" applyFont="1" applyFill="1" applyBorder="1" applyAlignment="1" applyProtection="1">
      <alignment horizontal="center" vertical="center" wrapText="1"/>
      <protection hidden="1"/>
    </xf>
    <xf numFmtId="0" fontId="3" fillId="3" borderId="0" xfId="0" applyFont="1" applyFill="1" applyBorder="1" applyAlignment="1" applyProtection="1">
      <alignment horizontal="center" vertical="center" wrapText="1"/>
      <protection hidden="1"/>
    </xf>
    <xf numFmtId="0" fontId="3" fillId="3" borderId="26" xfId="0" applyFont="1" applyFill="1" applyBorder="1" applyAlignment="1" applyProtection="1">
      <alignment horizontal="center" vertical="center" wrapText="1"/>
      <protection hidden="1"/>
    </xf>
    <xf numFmtId="0" fontId="15" fillId="5" borderId="0" xfId="0" applyFont="1" applyFill="1" applyBorder="1" applyAlignment="1" applyProtection="1">
      <alignment horizontal="center" vertical="center"/>
      <protection hidden="1"/>
    </xf>
    <xf numFmtId="0" fontId="16" fillId="7" borderId="0" xfId="0" applyFont="1" applyFill="1" applyBorder="1" applyAlignment="1" applyProtection="1">
      <alignment horizontal="center" vertical="center"/>
      <protection hidden="1"/>
    </xf>
    <xf numFmtId="0" fontId="1" fillId="3" borderId="11" xfId="0" applyFont="1" applyFill="1" applyBorder="1" applyAlignment="1" applyProtection="1">
      <alignment horizontal="center" vertical="center"/>
      <protection hidden="1"/>
    </xf>
    <xf numFmtId="0" fontId="1" fillId="3" borderId="8" xfId="0" applyNumberFormat="1" applyFont="1" applyFill="1" applyBorder="1" applyAlignment="1" applyProtection="1">
      <alignment horizontal="center" vertical="center"/>
      <protection hidden="1"/>
    </xf>
    <xf numFmtId="0" fontId="1" fillId="5" borderId="0" xfId="0" applyFont="1" applyFill="1" applyBorder="1" applyAlignment="1" applyProtection="1">
      <alignment horizontal="left" vertical="center"/>
      <protection hidden="1"/>
    </xf>
    <xf numFmtId="0" fontId="12" fillId="5" borderId="39"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40" xfId="0" applyFont="1" applyFill="1" applyBorder="1" applyAlignment="1">
      <alignment horizontal="center" vertical="center"/>
    </xf>
    <xf numFmtId="0" fontId="16" fillId="2" borderId="0" xfId="0" applyFont="1" applyFill="1" applyBorder="1" applyAlignment="1">
      <alignment horizontal="center" vertical="center"/>
    </xf>
    <xf numFmtId="0" fontId="16" fillId="2" borderId="42" xfId="0" applyFont="1" applyFill="1" applyBorder="1" applyAlignment="1">
      <alignment horizontal="center" vertical="center"/>
    </xf>
    <xf numFmtId="0" fontId="25" fillId="0" borderId="0" xfId="0" applyFont="1" applyAlignment="1">
      <alignment horizontal="left" vertical="top" wrapText="1"/>
    </xf>
    <xf numFmtId="0" fontId="26" fillId="0" borderId="0" xfId="1" applyFont="1" applyAlignment="1" applyProtection="1">
      <alignment horizontal="left"/>
    </xf>
  </cellXfs>
  <cellStyles count="2">
    <cellStyle name="Hyperlink" xfId="1" builtinId="8"/>
    <cellStyle name="Normal" xfId="0" builtinId="0"/>
  </cellStyles>
  <dxfs count="17">
    <dxf>
      <font>
        <b/>
        <i val="0"/>
      </font>
    </dxf>
    <dxf>
      <font>
        <b val="0"/>
        <i/>
        <color theme="1" tint="0.499984740745262"/>
      </font>
    </dxf>
    <dxf>
      <font>
        <b val="0"/>
        <i/>
        <color rgb="FF0000FF"/>
      </font>
    </dxf>
    <dxf>
      <font>
        <b/>
        <i val="0"/>
        <color rgb="FF0000FF"/>
      </font>
    </dxf>
    <dxf>
      <font>
        <b/>
        <i val="0"/>
      </font>
    </dxf>
    <dxf>
      <font>
        <b val="0"/>
        <i/>
        <color theme="1" tint="0.499984740745262"/>
      </font>
    </dxf>
    <dxf>
      <font>
        <b val="0"/>
        <i/>
        <color rgb="FF0000FF"/>
      </font>
    </dxf>
    <dxf>
      <font>
        <b/>
        <i val="0"/>
        <color rgb="FF0000FF"/>
      </font>
    </dxf>
    <dxf>
      <font>
        <b/>
        <i val="0"/>
      </font>
    </dxf>
    <dxf>
      <font>
        <b val="0"/>
        <i/>
        <color theme="1" tint="0.499984740745262"/>
      </font>
    </dxf>
    <dxf>
      <font>
        <b/>
        <i val="0"/>
      </font>
    </dxf>
    <dxf>
      <font>
        <b val="0"/>
        <i/>
        <color theme="1" tint="0.499984740745262"/>
      </font>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10.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image" Target="../media/image7.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https://www.fatfreecartpro.com/ecom/gb.php?&amp;c=single&amp;cl=353533&amp;i=1704462" TargetMode="External"/><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13</xdr:col>
      <xdr:colOff>1676400</xdr:colOff>
      <xdr:row>2</xdr:row>
      <xdr:rowOff>50800</xdr:rowOff>
    </xdr:from>
    <xdr:to>
      <xdr:col>26</xdr:col>
      <xdr:colOff>0</xdr:colOff>
      <xdr:row>2</xdr:row>
      <xdr:rowOff>361950</xdr:rowOff>
    </xdr:to>
    <xdr:sp macro="" textlink="">
      <xdr:nvSpPr>
        <xdr:cNvPr id="2" name="Rounded Rectangle 1"/>
        <xdr:cNvSpPr/>
      </xdr:nvSpPr>
      <xdr:spPr>
        <a:xfrm>
          <a:off x="7480300" y="177800"/>
          <a:ext cx="3327400" cy="311150"/>
        </a:xfrm>
        <a:prstGeom prst="roundRect">
          <a:avLst>
            <a:gd name="adj" fmla="val 49320"/>
          </a:avLst>
        </a:prstGeom>
        <a:solidFill>
          <a:schemeClr val="tx2">
            <a:lumMod val="7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rgbClr val="FFFF00"/>
              </a:solidFill>
            </a:rPr>
            <a:t>PLAY</a:t>
          </a:r>
          <a:r>
            <a:rPr lang="en-US" sz="1200" baseline="0">
              <a:solidFill>
                <a:srgbClr val="FFFF00"/>
              </a:solidFill>
            </a:rPr>
            <a:t> COPA PREDICTOR GAME </a:t>
          </a:r>
          <a:r>
            <a:rPr lang="en-US" sz="1200" baseline="0">
              <a:solidFill>
                <a:srgbClr val="FFFF00"/>
              </a:solidFill>
              <a:sym typeface="Wingdings 3"/>
            </a:rPr>
            <a:t></a:t>
          </a:r>
          <a:r>
            <a:rPr lang="en-US" sz="1200" baseline="0">
              <a:solidFill>
                <a:srgbClr val="FFFF00"/>
              </a:solidFill>
            </a:rPr>
            <a:t> GET IT HERE</a:t>
          </a:r>
          <a:endParaRPr lang="en-US" sz="1200">
            <a:solidFill>
              <a:srgbClr val="FFFF00"/>
            </a:solidFill>
          </a:endParaRPr>
        </a:p>
      </xdr:txBody>
    </xdr:sp>
    <xdr:clientData/>
  </xdr:twoCellAnchor>
  <mc:AlternateContent xmlns:mc="http://schemas.openxmlformats.org/markup-compatibility/2006">
    <mc:Choice xmlns:a14="http://schemas.microsoft.com/office/drawing/2010/main" Requires="a14">
      <xdr:twoCellAnchor>
        <xdr:from>
          <xdr:col>6</xdr:col>
          <xdr:colOff>25400</xdr:colOff>
          <xdr:row>27</xdr:row>
          <xdr:rowOff>0</xdr:rowOff>
        </xdr:from>
        <xdr:to>
          <xdr:col>7</xdr:col>
          <xdr:colOff>25400</xdr:colOff>
          <xdr:row>35</xdr:row>
          <xdr:rowOff>6350</xdr:rowOff>
        </xdr:to>
        <xdr:grpSp>
          <xdr:nvGrpSpPr>
            <xdr:cNvPr id="4" name="Group 3"/>
            <xdr:cNvGrpSpPr/>
          </xdr:nvGrpSpPr>
          <xdr:grpSpPr>
            <a:xfrm>
              <a:off x="3263900" y="4806950"/>
              <a:ext cx="222250" cy="1479550"/>
              <a:chOff x="3194050" y="4806950"/>
              <a:chExt cx="222250" cy="1479550"/>
            </a:xfrm>
          </xdr:grpSpPr>
          <xdr:pic>
            <xdr:nvPicPr>
              <xdr:cNvPr id="5" name="Picture 4"/>
              <xdr:cNvPicPr>
                <a:picLocks noChangeAspect="1" noChangeArrowheads="1"/>
                <a:extLst>
                  <a:ext uri="{84589F7E-364E-4C9E-8A38-B11213B215E9}">
                    <a14:cameraTool cellRange="Flag37" spid="_x0000_s1521"/>
                  </a:ext>
                </a:extLst>
              </xdr:cNvPicPr>
            </xdr:nvPicPr>
            <xdr:blipFill>
              <a:blip xmlns:r="http://schemas.openxmlformats.org/officeDocument/2006/relationships" r:embed="rId1"/>
              <a:srcRect/>
              <a:stretch>
                <a:fillRect/>
              </a:stretch>
            </xdr:blipFill>
            <xdr:spPr bwMode="auto">
              <a:xfrm>
                <a:off x="3194050" y="4806950"/>
                <a:ext cx="222250" cy="184150"/>
              </a:xfrm>
              <a:prstGeom prst="rect">
                <a:avLst/>
              </a:prstGeom>
              <a:noFill/>
              <a:extLst>
                <a:ext uri="{909E8E84-426E-40DD-AFC4-6F175D3DCCD1}">
                  <a14:hiddenFill>
                    <a:solidFill>
                      <a:srgbClr val="FFFFFF"/>
                    </a:solidFill>
                  </a14:hiddenFill>
                </a:ext>
              </a:extLst>
            </xdr:spPr>
          </xdr:pic>
          <xdr:pic>
            <xdr:nvPicPr>
              <xdr:cNvPr id="6" name="Picture 5"/>
              <xdr:cNvPicPr>
                <a:picLocks noChangeAspect="1" noChangeArrowheads="1"/>
                <a:extLst>
                  <a:ext uri="{84589F7E-364E-4C9E-8A38-B11213B215E9}">
                    <a14:cameraTool cellRange="Flag38" spid="_x0000_s1522"/>
                  </a:ext>
                </a:extLst>
              </xdr:cNvPicPr>
            </xdr:nvPicPr>
            <xdr:blipFill>
              <a:blip xmlns:r="http://schemas.openxmlformats.org/officeDocument/2006/relationships" r:embed="rId1"/>
              <a:srcRect/>
              <a:stretch>
                <a:fillRect/>
              </a:stretch>
            </xdr:blipFill>
            <xdr:spPr bwMode="auto">
              <a:xfrm>
                <a:off x="3194050" y="4992007"/>
                <a:ext cx="222250" cy="184150"/>
              </a:xfrm>
              <a:prstGeom prst="rect">
                <a:avLst/>
              </a:prstGeom>
              <a:noFill/>
              <a:extLst>
                <a:ext uri="{909E8E84-426E-40DD-AFC4-6F175D3DCCD1}">
                  <a14:hiddenFill>
                    <a:solidFill>
                      <a:srgbClr val="FFFFFF"/>
                    </a:solidFill>
                  </a14:hiddenFill>
                </a:ext>
              </a:extLst>
            </xdr:spPr>
          </xdr:pic>
          <xdr:pic>
            <xdr:nvPicPr>
              <xdr:cNvPr id="7" name="Picture 6"/>
              <xdr:cNvPicPr>
                <a:picLocks noChangeAspect="1" noChangeArrowheads="1"/>
                <a:extLst>
                  <a:ext uri="{84589F7E-364E-4C9E-8A38-B11213B215E9}">
                    <a14:cameraTool cellRange="Flag39" spid="_x0000_s1523"/>
                  </a:ext>
                </a:extLst>
              </xdr:cNvPicPr>
            </xdr:nvPicPr>
            <xdr:blipFill>
              <a:blip xmlns:r="http://schemas.openxmlformats.org/officeDocument/2006/relationships" r:embed="rId1"/>
              <a:srcRect/>
              <a:stretch>
                <a:fillRect/>
              </a:stretch>
            </xdr:blipFill>
            <xdr:spPr bwMode="auto">
              <a:xfrm>
                <a:off x="3194050" y="5177064"/>
                <a:ext cx="222250" cy="184150"/>
              </a:xfrm>
              <a:prstGeom prst="rect">
                <a:avLst/>
              </a:prstGeom>
              <a:noFill/>
              <a:extLst>
                <a:ext uri="{909E8E84-426E-40DD-AFC4-6F175D3DCCD1}">
                  <a14:hiddenFill>
                    <a:solidFill>
                      <a:srgbClr val="FFFFFF"/>
                    </a:solidFill>
                  </a14:hiddenFill>
                </a:ext>
              </a:extLst>
            </xdr:spPr>
          </xdr:pic>
          <xdr:pic>
            <xdr:nvPicPr>
              <xdr:cNvPr id="8" name="Picture 7"/>
              <xdr:cNvPicPr>
                <a:picLocks noChangeAspect="1" noChangeArrowheads="1"/>
                <a:extLst>
                  <a:ext uri="{84589F7E-364E-4C9E-8A38-B11213B215E9}">
                    <a14:cameraTool cellRange="Flag40" spid="_x0000_s1524"/>
                  </a:ext>
                </a:extLst>
              </xdr:cNvPicPr>
            </xdr:nvPicPr>
            <xdr:blipFill>
              <a:blip xmlns:r="http://schemas.openxmlformats.org/officeDocument/2006/relationships" r:embed="rId1"/>
              <a:srcRect/>
              <a:stretch>
                <a:fillRect/>
              </a:stretch>
            </xdr:blipFill>
            <xdr:spPr bwMode="auto">
              <a:xfrm>
                <a:off x="3194050" y="5362121"/>
                <a:ext cx="222250" cy="184150"/>
              </a:xfrm>
              <a:prstGeom prst="rect">
                <a:avLst/>
              </a:prstGeom>
              <a:noFill/>
              <a:extLst>
                <a:ext uri="{909E8E84-426E-40DD-AFC4-6F175D3DCCD1}">
                  <a14:hiddenFill>
                    <a:solidFill>
                      <a:srgbClr val="FFFFFF"/>
                    </a:solidFill>
                  </a14:hiddenFill>
                </a:ext>
              </a:extLst>
            </xdr:spPr>
          </xdr:pic>
          <xdr:pic>
            <xdr:nvPicPr>
              <xdr:cNvPr id="9" name="Picture 8"/>
              <xdr:cNvPicPr>
                <a:picLocks noChangeAspect="1" noChangeArrowheads="1"/>
                <a:extLst>
                  <a:ext uri="{84589F7E-364E-4C9E-8A38-B11213B215E9}">
                    <a14:cameraTool cellRange="Flag45" spid="_x0000_s1525"/>
                  </a:ext>
                </a:extLst>
              </xdr:cNvPicPr>
            </xdr:nvPicPr>
            <xdr:blipFill>
              <a:blip xmlns:r="http://schemas.openxmlformats.org/officeDocument/2006/relationships" r:embed="rId1"/>
              <a:srcRect/>
              <a:stretch>
                <a:fillRect/>
              </a:stretch>
            </xdr:blipFill>
            <xdr:spPr bwMode="auto">
              <a:xfrm>
                <a:off x="3194050" y="5547178"/>
                <a:ext cx="222250" cy="184150"/>
              </a:xfrm>
              <a:prstGeom prst="rect">
                <a:avLst/>
              </a:prstGeom>
              <a:noFill/>
              <a:extLst>
                <a:ext uri="{909E8E84-426E-40DD-AFC4-6F175D3DCCD1}">
                  <a14:hiddenFill>
                    <a:solidFill>
                      <a:srgbClr val="FFFFFF"/>
                    </a:solidFill>
                  </a14:hiddenFill>
                </a:ext>
              </a:extLst>
            </xdr:spPr>
          </xdr:pic>
          <xdr:pic>
            <xdr:nvPicPr>
              <xdr:cNvPr id="10" name="Picture 9"/>
              <xdr:cNvPicPr>
                <a:picLocks noChangeAspect="1" noChangeArrowheads="1"/>
                <a:extLst>
                  <a:ext uri="{84589F7E-364E-4C9E-8A38-B11213B215E9}">
                    <a14:cameraTool cellRange="Flag46" spid="_x0000_s1526"/>
                  </a:ext>
                </a:extLst>
              </xdr:cNvPicPr>
            </xdr:nvPicPr>
            <xdr:blipFill>
              <a:blip xmlns:r="http://schemas.openxmlformats.org/officeDocument/2006/relationships" r:embed="rId1"/>
              <a:srcRect/>
              <a:stretch>
                <a:fillRect/>
              </a:stretch>
            </xdr:blipFill>
            <xdr:spPr bwMode="auto">
              <a:xfrm>
                <a:off x="3194050" y="5732235"/>
                <a:ext cx="222250" cy="184150"/>
              </a:xfrm>
              <a:prstGeom prst="rect">
                <a:avLst/>
              </a:prstGeom>
              <a:noFill/>
              <a:extLst>
                <a:ext uri="{909E8E84-426E-40DD-AFC4-6F175D3DCCD1}">
                  <a14:hiddenFill>
                    <a:solidFill>
                      <a:srgbClr val="FFFFFF"/>
                    </a:solidFill>
                  </a14:hiddenFill>
                </a:ext>
              </a:extLst>
            </xdr:spPr>
          </xdr:pic>
          <xdr:pic>
            <xdr:nvPicPr>
              <xdr:cNvPr id="11" name="Picture 10"/>
              <xdr:cNvPicPr>
                <a:picLocks noChangeAspect="1" noChangeArrowheads="1"/>
                <a:extLst>
                  <a:ext uri="{84589F7E-364E-4C9E-8A38-B11213B215E9}">
                    <a14:cameraTool cellRange="Flag49" spid="_x0000_s1527"/>
                  </a:ext>
                </a:extLst>
              </xdr:cNvPicPr>
            </xdr:nvPicPr>
            <xdr:blipFill>
              <a:blip xmlns:r="http://schemas.openxmlformats.org/officeDocument/2006/relationships" r:embed="rId1"/>
              <a:srcRect/>
              <a:stretch>
                <a:fillRect/>
              </a:stretch>
            </xdr:blipFill>
            <xdr:spPr bwMode="auto">
              <a:xfrm>
                <a:off x="3194050" y="6102350"/>
                <a:ext cx="222250" cy="184150"/>
              </a:xfrm>
              <a:prstGeom prst="rect">
                <a:avLst/>
              </a:prstGeom>
              <a:noFill/>
              <a:extLst>
                <a:ext uri="{909E8E84-426E-40DD-AFC4-6F175D3DCCD1}">
                  <a14:hiddenFill>
                    <a:solidFill>
                      <a:srgbClr val="FFFFFF"/>
                    </a:solidFill>
                  </a14:hiddenFill>
                </a:ext>
              </a:extLst>
            </xdr:spPr>
          </xdr:pic>
          <xdr:pic>
            <xdr:nvPicPr>
              <xdr:cNvPr id="12" name="Picture 11"/>
              <xdr:cNvPicPr>
                <a:picLocks noChangeAspect="1" noChangeArrowheads="1"/>
                <a:extLst>
                  <a:ext uri="{84589F7E-364E-4C9E-8A38-B11213B215E9}">
                    <a14:cameraTool cellRange="Flag48" spid="_x0000_s1528"/>
                  </a:ext>
                </a:extLst>
              </xdr:cNvPicPr>
            </xdr:nvPicPr>
            <xdr:blipFill>
              <a:blip xmlns:r="http://schemas.openxmlformats.org/officeDocument/2006/relationships" r:embed="rId1"/>
              <a:srcRect/>
              <a:stretch>
                <a:fillRect/>
              </a:stretch>
            </xdr:blipFill>
            <xdr:spPr bwMode="auto">
              <a:xfrm>
                <a:off x="3194050" y="5917292"/>
                <a:ext cx="222250" cy="184150"/>
              </a:xfrm>
              <a:prstGeom prst="rect">
                <a:avLst/>
              </a:prstGeom>
              <a:noFill/>
              <a:extLst>
                <a:ext uri="{909E8E84-426E-40DD-AFC4-6F175D3DCCD1}">
                  <a14:hiddenFill>
                    <a:solidFill>
                      <a:srgbClr val="FFFFFF"/>
                    </a:solidFill>
                  </a14:hiddenFill>
                </a:ext>
              </a:extLst>
            </xdr:spPr>
          </xdr:pic>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27</xdr:row>
          <xdr:rowOff>0</xdr:rowOff>
        </xdr:from>
        <xdr:to>
          <xdr:col>10</xdr:col>
          <xdr:colOff>6350</xdr:colOff>
          <xdr:row>35</xdr:row>
          <xdr:rowOff>6350</xdr:rowOff>
        </xdr:to>
        <xdr:grpSp>
          <xdr:nvGrpSpPr>
            <xdr:cNvPr id="13" name="Group 12"/>
            <xdr:cNvGrpSpPr/>
          </xdr:nvGrpSpPr>
          <xdr:grpSpPr>
            <a:xfrm>
              <a:off x="3911600" y="4806950"/>
              <a:ext cx="222250" cy="1479550"/>
              <a:chOff x="3867150" y="4806950"/>
              <a:chExt cx="222250" cy="1479550"/>
            </a:xfrm>
          </xdr:grpSpPr>
          <xdr:pic>
            <xdr:nvPicPr>
              <xdr:cNvPr id="14" name="Picture 13"/>
              <xdr:cNvPicPr>
                <a:picLocks noChangeAspect="1" noChangeArrowheads="1"/>
                <a:extLst>
                  <a:ext uri="{84589F7E-364E-4C9E-8A38-B11213B215E9}">
                    <a14:cameraTool cellRange="Flag37b" spid="_x0000_s1529"/>
                  </a:ext>
                </a:extLst>
              </xdr:cNvPicPr>
            </xdr:nvPicPr>
            <xdr:blipFill>
              <a:blip xmlns:r="http://schemas.openxmlformats.org/officeDocument/2006/relationships" r:embed="rId1"/>
              <a:srcRect/>
              <a:stretch>
                <a:fillRect/>
              </a:stretch>
            </xdr:blipFill>
            <xdr:spPr bwMode="auto">
              <a:xfrm>
                <a:off x="3867150" y="4806950"/>
                <a:ext cx="222250" cy="184150"/>
              </a:xfrm>
              <a:prstGeom prst="rect">
                <a:avLst/>
              </a:prstGeom>
              <a:noFill/>
              <a:extLst>
                <a:ext uri="{909E8E84-426E-40DD-AFC4-6F175D3DCCD1}">
                  <a14:hiddenFill>
                    <a:solidFill>
                      <a:srgbClr val="FFFFFF"/>
                    </a:solidFill>
                  </a14:hiddenFill>
                </a:ext>
              </a:extLst>
            </xdr:spPr>
          </xdr:pic>
          <xdr:pic>
            <xdr:nvPicPr>
              <xdr:cNvPr id="15" name="Picture 14"/>
              <xdr:cNvPicPr>
                <a:picLocks noChangeAspect="1" noChangeArrowheads="1"/>
                <a:extLst>
                  <a:ext uri="{84589F7E-364E-4C9E-8A38-B11213B215E9}">
                    <a14:cameraTool cellRange="Flag38b" spid="_x0000_s1530"/>
                  </a:ext>
                </a:extLst>
              </xdr:cNvPicPr>
            </xdr:nvPicPr>
            <xdr:blipFill>
              <a:blip xmlns:r="http://schemas.openxmlformats.org/officeDocument/2006/relationships" r:embed="rId1"/>
              <a:srcRect/>
              <a:stretch>
                <a:fillRect/>
              </a:stretch>
            </xdr:blipFill>
            <xdr:spPr bwMode="auto">
              <a:xfrm>
                <a:off x="3867150" y="4992007"/>
                <a:ext cx="222250" cy="184150"/>
              </a:xfrm>
              <a:prstGeom prst="rect">
                <a:avLst/>
              </a:prstGeom>
              <a:noFill/>
              <a:extLst>
                <a:ext uri="{909E8E84-426E-40DD-AFC4-6F175D3DCCD1}">
                  <a14:hiddenFill>
                    <a:solidFill>
                      <a:srgbClr val="FFFFFF"/>
                    </a:solidFill>
                  </a14:hiddenFill>
                </a:ext>
              </a:extLst>
            </xdr:spPr>
          </xdr:pic>
          <xdr:pic>
            <xdr:nvPicPr>
              <xdr:cNvPr id="16" name="Picture 15"/>
              <xdr:cNvPicPr>
                <a:picLocks noChangeAspect="1" noChangeArrowheads="1"/>
                <a:extLst>
                  <a:ext uri="{84589F7E-364E-4C9E-8A38-B11213B215E9}">
                    <a14:cameraTool cellRange="Flag39b" spid="_x0000_s1531"/>
                  </a:ext>
                </a:extLst>
              </xdr:cNvPicPr>
            </xdr:nvPicPr>
            <xdr:blipFill>
              <a:blip xmlns:r="http://schemas.openxmlformats.org/officeDocument/2006/relationships" r:embed="rId1"/>
              <a:srcRect/>
              <a:stretch>
                <a:fillRect/>
              </a:stretch>
            </xdr:blipFill>
            <xdr:spPr bwMode="auto">
              <a:xfrm>
                <a:off x="3867150" y="5177064"/>
                <a:ext cx="222250" cy="184150"/>
              </a:xfrm>
              <a:prstGeom prst="rect">
                <a:avLst/>
              </a:prstGeom>
              <a:noFill/>
              <a:extLst>
                <a:ext uri="{909E8E84-426E-40DD-AFC4-6F175D3DCCD1}">
                  <a14:hiddenFill>
                    <a:solidFill>
                      <a:srgbClr val="FFFFFF"/>
                    </a:solidFill>
                  </a14:hiddenFill>
                </a:ext>
              </a:extLst>
            </xdr:spPr>
          </xdr:pic>
          <xdr:pic>
            <xdr:nvPicPr>
              <xdr:cNvPr id="17" name="Picture 16"/>
              <xdr:cNvPicPr>
                <a:picLocks noChangeAspect="1" noChangeArrowheads="1"/>
                <a:extLst>
                  <a:ext uri="{84589F7E-364E-4C9E-8A38-B11213B215E9}">
                    <a14:cameraTool cellRange="Flag40b" spid="_x0000_s1532"/>
                  </a:ext>
                </a:extLst>
              </xdr:cNvPicPr>
            </xdr:nvPicPr>
            <xdr:blipFill>
              <a:blip xmlns:r="http://schemas.openxmlformats.org/officeDocument/2006/relationships" r:embed="rId1"/>
              <a:srcRect/>
              <a:stretch>
                <a:fillRect/>
              </a:stretch>
            </xdr:blipFill>
            <xdr:spPr bwMode="auto">
              <a:xfrm>
                <a:off x="3867150" y="5362121"/>
                <a:ext cx="222250" cy="184150"/>
              </a:xfrm>
              <a:prstGeom prst="rect">
                <a:avLst/>
              </a:prstGeom>
              <a:noFill/>
              <a:extLst>
                <a:ext uri="{909E8E84-426E-40DD-AFC4-6F175D3DCCD1}">
                  <a14:hiddenFill>
                    <a:solidFill>
                      <a:srgbClr val="FFFFFF"/>
                    </a:solidFill>
                  </a14:hiddenFill>
                </a:ext>
              </a:extLst>
            </xdr:spPr>
          </xdr:pic>
          <xdr:pic>
            <xdr:nvPicPr>
              <xdr:cNvPr id="18" name="Picture 17"/>
              <xdr:cNvPicPr>
                <a:picLocks noChangeAspect="1" noChangeArrowheads="1"/>
                <a:extLst>
                  <a:ext uri="{84589F7E-364E-4C9E-8A38-B11213B215E9}">
                    <a14:cameraTool cellRange="Flag45b" spid="_x0000_s1533"/>
                  </a:ext>
                </a:extLst>
              </xdr:cNvPicPr>
            </xdr:nvPicPr>
            <xdr:blipFill>
              <a:blip xmlns:r="http://schemas.openxmlformats.org/officeDocument/2006/relationships" r:embed="rId1"/>
              <a:srcRect/>
              <a:stretch>
                <a:fillRect/>
              </a:stretch>
            </xdr:blipFill>
            <xdr:spPr bwMode="auto">
              <a:xfrm>
                <a:off x="3867150" y="5547178"/>
                <a:ext cx="222250" cy="184150"/>
              </a:xfrm>
              <a:prstGeom prst="rect">
                <a:avLst/>
              </a:prstGeom>
              <a:noFill/>
              <a:extLst>
                <a:ext uri="{909E8E84-426E-40DD-AFC4-6F175D3DCCD1}">
                  <a14:hiddenFill>
                    <a:solidFill>
                      <a:srgbClr val="FFFFFF"/>
                    </a:solidFill>
                  </a14:hiddenFill>
                </a:ext>
              </a:extLst>
            </xdr:spPr>
          </xdr:pic>
          <xdr:pic>
            <xdr:nvPicPr>
              <xdr:cNvPr id="19" name="Picture 18"/>
              <xdr:cNvPicPr>
                <a:picLocks noChangeAspect="1" noChangeArrowheads="1"/>
                <a:extLst>
                  <a:ext uri="{84589F7E-364E-4C9E-8A38-B11213B215E9}">
                    <a14:cameraTool cellRange="Flag46b" spid="_x0000_s1534"/>
                  </a:ext>
                </a:extLst>
              </xdr:cNvPicPr>
            </xdr:nvPicPr>
            <xdr:blipFill>
              <a:blip xmlns:r="http://schemas.openxmlformats.org/officeDocument/2006/relationships" r:embed="rId1"/>
              <a:srcRect/>
              <a:stretch>
                <a:fillRect/>
              </a:stretch>
            </xdr:blipFill>
            <xdr:spPr bwMode="auto">
              <a:xfrm>
                <a:off x="3867150" y="5732235"/>
                <a:ext cx="222250" cy="184150"/>
              </a:xfrm>
              <a:prstGeom prst="rect">
                <a:avLst/>
              </a:prstGeom>
              <a:noFill/>
              <a:extLst>
                <a:ext uri="{909E8E84-426E-40DD-AFC4-6F175D3DCCD1}">
                  <a14:hiddenFill>
                    <a:solidFill>
                      <a:srgbClr val="FFFFFF"/>
                    </a:solidFill>
                  </a14:hiddenFill>
                </a:ext>
              </a:extLst>
            </xdr:spPr>
          </xdr:pic>
          <xdr:pic>
            <xdr:nvPicPr>
              <xdr:cNvPr id="20" name="Picture 19"/>
              <xdr:cNvPicPr>
                <a:picLocks noChangeAspect="1" noChangeArrowheads="1"/>
                <a:extLst>
                  <a:ext uri="{84589F7E-364E-4C9E-8A38-B11213B215E9}">
                    <a14:cameraTool cellRange="Flag49b" spid="_x0000_s1535"/>
                  </a:ext>
                </a:extLst>
              </xdr:cNvPicPr>
            </xdr:nvPicPr>
            <xdr:blipFill>
              <a:blip xmlns:r="http://schemas.openxmlformats.org/officeDocument/2006/relationships" r:embed="rId1"/>
              <a:srcRect/>
              <a:stretch>
                <a:fillRect/>
              </a:stretch>
            </xdr:blipFill>
            <xdr:spPr bwMode="auto">
              <a:xfrm>
                <a:off x="3867150" y="6102350"/>
                <a:ext cx="222250" cy="184150"/>
              </a:xfrm>
              <a:prstGeom prst="rect">
                <a:avLst/>
              </a:prstGeom>
              <a:noFill/>
              <a:extLst>
                <a:ext uri="{909E8E84-426E-40DD-AFC4-6F175D3DCCD1}">
                  <a14:hiddenFill>
                    <a:solidFill>
                      <a:srgbClr val="FFFFFF"/>
                    </a:solidFill>
                  </a14:hiddenFill>
                </a:ext>
              </a:extLst>
            </xdr:spPr>
          </xdr:pic>
          <xdr:pic>
            <xdr:nvPicPr>
              <xdr:cNvPr id="21" name="Picture 20"/>
              <xdr:cNvPicPr>
                <a:picLocks noChangeAspect="1" noChangeArrowheads="1"/>
                <a:extLst>
                  <a:ext uri="{84589F7E-364E-4C9E-8A38-B11213B215E9}">
                    <a14:cameraTool cellRange="Flag48b" spid="_x0000_s1536"/>
                  </a:ext>
                </a:extLst>
              </xdr:cNvPicPr>
            </xdr:nvPicPr>
            <xdr:blipFill>
              <a:blip xmlns:r="http://schemas.openxmlformats.org/officeDocument/2006/relationships" r:embed="rId1"/>
              <a:srcRect/>
              <a:stretch>
                <a:fillRect/>
              </a:stretch>
            </xdr:blipFill>
            <xdr:spPr bwMode="auto">
              <a:xfrm>
                <a:off x="3867150" y="5917292"/>
                <a:ext cx="222250" cy="184150"/>
              </a:xfrm>
              <a:prstGeom prst="rect">
                <a:avLst/>
              </a:prstGeom>
              <a:noFill/>
              <a:extLst>
                <a:ext uri="{909E8E84-426E-40DD-AFC4-6F175D3DCCD1}">
                  <a14:hiddenFill>
                    <a:solidFill>
                      <a:srgbClr val="FFFFFF"/>
                    </a:solidFill>
                  </a14:hiddenFill>
                </a:ext>
              </a:extLst>
            </xdr:spPr>
          </xdr:pic>
        </xdr:grpSp>
        <xdr:clientData/>
      </xdr:twoCellAnchor>
    </mc:Choice>
    <mc:Fallback/>
  </mc:AlternateContent>
  <xdr:twoCellAnchor>
    <xdr:from>
      <xdr:col>6</xdr:col>
      <xdr:colOff>38100</xdr:colOff>
      <xdr:row>6</xdr:row>
      <xdr:rowOff>13368</xdr:rowOff>
    </xdr:from>
    <xdr:to>
      <xdr:col>6</xdr:col>
      <xdr:colOff>202692</xdr:colOff>
      <xdr:row>25</xdr:row>
      <xdr:rowOff>171401</xdr:rowOff>
    </xdr:to>
    <xdr:grpSp>
      <xdr:nvGrpSpPr>
        <xdr:cNvPr id="65" name="Group 64"/>
        <xdr:cNvGrpSpPr/>
      </xdr:nvGrpSpPr>
      <xdr:grpSpPr>
        <a:xfrm>
          <a:off x="3276600" y="953168"/>
          <a:ext cx="164592" cy="3656883"/>
          <a:chOff x="3149600" y="953168"/>
          <a:chExt cx="164592" cy="3656883"/>
        </a:xfrm>
      </xdr:grpSpPr>
      <xdr:pic>
        <xdr:nvPicPr>
          <xdr:cNvPr id="23" name="Picture 2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9600" y="953168"/>
            <a:ext cx="164592" cy="164592"/>
          </a:xfrm>
          <a:prstGeom prst="rect">
            <a:avLst/>
          </a:prstGeom>
        </xdr:spPr>
      </xdr:pic>
      <xdr:pic>
        <xdr:nvPicPr>
          <xdr:cNvPr id="24" name="Picture 2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9600" y="1320778"/>
            <a:ext cx="164592" cy="164592"/>
          </a:xfrm>
          <a:prstGeom prst="rect">
            <a:avLst/>
          </a:prstGeom>
        </xdr:spPr>
      </xdr:pic>
      <xdr:pic>
        <xdr:nvPicPr>
          <xdr:cNvPr id="25" name="Picture 2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49600" y="1688388"/>
            <a:ext cx="164592" cy="164592"/>
          </a:xfrm>
          <a:prstGeom prst="rect">
            <a:avLst/>
          </a:prstGeom>
        </xdr:spPr>
      </xdr:pic>
      <xdr:pic>
        <xdr:nvPicPr>
          <xdr:cNvPr id="26" name="Picture 2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49600" y="4261658"/>
            <a:ext cx="164592" cy="164592"/>
          </a:xfrm>
          <a:prstGeom prst="rect">
            <a:avLst/>
          </a:prstGeom>
        </xdr:spPr>
      </xdr:pic>
      <xdr:pic>
        <xdr:nvPicPr>
          <xdr:cNvPr id="28" name="Picture 2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49600" y="1504583"/>
            <a:ext cx="164592" cy="164592"/>
          </a:xfrm>
          <a:prstGeom prst="rect">
            <a:avLst/>
          </a:prstGeom>
        </xdr:spPr>
      </xdr:pic>
      <xdr:pic>
        <xdr:nvPicPr>
          <xdr:cNvPr id="29" name="Picture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9600" y="2239803"/>
            <a:ext cx="164592" cy="164592"/>
          </a:xfrm>
          <a:prstGeom prst="rect">
            <a:avLst/>
          </a:prstGeom>
        </xdr:spPr>
      </xdr:pic>
      <xdr:pic>
        <xdr:nvPicPr>
          <xdr:cNvPr id="33" name="Picture 3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49600" y="1136973"/>
            <a:ext cx="164592" cy="164592"/>
          </a:xfrm>
          <a:prstGeom prst="rect">
            <a:avLst/>
          </a:prstGeom>
        </xdr:spPr>
      </xdr:pic>
      <xdr:pic>
        <xdr:nvPicPr>
          <xdr:cNvPr id="34" name="Picture 3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49600" y="3894048"/>
            <a:ext cx="164592" cy="164592"/>
          </a:xfrm>
          <a:prstGeom prst="rect">
            <a:avLst/>
          </a:prstGeom>
        </xdr:spPr>
      </xdr:pic>
      <xdr:pic>
        <xdr:nvPicPr>
          <xdr:cNvPr id="35" name="Picture 3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49600" y="3526438"/>
            <a:ext cx="164592" cy="164592"/>
          </a:xfrm>
          <a:prstGeom prst="rect">
            <a:avLst/>
          </a:prstGeom>
        </xdr:spPr>
      </xdr:pic>
      <xdr:pic>
        <xdr:nvPicPr>
          <xdr:cNvPr id="36" name="Picture 35"/>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149600" y="2423608"/>
            <a:ext cx="164592" cy="164592"/>
          </a:xfrm>
          <a:prstGeom prst="rect">
            <a:avLst/>
          </a:prstGeom>
        </xdr:spPr>
      </xdr:pic>
      <xdr:pic>
        <xdr:nvPicPr>
          <xdr:cNvPr id="38" name="Picture 3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49600" y="2607413"/>
            <a:ext cx="164592" cy="164592"/>
          </a:xfrm>
          <a:prstGeom prst="rect">
            <a:avLst/>
          </a:prstGeom>
        </xdr:spPr>
      </xdr:pic>
      <xdr:pic>
        <xdr:nvPicPr>
          <xdr:cNvPr id="40" name="Picture 3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49600" y="2791218"/>
            <a:ext cx="164592" cy="164592"/>
          </a:xfrm>
          <a:prstGeom prst="rect">
            <a:avLst/>
          </a:prstGeom>
        </xdr:spPr>
      </xdr:pic>
      <xdr:pic>
        <xdr:nvPicPr>
          <xdr:cNvPr id="41" name="Picture 4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49600" y="3158828"/>
            <a:ext cx="164592" cy="164592"/>
          </a:xfrm>
          <a:prstGeom prst="rect">
            <a:avLst/>
          </a:prstGeom>
        </xdr:spPr>
      </xdr:pic>
      <xdr:pic>
        <xdr:nvPicPr>
          <xdr:cNvPr id="42" name="Picture 4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149600" y="4077853"/>
            <a:ext cx="164592" cy="164592"/>
          </a:xfrm>
          <a:prstGeom prst="rect">
            <a:avLst/>
          </a:prstGeom>
        </xdr:spPr>
      </xdr:pic>
      <xdr:pic>
        <xdr:nvPicPr>
          <xdr:cNvPr id="64" name="Picture 6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9600" y="2975023"/>
            <a:ext cx="164592" cy="164592"/>
          </a:xfrm>
          <a:prstGeom prst="rect">
            <a:avLst/>
          </a:prstGeom>
        </xdr:spPr>
      </xdr:pic>
      <xdr:pic>
        <xdr:nvPicPr>
          <xdr:cNvPr id="44" name="Picture 4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149600" y="3710243"/>
            <a:ext cx="164592" cy="164592"/>
          </a:xfrm>
          <a:prstGeom prst="rect">
            <a:avLst/>
          </a:prstGeom>
        </xdr:spPr>
      </xdr:pic>
      <xdr:pic>
        <xdr:nvPicPr>
          <xdr:cNvPr id="48" name="Picture 4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9600" y="3342633"/>
            <a:ext cx="164592" cy="164592"/>
          </a:xfrm>
          <a:prstGeom prst="rect">
            <a:avLst/>
          </a:prstGeom>
        </xdr:spPr>
      </xdr:pic>
      <xdr:pic>
        <xdr:nvPicPr>
          <xdr:cNvPr id="56" name="Picture 5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149600" y="2055998"/>
            <a:ext cx="164592" cy="164592"/>
          </a:xfrm>
          <a:prstGeom prst="rect">
            <a:avLst/>
          </a:prstGeom>
        </xdr:spPr>
      </xdr:pic>
      <xdr:pic>
        <xdr:nvPicPr>
          <xdr:cNvPr id="60" name="Picture 5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9600" y="1872193"/>
            <a:ext cx="164592" cy="164592"/>
          </a:xfrm>
          <a:prstGeom prst="rect">
            <a:avLst/>
          </a:prstGeom>
        </xdr:spPr>
      </xdr:pic>
      <xdr:pic>
        <xdr:nvPicPr>
          <xdr:cNvPr id="61" name="Picture 6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49600" y="4445459"/>
            <a:ext cx="164592" cy="164592"/>
          </a:xfrm>
          <a:prstGeom prst="rect">
            <a:avLst/>
          </a:prstGeom>
        </xdr:spPr>
      </xdr:pic>
    </xdr:grpSp>
    <xdr:clientData/>
  </xdr:twoCellAnchor>
  <xdr:twoCellAnchor>
    <xdr:from>
      <xdr:col>9</xdr:col>
      <xdr:colOff>29308</xdr:colOff>
      <xdr:row>6</xdr:row>
      <xdr:rowOff>13368</xdr:rowOff>
    </xdr:from>
    <xdr:to>
      <xdr:col>9</xdr:col>
      <xdr:colOff>196342</xdr:colOff>
      <xdr:row>25</xdr:row>
      <xdr:rowOff>171401</xdr:rowOff>
    </xdr:to>
    <xdr:grpSp>
      <xdr:nvGrpSpPr>
        <xdr:cNvPr id="66" name="Group 65"/>
        <xdr:cNvGrpSpPr/>
      </xdr:nvGrpSpPr>
      <xdr:grpSpPr>
        <a:xfrm>
          <a:off x="3934558" y="953168"/>
          <a:ext cx="167034" cy="3656883"/>
          <a:chOff x="3959958" y="953168"/>
          <a:chExt cx="167034" cy="3656883"/>
        </a:xfrm>
      </xdr:grpSpPr>
      <xdr:pic>
        <xdr:nvPicPr>
          <xdr:cNvPr id="27" name="Picture 2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962400" y="3158828"/>
            <a:ext cx="164592" cy="164592"/>
          </a:xfrm>
          <a:prstGeom prst="rect">
            <a:avLst/>
          </a:prstGeom>
        </xdr:spPr>
      </xdr:pic>
      <xdr:pic>
        <xdr:nvPicPr>
          <xdr:cNvPr id="30" name="Picture 2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962400" y="1320778"/>
            <a:ext cx="164592" cy="164592"/>
          </a:xfrm>
          <a:prstGeom prst="rect">
            <a:avLst/>
          </a:prstGeom>
        </xdr:spPr>
      </xdr:pic>
      <xdr:pic>
        <xdr:nvPicPr>
          <xdr:cNvPr id="31" name="Picture 3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62400" y="3342633"/>
            <a:ext cx="164592" cy="164592"/>
          </a:xfrm>
          <a:prstGeom prst="rect">
            <a:avLst/>
          </a:prstGeom>
        </xdr:spPr>
      </xdr:pic>
      <xdr:pic>
        <xdr:nvPicPr>
          <xdr:cNvPr id="32" name="Picture 3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59958" y="4445459"/>
            <a:ext cx="167034" cy="164592"/>
          </a:xfrm>
          <a:prstGeom prst="rect">
            <a:avLst/>
          </a:prstGeom>
        </xdr:spPr>
      </xdr:pic>
      <xdr:pic>
        <xdr:nvPicPr>
          <xdr:cNvPr id="37" name="Picture 3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962400" y="2791218"/>
            <a:ext cx="164592" cy="164592"/>
          </a:xfrm>
          <a:prstGeom prst="rect">
            <a:avLst/>
          </a:prstGeom>
        </xdr:spPr>
      </xdr:pic>
      <xdr:pic>
        <xdr:nvPicPr>
          <xdr:cNvPr id="45" name="Picture 4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62400" y="1136973"/>
            <a:ext cx="164592" cy="164592"/>
          </a:xfrm>
          <a:prstGeom prst="rect">
            <a:avLst/>
          </a:prstGeom>
        </xdr:spPr>
      </xdr:pic>
      <xdr:pic>
        <xdr:nvPicPr>
          <xdr:cNvPr id="46" name="Picture 4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62400" y="2055998"/>
            <a:ext cx="164592" cy="164592"/>
          </a:xfrm>
          <a:prstGeom prst="rect">
            <a:avLst/>
          </a:prstGeom>
        </xdr:spPr>
      </xdr:pic>
      <xdr:pic>
        <xdr:nvPicPr>
          <xdr:cNvPr id="47" name="Picture 4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962400" y="953168"/>
            <a:ext cx="164592" cy="164592"/>
          </a:xfrm>
          <a:prstGeom prst="rect">
            <a:avLst/>
          </a:prstGeom>
        </xdr:spPr>
      </xdr:pic>
      <xdr:pic>
        <xdr:nvPicPr>
          <xdr:cNvPr id="49" name="Picture 4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62400" y="2423608"/>
            <a:ext cx="164592" cy="164592"/>
          </a:xfrm>
          <a:prstGeom prst="rect">
            <a:avLst/>
          </a:prstGeom>
        </xdr:spPr>
      </xdr:pic>
      <xdr:pic>
        <xdr:nvPicPr>
          <xdr:cNvPr id="50" name="Picture 4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62400" y="2239803"/>
            <a:ext cx="164592" cy="164592"/>
          </a:xfrm>
          <a:prstGeom prst="rect">
            <a:avLst/>
          </a:prstGeom>
        </xdr:spPr>
      </xdr:pic>
      <xdr:pic>
        <xdr:nvPicPr>
          <xdr:cNvPr id="51" name="Picture 5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62400" y="1504583"/>
            <a:ext cx="164592" cy="164592"/>
          </a:xfrm>
          <a:prstGeom prst="rect">
            <a:avLst/>
          </a:prstGeom>
        </xdr:spPr>
      </xdr:pic>
      <xdr:pic>
        <xdr:nvPicPr>
          <xdr:cNvPr id="52" name="Picture 5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962400" y="2607413"/>
            <a:ext cx="164592" cy="164592"/>
          </a:xfrm>
          <a:prstGeom prst="rect">
            <a:avLst/>
          </a:prstGeom>
        </xdr:spPr>
      </xdr:pic>
      <xdr:pic>
        <xdr:nvPicPr>
          <xdr:cNvPr id="53" name="Picture 5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62400" y="2975023"/>
            <a:ext cx="164592" cy="164592"/>
          </a:xfrm>
          <a:prstGeom prst="rect">
            <a:avLst/>
          </a:prstGeom>
        </xdr:spPr>
      </xdr:pic>
      <xdr:pic>
        <xdr:nvPicPr>
          <xdr:cNvPr id="54" name="Picture 53"/>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962400" y="1688388"/>
            <a:ext cx="164592" cy="164592"/>
          </a:xfrm>
          <a:prstGeom prst="rect">
            <a:avLst/>
          </a:prstGeom>
        </xdr:spPr>
      </xdr:pic>
      <xdr:pic>
        <xdr:nvPicPr>
          <xdr:cNvPr id="55" name="Picture 5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62400" y="3894048"/>
            <a:ext cx="164592" cy="164592"/>
          </a:xfrm>
          <a:prstGeom prst="rect">
            <a:avLst/>
          </a:prstGeom>
        </xdr:spPr>
      </xdr:pic>
      <xdr:pic>
        <xdr:nvPicPr>
          <xdr:cNvPr id="57" name="Picture 5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62400" y="3710243"/>
            <a:ext cx="164592" cy="164592"/>
          </a:xfrm>
          <a:prstGeom prst="rect">
            <a:avLst/>
          </a:prstGeom>
        </xdr:spPr>
      </xdr:pic>
      <xdr:pic>
        <xdr:nvPicPr>
          <xdr:cNvPr id="58" name="Picture 57"/>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962400" y="4077853"/>
            <a:ext cx="164592" cy="164592"/>
          </a:xfrm>
          <a:prstGeom prst="rect">
            <a:avLst/>
          </a:prstGeom>
        </xdr:spPr>
      </xdr:pic>
      <xdr:pic>
        <xdr:nvPicPr>
          <xdr:cNvPr id="59" name="Picture 5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62400" y="3526438"/>
            <a:ext cx="164592" cy="164592"/>
          </a:xfrm>
          <a:prstGeom prst="rect">
            <a:avLst/>
          </a:prstGeom>
        </xdr:spPr>
      </xdr:pic>
      <xdr:pic>
        <xdr:nvPicPr>
          <xdr:cNvPr id="62" name="Picture 6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62400" y="4261658"/>
            <a:ext cx="164592" cy="164592"/>
          </a:xfrm>
          <a:prstGeom prst="rect">
            <a:avLst/>
          </a:prstGeom>
        </xdr:spPr>
      </xdr:pic>
      <xdr:pic>
        <xdr:nvPicPr>
          <xdr:cNvPr id="63" name="Picture 6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962400" y="1872193"/>
            <a:ext cx="164592" cy="164592"/>
          </a:xfrm>
          <a:prstGeom prst="rect">
            <a:avLst/>
          </a:prstGeom>
        </xdr:spPr>
      </xdr:pic>
    </xdr:grpSp>
    <xdr:clientData/>
  </xdr:twoCellAnchor>
  <xdr:twoCellAnchor editAs="oneCell">
    <xdr:from>
      <xdr:col>16</xdr:col>
      <xdr:colOff>260350</xdr:colOff>
      <xdr:row>18</xdr:row>
      <xdr:rowOff>76200</xdr:rowOff>
    </xdr:from>
    <xdr:to>
      <xdr:col>24</xdr:col>
      <xdr:colOff>44450</xdr:colOff>
      <xdr:row>30</xdr:row>
      <xdr:rowOff>146050</xdr:rowOff>
    </xdr:to>
    <xdr:pic>
      <xdr:nvPicPr>
        <xdr:cNvPr id="39" name="Picture 3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312150" y="3225800"/>
          <a:ext cx="2095500" cy="2279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122</xdr:col>
      <xdr:colOff>35700</xdr:colOff>
      <xdr:row>12</xdr:row>
      <xdr:rowOff>3950</xdr:rowOff>
    </xdr:from>
    <xdr:to>
      <xdr:col>122</xdr:col>
      <xdr:colOff>200292</xdr:colOff>
      <xdr:row>12</xdr:row>
      <xdr:rowOff>168542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266750" y="2213750"/>
          <a:ext cx="164592" cy="164592"/>
        </a:xfrm>
        <a:prstGeom prst="rect">
          <a:avLst/>
        </a:prstGeom>
      </xdr:spPr>
    </xdr:pic>
    <xdr:clientData/>
  </xdr:twoCellAnchor>
  <xdr:twoCellAnchor editAs="oneCell">
    <xdr:from>
      <xdr:col>122</xdr:col>
      <xdr:colOff>35700</xdr:colOff>
      <xdr:row>6</xdr:row>
      <xdr:rowOff>3950</xdr:rowOff>
    </xdr:from>
    <xdr:to>
      <xdr:col>122</xdr:col>
      <xdr:colOff>200292</xdr:colOff>
      <xdr:row>6</xdr:row>
      <xdr:rowOff>168542</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266750" y="1108850"/>
          <a:ext cx="164592" cy="164592"/>
        </a:xfrm>
        <a:prstGeom prst="rect">
          <a:avLst/>
        </a:prstGeom>
      </xdr:spPr>
    </xdr:pic>
    <xdr:clientData/>
  </xdr:twoCellAnchor>
  <xdr:twoCellAnchor editAs="oneCell">
    <xdr:from>
      <xdr:col>122</xdr:col>
      <xdr:colOff>35700</xdr:colOff>
      <xdr:row>9</xdr:row>
      <xdr:rowOff>3950</xdr:rowOff>
    </xdr:from>
    <xdr:to>
      <xdr:col>122</xdr:col>
      <xdr:colOff>200292</xdr:colOff>
      <xdr:row>9</xdr:row>
      <xdr:rowOff>168542</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266750" y="1661300"/>
          <a:ext cx="164592" cy="164592"/>
        </a:xfrm>
        <a:prstGeom prst="rect">
          <a:avLst/>
        </a:prstGeom>
      </xdr:spPr>
    </xdr:pic>
    <xdr:clientData/>
  </xdr:twoCellAnchor>
  <xdr:twoCellAnchor editAs="oneCell">
    <xdr:from>
      <xdr:col>122</xdr:col>
      <xdr:colOff>35700</xdr:colOff>
      <xdr:row>11</xdr:row>
      <xdr:rowOff>3950</xdr:rowOff>
    </xdr:from>
    <xdr:to>
      <xdr:col>122</xdr:col>
      <xdr:colOff>200292</xdr:colOff>
      <xdr:row>11</xdr:row>
      <xdr:rowOff>168542</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266750" y="2029600"/>
          <a:ext cx="164592" cy="164592"/>
        </a:xfrm>
        <a:prstGeom prst="rect">
          <a:avLst/>
        </a:prstGeom>
      </xdr:spPr>
    </xdr:pic>
    <xdr:clientData/>
  </xdr:twoCellAnchor>
  <xdr:twoCellAnchor editAs="oneCell">
    <xdr:from>
      <xdr:col>122</xdr:col>
      <xdr:colOff>35700</xdr:colOff>
      <xdr:row>14</xdr:row>
      <xdr:rowOff>3950</xdr:rowOff>
    </xdr:from>
    <xdr:to>
      <xdr:col>122</xdr:col>
      <xdr:colOff>200292</xdr:colOff>
      <xdr:row>14</xdr:row>
      <xdr:rowOff>168542</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266750" y="2582050"/>
          <a:ext cx="164592" cy="164592"/>
        </a:xfrm>
        <a:prstGeom prst="rect">
          <a:avLst/>
        </a:prstGeom>
      </xdr:spPr>
    </xdr:pic>
    <xdr:clientData/>
  </xdr:twoCellAnchor>
  <xdr:twoCellAnchor editAs="oneCell">
    <xdr:from>
      <xdr:col>122</xdr:col>
      <xdr:colOff>35700</xdr:colOff>
      <xdr:row>8</xdr:row>
      <xdr:rowOff>3950</xdr:rowOff>
    </xdr:from>
    <xdr:to>
      <xdr:col>122</xdr:col>
      <xdr:colOff>200292</xdr:colOff>
      <xdr:row>8</xdr:row>
      <xdr:rowOff>168542</xdr:rowOff>
    </xdr:to>
    <xdr:pic>
      <xdr:nvPicPr>
        <xdr:cNvPr id="7" name="Picture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266750" y="1477150"/>
          <a:ext cx="164592" cy="164592"/>
        </a:xfrm>
        <a:prstGeom prst="rect">
          <a:avLst/>
        </a:prstGeom>
      </xdr:spPr>
    </xdr:pic>
    <xdr:clientData/>
  </xdr:twoCellAnchor>
  <xdr:twoCellAnchor editAs="oneCell">
    <xdr:from>
      <xdr:col>122</xdr:col>
      <xdr:colOff>35700</xdr:colOff>
      <xdr:row>7</xdr:row>
      <xdr:rowOff>3950</xdr:rowOff>
    </xdr:from>
    <xdr:to>
      <xdr:col>122</xdr:col>
      <xdr:colOff>200292</xdr:colOff>
      <xdr:row>7</xdr:row>
      <xdr:rowOff>168542</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5266750" y="1293000"/>
          <a:ext cx="164592" cy="164592"/>
        </a:xfrm>
        <a:prstGeom prst="rect">
          <a:avLst/>
        </a:prstGeom>
      </xdr:spPr>
    </xdr:pic>
    <xdr:clientData/>
  </xdr:twoCellAnchor>
  <xdr:twoCellAnchor editAs="oneCell">
    <xdr:from>
      <xdr:col>122</xdr:col>
      <xdr:colOff>35700</xdr:colOff>
      <xdr:row>15</xdr:row>
      <xdr:rowOff>3950</xdr:rowOff>
    </xdr:from>
    <xdr:to>
      <xdr:col>122</xdr:col>
      <xdr:colOff>200292</xdr:colOff>
      <xdr:row>15</xdr:row>
      <xdr:rowOff>168542</xdr:rowOff>
    </xdr:to>
    <xdr:pic>
      <xdr:nvPicPr>
        <xdr:cNvPr id="9" name="Picture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5266750" y="2766200"/>
          <a:ext cx="164592" cy="164592"/>
        </a:xfrm>
        <a:prstGeom prst="rect">
          <a:avLst/>
        </a:prstGeom>
      </xdr:spPr>
    </xdr:pic>
    <xdr:clientData/>
  </xdr:twoCellAnchor>
  <xdr:twoCellAnchor editAs="oneCell">
    <xdr:from>
      <xdr:col>122</xdr:col>
      <xdr:colOff>35700</xdr:colOff>
      <xdr:row>10</xdr:row>
      <xdr:rowOff>3950</xdr:rowOff>
    </xdr:from>
    <xdr:to>
      <xdr:col>122</xdr:col>
      <xdr:colOff>200292</xdr:colOff>
      <xdr:row>10</xdr:row>
      <xdr:rowOff>168542</xdr:rowOff>
    </xdr:to>
    <xdr:pic>
      <xdr:nvPicPr>
        <xdr:cNvPr id="10" name="Picture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5266750" y="1845450"/>
          <a:ext cx="164592" cy="164592"/>
        </a:xfrm>
        <a:prstGeom prst="rect">
          <a:avLst/>
        </a:prstGeom>
      </xdr:spPr>
    </xdr:pic>
    <xdr:clientData/>
  </xdr:twoCellAnchor>
  <xdr:twoCellAnchor editAs="oneCell">
    <xdr:from>
      <xdr:col>122</xdr:col>
      <xdr:colOff>35700</xdr:colOff>
      <xdr:row>13</xdr:row>
      <xdr:rowOff>3950</xdr:rowOff>
    </xdr:from>
    <xdr:to>
      <xdr:col>122</xdr:col>
      <xdr:colOff>200292</xdr:colOff>
      <xdr:row>13</xdr:row>
      <xdr:rowOff>168542</xdr:rowOff>
    </xdr:to>
    <xdr:pic>
      <xdr:nvPicPr>
        <xdr:cNvPr id="11" name="Picture 10"/>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5266750" y="2397900"/>
          <a:ext cx="164592" cy="1645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4</xdr:row>
      <xdr:rowOff>133350</xdr:rowOff>
    </xdr:from>
    <xdr:to>
      <xdr:col>16</xdr:col>
      <xdr:colOff>127000</xdr:colOff>
      <xdr:row>82</xdr:row>
      <xdr:rowOff>12700</xdr:rowOff>
    </xdr:to>
    <xdr:sp macro="" textlink="">
      <xdr:nvSpPr>
        <xdr:cNvPr id="2" name="TextBox 1"/>
        <xdr:cNvSpPr txBox="1"/>
      </xdr:nvSpPr>
      <xdr:spPr>
        <a:xfrm>
          <a:off x="241300" y="704850"/>
          <a:ext cx="9144000" cy="122618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r>
            <a:rPr lang="en-US" sz="1100" b="1">
              <a:solidFill>
                <a:schemeClr val="dk1"/>
              </a:solidFill>
              <a:effectLst/>
              <a:latin typeface="+mn-lt"/>
              <a:ea typeface="+mn-ea"/>
              <a:cs typeface="+mn-cs"/>
            </a:rPr>
            <a:t/>
          </a:r>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r>
            <a:rPr lang="en-US" sz="1100" b="1">
              <a:solidFill>
                <a:schemeClr val="dk1"/>
              </a:solidFill>
              <a:effectLst/>
              <a:latin typeface="+mn-lt"/>
              <a:ea typeface="+mn-ea"/>
              <a:cs typeface="+mn-cs"/>
            </a:rPr>
            <a:t/>
          </a:r>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p>
        <a:p>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44450</xdr:colOff>
      <xdr:row>4</xdr:row>
      <xdr:rowOff>44450</xdr:rowOff>
    </xdr:from>
    <xdr:to>
      <xdr:col>4</xdr:col>
      <xdr:colOff>394070</xdr:colOff>
      <xdr:row>7</xdr:row>
      <xdr:rowOff>22054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615950"/>
          <a:ext cx="1664070" cy="536404"/>
        </a:xfrm>
        <a:prstGeom prst="rect">
          <a:avLst/>
        </a:prstGeom>
      </xdr:spPr>
    </xdr:pic>
    <xdr:clientData/>
  </xdr:twoCellAnchor>
  <xdr:twoCellAnchor editAs="oneCell">
    <xdr:from>
      <xdr:col>8</xdr:col>
      <xdr:colOff>400050</xdr:colOff>
      <xdr:row>4</xdr:row>
      <xdr:rowOff>0</xdr:rowOff>
    </xdr:from>
    <xdr:to>
      <xdr:col>10</xdr:col>
      <xdr:colOff>762000</xdr:colOff>
      <xdr:row>10</xdr:row>
      <xdr:rowOff>171450</xdr:rowOff>
    </xdr:to>
    <xdr:pic>
      <xdr:nvPicPr>
        <xdr:cNvPr id="3" name="Picture 2">
          <a:hlinkClick xmlns:r="http://schemas.openxmlformats.org/officeDocument/2006/relationships" r:id="rId2"/>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7340" t="13459" r="20018" b="8867"/>
        <a:stretch/>
      </xdr:blipFill>
      <xdr:spPr>
        <a:xfrm>
          <a:off x="5143500" y="571500"/>
          <a:ext cx="2546350" cy="1282700"/>
        </a:xfrm>
        <a:prstGeom prst="rect">
          <a:avLst/>
        </a:prstGeom>
      </xdr:spPr>
    </xdr:pic>
    <xdr:clientData/>
  </xdr:twoCellAnchor>
  <xdr:twoCellAnchor>
    <xdr:from>
      <xdr:col>12</xdr:col>
      <xdr:colOff>0</xdr:colOff>
      <xdr:row>4</xdr:row>
      <xdr:rowOff>0</xdr:rowOff>
    </xdr:from>
    <xdr:to>
      <xdr:col>21</xdr:col>
      <xdr:colOff>241300</xdr:colOff>
      <xdr:row>14</xdr:row>
      <xdr:rowOff>31750</xdr:rowOff>
    </xdr:to>
    <xdr:sp macro="" textlink="">
      <xdr:nvSpPr>
        <xdr:cNvPr id="4" name="TextBox 3"/>
        <xdr:cNvSpPr txBox="1"/>
      </xdr:nvSpPr>
      <xdr:spPr>
        <a:xfrm>
          <a:off x="8204200" y="571500"/>
          <a:ext cx="5727700" cy="189865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ctr"/>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793750</xdr:colOff>
      <xdr:row>4</xdr:row>
      <xdr:rowOff>12700</xdr:rowOff>
    </xdr:from>
    <xdr:to>
      <xdr:col>11</xdr:col>
      <xdr:colOff>177800</xdr:colOff>
      <xdr:row>6</xdr:row>
      <xdr:rowOff>120650</xdr:rowOff>
    </xdr:to>
    <xdr:sp macro="" textlink="">
      <xdr:nvSpPr>
        <xdr:cNvPr id="5" name="Chevron 4"/>
        <xdr:cNvSpPr/>
      </xdr:nvSpPr>
      <xdr:spPr>
        <a:xfrm rot="10800000">
          <a:off x="7721600" y="584200"/>
          <a:ext cx="476250" cy="482600"/>
        </a:xfrm>
        <a:prstGeom prst="chevron">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journalsheet.com/" TargetMode="External"/><Relationship Id="rId1" Type="http://schemas.openxmlformats.org/officeDocument/2006/relationships/hyperlink" Target="https://journalsheet.com/"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70"/>
  <sheetViews>
    <sheetView showGridLines="0" workbookViewId="0">
      <pane ySplit="4" topLeftCell="A5" activePane="bottomLeft" state="frozen"/>
      <selection activeCell="R10" sqref="R10"/>
      <selection pane="bottomLeft" activeCell="D67" sqref="D67"/>
    </sheetView>
  </sheetViews>
  <sheetFormatPr defaultColWidth="8.90625" defaultRowHeight="14.5" x14ac:dyDescent="0.25"/>
  <cols>
    <col min="1" max="1" width="1.6328125" style="22" customWidth="1"/>
    <col min="2" max="2" width="3.1796875" style="22" bestFit="1" customWidth="1"/>
    <col min="3" max="4" width="40.6328125" style="22" customWidth="1"/>
    <col min="5" max="5" width="2.1796875" style="22" customWidth="1"/>
    <col min="6" max="6" width="3.90625" style="22" customWidth="1"/>
    <col min="7" max="16384" width="8.90625" style="22"/>
  </cols>
  <sheetData>
    <row r="1" spans="1:103" s="152" customFormat="1" ht="5" customHeight="1" x14ac:dyDescent="0.25"/>
    <row r="2" spans="1:103" s="1" customFormat="1" ht="5" customHeight="1" x14ac:dyDescent="0.35">
      <c r="D2" s="2"/>
      <c r="E2" s="3"/>
      <c r="N2" s="4"/>
      <c r="O2" s="5"/>
      <c r="P2" s="5"/>
      <c r="Q2" s="5"/>
      <c r="R2" s="5"/>
      <c r="S2" s="6"/>
      <c r="T2" s="7"/>
      <c r="U2" s="8"/>
      <c r="V2" s="9"/>
      <c r="CO2" s="4"/>
      <c r="CP2" s="4"/>
      <c r="CQ2" s="4"/>
      <c r="CR2" s="4"/>
    </row>
    <row r="3" spans="1:103" s="10" customFormat="1" ht="30" customHeight="1" x14ac:dyDescent="0.35">
      <c r="B3" s="11" t="s">
        <v>0</v>
      </c>
      <c r="C3" s="12"/>
      <c r="D3" s="13"/>
      <c r="E3" s="14"/>
      <c r="F3" s="12"/>
      <c r="G3" s="12"/>
      <c r="H3" s="12"/>
      <c r="I3" s="12"/>
      <c r="J3" s="12"/>
      <c r="K3" s="12"/>
      <c r="L3" s="12"/>
      <c r="M3" s="12"/>
      <c r="N3" s="12"/>
      <c r="O3" s="12"/>
      <c r="P3" s="12"/>
      <c r="Q3" s="12"/>
      <c r="R3" s="12"/>
      <c r="S3" s="12"/>
      <c r="T3" s="15"/>
      <c r="U3" s="16"/>
      <c r="V3" s="12"/>
      <c r="W3" s="12"/>
      <c r="X3" s="12"/>
      <c r="Y3" s="12"/>
      <c r="Z3" s="12"/>
      <c r="AA3" s="12"/>
      <c r="AB3" s="12"/>
      <c r="AC3" s="12"/>
      <c r="AD3" s="12"/>
      <c r="AE3" s="12"/>
    </row>
    <row r="4" spans="1:103" s="17" customFormat="1" ht="5" customHeight="1" x14ac:dyDescent="0.35">
      <c r="D4" s="18"/>
      <c r="M4" s="1"/>
      <c r="N4" s="4"/>
      <c r="O4" s="4"/>
      <c r="P4" s="4"/>
      <c r="Q4" s="4"/>
      <c r="R4" s="4"/>
      <c r="S4" s="19"/>
      <c r="T4" s="7"/>
      <c r="U4" s="8"/>
      <c r="V4" s="9"/>
      <c r="W4" s="1"/>
      <c r="X4" s="1"/>
      <c r="Y4" s="1"/>
      <c r="Z4" s="1"/>
      <c r="AA4" s="1"/>
      <c r="AB4" s="1"/>
      <c r="AC4" s="1"/>
      <c r="AD4" s="1"/>
      <c r="AE4" s="1"/>
      <c r="CV4" s="20"/>
      <c r="CW4" s="20"/>
      <c r="CX4" s="20"/>
      <c r="CY4" s="20"/>
    </row>
    <row r="5" spans="1:103" ht="15" customHeight="1" x14ac:dyDescent="0.35">
      <c r="A5" s="21"/>
      <c r="C5" s="23" t="s">
        <v>1</v>
      </c>
      <c r="D5" s="190">
        <v>0</v>
      </c>
      <c r="F5" s="24" t="s">
        <v>2</v>
      </c>
      <c r="G5" s="22" t="s">
        <v>3</v>
      </c>
    </row>
    <row r="6" spans="1:103" ht="15" customHeight="1" x14ac:dyDescent="0.35">
      <c r="C6" s="23" t="s">
        <v>4</v>
      </c>
      <c r="D6" s="25" t="s">
        <v>5</v>
      </c>
      <c r="F6" s="24" t="s">
        <v>2</v>
      </c>
      <c r="G6" s="22" t="s">
        <v>6</v>
      </c>
    </row>
    <row r="7" spans="1:103" ht="15" customHeight="1" x14ac:dyDescent="0.35">
      <c r="C7" s="26" t="s">
        <v>7</v>
      </c>
      <c r="D7" s="35" t="s">
        <v>8</v>
      </c>
      <c r="H7" s="27"/>
      <c r="I7" s="27"/>
    </row>
    <row r="8" spans="1:103" ht="15" customHeight="1" thickBot="1" x14ac:dyDescent="0.3">
      <c r="C8" s="28" t="s">
        <v>9</v>
      </c>
      <c r="D8" s="29" t="s">
        <v>10</v>
      </c>
      <c r="F8" s="30" t="s">
        <v>11</v>
      </c>
    </row>
    <row r="9" spans="1:103" ht="15" customHeight="1" x14ac:dyDescent="0.25">
      <c r="C9" s="31" t="s">
        <v>12</v>
      </c>
      <c r="D9" s="32" t="str">
        <f t="shared" ref="D9:D67" si="0">C9</f>
        <v>Argentina</v>
      </c>
      <c r="F9" s="33">
        <v>1</v>
      </c>
      <c r="G9" s="22" t="s">
        <v>13</v>
      </c>
    </row>
    <row r="10" spans="1:103" ht="15" customHeight="1" x14ac:dyDescent="0.25">
      <c r="C10" s="34" t="s">
        <v>14</v>
      </c>
      <c r="D10" s="35" t="str">
        <f t="shared" si="0"/>
        <v>Bolivia</v>
      </c>
      <c r="F10" s="33">
        <v>2</v>
      </c>
      <c r="G10" s="22" t="s">
        <v>15</v>
      </c>
    </row>
    <row r="11" spans="1:103" ht="15" customHeight="1" x14ac:dyDescent="0.25">
      <c r="C11" s="34" t="s">
        <v>16</v>
      </c>
      <c r="D11" s="35" t="str">
        <f t="shared" si="0"/>
        <v>Uruguay</v>
      </c>
      <c r="F11" s="22">
        <v>3</v>
      </c>
      <c r="G11" s="22" t="s">
        <v>17</v>
      </c>
    </row>
    <row r="12" spans="1:103" ht="15" customHeight="1" x14ac:dyDescent="0.25">
      <c r="C12" s="34" t="s">
        <v>18</v>
      </c>
      <c r="D12" s="35" t="str">
        <f t="shared" si="0"/>
        <v>Chile</v>
      </c>
    </row>
    <row r="13" spans="1:103" ht="15" customHeight="1" x14ac:dyDescent="0.25">
      <c r="C13" s="34" t="s">
        <v>19</v>
      </c>
      <c r="D13" s="35" t="str">
        <f t="shared" si="0"/>
        <v>Paraguay</v>
      </c>
    </row>
    <row r="14" spans="1:103" ht="15" customHeight="1" x14ac:dyDescent="0.25">
      <c r="C14" s="34" t="s">
        <v>20</v>
      </c>
      <c r="D14" s="35" t="str">
        <f t="shared" si="0"/>
        <v>Colombia</v>
      </c>
    </row>
    <row r="15" spans="1:103" ht="15" customHeight="1" x14ac:dyDescent="0.25">
      <c r="C15" s="34" t="s">
        <v>21</v>
      </c>
      <c r="D15" s="35" t="str">
        <f t="shared" si="0"/>
        <v>Brazil</v>
      </c>
    </row>
    <row r="16" spans="1:103" ht="15" customHeight="1" x14ac:dyDescent="0.25">
      <c r="C16" s="34" t="s">
        <v>22</v>
      </c>
      <c r="D16" s="35" t="str">
        <f t="shared" si="0"/>
        <v>Venezuela</v>
      </c>
    </row>
    <row r="17" spans="3:4" ht="15" customHeight="1" x14ac:dyDescent="0.25">
      <c r="C17" s="34" t="s">
        <v>23</v>
      </c>
      <c r="D17" s="35" t="str">
        <f t="shared" si="0"/>
        <v>Ecuador</v>
      </c>
    </row>
    <row r="18" spans="3:4" ht="15" customHeight="1" x14ac:dyDescent="0.25">
      <c r="C18" s="34" t="s">
        <v>24</v>
      </c>
      <c r="D18" s="35" t="str">
        <f t="shared" si="0"/>
        <v>Peru</v>
      </c>
    </row>
    <row r="19" spans="3:4" ht="15" customHeight="1" x14ac:dyDescent="0.25">
      <c r="C19" s="34" t="s">
        <v>25</v>
      </c>
      <c r="D19" s="35" t="str">
        <f t="shared" si="0"/>
        <v>Language</v>
      </c>
    </row>
    <row r="20" spans="3:4" ht="15" customHeight="1" x14ac:dyDescent="0.25">
      <c r="C20" s="34" t="s">
        <v>26</v>
      </c>
      <c r="D20" s="35" t="str">
        <f t="shared" si="0"/>
        <v>Timezone</v>
      </c>
    </row>
    <row r="21" spans="3:4" ht="15" customHeight="1" x14ac:dyDescent="0.25">
      <c r="C21" s="34" t="s">
        <v>27</v>
      </c>
      <c r="D21" s="35" t="str">
        <f t="shared" si="0"/>
        <v>Group Stages</v>
      </c>
    </row>
    <row r="22" spans="3:4" ht="15" customHeight="1" x14ac:dyDescent="0.25">
      <c r="C22" s="34" t="s">
        <v>28</v>
      </c>
      <c r="D22" s="35" t="str">
        <f t="shared" si="0"/>
        <v>Venue</v>
      </c>
    </row>
    <row r="23" spans="3:4" ht="15" customHeight="1" x14ac:dyDescent="0.25">
      <c r="C23" s="34" t="s">
        <v>29</v>
      </c>
      <c r="D23" s="35" t="str">
        <f t="shared" si="0"/>
        <v>Standings</v>
      </c>
    </row>
    <row r="24" spans="3:4" ht="15" customHeight="1" x14ac:dyDescent="0.25">
      <c r="C24" s="34" t="s">
        <v>30</v>
      </c>
      <c r="D24" s="35" t="str">
        <f t="shared" si="0"/>
        <v>Group</v>
      </c>
    </row>
    <row r="25" spans="3:4" ht="15" customHeight="1" x14ac:dyDescent="0.25">
      <c r="C25" s="34" t="s">
        <v>31</v>
      </c>
      <c r="D25" s="35" t="str">
        <f t="shared" si="0"/>
        <v>Date</v>
      </c>
    </row>
    <row r="26" spans="3:4" ht="15" customHeight="1" x14ac:dyDescent="0.25">
      <c r="C26" s="34" t="s">
        <v>32</v>
      </c>
      <c r="D26" s="35" t="str">
        <f t="shared" si="0"/>
        <v>Country</v>
      </c>
    </row>
    <row r="27" spans="3:4" ht="15" customHeight="1" x14ac:dyDescent="0.25">
      <c r="C27" s="34" t="s">
        <v>33</v>
      </c>
      <c r="D27" s="35" t="str">
        <f t="shared" si="0"/>
        <v>Score</v>
      </c>
    </row>
    <row r="28" spans="3:4" ht="15" customHeight="1" x14ac:dyDescent="0.25">
      <c r="C28" s="34" t="s">
        <v>34</v>
      </c>
      <c r="D28" s="35" t="str">
        <f t="shared" si="0"/>
        <v>Time</v>
      </c>
    </row>
    <row r="29" spans="3:4" ht="15" customHeight="1" x14ac:dyDescent="0.25">
      <c r="C29" s="34" t="s">
        <v>35</v>
      </c>
      <c r="D29" s="35" t="str">
        <f t="shared" si="0"/>
        <v>Quarter Finals</v>
      </c>
    </row>
    <row r="30" spans="3:4" ht="15" customHeight="1" x14ac:dyDescent="0.25">
      <c r="C30" s="34" t="s">
        <v>36</v>
      </c>
      <c r="D30" s="35" t="str">
        <f t="shared" si="0"/>
        <v>Semi Finals</v>
      </c>
    </row>
    <row r="31" spans="3:4" ht="15" customHeight="1" x14ac:dyDescent="0.25">
      <c r="C31" s="34" t="s">
        <v>37</v>
      </c>
      <c r="D31" s="35" t="str">
        <f t="shared" si="0"/>
        <v>Final</v>
      </c>
    </row>
    <row r="32" spans="3:4" ht="15" customHeight="1" x14ac:dyDescent="0.25">
      <c r="C32" s="34" t="s">
        <v>38</v>
      </c>
      <c r="D32" s="35" t="str">
        <f t="shared" si="0"/>
        <v>3rd Place</v>
      </c>
    </row>
    <row r="33" spans="3:4" ht="15" customHeight="1" x14ac:dyDescent="0.25">
      <c r="C33" s="34" t="s">
        <v>39</v>
      </c>
      <c r="D33" s="35" t="str">
        <f t="shared" si="0"/>
        <v>Winner</v>
      </c>
    </row>
    <row r="34" spans="3:4" ht="15" customHeight="1" x14ac:dyDescent="0.25">
      <c r="C34" s="34" t="s">
        <v>40</v>
      </c>
      <c r="D34" s="35" t="str">
        <f t="shared" si="0"/>
        <v>Runner Up</v>
      </c>
    </row>
    <row r="35" spans="3:4" ht="15" customHeight="1" x14ac:dyDescent="0.25">
      <c r="C35" s="34" t="s">
        <v>41</v>
      </c>
      <c r="D35" s="35" t="str">
        <f t="shared" si="0"/>
        <v>Normal Time</v>
      </c>
    </row>
    <row r="36" spans="3:4" ht="15" customHeight="1" x14ac:dyDescent="0.25">
      <c r="C36" s="34" t="s">
        <v>42</v>
      </c>
      <c r="D36" s="35" t="str">
        <f t="shared" si="0"/>
        <v>Extra Time</v>
      </c>
    </row>
    <row r="37" spans="3:4" ht="15" customHeight="1" x14ac:dyDescent="0.25">
      <c r="C37" s="34" t="s">
        <v>43</v>
      </c>
      <c r="D37" s="35" t="str">
        <f t="shared" si="0"/>
        <v>Penalty Shoot Out</v>
      </c>
    </row>
    <row r="38" spans="3:4" ht="15" customHeight="1" x14ac:dyDescent="0.25">
      <c r="C38" s="34" t="s">
        <v>44</v>
      </c>
      <c r="D38" s="35" t="str">
        <f t="shared" si="0"/>
        <v>Champion</v>
      </c>
    </row>
    <row r="39" spans="3:4" ht="15" customHeight="1" x14ac:dyDescent="0.25">
      <c r="C39" s="34" t="s">
        <v>45</v>
      </c>
      <c r="D39" s="35" t="str">
        <f t="shared" si="0"/>
        <v>M#</v>
      </c>
    </row>
    <row r="40" spans="3:4" ht="15" customHeight="1" x14ac:dyDescent="0.25">
      <c r="C40" s="34" t="s">
        <v>46</v>
      </c>
      <c r="D40" s="35" t="str">
        <f t="shared" si="0"/>
        <v>Group A Winner</v>
      </c>
    </row>
    <row r="41" spans="3:4" ht="15" customHeight="1" x14ac:dyDescent="0.25">
      <c r="C41" s="34" t="s">
        <v>47</v>
      </c>
      <c r="D41" s="35" t="str">
        <f t="shared" si="0"/>
        <v>Group B Winner</v>
      </c>
    </row>
    <row r="42" spans="3:4" ht="15" customHeight="1" x14ac:dyDescent="0.25">
      <c r="C42" s="34" t="s">
        <v>48</v>
      </c>
      <c r="D42" s="35" t="str">
        <f t="shared" si="0"/>
        <v>Group A 3rd Place</v>
      </c>
    </row>
    <row r="43" spans="3:4" ht="15" customHeight="1" x14ac:dyDescent="0.25">
      <c r="C43" s="34" t="s">
        <v>49</v>
      </c>
      <c r="D43" s="35" t="str">
        <f t="shared" si="0"/>
        <v>Group A 4th Place</v>
      </c>
    </row>
    <row r="44" spans="3:4" ht="15" customHeight="1" x14ac:dyDescent="0.25">
      <c r="C44" s="34" t="s">
        <v>50</v>
      </c>
      <c r="D44" s="35" t="str">
        <f t="shared" si="0"/>
        <v>Group B 3rd Place</v>
      </c>
    </row>
    <row r="45" spans="3:4" ht="15" customHeight="1" x14ac:dyDescent="0.25">
      <c r="C45" s="34" t="s">
        <v>51</v>
      </c>
      <c r="D45" s="35" t="str">
        <f t="shared" si="0"/>
        <v>Group B 4th Place</v>
      </c>
    </row>
    <row r="46" spans="3:4" ht="15" customHeight="1" x14ac:dyDescent="0.25">
      <c r="C46" s="34" t="s">
        <v>52</v>
      </c>
      <c r="D46" s="35" t="str">
        <f t="shared" si="0"/>
        <v>Group A Runner Up</v>
      </c>
    </row>
    <row r="47" spans="3:4" ht="15" customHeight="1" x14ac:dyDescent="0.25">
      <c r="C47" s="34" t="s">
        <v>53</v>
      </c>
      <c r="D47" s="35" t="str">
        <f t="shared" si="0"/>
        <v>Group B Runner Up</v>
      </c>
    </row>
    <row r="48" spans="3:4" ht="15" customHeight="1" x14ac:dyDescent="0.25">
      <c r="C48" s="34" t="s">
        <v>54</v>
      </c>
      <c r="D48" s="35" t="str">
        <f t="shared" si="0"/>
        <v>Match 21 Winner</v>
      </c>
    </row>
    <row r="49" spans="3:4" ht="15" customHeight="1" x14ac:dyDescent="0.25">
      <c r="C49" s="34" t="s">
        <v>55</v>
      </c>
      <c r="D49" s="35" t="str">
        <f t="shared" si="0"/>
        <v>Match 22 Winner</v>
      </c>
    </row>
    <row r="50" spans="3:4" ht="15" customHeight="1" x14ac:dyDescent="0.25">
      <c r="C50" s="34" t="s">
        <v>56</v>
      </c>
      <c r="D50" s="35" t="str">
        <f t="shared" si="0"/>
        <v>Match 23 Winner</v>
      </c>
    </row>
    <row r="51" spans="3:4" ht="15" customHeight="1" x14ac:dyDescent="0.25">
      <c r="C51" s="34" t="s">
        <v>57</v>
      </c>
      <c r="D51" s="35" t="str">
        <f t="shared" si="0"/>
        <v>Match 24 Winner</v>
      </c>
    </row>
    <row r="52" spans="3:4" ht="15" customHeight="1" x14ac:dyDescent="0.25">
      <c r="C52" s="34" t="s">
        <v>58</v>
      </c>
      <c r="D52" s="35" t="str">
        <f t="shared" si="0"/>
        <v>Match 25 Winner</v>
      </c>
    </row>
    <row r="53" spans="3:4" ht="15" customHeight="1" x14ac:dyDescent="0.25">
      <c r="C53" s="34" t="s">
        <v>59</v>
      </c>
      <c r="D53" s="35" t="str">
        <f t="shared" si="0"/>
        <v>Match 26 Winner</v>
      </c>
    </row>
    <row r="54" spans="3:4" ht="15" customHeight="1" x14ac:dyDescent="0.25">
      <c r="C54" s="34" t="s">
        <v>60</v>
      </c>
      <c r="D54" s="35" t="str">
        <f t="shared" si="0"/>
        <v>Match 27 Winner</v>
      </c>
    </row>
    <row r="55" spans="3:4" ht="15" customHeight="1" x14ac:dyDescent="0.25">
      <c r="C55" s="34" t="s">
        <v>61</v>
      </c>
      <c r="D55" s="35" t="str">
        <f t="shared" si="0"/>
        <v>Match 28 Winner</v>
      </c>
    </row>
    <row r="56" spans="3:4" ht="15" customHeight="1" x14ac:dyDescent="0.25">
      <c r="C56" s="34" t="s">
        <v>62</v>
      </c>
      <c r="D56" s="35" t="str">
        <f t="shared" si="0"/>
        <v>Match 25 Loser</v>
      </c>
    </row>
    <row r="57" spans="3:4" ht="15" customHeight="1" x14ac:dyDescent="0.25">
      <c r="C57" s="34" t="s">
        <v>63</v>
      </c>
      <c r="D57" s="35" t="str">
        <f t="shared" si="0"/>
        <v>Match 26 Loser</v>
      </c>
    </row>
    <row r="58" spans="3:4" ht="15" customHeight="1" x14ac:dyDescent="0.25">
      <c r="C58" s="34" t="s">
        <v>64</v>
      </c>
      <c r="D58" s="35" t="str">
        <f t="shared" si="0"/>
        <v>COPA AMERICA 2021 FIXTURES</v>
      </c>
    </row>
    <row r="59" spans="3:4" ht="15" customHeight="1" x14ac:dyDescent="0.25">
      <c r="C59" s="34" t="s">
        <v>65</v>
      </c>
      <c r="D59" s="35" t="str">
        <f t="shared" si="0"/>
        <v>Group A</v>
      </c>
    </row>
    <row r="60" spans="3:4" ht="15" customHeight="1" x14ac:dyDescent="0.25">
      <c r="C60" s="34" t="s">
        <v>66</v>
      </c>
      <c r="D60" s="35" t="str">
        <f t="shared" si="0"/>
        <v>Group B</v>
      </c>
    </row>
    <row r="61" spans="3:4" ht="15" customHeight="1" x14ac:dyDescent="0.25">
      <c r="C61" s="34" t="s">
        <v>67</v>
      </c>
      <c r="D61" s="35" t="str">
        <f t="shared" si="0"/>
        <v>Win</v>
      </c>
    </row>
    <row r="62" spans="3:4" ht="15" customHeight="1" x14ac:dyDescent="0.25">
      <c r="C62" s="34" t="s">
        <v>68</v>
      </c>
      <c r="D62" s="35" t="str">
        <f t="shared" si="0"/>
        <v>Draw</v>
      </c>
    </row>
    <row r="63" spans="3:4" ht="15" customHeight="1" x14ac:dyDescent="0.25">
      <c r="C63" s="34" t="s">
        <v>69</v>
      </c>
      <c r="D63" s="35" t="str">
        <f t="shared" si="0"/>
        <v>Lose</v>
      </c>
    </row>
    <row r="64" spans="3:4" ht="15" customHeight="1" x14ac:dyDescent="0.25">
      <c r="C64" s="34" t="s">
        <v>70</v>
      </c>
      <c r="D64" s="35" t="str">
        <f t="shared" si="0"/>
        <v>For</v>
      </c>
    </row>
    <row r="65" spans="3:4" ht="15" customHeight="1" x14ac:dyDescent="0.25">
      <c r="C65" s="34" t="s">
        <v>71</v>
      </c>
      <c r="D65" s="35" t="str">
        <f t="shared" si="0"/>
        <v>Against</v>
      </c>
    </row>
    <row r="66" spans="3:4" ht="15" customHeight="1" x14ac:dyDescent="0.25">
      <c r="C66" s="34" t="s">
        <v>72</v>
      </c>
      <c r="D66" s="35" t="str">
        <f t="shared" si="0"/>
        <v>Points</v>
      </c>
    </row>
    <row r="67" spans="3:4" ht="15" customHeight="1" x14ac:dyDescent="0.25">
      <c r="C67" s="34" t="s">
        <v>73</v>
      </c>
      <c r="D67" s="35" t="str">
        <f t="shared" si="0"/>
        <v>Knock Out Rounds</v>
      </c>
    </row>
    <row r="68" spans="3:4" ht="15" customHeight="1" x14ac:dyDescent="0.25"/>
    <row r="70" spans="3:4" ht="7.25" customHeight="1" x14ac:dyDescent="0.25"/>
  </sheetData>
  <dataValidations count="2">
    <dataValidation type="list" allowBlank="1" showInputMessage="1" showErrorMessage="1" sqref="D5">
      <formula1>TimezoneList</formula1>
    </dataValidation>
    <dataValidation type="list" allowBlank="1" showInputMessage="1" showErrorMessage="1" sqref="D6">
      <formula1>Countries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CW45"/>
  <sheetViews>
    <sheetView showGridLines="0" tabSelected="1" zoomScaleNormal="100" workbookViewId="0">
      <pane ySplit="4" topLeftCell="A5" activePane="bottomLeft" state="frozen"/>
      <selection activeCell="R10" sqref="R10"/>
      <selection pane="bottomLeft" activeCell="N28" sqref="N28"/>
    </sheetView>
  </sheetViews>
  <sheetFormatPr defaultColWidth="9.08984375" defaultRowHeight="14.5" x14ac:dyDescent="0.35"/>
  <cols>
    <col min="1" max="1" width="1.6328125" style="1" customWidth="1"/>
    <col min="2" max="2" width="3.81640625" style="1" customWidth="1"/>
    <col min="3" max="3" width="8.6328125" style="1" customWidth="1"/>
    <col min="4" max="4" width="6.81640625" style="2" customWidth="1"/>
    <col min="5" max="5" width="6.81640625" style="3" customWidth="1"/>
    <col min="6" max="6" width="18.6328125" style="1" customWidth="1"/>
    <col min="7" max="10" width="3.1796875" style="1" customWidth="1"/>
    <col min="11" max="11" width="18.6328125" style="1" customWidth="1"/>
    <col min="12" max="13" width="3.1796875" style="1" customWidth="1"/>
    <col min="14" max="14" width="32.1796875" style="1" customWidth="1"/>
    <col min="15" max="15" width="1.6328125" style="1" customWidth="1"/>
    <col min="16" max="16" width="2.6328125" style="4" customWidth="1"/>
    <col min="17" max="17" width="12.6328125" style="4" customWidth="1"/>
    <col min="18" max="18" width="3.1796875" style="19" customWidth="1"/>
    <col min="19" max="19" width="3.1796875" style="7" customWidth="1"/>
    <col min="20" max="20" width="3.1796875" style="8" customWidth="1"/>
    <col min="21" max="21" width="3.1796875" style="9" customWidth="1"/>
    <col min="22" max="22" width="3.1796875" style="1" customWidth="1"/>
    <col min="23" max="23" width="1.36328125" style="1" customWidth="1"/>
    <col min="24" max="26" width="3.1796875" style="1" customWidth="1"/>
    <col min="27" max="28" width="3.81640625" style="1" customWidth="1"/>
    <col min="29" max="29" width="3" style="1" customWidth="1"/>
    <col min="30" max="90" width="9.08984375" style="1" customWidth="1"/>
    <col min="91" max="94" width="9.08984375" style="4" customWidth="1"/>
    <col min="95" max="16384" width="9.08984375" style="1"/>
  </cols>
  <sheetData>
    <row r="1" spans="2:101" s="36" customFormat="1" ht="5" customHeight="1" x14ac:dyDescent="0.25">
      <c r="C1" s="37"/>
    </row>
    <row r="2" spans="2:101" ht="5" customHeight="1" x14ac:dyDescent="0.35">
      <c r="Q2" s="5"/>
      <c r="R2" s="6"/>
    </row>
    <row r="3" spans="2:101" s="10" customFormat="1" ht="30" customHeight="1" x14ac:dyDescent="0.35">
      <c r="B3" s="11" t="str">
        <f>UPPER(INDEX(Language!$A$1:$K$78,MATCH("COPA AMERICA 2021 FIXTURES",Language!$B$1:$B$75,0),MATCH(Setup!$D$6,Language!$A$1:$J$1,0)))</f>
        <v>COPA AMERICA 2021 FIXTURES</v>
      </c>
      <c r="C3" s="12"/>
      <c r="D3" s="13"/>
      <c r="E3" s="14"/>
      <c r="F3" s="12"/>
      <c r="G3" s="12"/>
      <c r="H3" s="12"/>
      <c r="I3" s="12"/>
      <c r="J3" s="12"/>
      <c r="K3" s="12"/>
      <c r="L3" s="12"/>
      <c r="M3" s="12"/>
      <c r="N3" s="12"/>
      <c r="O3" s="12"/>
      <c r="P3" s="12"/>
      <c r="Q3" s="12"/>
      <c r="R3" s="12"/>
      <c r="S3" s="15"/>
      <c r="T3" s="16"/>
      <c r="U3" s="12"/>
      <c r="V3" s="12"/>
      <c r="W3" s="12"/>
      <c r="X3" s="12"/>
      <c r="Y3" s="12"/>
      <c r="Z3" s="12"/>
      <c r="AA3" s="12"/>
      <c r="AB3" s="12"/>
      <c r="AC3" s="12"/>
    </row>
    <row r="4" spans="2:101" s="17" customFormat="1" ht="5" customHeight="1" x14ac:dyDescent="0.35">
      <c r="D4" s="18"/>
      <c r="O4" s="1"/>
      <c r="P4" s="4"/>
      <c r="Q4" s="4"/>
      <c r="R4" s="19"/>
      <c r="S4" s="7"/>
      <c r="T4" s="8"/>
      <c r="U4" s="9"/>
      <c r="V4" s="1"/>
      <c r="W4" s="1"/>
      <c r="X4" s="1"/>
      <c r="Y4" s="1"/>
      <c r="Z4" s="1"/>
      <c r="AA4" s="1"/>
      <c r="AB4" s="1"/>
      <c r="AC4" s="1"/>
      <c r="CT4" s="20"/>
      <c r="CU4" s="20"/>
      <c r="CV4" s="20"/>
      <c r="CW4" s="20"/>
    </row>
    <row r="5" spans="2:101" s="17" customFormat="1" ht="14.5" customHeight="1" x14ac:dyDescent="0.35">
      <c r="B5" s="38" t="str">
        <f>INDEX(Language!$A$1:$K$78,MATCH("M#",Language!$B$1:$B$75,0),MATCH(Setup!$D$6,Language!$A$1:$J$1,0))</f>
        <v>M#</v>
      </c>
      <c r="C5" s="39"/>
      <c r="D5" s="41" t="str">
        <f>INDEX(Language!$A$1:$K$78,MATCH("Date",Language!$B$1:$B$75,0),MATCH(Setup!$D$6,Language!$A$1:$J$1,0))</f>
        <v>Date</v>
      </c>
      <c r="E5" s="40" t="str">
        <f>INDEX(Language!$A$1:$K$78,MATCH("Time",Language!$B$1:$B$75,0),MATCH(Setup!$D$6,Language!$A$1:$J$1,0))</f>
        <v>Time</v>
      </c>
      <c r="F5" s="42" t="str">
        <f>INDEX(Language!$A$1:$K$78,MATCH("Country",Language!$B$1:$B$75,0),MATCH(Setup!$D$6,Language!$A$1:$J$1,0))</f>
        <v>Country</v>
      </c>
      <c r="G5" s="42"/>
      <c r="H5" s="210" t="str">
        <f>INDEX(Language!$A$1:$K$78,MATCH("Score",Language!$B$1:$B$75,0),MATCH(Setup!$D$6,Language!$A$1:$J$1,0))</f>
        <v>Score</v>
      </c>
      <c r="I5" s="210"/>
      <c r="J5" s="42"/>
      <c r="K5" s="43" t="str">
        <f>INDEX(Language!$A$1:$K$78,MATCH("Country",Language!$B$1:$B$75,0),MATCH(Setup!$D$6,Language!$A$1:$J$1,0))</f>
        <v>Country</v>
      </c>
      <c r="L5" s="43"/>
      <c r="M5" s="43"/>
      <c r="N5" s="44" t="str">
        <f>INDEX(Language!$A$1:$K$78,MATCH("Venue",Language!$B$1:$B$75,0),MATCH(Setup!$D$6,Language!$A$1:$J$1,0))</f>
        <v>Venue</v>
      </c>
      <c r="O5" s="45"/>
      <c r="P5" s="46" t="str">
        <f>INDEX(Language!$A$1:$K$78,MATCH("Standings",Language!$B$1:$B$75,0),MATCH(Setup!$D$6,Language!$A$1:$J$1,0))</f>
        <v>Standings</v>
      </c>
      <c r="Q5" s="46"/>
      <c r="R5" s="47"/>
      <c r="S5" s="47"/>
      <c r="T5" s="47"/>
      <c r="U5" s="47"/>
      <c r="V5" s="47"/>
      <c r="W5" s="47"/>
      <c r="X5" s="47"/>
      <c r="Y5" s="47"/>
      <c r="Z5" s="47"/>
      <c r="AB5" s="1"/>
      <c r="CT5" s="20"/>
      <c r="CU5" s="20"/>
      <c r="CV5" s="4"/>
      <c r="CW5" s="20"/>
    </row>
    <row r="6" spans="2:101" s="17" customFormat="1" ht="14.5" customHeight="1" x14ac:dyDescent="0.35">
      <c r="B6" s="48" t="str">
        <f>INDEX(Language!$A$1:$K$78,MATCH("Group Stages",Language!$B$1:$B$75,0),MATCH(Setup!$D$6,Language!$A$1:$J$1,0))</f>
        <v>Group Stages</v>
      </c>
      <c r="C6" s="49"/>
      <c r="D6" s="51"/>
      <c r="E6" s="50"/>
      <c r="F6" s="52"/>
      <c r="G6" s="52"/>
      <c r="H6" s="50"/>
      <c r="I6" s="50"/>
      <c r="J6" s="52"/>
      <c r="K6" s="53"/>
      <c r="L6" s="53"/>
      <c r="M6" s="53"/>
      <c r="N6" s="54"/>
      <c r="O6" s="55"/>
      <c r="P6" s="211" t="str">
        <f>INDEX(Language!$A$1:$K$78,MATCH("Group A",Language!$B$1:$B$75,0),MATCH(Setup!$D$6,Language!$A$1:$J$1,0))</f>
        <v>Group A</v>
      </c>
      <c r="Q6" s="211"/>
      <c r="R6" s="56" t="s">
        <v>74</v>
      </c>
      <c r="S6" s="56" t="s">
        <v>75</v>
      </c>
      <c r="T6" s="56" t="s">
        <v>76</v>
      </c>
      <c r="U6" s="56" t="s">
        <v>77</v>
      </c>
      <c r="V6" s="56" t="s">
        <v>78</v>
      </c>
      <c r="W6" s="56"/>
      <c r="X6" s="56" t="s">
        <v>79</v>
      </c>
      <c r="Y6" s="57" t="s">
        <v>80</v>
      </c>
      <c r="Z6" s="56" t="s">
        <v>81</v>
      </c>
      <c r="AB6" s="1"/>
      <c r="CT6" s="20"/>
      <c r="CU6" s="20"/>
      <c r="CV6" s="4"/>
      <c r="CW6" s="20"/>
    </row>
    <row r="7" spans="2:101" s="17" customFormat="1" ht="14.5" customHeight="1" thickBot="1" x14ac:dyDescent="0.4">
      <c r="B7" s="58">
        <v>1</v>
      </c>
      <c r="C7" s="189" t="s">
        <v>83</v>
      </c>
      <c r="D7" s="59">
        <f>E7</f>
        <v>44360.75</v>
      </c>
      <c r="E7" s="60">
        <f>'Dummy Table'!DY7</f>
        <v>44360.75</v>
      </c>
      <c r="F7" s="61" t="str">
        <f>INDEX(Language!$A$1:$J$78,MATCH(Setup!C15,Language!$B$1:$B$75,0),MATCH(Setup!$D$6,Language!$A$1:$J$1,0))</f>
        <v>Brazil</v>
      </c>
      <c r="G7" s="61"/>
      <c r="H7" s="62"/>
      <c r="I7" s="63"/>
      <c r="J7" s="61"/>
      <c r="K7" s="64" t="str">
        <f>INDEX(Language!$A$1:$J$78,MATCH(Setup!C16,Language!$B$1:$B$75,0),MATCH(Setup!$D$6,Language!$A$1:$J$1,0))</f>
        <v>Venezuela</v>
      </c>
      <c r="L7" s="64"/>
      <c r="M7" s="64"/>
      <c r="N7" s="65" t="s">
        <v>479</v>
      </c>
      <c r="O7" s="55"/>
      <c r="P7" s="78">
        <v>1</v>
      </c>
      <c r="Q7" s="179" t="str">
        <f>VLOOKUP(1,'Dummy Table'!$A$4:$B$8,2,FALSE)</f>
        <v>Argentina</v>
      </c>
      <c r="R7" s="180">
        <f>SUM(S7:U7)</f>
        <v>0</v>
      </c>
      <c r="S7" s="180">
        <f>VLOOKUP($Q7,'Dummy Table'!$B$4:$C$40,2,FALSE)</f>
        <v>0</v>
      </c>
      <c r="T7" s="180">
        <f>VLOOKUP($Q7,'Dummy Table'!$B$4:$D$40,3,FALSE)</f>
        <v>0</v>
      </c>
      <c r="U7" s="180">
        <f>VLOOKUP($Q7,'Dummy Table'!$B$4:$E$40,4,FALSE)</f>
        <v>0</v>
      </c>
      <c r="V7" s="180">
        <f>VLOOKUP($Q7,'Dummy Table'!$B$4:$F$40,5,FALSE)</f>
        <v>0</v>
      </c>
      <c r="W7" s="181" t="s">
        <v>82</v>
      </c>
      <c r="X7" s="180">
        <f>VLOOKUP($Q7,'Dummy Table'!$B$4:$G$40,6,FALSE)</f>
        <v>0</v>
      </c>
      <c r="Y7" s="180">
        <f>V7-X7</f>
        <v>0</v>
      </c>
      <c r="Z7" s="180">
        <f>S7*3+T7*1</f>
        <v>0</v>
      </c>
      <c r="AB7" s="1"/>
      <c r="CT7" s="20"/>
      <c r="CU7" s="20"/>
      <c r="CV7" s="4"/>
      <c r="CW7" s="20"/>
    </row>
    <row r="8" spans="2:101" s="17" customFormat="1" ht="14.5" customHeight="1" thickBot="1" x14ac:dyDescent="0.4">
      <c r="B8" s="66">
        <v>2</v>
      </c>
      <c r="C8" s="187" t="s">
        <v>83</v>
      </c>
      <c r="D8" s="67">
        <f t="shared" ref="D8:D35" si="0">E8</f>
        <v>44360.875</v>
      </c>
      <c r="E8" s="68">
        <f>'Dummy Table'!DY8</f>
        <v>44360.875</v>
      </c>
      <c r="F8" s="69" t="str">
        <f>INDEX(Language!$A$1:$J$78,MATCH(Setup!C14,Language!$B$1:$B$75,0),MATCH(Setup!$D$6,Language!$A$1:$J$1,0))</f>
        <v>Colombia</v>
      </c>
      <c r="G8" s="69"/>
      <c r="H8" s="62"/>
      <c r="I8" s="63"/>
      <c r="J8" s="69"/>
      <c r="K8" s="72" t="str">
        <f>INDEX(Language!$A$1:$J$78,MATCH(Setup!C17,Language!$B$1:$B$75,0),MATCH(Setup!$D$6,Language!$A$1:$J$1,0))</f>
        <v>Ecuador</v>
      </c>
      <c r="L8" s="72"/>
      <c r="M8" s="72"/>
      <c r="N8" s="73" t="s">
        <v>480</v>
      </c>
      <c r="O8" s="55"/>
      <c r="P8" s="78">
        <v>2</v>
      </c>
      <c r="Q8" s="182" t="str">
        <f>VLOOKUP(2,'Dummy Table'!$A$4:$B$8,2,FALSE)</f>
        <v>Uruguay</v>
      </c>
      <c r="R8" s="183">
        <f t="shared" ref="R8:R11" si="1">SUM(S8:U8)</f>
        <v>0</v>
      </c>
      <c r="S8" s="183">
        <f>VLOOKUP($Q8,'Dummy Table'!$B$4:$C$40,2,FALSE)</f>
        <v>0</v>
      </c>
      <c r="T8" s="183">
        <f>VLOOKUP($Q8,'Dummy Table'!$B$4:$D$40,3,FALSE)</f>
        <v>0</v>
      </c>
      <c r="U8" s="183">
        <f>VLOOKUP($Q8,'Dummy Table'!$B$4:$E$40,4,FALSE)</f>
        <v>0</v>
      </c>
      <c r="V8" s="183">
        <f>VLOOKUP($Q8,'Dummy Table'!$B$4:$F$40,5,FALSE)</f>
        <v>0</v>
      </c>
      <c r="W8" s="183" t="s">
        <v>82</v>
      </c>
      <c r="X8" s="183">
        <f>VLOOKUP($Q8,'Dummy Table'!$B$4:$G$40,6,FALSE)</f>
        <v>0</v>
      </c>
      <c r="Y8" s="183">
        <f t="shared" ref="Y8:Y11" si="2">V8-X8</f>
        <v>0</v>
      </c>
      <c r="Z8" s="183">
        <f>S8*3+T8*1</f>
        <v>0</v>
      </c>
      <c r="AB8" s="1"/>
      <c r="CT8" s="20"/>
      <c r="CU8" s="20"/>
      <c r="CV8" s="4"/>
      <c r="CW8" s="20"/>
    </row>
    <row r="9" spans="2:101" s="17" customFormat="1" ht="14.5" customHeight="1" thickBot="1" x14ac:dyDescent="0.4">
      <c r="B9" s="66">
        <v>3</v>
      </c>
      <c r="C9" s="188" t="s">
        <v>79</v>
      </c>
      <c r="D9" s="74">
        <f t="shared" si="0"/>
        <v>44361.75</v>
      </c>
      <c r="E9" s="75">
        <f>'Dummy Table'!DY9</f>
        <v>44361.75</v>
      </c>
      <c r="F9" s="76" t="str">
        <f>INDEX(Language!$A$1:$J$78,MATCH(Setup!C9,Language!$B$1:$B$75,0),MATCH(Setup!$D$6,Language!$A$1:$J$1,0))</f>
        <v>Argentina</v>
      </c>
      <c r="G9" s="76"/>
      <c r="H9" s="62"/>
      <c r="I9" s="63"/>
      <c r="J9" s="76"/>
      <c r="K9" s="17" t="str">
        <f>INDEX(Language!$A$1:$J$78,MATCH(Setup!C12,Language!$B$1:$B$75,0),MATCH(Setup!$D$6,Language!$A$1:$J$1,0))</f>
        <v>Chile</v>
      </c>
      <c r="N9" s="77" t="s">
        <v>481</v>
      </c>
      <c r="O9" s="55"/>
      <c r="P9" s="78">
        <v>3</v>
      </c>
      <c r="Q9" s="79" t="str">
        <f>VLOOKUP(3,'Dummy Table'!$A$4:$B$8,2,FALSE)</f>
        <v>Chile</v>
      </c>
      <c r="R9" s="78">
        <f t="shared" si="1"/>
        <v>0</v>
      </c>
      <c r="S9" s="78">
        <f>VLOOKUP($Q9,'Dummy Table'!$B$4:$C$40,2,FALSE)</f>
        <v>0</v>
      </c>
      <c r="T9" s="78">
        <f>VLOOKUP($Q9,'Dummy Table'!$B$4:$D$40,3,FALSE)</f>
        <v>0</v>
      </c>
      <c r="U9" s="78">
        <f>VLOOKUP($Q9,'Dummy Table'!$B$4:$E$40,4,FALSE)</f>
        <v>0</v>
      </c>
      <c r="V9" s="78">
        <f>VLOOKUP($Q9,'Dummy Table'!$B$4:$F$40,5,FALSE)</f>
        <v>0</v>
      </c>
      <c r="W9" s="78" t="s">
        <v>82</v>
      </c>
      <c r="X9" s="78">
        <f>VLOOKUP($Q9,'Dummy Table'!$B$4:$G$40,6,FALSE)</f>
        <v>0</v>
      </c>
      <c r="Y9" s="78">
        <f t="shared" si="2"/>
        <v>0</v>
      </c>
      <c r="Z9" s="78">
        <f>S9*3+T9*1</f>
        <v>0</v>
      </c>
      <c r="AB9" s="1"/>
      <c r="CT9" s="20"/>
      <c r="CU9" s="20"/>
      <c r="CV9" s="4"/>
      <c r="CW9" s="20"/>
    </row>
    <row r="10" spans="2:101" s="17" customFormat="1" ht="14.5" customHeight="1" thickBot="1" x14ac:dyDescent="0.4">
      <c r="B10" s="66">
        <v>4</v>
      </c>
      <c r="C10" s="187" t="s">
        <v>79</v>
      </c>
      <c r="D10" s="67">
        <f t="shared" si="0"/>
        <v>44361.875</v>
      </c>
      <c r="E10" s="68">
        <f>'Dummy Table'!DY10</f>
        <v>44361.875</v>
      </c>
      <c r="F10" s="69" t="str">
        <f>INDEX(Language!$A$1:$J$78,MATCH(Setup!C13,Language!$B$1:$B$75,0),MATCH(Setup!$D$6,Language!$A$1:$J$1,0))</f>
        <v>Paraguay</v>
      </c>
      <c r="G10" s="69"/>
      <c r="H10" s="62"/>
      <c r="I10" s="63"/>
      <c r="J10" s="69"/>
      <c r="K10" s="72" t="str">
        <f>INDEX(Language!$A$1:$J$78,MATCH(Setup!C10,Language!$B$1:$B$75,0),MATCH(Setup!$D$6,Language!$A$1:$J$1,0))</f>
        <v>Bolivia</v>
      </c>
      <c r="L10" s="72"/>
      <c r="M10" s="72"/>
      <c r="N10" s="73" t="s">
        <v>482</v>
      </c>
      <c r="O10" s="55"/>
      <c r="P10" s="78">
        <v>4</v>
      </c>
      <c r="Q10" s="79" t="str">
        <f>VLOOKUP(4,'Dummy Table'!$A$4:$B$8,2,FALSE)</f>
        <v>Paraguay</v>
      </c>
      <c r="R10" s="78">
        <f t="shared" si="1"/>
        <v>0</v>
      </c>
      <c r="S10" s="78">
        <f>VLOOKUP($Q10,'Dummy Table'!$B$4:$C$40,2,FALSE)</f>
        <v>0</v>
      </c>
      <c r="T10" s="78">
        <f>VLOOKUP($Q10,'Dummy Table'!$B$4:$D$40,3,FALSE)</f>
        <v>0</v>
      </c>
      <c r="U10" s="78">
        <f>VLOOKUP($Q10,'Dummy Table'!$B$4:$E$40,4,FALSE)</f>
        <v>0</v>
      </c>
      <c r="V10" s="78">
        <f>VLOOKUP($Q10,'Dummy Table'!$B$4:$F$40,5,FALSE)</f>
        <v>0</v>
      </c>
      <c r="W10" s="78" t="s">
        <v>82</v>
      </c>
      <c r="X10" s="78">
        <f>VLOOKUP($Q10,'Dummy Table'!$B$4:$G$40,6,FALSE)</f>
        <v>0</v>
      </c>
      <c r="Y10" s="78">
        <f t="shared" si="2"/>
        <v>0</v>
      </c>
      <c r="Z10" s="78">
        <f>S10*3+T10*1</f>
        <v>0</v>
      </c>
      <c r="AB10" s="1"/>
      <c r="CT10" s="20"/>
      <c r="CU10" s="20"/>
      <c r="CV10" s="4"/>
      <c r="CW10" s="20"/>
    </row>
    <row r="11" spans="2:101" s="17" customFormat="1" ht="14.5" customHeight="1" thickBot="1" x14ac:dyDescent="0.4">
      <c r="B11" s="66">
        <v>5</v>
      </c>
      <c r="C11" s="188" t="s">
        <v>83</v>
      </c>
      <c r="D11" s="74">
        <f t="shared" si="0"/>
        <v>44364.75</v>
      </c>
      <c r="E11" s="75">
        <f>'Dummy Table'!DY11</f>
        <v>44364.75</v>
      </c>
      <c r="F11" s="76" t="str">
        <f>F8</f>
        <v>Colombia</v>
      </c>
      <c r="G11" s="76"/>
      <c r="H11" s="62"/>
      <c r="I11" s="63"/>
      <c r="J11" s="76"/>
      <c r="K11" s="17" t="str">
        <f>K7</f>
        <v>Venezuela</v>
      </c>
      <c r="N11" s="77" t="s">
        <v>482</v>
      </c>
      <c r="O11" s="55"/>
      <c r="P11" s="184">
        <v>5</v>
      </c>
      <c r="Q11" s="185" t="str">
        <f>VLOOKUP(5,'Dummy Table'!$A$4:$B$8,2,FALSE)</f>
        <v>Bolivia</v>
      </c>
      <c r="R11" s="184">
        <f t="shared" si="1"/>
        <v>0</v>
      </c>
      <c r="S11" s="184">
        <f>VLOOKUP($Q11,'Dummy Table'!$B$4:$C$40,2,FALSE)</f>
        <v>0</v>
      </c>
      <c r="T11" s="184">
        <f>VLOOKUP($Q11,'Dummy Table'!$B$4:$D$40,3,FALSE)</f>
        <v>0</v>
      </c>
      <c r="U11" s="184">
        <f>VLOOKUP($Q11,'Dummy Table'!$B$4:$E$40,4,FALSE)</f>
        <v>0</v>
      </c>
      <c r="V11" s="184">
        <f>VLOOKUP($Q11,'Dummy Table'!$B$4:$F$40,5,FALSE)</f>
        <v>0</v>
      </c>
      <c r="W11" s="184" t="s">
        <v>82</v>
      </c>
      <c r="X11" s="184">
        <f>VLOOKUP($Q11,'Dummy Table'!$B$4:$G$40,6,FALSE)</f>
        <v>0</v>
      </c>
      <c r="Y11" s="184">
        <f t="shared" si="2"/>
        <v>0</v>
      </c>
      <c r="Z11" s="184">
        <f>S11*3+T11*1</f>
        <v>0</v>
      </c>
      <c r="AB11" s="1"/>
      <c r="CT11" s="20"/>
      <c r="CU11" s="20"/>
      <c r="CV11" s="4"/>
      <c r="CW11" s="20"/>
    </row>
    <row r="12" spans="2:101" s="17" customFormat="1" ht="14.5" customHeight="1" thickBot="1" x14ac:dyDescent="0.4">
      <c r="B12" s="66">
        <v>6</v>
      </c>
      <c r="C12" s="187" t="s">
        <v>83</v>
      </c>
      <c r="D12" s="67">
        <f t="shared" si="0"/>
        <v>44364.875</v>
      </c>
      <c r="E12" s="68">
        <f>'Dummy Table'!DY12</f>
        <v>44364.875</v>
      </c>
      <c r="F12" s="69" t="str">
        <f>F7</f>
        <v>Brazil</v>
      </c>
      <c r="G12" s="69"/>
      <c r="H12" s="62"/>
      <c r="I12" s="63"/>
      <c r="J12" s="69"/>
      <c r="K12" s="72" t="str">
        <f>INDEX(Language!$A$1:$J$78,MATCH(Setup!C18,Language!$B$1:$B$75,0),MATCH(Setup!$D$6,Language!$A$1:$J$1,0))</f>
        <v>Peru</v>
      </c>
      <c r="L12" s="72"/>
      <c r="M12" s="72"/>
      <c r="N12" s="73" t="s">
        <v>481</v>
      </c>
      <c r="O12" s="55"/>
      <c r="P12" s="80"/>
      <c r="Q12" s="81"/>
      <c r="R12" s="80"/>
      <c r="S12" s="80"/>
      <c r="T12" s="80"/>
      <c r="U12" s="80"/>
      <c r="V12" s="80"/>
      <c r="W12" s="80"/>
      <c r="X12" s="80"/>
      <c r="Y12" s="80"/>
      <c r="Z12" s="80"/>
      <c r="AB12" s="1"/>
      <c r="CT12" s="20"/>
      <c r="CU12" s="20"/>
      <c r="CV12" s="4"/>
      <c r="CW12" s="20"/>
    </row>
    <row r="13" spans="2:101" s="17" customFormat="1" ht="14.5" customHeight="1" thickBot="1" x14ac:dyDescent="0.4">
      <c r="B13" s="66">
        <v>7</v>
      </c>
      <c r="C13" s="188" t="s">
        <v>79</v>
      </c>
      <c r="D13" s="74">
        <f t="shared" si="0"/>
        <v>44365.75</v>
      </c>
      <c r="E13" s="75">
        <f>'Dummy Table'!DY13</f>
        <v>44365.75</v>
      </c>
      <c r="F13" s="76" t="str">
        <f>K9</f>
        <v>Chile</v>
      </c>
      <c r="G13" s="76"/>
      <c r="H13" s="62"/>
      <c r="I13" s="63"/>
      <c r="J13" s="76"/>
      <c r="K13" s="17" t="str">
        <f>K10</f>
        <v>Bolivia</v>
      </c>
      <c r="N13" s="77" t="s">
        <v>480</v>
      </c>
      <c r="O13" s="55"/>
      <c r="P13" s="211" t="str">
        <f>INDEX(Language!$A$1:$K$78,MATCH("Group B",Language!$B$1:$B$75,0),MATCH(Setup!$D$6,Language!$A$1:$J$1,0))</f>
        <v>Group B</v>
      </c>
      <c r="Q13" s="211"/>
      <c r="R13" s="56" t="s">
        <v>74</v>
      </c>
      <c r="S13" s="56" t="s">
        <v>75</v>
      </c>
      <c r="T13" s="56" t="s">
        <v>76</v>
      </c>
      <c r="U13" s="56" t="s">
        <v>77</v>
      </c>
      <c r="V13" s="56" t="s">
        <v>78</v>
      </c>
      <c r="W13" s="56"/>
      <c r="X13" s="56" t="s">
        <v>79</v>
      </c>
      <c r="Y13" s="57" t="s">
        <v>80</v>
      </c>
      <c r="Z13" s="56" t="s">
        <v>81</v>
      </c>
      <c r="AB13" s="1"/>
      <c r="CT13" s="20"/>
      <c r="CU13" s="82"/>
      <c r="CV13" s="4"/>
      <c r="CW13" s="20"/>
    </row>
    <row r="14" spans="2:101" s="17" customFormat="1" ht="14.5" customHeight="1" thickBot="1" x14ac:dyDescent="0.4">
      <c r="B14" s="66">
        <v>8</v>
      </c>
      <c r="C14" s="187" t="s">
        <v>79</v>
      </c>
      <c r="D14" s="67">
        <f t="shared" si="0"/>
        <v>44365.875</v>
      </c>
      <c r="E14" s="68">
        <f>'Dummy Table'!DY14</f>
        <v>44365.875</v>
      </c>
      <c r="F14" s="69" t="str">
        <f>F9</f>
        <v>Argentina</v>
      </c>
      <c r="G14" s="69"/>
      <c r="H14" s="62"/>
      <c r="I14" s="63"/>
      <c r="J14" s="69"/>
      <c r="K14" s="72" t="str">
        <f>INDEX(Language!$A$1:$J$78,MATCH(Setup!C11,Language!$B$1:$B$75,0),MATCH(Setup!$D$6,Language!$A$1:$J$1,0))</f>
        <v>Uruguay</v>
      </c>
      <c r="L14" s="72"/>
      <c r="M14" s="72"/>
      <c r="N14" s="73" t="s">
        <v>479</v>
      </c>
      <c r="O14" s="55"/>
      <c r="P14" s="172">
        <v>1</v>
      </c>
      <c r="Q14" s="173" t="str">
        <f>VLOOKUP(1,'Dummy Table'!$A$11:$B$15,2,FALSE)</f>
        <v>Brazil</v>
      </c>
      <c r="R14" s="174">
        <f>SUM(S14:U14)</f>
        <v>0</v>
      </c>
      <c r="S14" s="174">
        <f>VLOOKUP($Q14,'Dummy Table'!$B$4:$C$40,2,FALSE)</f>
        <v>0</v>
      </c>
      <c r="T14" s="174">
        <f>VLOOKUP($Q14,'Dummy Table'!$B$4:$D$40,3,FALSE)</f>
        <v>0</v>
      </c>
      <c r="U14" s="174">
        <f>VLOOKUP($Q14,'Dummy Table'!$B$4:$E$40,4,FALSE)</f>
        <v>0</v>
      </c>
      <c r="V14" s="174">
        <f>VLOOKUP($Q14,'Dummy Table'!$B$4:$F$40,5,FALSE)</f>
        <v>0</v>
      </c>
      <c r="W14" s="175" t="s">
        <v>82</v>
      </c>
      <c r="X14" s="174">
        <f>VLOOKUP($Q14,'Dummy Table'!$B$4:$G$40,6,FALSE)</f>
        <v>0</v>
      </c>
      <c r="Y14" s="174">
        <f>V14-X14</f>
        <v>0</v>
      </c>
      <c r="Z14" s="174">
        <f>S14*3+T14*1</f>
        <v>0</v>
      </c>
      <c r="AB14" s="1"/>
      <c r="CT14" s="20"/>
      <c r="CU14" s="20"/>
      <c r="CV14" s="4"/>
      <c r="CW14" s="20"/>
    </row>
    <row r="15" spans="2:101" s="17" customFormat="1" ht="14.5" customHeight="1" thickBot="1" x14ac:dyDescent="0.4">
      <c r="B15" s="66">
        <v>9</v>
      </c>
      <c r="C15" s="188" t="s">
        <v>83</v>
      </c>
      <c r="D15" s="74">
        <f t="shared" si="0"/>
        <v>44367.75</v>
      </c>
      <c r="E15" s="75">
        <f>'Dummy Table'!DY15</f>
        <v>44367.75</v>
      </c>
      <c r="F15" s="76" t="str">
        <f>K7</f>
        <v>Venezuela</v>
      </c>
      <c r="G15" s="76"/>
      <c r="H15" s="62"/>
      <c r="I15" s="63"/>
      <c r="J15" s="76"/>
      <c r="K15" s="17" t="str">
        <f>K8</f>
        <v>Ecuador</v>
      </c>
      <c r="N15" s="77" t="s">
        <v>481</v>
      </c>
      <c r="O15" s="83"/>
      <c r="P15" s="172">
        <v>2</v>
      </c>
      <c r="Q15" s="176" t="str">
        <f>VLOOKUP(2,'Dummy Table'!$A$11:$B$15,2,FALSE)</f>
        <v>Colombia</v>
      </c>
      <c r="R15" s="177">
        <f t="shared" ref="R15:R18" si="3">SUM(S15:U15)</f>
        <v>0</v>
      </c>
      <c r="S15" s="177">
        <f>VLOOKUP($Q15,'Dummy Table'!$B$4:$C$40,2,FALSE)</f>
        <v>0</v>
      </c>
      <c r="T15" s="177">
        <f>VLOOKUP($Q15,'Dummy Table'!$B$4:$D$40,3,FALSE)</f>
        <v>0</v>
      </c>
      <c r="U15" s="177">
        <f>VLOOKUP($Q15,'Dummy Table'!$B$4:$E$40,4,FALSE)</f>
        <v>0</v>
      </c>
      <c r="V15" s="177">
        <f>VLOOKUP($Q15,'Dummy Table'!$B$4:$F$40,5,FALSE)</f>
        <v>0</v>
      </c>
      <c r="W15" s="177" t="s">
        <v>82</v>
      </c>
      <c r="X15" s="177">
        <f>VLOOKUP($Q15,'Dummy Table'!$B$4:$G$40,6,FALSE)</f>
        <v>0</v>
      </c>
      <c r="Y15" s="177">
        <f t="shared" ref="Y15:Y18" si="4">V15-X15</f>
        <v>0</v>
      </c>
      <c r="Z15" s="177">
        <f>S15*3+T15*1</f>
        <v>0</v>
      </c>
      <c r="AB15" s="1"/>
      <c r="CT15" s="20"/>
      <c r="CU15" s="20"/>
      <c r="CV15" s="4"/>
      <c r="CW15" s="20"/>
    </row>
    <row r="16" spans="2:101" s="17" customFormat="1" ht="14.5" customHeight="1" thickBot="1" x14ac:dyDescent="0.4">
      <c r="B16" s="66">
        <v>10</v>
      </c>
      <c r="C16" s="187" t="s">
        <v>83</v>
      </c>
      <c r="D16" s="67">
        <f t="shared" si="0"/>
        <v>44367.875</v>
      </c>
      <c r="E16" s="68">
        <f>'Dummy Table'!DY16</f>
        <v>44367.875</v>
      </c>
      <c r="F16" s="69" t="str">
        <f>F11</f>
        <v>Colombia</v>
      </c>
      <c r="G16" s="69"/>
      <c r="H16" s="62"/>
      <c r="I16" s="63"/>
      <c r="J16" s="69"/>
      <c r="K16" s="72" t="str">
        <f>K12</f>
        <v>Peru</v>
      </c>
      <c r="L16" s="72"/>
      <c r="M16" s="72"/>
      <c r="N16" s="73" t="s">
        <v>482</v>
      </c>
      <c r="O16" s="55"/>
      <c r="P16" s="172">
        <v>3</v>
      </c>
      <c r="Q16" s="178" t="str">
        <f>VLOOKUP(3,'Dummy Table'!$A$11:$B$15,2,FALSE)</f>
        <v>Peru</v>
      </c>
      <c r="R16" s="172">
        <f t="shared" si="3"/>
        <v>0</v>
      </c>
      <c r="S16" s="172">
        <f>VLOOKUP($Q16,'Dummy Table'!$B$4:$C$40,2,FALSE)</f>
        <v>0</v>
      </c>
      <c r="T16" s="172">
        <f>VLOOKUP($Q16,'Dummy Table'!$B$4:$D$40,3,FALSE)</f>
        <v>0</v>
      </c>
      <c r="U16" s="172">
        <f>VLOOKUP($Q16,'Dummy Table'!$B$4:$E$40,4,FALSE)</f>
        <v>0</v>
      </c>
      <c r="V16" s="172">
        <f>VLOOKUP($Q16,'Dummy Table'!$B$4:$F$40,5,FALSE)</f>
        <v>0</v>
      </c>
      <c r="W16" s="172" t="s">
        <v>82</v>
      </c>
      <c r="X16" s="172">
        <f>VLOOKUP($Q16,'Dummy Table'!$B$4:$G$40,6,FALSE)</f>
        <v>0</v>
      </c>
      <c r="Y16" s="172">
        <f t="shared" si="4"/>
        <v>0</v>
      </c>
      <c r="Z16" s="172">
        <f>S16*3+T16*1</f>
        <v>0</v>
      </c>
      <c r="AB16" s="1"/>
      <c r="CT16" s="20"/>
      <c r="CU16" s="20"/>
      <c r="CV16" s="4"/>
      <c r="CW16" s="20"/>
    </row>
    <row r="17" spans="2:101" s="17" customFormat="1" ht="14.5" customHeight="1" thickBot="1" x14ac:dyDescent="0.4">
      <c r="B17" s="66">
        <v>11</v>
      </c>
      <c r="C17" s="188" t="s">
        <v>79</v>
      </c>
      <c r="D17" s="74">
        <f t="shared" si="0"/>
        <v>44368.75</v>
      </c>
      <c r="E17" s="75">
        <f>'Dummy Table'!DY17</f>
        <v>44368.75</v>
      </c>
      <c r="F17" s="76" t="str">
        <f>K14</f>
        <v>Uruguay</v>
      </c>
      <c r="G17" s="76"/>
      <c r="H17" s="62"/>
      <c r="I17" s="63"/>
      <c r="J17" s="76"/>
      <c r="K17" s="17" t="str">
        <f>K9</f>
        <v>Chile</v>
      </c>
      <c r="N17" s="77" t="s">
        <v>480</v>
      </c>
      <c r="O17" s="55"/>
      <c r="P17" s="172">
        <v>4</v>
      </c>
      <c r="Q17" s="178" t="str">
        <f>VLOOKUP(4,'Dummy Table'!$A$11:$B$15,2,FALSE)</f>
        <v>Venezuela</v>
      </c>
      <c r="R17" s="172">
        <f t="shared" si="3"/>
        <v>0</v>
      </c>
      <c r="S17" s="172">
        <f>VLOOKUP($Q17,'Dummy Table'!$B$4:$C$40,2,FALSE)</f>
        <v>0</v>
      </c>
      <c r="T17" s="172">
        <f>VLOOKUP($Q17,'Dummy Table'!$B$4:$D$40,3,FALSE)</f>
        <v>0</v>
      </c>
      <c r="U17" s="172">
        <f>VLOOKUP($Q17,'Dummy Table'!$B$4:$E$40,4,FALSE)</f>
        <v>0</v>
      </c>
      <c r="V17" s="172">
        <f>VLOOKUP($Q17,'Dummy Table'!$B$4:$F$40,5,FALSE)</f>
        <v>0</v>
      </c>
      <c r="W17" s="172" t="s">
        <v>82</v>
      </c>
      <c r="X17" s="172">
        <f>VLOOKUP($Q17,'Dummy Table'!$B$4:$G$40,6,FALSE)</f>
        <v>0</v>
      </c>
      <c r="Y17" s="172">
        <f t="shared" si="4"/>
        <v>0</v>
      </c>
      <c r="Z17" s="172">
        <f>S17*3+T17*1</f>
        <v>0</v>
      </c>
      <c r="AB17" s="1"/>
      <c r="CT17" s="20"/>
      <c r="CU17" s="20"/>
      <c r="CV17" s="4"/>
      <c r="CW17" s="20"/>
    </row>
    <row r="18" spans="2:101" s="17" customFormat="1" ht="14.5" customHeight="1" thickBot="1" x14ac:dyDescent="0.4">
      <c r="B18" s="66">
        <v>12</v>
      </c>
      <c r="C18" s="187" t="s">
        <v>79</v>
      </c>
      <c r="D18" s="67">
        <f t="shared" si="0"/>
        <v>44368.875</v>
      </c>
      <c r="E18" s="68">
        <f>'Dummy Table'!DY18</f>
        <v>44368.875</v>
      </c>
      <c r="F18" s="69" t="str">
        <f>F9</f>
        <v>Argentina</v>
      </c>
      <c r="G18" s="69"/>
      <c r="H18" s="62"/>
      <c r="I18" s="63"/>
      <c r="J18" s="69"/>
      <c r="K18" s="72" t="str">
        <f>F10</f>
        <v>Paraguay</v>
      </c>
      <c r="L18" s="72"/>
      <c r="M18" s="72"/>
      <c r="N18" s="73" t="s">
        <v>479</v>
      </c>
      <c r="O18" s="55"/>
      <c r="P18" s="184">
        <v>5</v>
      </c>
      <c r="Q18" s="185" t="str">
        <f>VLOOKUP(5,'Dummy Table'!$A$11:$B$15,2,FALSE)</f>
        <v>Ecuador</v>
      </c>
      <c r="R18" s="184">
        <f t="shared" si="3"/>
        <v>0</v>
      </c>
      <c r="S18" s="184">
        <f>VLOOKUP($Q18,'Dummy Table'!$B$4:$C$40,2,FALSE)</f>
        <v>0</v>
      </c>
      <c r="T18" s="184">
        <f>VLOOKUP($Q18,'Dummy Table'!$B$4:$D$40,3,FALSE)</f>
        <v>0</v>
      </c>
      <c r="U18" s="184">
        <f>VLOOKUP($Q18,'Dummy Table'!$B$4:$E$40,4,FALSE)</f>
        <v>0</v>
      </c>
      <c r="V18" s="184">
        <f>VLOOKUP($Q18,'Dummy Table'!$B$4:$F$40,5,FALSE)</f>
        <v>0</v>
      </c>
      <c r="W18" s="184" t="s">
        <v>82</v>
      </c>
      <c r="X18" s="184">
        <f>VLOOKUP($Q18,'Dummy Table'!$B$4:$G$40,6,FALSE)</f>
        <v>0</v>
      </c>
      <c r="Y18" s="184">
        <f t="shared" si="4"/>
        <v>0</v>
      </c>
      <c r="Z18" s="184">
        <f>S18*3+T18*1</f>
        <v>0</v>
      </c>
      <c r="CE18" s="20"/>
      <c r="CF18" s="20"/>
      <c r="CG18" s="4"/>
      <c r="CH18" s="20"/>
    </row>
    <row r="19" spans="2:101" s="17" customFormat="1" ht="14.5" customHeight="1" thickBot="1" x14ac:dyDescent="0.4">
      <c r="B19" s="66">
        <v>13</v>
      </c>
      <c r="C19" s="188" t="s">
        <v>83</v>
      </c>
      <c r="D19" s="74">
        <f t="shared" si="0"/>
        <v>44370.75</v>
      </c>
      <c r="E19" s="75">
        <f>'Dummy Table'!DY19</f>
        <v>44370.75</v>
      </c>
      <c r="F19" s="76" t="str">
        <f>K8</f>
        <v>Ecuador</v>
      </c>
      <c r="G19" s="76"/>
      <c r="H19" s="62"/>
      <c r="I19" s="63"/>
      <c r="J19" s="76"/>
      <c r="K19" s="17" t="str">
        <f>K12</f>
        <v>Peru</v>
      </c>
      <c r="N19" s="77" t="s">
        <v>482</v>
      </c>
      <c r="O19" s="55"/>
      <c r="Q19" s="1"/>
      <c r="CE19" s="20"/>
      <c r="CF19" s="20"/>
      <c r="CG19" s="4"/>
      <c r="CH19" s="20"/>
    </row>
    <row r="20" spans="2:101" s="17" customFormat="1" ht="14.5" customHeight="1" thickBot="1" x14ac:dyDescent="0.4">
      <c r="B20" s="66">
        <v>14</v>
      </c>
      <c r="C20" s="187" t="s">
        <v>83</v>
      </c>
      <c r="D20" s="67">
        <f t="shared" si="0"/>
        <v>44370.875</v>
      </c>
      <c r="E20" s="68">
        <f>'Dummy Table'!DY20</f>
        <v>44370.875</v>
      </c>
      <c r="F20" s="69" t="str">
        <f>F12</f>
        <v>Brazil</v>
      </c>
      <c r="G20" s="69"/>
      <c r="H20" s="62"/>
      <c r="I20" s="63"/>
      <c r="J20" s="69"/>
      <c r="K20" s="72" t="str">
        <f>F11</f>
        <v>Colombia</v>
      </c>
      <c r="L20" s="72"/>
      <c r="M20" s="72"/>
      <c r="N20" s="73" t="s">
        <v>481</v>
      </c>
      <c r="O20" s="55"/>
      <c r="Q20" s="1"/>
      <c r="CE20" s="20"/>
      <c r="CF20" s="20"/>
      <c r="CG20" s="4"/>
      <c r="CH20" s="20"/>
    </row>
    <row r="21" spans="2:101" s="17" customFormat="1" ht="14.5" customHeight="1" thickBot="1" x14ac:dyDescent="0.4">
      <c r="B21" s="66">
        <v>15</v>
      </c>
      <c r="C21" s="188" t="s">
        <v>79</v>
      </c>
      <c r="D21" s="74">
        <f t="shared" si="0"/>
        <v>44371.75</v>
      </c>
      <c r="E21" s="75">
        <f>'Dummy Table'!DY21</f>
        <v>44371.75</v>
      </c>
      <c r="F21" s="76" t="str">
        <f>K10</f>
        <v>Bolivia</v>
      </c>
      <c r="G21" s="76"/>
      <c r="H21" s="62"/>
      <c r="I21" s="63"/>
      <c r="J21" s="76"/>
      <c r="K21" s="17" t="str">
        <f>K14</f>
        <v>Uruguay</v>
      </c>
      <c r="N21" s="77" t="s">
        <v>480</v>
      </c>
      <c r="O21" s="55"/>
      <c r="Q21" s="1"/>
      <c r="CE21" s="20"/>
      <c r="CF21" s="20"/>
      <c r="CG21" s="4"/>
      <c r="CH21" s="20"/>
    </row>
    <row r="22" spans="2:101" s="17" customFormat="1" ht="14.5" customHeight="1" thickBot="1" x14ac:dyDescent="0.4">
      <c r="B22" s="66">
        <v>16</v>
      </c>
      <c r="C22" s="187" t="s">
        <v>79</v>
      </c>
      <c r="D22" s="67">
        <f t="shared" si="0"/>
        <v>44371.875</v>
      </c>
      <c r="E22" s="68">
        <f>'Dummy Table'!DY22</f>
        <v>44371.875</v>
      </c>
      <c r="F22" s="69" t="str">
        <f>F13</f>
        <v>Chile</v>
      </c>
      <c r="G22" s="69"/>
      <c r="H22" s="62"/>
      <c r="I22" s="63"/>
      <c r="J22" s="69"/>
      <c r="K22" s="72" t="str">
        <f>K18</f>
        <v>Paraguay</v>
      </c>
      <c r="L22" s="72"/>
      <c r="M22" s="72"/>
      <c r="N22" s="73" t="s">
        <v>479</v>
      </c>
      <c r="O22" s="55"/>
      <c r="Q22" s="1"/>
      <c r="CE22" s="20"/>
      <c r="CF22" s="20"/>
      <c r="CG22" s="4"/>
      <c r="CH22" s="20"/>
    </row>
    <row r="23" spans="2:101" s="17" customFormat="1" ht="14.5" customHeight="1" thickBot="1" x14ac:dyDescent="0.4">
      <c r="B23" s="66">
        <v>17</v>
      </c>
      <c r="C23" s="188" t="s">
        <v>83</v>
      </c>
      <c r="D23" s="74">
        <f t="shared" si="0"/>
        <v>44374.75</v>
      </c>
      <c r="E23" s="75">
        <f>'Dummy Table'!DY23</f>
        <v>44374.75</v>
      </c>
      <c r="F23" s="76" t="str">
        <f>K8</f>
        <v>Ecuador</v>
      </c>
      <c r="G23" s="76"/>
      <c r="H23" s="62"/>
      <c r="I23" s="63"/>
      <c r="J23" s="76"/>
      <c r="K23" s="17" t="str">
        <f>F7</f>
        <v>Brazil</v>
      </c>
      <c r="N23" s="77" t="s">
        <v>482</v>
      </c>
      <c r="O23" s="55"/>
      <c r="Q23" s="1"/>
      <c r="CE23" s="20"/>
      <c r="CF23" s="20"/>
      <c r="CG23" s="4"/>
      <c r="CH23" s="20"/>
    </row>
    <row r="24" spans="2:101" s="17" customFormat="1" ht="14.5" customHeight="1" thickBot="1" x14ac:dyDescent="0.4">
      <c r="B24" s="66">
        <v>18</v>
      </c>
      <c r="C24" s="187" t="s">
        <v>83</v>
      </c>
      <c r="D24" s="67">
        <f t="shared" si="0"/>
        <v>44374.75</v>
      </c>
      <c r="E24" s="68">
        <f>'Dummy Table'!DY24</f>
        <v>44374.75</v>
      </c>
      <c r="F24" s="69" t="str">
        <f>F15</f>
        <v>Venezuela</v>
      </c>
      <c r="G24" s="69"/>
      <c r="H24" s="62"/>
      <c r="I24" s="63"/>
      <c r="J24" s="69"/>
      <c r="K24" s="72" t="str">
        <f>K19</f>
        <v>Peru</v>
      </c>
      <c r="L24" s="72"/>
      <c r="M24" s="72"/>
      <c r="N24" s="73" t="s">
        <v>479</v>
      </c>
      <c r="O24" s="55"/>
      <c r="Q24" s="1"/>
      <c r="CE24" s="20"/>
      <c r="CF24" s="20"/>
      <c r="CG24" s="4"/>
      <c r="CH24" s="20"/>
    </row>
    <row r="25" spans="2:101" s="17" customFormat="1" ht="14.5" customHeight="1" thickBot="1" x14ac:dyDescent="0.4">
      <c r="B25" s="66">
        <v>19</v>
      </c>
      <c r="C25" s="188" t="s">
        <v>79</v>
      </c>
      <c r="D25" s="74">
        <f t="shared" si="0"/>
        <v>44375.875</v>
      </c>
      <c r="E25" s="75">
        <f>'Dummy Table'!DY25</f>
        <v>44375.875</v>
      </c>
      <c r="F25" s="76" t="str">
        <f>K14</f>
        <v>Uruguay</v>
      </c>
      <c r="G25" s="76"/>
      <c r="H25" s="62"/>
      <c r="I25" s="63"/>
      <c r="J25" s="76"/>
      <c r="K25" s="17" t="str">
        <f>F10</f>
        <v>Paraguay</v>
      </c>
      <c r="N25" s="77" t="s">
        <v>481</v>
      </c>
      <c r="O25" s="55"/>
      <c r="Q25" s="1"/>
      <c r="CE25" s="20"/>
      <c r="CF25" s="20"/>
      <c r="CG25" s="4"/>
      <c r="CH25" s="20"/>
    </row>
    <row r="26" spans="2:101" s="17" customFormat="1" ht="14.5" customHeight="1" thickBot="1" x14ac:dyDescent="0.4">
      <c r="B26" s="66">
        <v>20</v>
      </c>
      <c r="C26" s="187" t="s">
        <v>79</v>
      </c>
      <c r="D26" s="67">
        <f t="shared" si="0"/>
        <v>44375.875</v>
      </c>
      <c r="E26" s="68">
        <f>'Dummy Table'!DY26</f>
        <v>44375.875</v>
      </c>
      <c r="F26" s="69" t="str">
        <f>K10</f>
        <v>Bolivia</v>
      </c>
      <c r="G26" s="69"/>
      <c r="H26" s="62"/>
      <c r="I26" s="63"/>
      <c r="J26" s="69"/>
      <c r="K26" s="72" t="str">
        <f>F9</f>
        <v>Argentina</v>
      </c>
      <c r="L26" s="72"/>
      <c r="M26" s="72"/>
      <c r="N26" s="73" t="s">
        <v>480</v>
      </c>
      <c r="O26" s="55"/>
      <c r="Q26" s="1"/>
      <c r="CE26" s="20"/>
      <c r="CF26" s="20"/>
      <c r="CG26" s="4"/>
      <c r="CH26" s="20"/>
    </row>
    <row r="27" spans="2:101" s="17" customFormat="1" ht="14.5" customHeight="1" x14ac:dyDescent="0.35">
      <c r="B27" s="86" t="str">
        <f>INDEX(Language!$A$1:$K$78,MATCH("Knock Out Rounds",Language!$B$1:$B$75,0),MATCH(Setup!$D$6,Language!$A$1:$J$1,0))</f>
        <v>Knock Out Rounds</v>
      </c>
      <c r="C27" s="87"/>
      <c r="D27" s="88"/>
      <c r="E27" s="89"/>
      <c r="F27" s="90"/>
      <c r="G27" s="90"/>
      <c r="H27" s="91"/>
      <c r="I27" s="91"/>
      <c r="J27" s="90"/>
      <c r="K27" s="92"/>
      <c r="L27" s="209" t="s">
        <v>84</v>
      </c>
      <c r="M27" s="209"/>
      <c r="N27" s="93"/>
      <c r="O27" s="1"/>
      <c r="Q27" s="1"/>
      <c r="CE27" s="20"/>
      <c r="CF27" s="20"/>
      <c r="CG27" s="4"/>
      <c r="CH27" s="20"/>
    </row>
    <row r="28" spans="2:101" s="17" customFormat="1" ht="14.5" customHeight="1" thickBot="1" x14ac:dyDescent="0.4">
      <c r="B28" s="58">
        <v>21</v>
      </c>
      <c r="C28" s="204" t="str">
        <f>INDEX(Language!$A$1:$K$78,MATCH("Quarter Finals",Language!$B$1:$B$75,0),MATCH(Setup!$D$6,Language!$A$1:$J$1,0))</f>
        <v>Quarter Finals</v>
      </c>
      <c r="D28" s="94">
        <f t="shared" si="0"/>
        <v>44379.75</v>
      </c>
      <c r="E28" s="60">
        <f>'Dummy Table'!DY27</f>
        <v>44379.75</v>
      </c>
      <c r="F28" s="61" t="str">
        <f>IF(SUM(R14:R18)=20,Q15,INDEX(Language!$A$1:$K$78,MATCH("Group B Runner Up",Language!$B$1:$B$75,0),MATCH(Setup!D6,Language!$A$1:$J$1,0)))</f>
        <v>Group B Runner Up</v>
      </c>
      <c r="G28" s="95"/>
      <c r="H28" s="62"/>
      <c r="I28" s="63"/>
      <c r="J28" s="95"/>
      <c r="K28" s="64" t="str">
        <f>IF(SUM(R7:R11)=20,Q9,INDEX(Language!$A$1:$K$78,MATCH("Group A 3rd Place",Language!$B$1:$B$75,0),MATCH(Setup!D6,Language!$A$1:$J$1,0)))</f>
        <v>Group A 3rd Place</v>
      </c>
      <c r="L28" s="96"/>
      <c r="M28" s="97"/>
      <c r="N28" s="98" t="s">
        <v>482</v>
      </c>
      <c r="O28" s="1"/>
      <c r="Q28" s="1"/>
      <c r="CB28" s="20"/>
      <c r="CC28" s="20"/>
      <c r="CD28" s="4"/>
      <c r="CE28" s="20"/>
    </row>
    <row r="29" spans="2:101" s="17" customFormat="1" ht="14.5" customHeight="1" thickBot="1" x14ac:dyDescent="0.4">
      <c r="B29" s="66">
        <v>22</v>
      </c>
      <c r="C29" s="205"/>
      <c r="D29" s="67">
        <f t="shared" si="0"/>
        <v>44379.875</v>
      </c>
      <c r="E29" s="68">
        <f>'Dummy Table'!DY28</f>
        <v>44379.875</v>
      </c>
      <c r="F29" s="69" t="str">
        <f>IF(SUM(R14:R18)=20,Q14,INDEX(Language!$A$1:$K$78,MATCH("Group B Winner",Language!$B$1:$B$75,0),MATCH(Setup!D6,Language!$A$1:$J$1,0)))</f>
        <v>Group B Winner</v>
      </c>
      <c r="G29" s="99"/>
      <c r="H29" s="70"/>
      <c r="I29" s="71"/>
      <c r="J29" s="99"/>
      <c r="K29" s="72" t="str">
        <f>IF(SUM(R7:R11)=20,Q10,INDEX(Language!$A$1:$K$78,MATCH("Group A 4th Place",Language!$B$1:$B$75,0),MATCH(Setup!D6,Language!$A$1:$J$1,0)))</f>
        <v>Group A 4th Place</v>
      </c>
      <c r="L29" s="100"/>
      <c r="M29" s="101"/>
      <c r="N29" s="102" t="s">
        <v>481</v>
      </c>
      <c r="O29" s="1"/>
      <c r="Q29" s="1"/>
      <c r="BX29" s="20"/>
      <c r="BY29" s="20"/>
      <c r="BZ29" s="4"/>
      <c r="CA29" s="20"/>
    </row>
    <row r="30" spans="2:101" ht="14.5" customHeight="1" thickBot="1" x14ac:dyDescent="0.4">
      <c r="B30" s="66">
        <v>23</v>
      </c>
      <c r="C30" s="205"/>
      <c r="D30" s="74">
        <f t="shared" si="0"/>
        <v>44380.791666666664</v>
      </c>
      <c r="E30" s="75">
        <f>'Dummy Table'!DY29</f>
        <v>44380.791666666664</v>
      </c>
      <c r="F30" s="76" t="str">
        <f>IF(SUM(R7:R11)=20,Q8,INDEX(Language!$A$1:$K$78,MATCH("Group A Runner Up",Language!$B$1:$B$75,0),MATCH(Setup!D6,Language!$A$1:$J$1,0)))</f>
        <v>Group A Runner Up</v>
      </c>
      <c r="G30" s="103"/>
      <c r="H30" s="70"/>
      <c r="I30" s="71"/>
      <c r="J30" s="103"/>
      <c r="K30" s="17" t="str">
        <f>IF(SUM(R14:R18)=20,Q16,INDEX(Language!$A$1:$K$78,MATCH("Group B 3rd Place",Language!$B$1:$B$75,0),MATCH(Setup!D6,Language!$A$1:$J$1,0)))</f>
        <v>Group B 3rd Place</v>
      </c>
      <c r="L30" s="104"/>
      <c r="M30" s="105"/>
      <c r="N30" s="106" t="s">
        <v>482</v>
      </c>
      <c r="P30" s="17"/>
      <c r="Q30" s="1"/>
      <c r="R30" s="1"/>
      <c r="S30" s="1"/>
      <c r="T30" s="1"/>
      <c r="U30" s="1"/>
      <c r="BX30" s="4"/>
      <c r="BY30" s="4"/>
      <c r="BZ30" s="4"/>
      <c r="CA30" s="4"/>
      <c r="CM30" s="1"/>
      <c r="CN30" s="1"/>
      <c r="CO30" s="1"/>
      <c r="CP30" s="1"/>
    </row>
    <row r="31" spans="2:101" ht="14.5" customHeight="1" x14ac:dyDescent="0.35">
      <c r="B31" s="107">
        <v>24</v>
      </c>
      <c r="C31" s="206"/>
      <c r="D31" s="108">
        <f t="shared" si="0"/>
        <v>44380.916666666664</v>
      </c>
      <c r="E31" s="109">
        <f>'Dummy Table'!DY30</f>
        <v>44380.916666666664</v>
      </c>
      <c r="F31" s="110" t="str">
        <f>IF(SUM(R7:R11)=20,Q7,INDEX(Language!$A$1:$K$78,MATCH("Group A Winner",Language!$B$1:$B$75,0),MATCH(Setup!D6,Language!$A$1:$J$1,0)))</f>
        <v>Group A Winner</v>
      </c>
      <c r="G31" s="111"/>
      <c r="H31" s="84"/>
      <c r="I31" s="85"/>
      <c r="J31" s="111"/>
      <c r="K31" s="112" t="str">
        <f>IF(SUM(R14:R18)=20,Q17,INDEX(Language!$A$1:$K$78,MATCH("Group B 4th Place",Language!$B$1:$B$75,0),MATCH(Setup!D6,Language!$A$1:$J$1,0)))</f>
        <v>Group B 4th Place</v>
      </c>
      <c r="L31" s="113"/>
      <c r="M31" s="114"/>
      <c r="N31" s="115" t="s">
        <v>479</v>
      </c>
      <c r="P31" s="1"/>
      <c r="Q31" s="17"/>
      <c r="R31" s="1"/>
      <c r="S31" s="1"/>
      <c r="T31" s="1"/>
      <c r="U31" s="1"/>
      <c r="BX31" s="4"/>
      <c r="BY31" s="4"/>
      <c r="BZ31" s="4"/>
      <c r="CA31" s="4"/>
      <c r="CM31" s="1"/>
      <c r="CN31" s="1"/>
      <c r="CO31" s="1"/>
      <c r="CP31" s="1"/>
    </row>
    <row r="32" spans="2:101" ht="14.5" customHeight="1" thickBot="1" x14ac:dyDescent="0.4">
      <c r="B32" s="66">
        <v>25</v>
      </c>
      <c r="C32" s="205" t="str">
        <f>INDEX(Language!$A$1:$K$78,MATCH("Semi finals",Language!$B$1:$B$75,0),MATCH(Setup!$D$6,Language!$A$1:$J$1,0))</f>
        <v>Semi Finals</v>
      </c>
      <c r="D32" s="74">
        <f t="shared" si="0"/>
        <v>44382.833333333336</v>
      </c>
      <c r="E32" s="75">
        <f>'Dummy Table'!DY31</f>
        <v>44382.833333333336</v>
      </c>
      <c r="F32" s="76" t="str">
        <f>IF(AND(H29&lt;&gt;"",I29&lt;&gt;""),IF((H29+L29)&gt;(I29+M29),F29,IF((H29+L29)&lt;(I29+M29),K29,INDEX(Language!$A$1:$K$78,MATCH("Match 22 Winner",Language!$B$1:$B$75,0),MATCH(Setup!$D$6,Language!$A$1:$J$1,0)))),INDEX(Language!$A$1:$K$78,MATCH("Match 22 Winner",Language!$B$1:$B$75,0),MATCH(Setup!$D$6,Language!$A$1:$J$1,0)))</f>
        <v>Match 22 Winner</v>
      </c>
      <c r="G32" s="103"/>
      <c r="H32" s="62"/>
      <c r="I32" s="63"/>
      <c r="J32" s="103"/>
      <c r="K32" s="17" t="str">
        <f>IF(AND(H28&lt;&gt;"",I28&lt;&gt;""),IF((H28+L28)&gt;(I28+M28),F28,IF((H28+L28)&lt;(I28+M28),K28,INDEX(Language!$A$1:$K$78,MATCH("Match 21 Winner",Language!$B$1:$B$75,0),MATCH(Setup!$D$6,Language!$A$1:$J$1,0)))),INDEX(Language!$A$1:$K$78,MATCH("Match 21 Winner",Language!$B$1:$B$75,0),MATCH(Setup!$D$6,Language!$A$1:$J$1,0)))</f>
        <v>Match 21 Winner</v>
      </c>
      <c r="L32" s="116"/>
      <c r="M32" s="117"/>
      <c r="N32" s="106" t="s">
        <v>481</v>
      </c>
      <c r="P32" s="207" t="s">
        <v>85</v>
      </c>
      <c r="Q32" s="207"/>
      <c r="R32" s="207"/>
      <c r="S32" s="207"/>
      <c r="T32" s="207"/>
      <c r="U32" s="207"/>
      <c r="V32" s="207"/>
      <c r="W32" s="207"/>
      <c r="X32" s="207"/>
      <c r="Y32" s="207"/>
      <c r="Z32" s="207"/>
      <c r="BX32" s="4"/>
      <c r="BY32" s="4"/>
      <c r="BZ32" s="4"/>
      <c r="CA32" s="4"/>
      <c r="CM32" s="1"/>
      <c r="CN32" s="1"/>
      <c r="CO32" s="1"/>
      <c r="CP32" s="1"/>
    </row>
    <row r="33" spans="2:94" ht="14.5" customHeight="1" x14ac:dyDescent="0.35">
      <c r="B33" s="66">
        <v>26</v>
      </c>
      <c r="C33" s="205"/>
      <c r="D33" s="67">
        <f t="shared" si="0"/>
        <v>44383.916666666664</v>
      </c>
      <c r="E33" s="68">
        <f>'Dummy Table'!DY32</f>
        <v>44383.916666666664</v>
      </c>
      <c r="F33" s="69" t="str">
        <f>IF(AND(H31&lt;&gt;"",I31&lt;&gt;""),IF((H31+L31)&gt;(I31+M31),F31,IF((H31+L31)&lt;(I31+M31),K31,INDEX(Language!$A$1:$K$78,MATCH("Match 24 Winner",Language!$B$1:$B$75,0),MATCH(Setup!$D$6,Language!$A$1:$J$1,0)))),INDEX(Language!$A$1:$K$78,MATCH("Match 24 Winner",Language!$B$1:$B$75,0),MATCH(Setup!$D$6,Language!$A$1:$J$1,0)))</f>
        <v>Match 24 Winner</v>
      </c>
      <c r="G33" s="99"/>
      <c r="H33" s="118"/>
      <c r="I33" s="119"/>
      <c r="J33" s="99"/>
      <c r="K33" s="72" t="str">
        <f>IF(AND(H30&lt;&gt;"",I30&lt;&gt;""),IF((H30+L30)&gt;(I30+M30),F30,IF((H30+L30)&lt;(I30+M30),K30,INDEX(Language!$A$1:$K$78,MATCH("Match 23 Winner",Language!$B$1:$B$75,0),MATCH(Setup!$D$6,Language!$A$1:$J$1,0)))),INDEX(Language!$A$1:$K$78,MATCH("Match 23 Winner",Language!$B$1:$B$75,0),MATCH(Setup!$D$6,Language!$A$1:$J$1,0)))</f>
        <v>Match 23 Winner</v>
      </c>
      <c r="L33" s="120"/>
      <c r="M33" s="121"/>
      <c r="N33" s="102" t="s">
        <v>479</v>
      </c>
      <c r="P33" s="207"/>
      <c r="Q33" s="207"/>
      <c r="R33" s="207"/>
      <c r="S33" s="207"/>
      <c r="T33" s="207"/>
      <c r="U33" s="207"/>
      <c r="V33" s="207"/>
      <c r="W33" s="207"/>
      <c r="X33" s="207"/>
      <c r="Y33" s="207"/>
      <c r="Z33" s="207"/>
      <c r="BX33" s="4"/>
      <c r="BY33" s="4"/>
      <c r="BZ33" s="4"/>
      <c r="CA33" s="4"/>
      <c r="CM33" s="1"/>
      <c r="CN33" s="1"/>
      <c r="CO33" s="1"/>
      <c r="CP33" s="1"/>
    </row>
    <row r="34" spans="2:94" ht="14.5" customHeight="1" x14ac:dyDescent="0.35">
      <c r="B34" s="122">
        <v>27</v>
      </c>
      <c r="C34" s="186" t="str">
        <f>INDEX(Language!$A$1:$K$78,MATCH("3rd Place",Language!$B$1:$B$75,0),MATCH(Setup!$D$6,Language!$A$1:$J$1,0))</f>
        <v>3rd Place</v>
      </c>
      <c r="D34" s="123">
        <f t="shared" si="0"/>
        <v>44386.875</v>
      </c>
      <c r="E34" s="124">
        <f>'Dummy Table'!DY33</f>
        <v>44386.875</v>
      </c>
      <c r="F34" s="125" t="str">
        <f>IF(AND(H33&lt;&gt;"",I33&lt;&gt;""),IF((H33+L33)&lt;(I33+M33),F33,IF((H33+L33)&gt;(I33+M33),K33,INDEX(Language!$A$1:$K$78,MATCH("Match 26 Loser",Language!$B$1:$B$75,0),MATCH(Setup!$D$6,Language!$A$1:$J$1,0)))),INDEX(Language!$A$1:$K$78,MATCH("Match 26 Loser",Language!$B$1:$B$75,0),MATCH(Setup!$D$6,Language!$A$1:$J$1,0)))</f>
        <v>Match 26 Loser</v>
      </c>
      <c r="G34" s="126"/>
      <c r="H34" s="127"/>
      <c r="I34" s="128"/>
      <c r="J34" s="126"/>
      <c r="K34" s="129" t="str">
        <f>IF(AND(H32&lt;&gt;"",I32&lt;&gt;""),IF((H32+L32)&lt;(I32+M32),F32,IF((H32+L32)&gt;(I32+M32),K32,INDEX(Language!$A$1:$K$78,MATCH("Match 25 Loser",Language!$B$1:$B$75,0),MATCH(Setup!$D$6,Language!$A$1:$J$1,0)))),INDEX(Language!$A$1:$K$78,MATCH("Match 25 Loser",Language!$B$1:$B$75,0),MATCH(Setup!$D$6,Language!$A$1:$J$1,0)))</f>
        <v>Match 25 Loser</v>
      </c>
      <c r="L34" s="130"/>
      <c r="M34" s="131"/>
      <c r="N34" s="132" t="s">
        <v>479</v>
      </c>
      <c r="P34" s="208" t="str">
        <f>UPPER(IF(AND(H35&lt;&gt;"",I35&lt;&gt;""),IF((H35+L35)&gt;(I35+M35),F35,IF((H35+L35)&lt;(I35+M35),K35,INDEX(Language!$A$1:$K$78,MATCH("Match 28 Winner",Language!$B$1:$B$75,0),MATCH(Setup!$D$6,Language!$A$1:$J$1,0)))),INDEX(Language!$A$1:$K$78,MATCH("Match 28 Winner",Language!$B$1:$B$75,0),MATCH(Setup!$D$6,Language!$A$1:$J$1,0))))</f>
        <v>MATCH 28 WINNER</v>
      </c>
      <c r="Q34" s="208"/>
      <c r="R34" s="208"/>
      <c r="S34" s="208"/>
      <c r="T34" s="208"/>
      <c r="U34" s="208"/>
      <c r="V34" s="208"/>
      <c r="W34" s="208"/>
      <c r="X34" s="208"/>
      <c r="Y34" s="208"/>
      <c r="Z34" s="208"/>
      <c r="BX34" s="4"/>
      <c r="BY34" s="4"/>
      <c r="BZ34" s="4"/>
      <c r="CA34" s="4"/>
      <c r="CM34" s="1"/>
      <c r="CN34" s="1"/>
      <c r="CO34" s="1"/>
      <c r="CP34" s="1"/>
    </row>
    <row r="35" spans="2:94" ht="14.5" customHeight="1" x14ac:dyDescent="0.35">
      <c r="B35" s="122">
        <v>28</v>
      </c>
      <c r="C35" s="186" t="str">
        <f>INDEX(Language!$A$1:$K$78,MATCH("Final",Language!$B$1:$B$75,0),MATCH(Setup!$D$6,Language!$A$1:$J$1,0))</f>
        <v>Final</v>
      </c>
      <c r="D35" s="133">
        <f t="shared" si="0"/>
        <v>44387.875</v>
      </c>
      <c r="E35" s="134">
        <f>'Dummy Table'!DY34</f>
        <v>44387.875</v>
      </c>
      <c r="F35" s="135" t="str">
        <f>IF(AND(H33&lt;&gt;"",I33&lt;&gt;""),IF((H33+L33)&gt;(I33+M33),F33,IF((H33+L33)&lt;(I33+M33),K33,INDEX(Language!$A$1:$K$78,MATCH("Match 26 Winner",Language!$B$1:$B$75,0),MATCH(Setup!$D$6,Language!$A$1:$J$1,0)))),INDEX(Language!$A$1:$K$78,MATCH("Match 26 Winner",Language!$B$1:$B$75,0),MATCH(Setup!$D$6,Language!$A$1:$J$1,0)))</f>
        <v>Match 26 Winner</v>
      </c>
      <c r="G35" s="136"/>
      <c r="H35" s="127"/>
      <c r="I35" s="128"/>
      <c r="J35" s="136"/>
      <c r="K35" s="137" t="str">
        <f>IF(AND(H32&lt;&gt;"",I32&lt;&gt;""),IF((H32+L32)&gt;(I32+M32),F32,IF((H32+L32)&lt;(I32+M32),K32,INDEX(Language!$A$1:$K$78,MATCH("Match 25 Winner",Language!$B$1:$B$75,0),MATCH(Setup!$D$6,Language!$A$1:$J$1,0)))),INDEX(Language!$A$1:$K$78,MATCH("Match 25 Winner",Language!$B$1:$B$75,0),MATCH(Setup!$D$6,Language!$A$1:$J$1,0)))</f>
        <v>Match 25 Winner</v>
      </c>
      <c r="L35" s="130"/>
      <c r="M35" s="131"/>
      <c r="N35" s="138" t="s">
        <v>483</v>
      </c>
      <c r="P35" s="208"/>
      <c r="Q35" s="208"/>
      <c r="R35" s="208"/>
      <c r="S35" s="208"/>
      <c r="T35" s="208"/>
      <c r="U35" s="208"/>
      <c r="V35" s="208"/>
      <c r="W35" s="208"/>
      <c r="X35" s="208"/>
      <c r="Y35" s="208"/>
      <c r="Z35" s="208"/>
      <c r="BX35" s="4"/>
      <c r="BY35" s="4"/>
      <c r="BZ35" s="4"/>
      <c r="CA35" s="4"/>
      <c r="CM35" s="1"/>
      <c r="CN35" s="1"/>
      <c r="CO35" s="1"/>
      <c r="CP35" s="1"/>
    </row>
    <row r="36" spans="2:94" ht="14.5" customHeight="1" x14ac:dyDescent="0.35">
      <c r="B36" s="139" t="s">
        <v>86</v>
      </c>
      <c r="P36" s="1"/>
      <c r="Q36" s="1"/>
      <c r="R36" s="1"/>
      <c r="S36" s="1"/>
      <c r="T36" s="1"/>
      <c r="U36" s="1"/>
      <c r="BX36" s="4"/>
      <c r="BY36" s="4"/>
      <c r="BZ36" s="4"/>
      <c r="CA36" s="4"/>
      <c r="CM36" s="1"/>
      <c r="CN36" s="1"/>
      <c r="CO36" s="1"/>
      <c r="CP36" s="1"/>
    </row>
    <row r="37" spans="2:94" ht="14.5" customHeight="1" x14ac:dyDescent="0.35">
      <c r="B37" s="140" t="s">
        <v>87</v>
      </c>
      <c r="D37" s="1"/>
      <c r="E37" s="1"/>
      <c r="P37" s="1"/>
      <c r="Q37" s="1"/>
      <c r="R37" s="1"/>
      <c r="S37" s="1"/>
      <c r="T37" s="1"/>
      <c r="U37" s="1"/>
      <c r="BX37" s="4"/>
      <c r="BY37" s="4"/>
      <c r="BZ37" s="4"/>
      <c r="CA37" s="4"/>
      <c r="CM37" s="1"/>
      <c r="CN37" s="1"/>
      <c r="CO37" s="1"/>
      <c r="CP37" s="1"/>
    </row>
    <row r="38" spans="2:94" ht="14.5" customHeight="1" x14ac:dyDescent="0.35">
      <c r="B38" s="141" t="s">
        <v>88</v>
      </c>
      <c r="C38" s="1" t="s">
        <v>89</v>
      </c>
    </row>
    <row r="39" spans="2:94" x14ac:dyDescent="0.35">
      <c r="B39" s="141" t="s">
        <v>88</v>
      </c>
      <c r="C39" s="1" t="s">
        <v>90</v>
      </c>
    </row>
    <row r="40" spans="2:94" x14ac:dyDescent="0.35">
      <c r="B40" s="141" t="s">
        <v>88</v>
      </c>
      <c r="C40" s="1" t="s">
        <v>91</v>
      </c>
    </row>
    <row r="41" spans="2:94" x14ac:dyDescent="0.35">
      <c r="B41" s="1" t="s">
        <v>92</v>
      </c>
    </row>
    <row r="42" spans="2:94" x14ac:dyDescent="0.35">
      <c r="B42" s="140" t="s">
        <v>93</v>
      </c>
      <c r="D42" s="3" t="s">
        <v>94</v>
      </c>
    </row>
    <row r="43" spans="2:94" x14ac:dyDescent="0.35">
      <c r="B43" s="142" t="s">
        <v>93</v>
      </c>
      <c r="D43" s="3" t="s">
        <v>95</v>
      </c>
    </row>
    <row r="44" spans="2:94" x14ac:dyDescent="0.35">
      <c r="B44" s="143" t="s">
        <v>93</v>
      </c>
      <c r="D44" s="3" t="s">
        <v>96</v>
      </c>
    </row>
    <row r="45" spans="2:94" x14ac:dyDescent="0.35">
      <c r="B45" s="144" t="s">
        <v>93</v>
      </c>
      <c r="D45" s="3" t="s">
        <v>97</v>
      </c>
    </row>
  </sheetData>
  <mergeCells count="8">
    <mergeCell ref="H5:I5"/>
    <mergeCell ref="P6:Q6"/>
    <mergeCell ref="P13:Q13"/>
    <mergeCell ref="C28:C31"/>
    <mergeCell ref="C32:C33"/>
    <mergeCell ref="P32:Z33"/>
    <mergeCell ref="P34:Z35"/>
    <mergeCell ref="L27:M27"/>
  </mergeCells>
  <conditionalFormatting sqref="L28:M35">
    <cfRule type="expression" dxfId="16" priority="17">
      <formula>AND($H28&lt;&gt;"",$I28&lt;&gt;"",$H28=$I28)</formula>
    </cfRule>
  </conditionalFormatting>
  <conditionalFormatting sqref="H7:I26">
    <cfRule type="expression" dxfId="15" priority="16">
      <formula>ISTEXT(H7)</formula>
    </cfRule>
  </conditionalFormatting>
  <conditionalFormatting sqref="H28:I31">
    <cfRule type="expression" dxfId="14" priority="15">
      <formula>ISTEXT(H28)</formula>
    </cfRule>
  </conditionalFormatting>
  <conditionalFormatting sqref="H32:I34">
    <cfRule type="expression" dxfId="13" priority="14">
      <formula>ISTEXT(H32)</formula>
    </cfRule>
  </conditionalFormatting>
  <conditionalFormatting sqref="H35:I35">
    <cfRule type="expression" dxfId="12" priority="13">
      <formula>ISTEXT(H35)</formula>
    </cfRule>
  </conditionalFormatting>
  <conditionalFormatting sqref="F7:G26 J7:J26">
    <cfRule type="expression" dxfId="11" priority="11">
      <formula>$H7&lt;$I7</formula>
    </cfRule>
    <cfRule type="expression" dxfId="10" priority="12">
      <formula>$H7&gt;$I7</formula>
    </cfRule>
  </conditionalFormatting>
  <conditionalFormatting sqref="K7:K26">
    <cfRule type="expression" dxfId="9" priority="9">
      <formula>$H7&gt;$I7</formula>
    </cfRule>
    <cfRule type="expression" dxfId="8" priority="10">
      <formula>$H7&lt;$I7</formula>
    </cfRule>
  </conditionalFormatting>
  <conditionalFormatting sqref="F28:F35">
    <cfRule type="expression" dxfId="7" priority="1">
      <formula>$L28&gt;$M28</formula>
    </cfRule>
    <cfRule type="expression" dxfId="6" priority="2">
      <formula>$L28&lt;$M28</formula>
    </cfRule>
    <cfRule type="expression" dxfId="5" priority="7">
      <formula>$H28&lt;$I28</formula>
    </cfRule>
    <cfRule type="expression" dxfId="4" priority="8">
      <formula>$H28&gt;$I28</formula>
    </cfRule>
  </conditionalFormatting>
  <conditionalFormatting sqref="K28:K35">
    <cfRule type="expression" dxfId="3" priority="3">
      <formula>$L28&lt;$M28</formula>
    </cfRule>
    <cfRule type="expression" dxfId="2" priority="4">
      <formula>$L28&gt;$M28</formula>
    </cfRule>
    <cfRule type="expression" dxfId="1" priority="5">
      <formula>$H28&gt;$I28</formula>
    </cfRule>
    <cfRule type="expression" dxfId="0" priority="6">
      <formula>$H28&lt;$I28</formula>
    </cfRule>
  </conditionalFormatting>
  <printOptions horizontalCentered="1" verticalCentered="1"/>
  <pageMargins left="0.39370078740157499" right="0.31496062992126" top="0.27559055118110198" bottom="0.39370078740157499" header="0.196850393700787" footer="0.27559055118110198"/>
  <pageSetup scale="85" orientation="landscape"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showGridLines="0" zoomScaleNormal="100" workbookViewId="0">
      <pane xSplit="2" ySplit="2" topLeftCell="C3" activePane="bottomRight" state="frozen"/>
      <selection activeCell="R10" sqref="R10"/>
      <selection pane="topRight" activeCell="R10" sqref="R10"/>
      <selection pane="bottomLeft" activeCell="R10" sqref="R10"/>
      <selection pane="bottomRight" activeCell="D50" sqref="D50"/>
    </sheetView>
  </sheetViews>
  <sheetFormatPr defaultColWidth="9.08984375" defaultRowHeight="13" x14ac:dyDescent="0.3"/>
  <cols>
    <col min="1" max="1" width="4" style="146" bestFit="1" customWidth="1"/>
    <col min="2" max="3" width="15.6328125" style="146" customWidth="1"/>
    <col min="4" max="4" width="17.7265625" style="146" customWidth="1"/>
    <col min="5" max="10" width="15.6328125" style="146" customWidth="1"/>
    <col min="11" max="16384" width="9.08984375" style="146"/>
  </cols>
  <sheetData>
    <row r="1" spans="1:10" x14ac:dyDescent="0.3">
      <c r="A1" s="145">
        <v>1</v>
      </c>
      <c r="B1" s="145" t="s">
        <v>98</v>
      </c>
      <c r="C1" s="145" t="s">
        <v>5</v>
      </c>
      <c r="D1" s="145" t="s">
        <v>99</v>
      </c>
      <c r="E1" s="145" t="s">
        <v>100</v>
      </c>
      <c r="F1" s="145" t="s">
        <v>101</v>
      </c>
      <c r="G1" s="145" t="s">
        <v>102</v>
      </c>
      <c r="H1" s="145" t="s">
        <v>103</v>
      </c>
      <c r="I1" s="145" t="s">
        <v>104</v>
      </c>
      <c r="J1" s="145" t="str">
        <f>IF(Setup!D7&lt;&gt;"",Setup!D7,"New Language")</f>
        <v>NEW WORLD</v>
      </c>
    </row>
    <row r="2" spans="1:10" x14ac:dyDescent="0.3">
      <c r="A2" s="145">
        <v>1</v>
      </c>
      <c r="B2" s="145">
        <v>2</v>
      </c>
      <c r="C2" s="145">
        <v>3</v>
      </c>
      <c r="D2" s="145">
        <v>4</v>
      </c>
      <c r="E2" s="145">
        <v>5</v>
      </c>
      <c r="F2" s="145">
        <v>6</v>
      </c>
      <c r="G2" s="145">
        <v>7</v>
      </c>
      <c r="H2" s="145">
        <v>8</v>
      </c>
      <c r="I2" s="145">
        <v>9</v>
      </c>
      <c r="J2" s="145">
        <v>10</v>
      </c>
    </row>
    <row r="3" spans="1:10" x14ac:dyDescent="0.3">
      <c r="A3" s="145">
        <v>2</v>
      </c>
      <c r="B3" s="147" t="str">
        <f>Setup!C9</f>
        <v>Argentina</v>
      </c>
      <c r="C3" s="147" t="s">
        <v>12</v>
      </c>
      <c r="D3" s="148" t="s">
        <v>105</v>
      </c>
      <c r="E3" s="148" t="s">
        <v>106</v>
      </c>
      <c r="F3" s="148" t="s">
        <v>12</v>
      </c>
      <c r="G3" s="148" t="s">
        <v>12</v>
      </c>
      <c r="H3" s="148" t="s">
        <v>107</v>
      </c>
      <c r="I3" s="148" t="s">
        <v>12</v>
      </c>
      <c r="J3" s="145" t="str">
        <f>IF(Setup!D9&lt;&gt;"",Setup!D9,Setup!C9)</f>
        <v>Argentina</v>
      </c>
    </row>
    <row r="4" spans="1:10" x14ac:dyDescent="0.3">
      <c r="A4" s="145">
        <v>3</v>
      </c>
      <c r="B4" s="147" t="str">
        <f>Setup!C10</f>
        <v>Bolivia</v>
      </c>
      <c r="C4" s="149" t="s">
        <v>14</v>
      </c>
      <c r="D4" s="148" t="s">
        <v>108</v>
      </c>
      <c r="E4" s="148" t="s">
        <v>109</v>
      </c>
      <c r="F4" s="148" t="s">
        <v>14</v>
      </c>
      <c r="G4" s="148" t="s">
        <v>110</v>
      </c>
      <c r="H4" s="148" t="s">
        <v>14</v>
      </c>
      <c r="I4" s="148" t="s">
        <v>14</v>
      </c>
      <c r="J4" s="145" t="str">
        <f>IF(Setup!D10&lt;&gt;"",Setup!D10,Setup!C10)</f>
        <v>Bolivia</v>
      </c>
    </row>
    <row r="5" spans="1:10" x14ac:dyDescent="0.3">
      <c r="A5" s="145">
        <v>4</v>
      </c>
      <c r="B5" s="147" t="str">
        <f>Setup!C11</f>
        <v>Uruguay</v>
      </c>
      <c r="C5" s="145" t="s">
        <v>16</v>
      </c>
      <c r="D5" s="148" t="s">
        <v>16</v>
      </c>
      <c r="E5" s="148" t="s">
        <v>16</v>
      </c>
      <c r="F5" s="148" t="s">
        <v>16</v>
      </c>
      <c r="G5" s="148" t="s">
        <v>111</v>
      </c>
      <c r="H5" s="148" t="s">
        <v>16</v>
      </c>
      <c r="I5" s="148" t="s">
        <v>16</v>
      </c>
      <c r="J5" s="145" t="str">
        <f>IF(Setup!D11&lt;&gt;"",Setup!D11,Setup!C11)</f>
        <v>Uruguay</v>
      </c>
    </row>
    <row r="6" spans="1:10" x14ac:dyDescent="0.3">
      <c r="A6" s="145">
        <v>5</v>
      </c>
      <c r="B6" s="147" t="str">
        <f>Setup!C12</f>
        <v>Chile</v>
      </c>
      <c r="C6" s="147" t="s">
        <v>18</v>
      </c>
      <c r="D6" s="148" t="s">
        <v>112</v>
      </c>
      <c r="E6" s="148" t="s">
        <v>18</v>
      </c>
      <c r="F6" s="148" t="s">
        <v>18</v>
      </c>
      <c r="G6" s="148" t="s">
        <v>18</v>
      </c>
      <c r="H6" s="148" t="s">
        <v>112</v>
      </c>
      <c r="I6" s="148" t="s">
        <v>18</v>
      </c>
      <c r="J6" s="145" t="str">
        <f>IF(Setup!D12&lt;&gt;"",Setup!D12,Setup!C12)</f>
        <v>Chile</v>
      </c>
    </row>
    <row r="7" spans="1:10" x14ac:dyDescent="0.3">
      <c r="A7" s="145">
        <v>6</v>
      </c>
      <c r="B7" s="147" t="str">
        <f>Setup!C13</f>
        <v>Paraguay</v>
      </c>
      <c r="C7" s="147" t="s">
        <v>19</v>
      </c>
      <c r="D7" s="148" t="s">
        <v>19</v>
      </c>
      <c r="E7" s="148" t="s">
        <v>19</v>
      </c>
      <c r="F7" s="148" t="s">
        <v>19</v>
      </c>
      <c r="G7" s="148" t="s">
        <v>113</v>
      </c>
      <c r="H7" s="148" t="s">
        <v>19</v>
      </c>
      <c r="I7" s="148" t="s">
        <v>19</v>
      </c>
      <c r="J7" s="145" t="str">
        <f>IF(Setup!D13&lt;&gt;"",Setup!D13,Setup!C13)</f>
        <v>Paraguay</v>
      </c>
    </row>
    <row r="8" spans="1:10" x14ac:dyDescent="0.3">
      <c r="A8" s="145">
        <v>7</v>
      </c>
      <c r="B8" s="147" t="str">
        <f>Setup!C14</f>
        <v>Colombia</v>
      </c>
      <c r="C8" s="145" t="s">
        <v>20</v>
      </c>
      <c r="D8" s="148" t="s">
        <v>114</v>
      </c>
      <c r="E8" s="148" t="s">
        <v>115</v>
      </c>
      <c r="F8" s="148" t="s">
        <v>20</v>
      </c>
      <c r="G8" s="148" t="s">
        <v>116</v>
      </c>
      <c r="H8" s="148" t="s">
        <v>20</v>
      </c>
      <c r="I8" s="148" t="s">
        <v>20</v>
      </c>
      <c r="J8" s="145" t="str">
        <f>IF(Setup!D14&lt;&gt;"",Setup!D14,Setup!C14)</f>
        <v>Colombia</v>
      </c>
    </row>
    <row r="9" spans="1:10" x14ac:dyDescent="0.3">
      <c r="A9" s="145">
        <v>8</v>
      </c>
      <c r="B9" s="147" t="str">
        <f>Setup!C15</f>
        <v>Brazil</v>
      </c>
      <c r="C9" s="147" t="s">
        <v>21</v>
      </c>
      <c r="D9" s="148" t="s">
        <v>117</v>
      </c>
      <c r="E9" s="148" t="s">
        <v>118</v>
      </c>
      <c r="F9" s="148" t="s">
        <v>119</v>
      </c>
      <c r="G9" s="148" t="s">
        <v>120</v>
      </c>
      <c r="H9" s="148" t="s">
        <v>121</v>
      </c>
      <c r="I9" s="148" t="s">
        <v>120</v>
      </c>
      <c r="J9" s="145" t="str">
        <f>IF(Setup!D15&lt;&gt;"",Setup!D15,Setup!C15)</f>
        <v>Brazil</v>
      </c>
    </row>
    <row r="10" spans="1:10" x14ac:dyDescent="0.3">
      <c r="A10" s="145">
        <v>9</v>
      </c>
      <c r="B10" s="147" t="str">
        <f>Setup!C16</f>
        <v>Venezuela</v>
      </c>
      <c r="C10" s="145" t="s">
        <v>22</v>
      </c>
      <c r="D10" s="148" t="s">
        <v>22</v>
      </c>
      <c r="E10" s="148" t="s">
        <v>22</v>
      </c>
      <c r="F10" s="148" t="s">
        <v>22</v>
      </c>
      <c r="G10" s="148" t="s">
        <v>22</v>
      </c>
      <c r="H10" s="148" t="s">
        <v>22</v>
      </c>
      <c r="I10" s="148" t="s">
        <v>22</v>
      </c>
      <c r="J10" s="145" t="str">
        <f>IF(Setup!D16&lt;&gt;"",Setup!D16,Setup!C16)</f>
        <v>Venezuela</v>
      </c>
    </row>
    <row r="11" spans="1:10" x14ac:dyDescent="0.3">
      <c r="A11" s="145">
        <v>10</v>
      </c>
      <c r="B11" s="147" t="str">
        <f>Setup!C17</f>
        <v>Ecuador</v>
      </c>
      <c r="C11" s="147" t="s">
        <v>23</v>
      </c>
      <c r="D11" s="148" t="s">
        <v>122</v>
      </c>
      <c r="E11" s="148" t="s">
        <v>23</v>
      </c>
      <c r="F11" s="148" t="s">
        <v>23</v>
      </c>
      <c r="G11" s="148" t="s">
        <v>123</v>
      </c>
      <c r="H11" s="148" t="s">
        <v>23</v>
      </c>
      <c r="I11" s="148" t="s">
        <v>23</v>
      </c>
      <c r="J11" s="145" t="str">
        <f>IF(Setup!D17&lt;&gt;"",Setup!D17,Setup!C17)</f>
        <v>Ecuador</v>
      </c>
    </row>
    <row r="12" spans="1:10" x14ac:dyDescent="0.3">
      <c r="A12" s="145">
        <v>11</v>
      </c>
      <c r="B12" s="147" t="str">
        <f>Setup!C18</f>
        <v>Peru</v>
      </c>
      <c r="C12" s="145" t="s">
        <v>24</v>
      </c>
      <c r="D12" s="148" t="s">
        <v>124</v>
      </c>
      <c r="E12" s="148" t="s">
        <v>24</v>
      </c>
      <c r="F12" s="148" t="s">
        <v>125</v>
      </c>
      <c r="G12" s="148" t="s">
        <v>24</v>
      </c>
      <c r="H12" s="148" t="s">
        <v>24</v>
      </c>
      <c r="I12" s="148" t="s">
        <v>126</v>
      </c>
      <c r="J12" s="145" t="str">
        <f>IF(Setup!D18&lt;&gt;"",Setup!D18,Setup!C18)</f>
        <v>Peru</v>
      </c>
    </row>
    <row r="13" spans="1:10" x14ac:dyDescent="0.3">
      <c r="A13" s="145">
        <v>12</v>
      </c>
      <c r="B13" s="147" t="str">
        <f>Setup!C19</f>
        <v>Language</v>
      </c>
      <c r="C13" s="145" t="s">
        <v>25</v>
      </c>
      <c r="D13" s="148" t="s">
        <v>127</v>
      </c>
      <c r="E13" s="148" t="s">
        <v>128</v>
      </c>
      <c r="F13" s="148" t="s">
        <v>129</v>
      </c>
      <c r="G13" s="148" t="s">
        <v>130</v>
      </c>
      <c r="H13" s="148" t="s">
        <v>131</v>
      </c>
      <c r="I13" s="148" t="s">
        <v>132</v>
      </c>
      <c r="J13" s="145" t="str">
        <f>IF(Setup!D19&lt;&gt;"",Setup!D19,Setup!C19)</f>
        <v>Language</v>
      </c>
    </row>
    <row r="14" spans="1:10" x14ac:dyDescent="0.3">
      <c r="A14" s="145">
        <v>13</v>
      </c>
      <c r="B14" s="147" t="str">
        <f>Setup!C20</f>
        <v>Timezone</v>
      </c>
      <c r="C14" s="145" t="s">
        <v>26</v>
      </c>
      <c r="D14" s="148" t="s">
        <v>133</v>
      </c>
      <c r="E14" s="148" t="s">
        <v>134</v>
      </c>
      <c r="F14" s="148" t="s">
        <v>135</v>
      </c>
      <c r="G14" s="148" t="s">
        <v>136</v>
      </c>
      <c r="H14" s="148" t="s">
        <v>137</v>
      </c>
      <c r="I14" s="148" t="s">
        <v>138</v>
      </c>
      <c r="J14" s="145" t="str">
        <f>IF(Setup!D20&lt;&gt;"",Setup!D20,Setup!C20)</f>
        <v>Timezone</v>
      </c>
    </row>
    <row r="15" spans="1:10" x14ac:dyDescent="0.3">
      <c r="A15" s="145">
        <v>14</v>
      </c>
      <c r="B15" s="147" t="str">
        <f>Setup!C21</f>
        <v>Group Stages</v>
      </c>
      <c r="C15" s="145" t="s">
        <v>27</v>
      </c>
      <c r="D15" s="148" t="s">
        <v>139</v>
      </c>
      <c r="E15" s="148" t="s">
        <v>140</v>
      </c>
      <c r="F15" s="148" t="s">
        <v>141</v>
      </c>
      <c r="G15" s="148" t="s">
        <v>142</v>
      </c>
      <c r="H15" s="148" t="s">
        <v>143</v>
      </c>
      <c r="I15" s="148" t="s">
        <v>144</v>
      </c>
      <c r="J15" s="145" t="str">
        <f>IF(Setup!D21&lt;&gt;"",Setup!D21,Setup!C21)</f>
        <v>Group Stages</v>
      </c>
    </row>
    <row r="16" spans="1:10" x14ac:dyDescent="0.3">
      <c r="A16" s="145">
        <v>15</v>
      </c>
      <c r="B16" s="147" t="str">
        <f>Setup!C22</f>
        <v>Venue</v>
      </c>
      <c r="C16" s="145" t="s">
        <v>28</v>
      </c>
      <c r="D16" s="148" t="s">
        <v>145</v>
      </c>
      <c r="E16" s="148" t="s">
        <v>146</v>
      </c>
      <c r="F16" s="148" t="s">
        <v>147</v>
      </c>
      <c r="G16" s="148" t="s">
        <v>148</v>
      </c>
      <c r="H16" s="148" t="s">
        <v>149</v>
      </c>
      <c r="I16" s="148" t="s">
        <v>150</v>
      </c>
      <c r="J16" s="145" t="str">
        <f>IF(Setup!D22&lt;&gt;"",Setup!D22,Setup!C22)</f>
        <v>Venue</v>
      </c>
    </row>
    <row r="17" spans="1:10" x14ac:dyDescent="0.3">
      <c r="A17" s="145">
        <v>16</v>
      </c>
      <c r="B17" s="147" t="str">
        <f>Setup!C23</f>
        <v>Standings</v>
      </c>
      <c r="C17" s="145" t="s">
        <v>29</v>
      </c>
      <c r="D17" s="148" t="s">
        <v>151</v>
      </c>
      <c r="E17" s="148" t="s">
        <v>152</v>
      </c>
      <c r="F17" s="148" t="s">
        <v>153</v>
      </c>
      <c r="G17" s="148" t="s">
        <v>154</v>
      </c>
      <c r="H17" s="148" t="s">
        <v>155</v>
      </c>
      <c r="I17" s="148" t="s">
        <v>156</v>
      </c>
      <c r="J17" s="145" t="str">
        <f>IF(Setup!D23&lt;&gt;"",Setup!D23,Setup!C23)</f>
        <v>Standings</v>
      </c>
    </row>
    <row r="18" spans="1:10" x14ac:dyDescent="0.3">
      <c r="A18" s="145">
        <v>17</v>
      </c>
      <c r="B18" s="147" t="str">
        <f>Setup!C24</f>
        <v>Group</v>
      </c>
      <c r="C18" s="145" t="s">
        <v>30</v>
      </c>
      <c r="D18" s="148" t="s">
        <v>157</v>
      </c>
      <c r="E18" s="148" t="s">
        <v>158</v>
      </c>
      <c r="F18" s="148" t="s">
        <v>159</v>
      </c>
      <c r="G18" s="148" t="s">
        <v>160</v>
      </c>
      <c r="H18" s="148" t="s">
        <v>161</v>
      </c>
      <c r="I18" s="148" t="s">
        <v>160</v>
      </c>
      <c r="J18" s="145" t="str">
        <f>IF(Setup!D24&lt;&gt;"",Setup!D24,Setup!C24)</f>
        <v>Group</v>
      </c>
    </row>
    <row r="19" spans="1:10" x14ac:dyDescent="0.3">
      <c r="A19" s="145">
        <v>18</v>
      </c>
      <c r="B19" s="147" t="str">
        <f>Setup!C25</f>
        <v>Date</v>
      </c>
      <c r="C19" s="145" t="s">
        <v>31</v>
      </c>
      <c r="D19" s="148" t="s">
        <v>162</v>
      </c>
      <c r="E19" s="148" t="s">
        <v>163</v>
      </c>
      <c r="F19" s="148" t="s">
        <v>164</v>
      </c>
      <c r="G19" s="148" t="s">
        <v>164</v>
      </c>
      <c r="H19" s="148" t="s">
        <v>163</v>
      </c>
      <c r="I19" s="148" t="s">
        <v>165</v>
      </c>
      <c r="J19" s="145" t="str">
        <f>IF(Setup!D25&lt;&gt;"",Setup!D25,Setup!C25)</f>
        <v>Date</v>
      </c>
    </row>
    <row r="20" spans="1:10" x14ac:dyDescent="0.3">
      <c r="A20" s="145">
        <v>19</v>
      </c>
      <c r="B20" s="147" t="str">
        <f>Setup!C26</f>
        <v>Country</v>
      </c>
      <c r="C20" s="145" t="s">
        <v>32</v>
      </c>
      <c r="D20" s="148" t="s">
        <v>166</v>
      </c>
      <c r="E20" s="148" t="s">
        <v>167</v>
      </c>
      <c r="F20" s="148" t="s">
        <v>168</v>
      </c>
      <c r="G20" s="148" t="s">
        <v>169</v>
      </c>
      <c r="H20" s="148" t="s">
        <v>167</v>
      </c>
      <c r="I20" s="148" t="s">
        <v>169</v>
      </c>
      <c r="J20" s="145" t="str">
        <f>IF(Setup!D26&lt;&gt;"",Setup!D26,Setup!C26)</f>
        <v>Country</v>
      </c>
    </row>
    <row r="21" spans="1:10" x14ac:dyDescent="0.3">
      <c r="A21" s="145">
        <v>20</v>
      </c>
      <c r="B21" s="147" t="str">
        <f>Setup!C27</f>
        <v>Score</v>
      </c>
      <c r="C21" s="145" t="s">
        <v>33</v>
      </c>
      <c r="D21" s="148" t="s">
        <v>170</v>
      </c>
      <c r="E21" s="148" t="s">
        <v>171</v>
      </c>
      <c r="F21" s="148" t="s">
        <v>172</v>
      </c>
      <c r="G21" s="148" t="s">
        <v>173</v>
      </c>
      <c r="H21" s="148" t="s">
        <v>33</v>
      </c>
      <c r="I21" s="148" t="s">
        <v>174</v>
      </c>
      <c r="J21" s="145" t="str">
        <f>IF(Setup!D27&lt;&gt;"",Setup!D27,Setup!C27)</f>
        <v>Score</v>
      </c>
    </row>
    <row r="22" spans="1:10" x14ac:dyDescent="0.3">
      <c r="A22" s="145">
        <v>21</v>
      </c>
      <c r="B22" s="147" t="str">
        <f>Setup!C28</f>
        <v>Time</v>
      </c>
      <c r="C22" s="145" t="s">
        <v>34</v>
      </c>
      <c r="D22" s="148" t="s">
        <v>175</v>
      </c>
      <c r="E22" s="148" t="s">
        <v>176</v>
      </c>
      <c r="F22" s="148" t="s">
        <v>177</v>
      </c>
      <c r="G22" s="148" t="s">
        <v>178</v>
      </c>
      <c r="H22" s="148" t="s">
        <v>179</v>
      </c>
      <c r="I22" s="148" t="s">
        <v>180</v>
      </c>
      <c r="J22" s="145" t="str">
        <f>IF(Setup!D28&lt;&gt;"",Setup!D28,Setup!C28)</f>
        <v>Time</v>
      </c>
    </row>
    <row r="23" spans="1:10" x14ac:dyDescent="0.3">
      <c r="A23" s="145">
        <v>22</v>
      </c>
      <c r="B23" s="147" t="str">
        <f>Setup!C29</f>
        <v>Quarter Finals</v>
      </c>
      <c r="C23" s="145" t="s">
        <v>35</v>
      </c>
      <c r="D23" s="148" t="s">
        <v>181</v>
      </c>
      <c r="E23" s="148" t="s">
        <v>182</v>
      </c>
      <c r="F23" s="148" t="s">
        <v>183</v>
      </c>
      <c r="G23" s="148" t="s">
        <v>184</v>
      </c>
      <c r="H23" s="148" t="s">
        <v>185</v>
      </c>
      <c r="I23" s="148" t="s">
        <v>186</v>
      </c>
      <c r="J23" s="145" t="str">
        <f>IF(Setup!D29&lt;&gt;"",Setup!D29,Setup!C29)</f>
        <v>Quarter Finals</v>
      </c>
    </row>
    <row r="24" spans="1:10" x14ac:dyDescent="0.3">
      <c r="A24" s="145">
        <v>23</v>
      </c>
      <c r="B24" s="147" t="str">
        <f>Setup!C30</f>
        <v>Semi Finals</v>
      </c>
      <c r="C24" s="145" t="s">
        <v>36</v>
      </c>
      <c r="D24" s="148" t="s">
        <v>187</v>
      </c>
      <c r="E24" s="148" t="s">
        <v>188</v>
      </c>
      <c r="F24" s="148" t="s">
        <v>189</v>
      </c>
      <c r="G24" s="148" t="s">
        <v>190</v>
      </c>
      <c r="H24" s="148" t="s">
        <v>191</v>
      </c>
      <c r="I24" s="148" t="s">
        <v>192</v>
      </c>
      <c r="J24" s="145" t="str">
        <f>IF(Setup!D30&lt;&gt;"",Setup!D30,Setup!C30)</f>
        <v>Semi Finals</v>
      </c>
    </row>
    <row r="25" spans="1:10" x14ac:dyDescent="0.3">
      <c r="A25" s="145">
        <v>24</v>
      </c>
      <c r="B25" s="147" t="str">
        <f>Setup!C31</f>
        <v>Final</v>
      </c>
      <c r="C25" s="145" t="s">
        <v>37</v>
      </c>
      <c r="D25" s="148" t="s">
        <v>37</v>
      </c>
      <c r="E25" s="148" t="s">
        <v>193</v>
      </c>
      <c r="F25" s="148" t="s">
        <v>194</v>
      </c>
      <c r="G25" s="148" t="s">
        <v>37</v>
      </c>
      <c r="H25" s="148" t="s">
        <v>195</v>
      </c>
      <c r="I25" s="148" t="s">
        <v>37</v>
      </c>
      <c r="J25" s="145" t="str">
        <f>IF(Setup!D31&lt;&gt;"",Setup!D31,Setup!C31)</f>
        <v>Final</v>
      </c>
    </row>
    <row r="26" spans="1:10" x14ac:dyDescent="0.3">
      <c r="A26" s="145">
        <v>25</v>
      </c>
      <c r="B26" s="147" t="str">
        <f>Setup!C32</f>
        <v>3rd Place</v>
      </c>
      <c r="C26" s="145" t="s">
        <v>38</v>
      </c>
      <c r="D26" s="148" t="s">
        <v>196</v>
      </c>
      <c r="E26" s="148" t="s">
        <v>197</v>
      </c>
      <c r="F26" s="148" t="s">
        <v>198</v>
      </c>
      <c r="G26" s="148" t="s">
        <v>199</v>
      </c>
      <c r="H26" s="148" t="s">
        <v>200</v>
      </c>
      <c r="I26" s="148" t="s">
        <v>201</v>
      </c>
      <c r="J26" s="145" t="str">
        <f>IF(Setup!D32&lt;&gt;"",Setup!D32,Setup!C32)</f>
        <v>3rd Place</v>
      </c>
    </row>
    <row r="27" spans="1:10" x14ac:dyDescent="0.3">
      <c r="A27" s="145">
        <v>26</v>
      </c>
      <c r="B27" s="147" t="str">
        <f>Setup!C33</f>
        <v>Winner</v>
      </c>
      <c r="C27" s="145" t="s">
        <v>39</v>
      </c>
      <c r="D27" s="148" t="s">
        <v>202</v>
      </c>
      <c r="E27" s="148" t="s">
        <v>203</v>
      </c>
      <c r="F27" s="148" t="s">
        <v>204</v>
      </c>
      <c r="G27" s="148" t="s">
        <v>205</v>
      </c>
      <c r="H27" s="148" t="s">
        <v>206</v>
      </c>
      <c r="I27" s="148" t="s">
        <v>207</v>
      </c>
      <c r="J27" s="145" t="str">
        <f>IF(Setup!D33&lt;&gt;"",Setup!D33,Setup!C33)</f>
        <v>Winner</v>
      </c>
    </row>
    <row r="28" spans="1:10" x14ac:dyDescent="0.3">
      <c r="A28" s="145">
        <v>27</v>
      </c>
      <c r="B28" s="147" t="str">
        <f>Setup!C34</f>
        <v>Runner Up</v>
      </c>
      <c r="C28" s="145" t="s">
        <v>40</v>
      </c>
      <c r="D28" s="148" t="s">
        <v>208</v>
      </c>
      <c r="E28" s="148" t="s">
        <v>209</v>
      </c>
      <c r="F28" s="148" t="s">
        <v>210</v>
      </c>
      <c r="G28" s="148" t="s">
        <v>211</v>
      </c>
      <c r="H28" s="148" t="s">
        <v>212</v>
      </c>
      <c r="I28" s="148" t="s">
        <v>213</v>
      </c>
      <c r="J28" s="145" t="str">
        <f>IF(Setup!D34&lt;&gt;"",Setup!D34,Setup!C34)</f>
        <v>Runner Up</v>
      </c>
    </row>
    <row r="29" spans="1:10" x14ac:dyDescent="0.3">
      <c r="A29" s="145">
        <v>28</v>
      </c>
      <c r="B29" s="147" t="str">
        <f>Setup!C35</f>
        <v>Normal Time</v>
      </c>
      <c r="C29" s="145" t="s">
        <v>41</v>
      </c>
      <c r="D29" s="148" t="s">
        <v>214</v>
      </c>
      <c r="E29" s="148" t="s">
        <v>215</v>
      </c>
      <c r="F29" s="148" t="s">
        <v>216</v>
      </c>
      <c r="G29" s="148" t="s">
        <v>217</v>
      </c>
      <c r="H29" s="148" t="s">
        <v>218</v>
      </c>
      <c r="I29" s="148" t="s">
        <v>219</v>
      </c>
      <c r="J29" s="145" t="str">
        <f>IF(Setup!D35&lt;&gt;"",Setup!D35,Setup!C35)</f>
        <v>Normal Time</v>
      </c>
    </row>
    <row r="30" spans="1:10" x14ac:dyDescent="0.3">
      <c r="A30" s="145">
        <v>29</v>
      </c>
      <c r="B30" s="147" t="str">
        <f>Setup!C36</f>
        <v>Extra Time</v>
      </c>
      <c r="C30" s="145" t="s">
        <v>42</v>
      </c>
      <c r="D30" s="148" t="s">
        <v>220</v>
      </c>
      <c r="E30" s="148" t="s">
        <v>221</v>
      </c>
      <c r="F30" s="148" t="s">
        <v>222</v>
      </c>
      <c r="G30" s="148" t="s">
        <v>222</v>
      </c>
      <c r="H30" s="148" t="s">
        <v>223</v>
      </c>
      <c r="I30" s="148" t="s">
        <v>224</v>
      </c>
      <c r="J30" s="145" t="str">
        <f>IF(Setup!D36&lt;&gt;"",Setup!D36,Setup!C36)</f>
        <v>Extra Time</v>
      </c>
    </row>
    <row r="31" spans="1:10" x14ac:dyDescent="0.3">
      <c r="A31" s="145">
        <v>30</v>
      </c>
      <c r="B31" s="147" t="str">
        <f>Setup!C37</f>
        <v>Penalty Shoot Out</v>
      </c>
      <c r="C31" s="145" t="s">
        <v>43</v>
      </c>
      <c r="D31" s="148" t="s">
        <v>225</v>
      </c>
      <c r="E31" s="148" t="s">
        <v>226</v>
      </c>
      <c r="F31" s="148" t="s">
        <v>227</v>
      </c>
      <c r="G31" s="148" t="s">
        <v>228</v>
      </c>
      <c r="H31" s="148" t="s">
        <v>229</v>
      </c>
      <c r="I31" s="148" t="s">
        <v>43</v>
      </c>
      <c r="J31" s="145" t="str">
        <f>IF(Setup!D37&lt;&gt;"",Setup!D37,Setup!C37)</f>
        <v>Penalty Shoot Out</v>
      </c>
    </row>
    <row r="32" spans="1:10" x14ac:dyDescent="0.3">
      <c r="A32" s="145">
        <v>31</v>
      </c>
      <c r="B32" s="147" t="str">
        <f>Setup!C38</f>
        <v>Champion</v>
      </c>
      <c r="C32" s="145" t="s">
        <v>44</v>
      </c>
      <c r="D32" s="148" t="s">
        <v>44</v>
      </c>
      <c r="E32" s="148" t="s">
        <v>44</v>
      </c>
      <c r="F32" s="148" t="s">
        <v>230</v>
      </c>
      <c r="G32" s="148" t="s">
        <v>231</v>
      </c>
      <c r="H32" s="148" t="s">
        <v>232</v>
      </c>
      <c r="I32" s="148" t="s">
        <v>233</v>
      </c>
      <c r="J32" s="145" t="str">
        <f>IF(Setup!D38&lt;&gt;"",Setup!D38,Setup!C38)</f>
        <v>Champion</v>
      </c>
    </row>
    <row r="33" spans="1:10" x14ac:dyDescent="0.3">
      <c r="A33" s="145">
        <v>32</v>
      </c>
      <c r="B33" s="147" t="str">
        <f>Setup!C39</f>
        <v>M#</v>
      </c>
      <c r="C33" s="145" t="s">
        <v>45</v>
      </c>
      <c r="D33" s="148" t="s">
        <v>234</v>
      </c>
      <c r="E33" s="148" t="s">
        <v>235</v>
      </c>
      <c r="F33" s="148" t="s">
        <v>236</v>
      </c>
      <c r="G33" s="148" t="s">
        <v>237</v>
      </c>
      <c r="H33" s="148" t="s">
        <v>237</v>
      </c>
      <c r="I33" s="148" t="s">
        <v>238</v>
      </c>
      <c r="J33" s="145" t="str">
        <f>IF(Setup!D39&lt;&gt;"",Setup!D39,Setup!C39)</f>
        <v>M#</v>
      </c>
    </row>
    <row r="34" spans="1:10" x14ac:dyDescent="0.3">
      <c r="A34" s="145">
        <v>33</v>
      </c>
      <c r="B34" s="147" t="str">
        <f>Setup!C40</f>
        <v>Group A Winner</v>
      </c>
      <c r="C34" s="145" t="s">
        <v>46</v>
      </c>
      <c r="D34" s="148" t="s">
        <v>239</v>
      </c>
      <c r="E34" s="148" t="s">
        <v>240</v>
      </c>
      <c r="F34" s="148" t="s">
        <v>241</v>
      </c>
      <c r="G34" s="148" t="s">
        <v>242</v>
      </c>
      <c r="H34" s="148" t="s">
        <v>243</v>
      </c>
      <c r="I34" s="148" t="s">
        <v>244</v>
      </c>
      <c r="J34" s="145" t="str">
        <f>IF(Setup!D40&lt;&gt;"",Setup!D40,Setup!C40)</f>
        <v>Group A Winner</v>
      </c>
    </row>
    <row r="35" spans="1:10" x14ac:dyDescent="0.3">
      <c r="A35" s="145">
        <v>34</v>
      </c>
      <c r="B35" s="147" t="str">
        <f>Setup!C41</f>
        <v>Group B Winner</v>
      </c>
      <c r="C35" s="145" t="s">
        <v>47</v>
      </c>
      <c r="D35" s="148" t="s">
        <v>245</v>
      </c>
      <c r="E35" s="148" t="s">
        <v>246</v>
      </c>
      <c r="F35" s="148" t="s">
        <v>247</v>
      </c>
      <c r="G35" s="148" t="s">
        <v>248</v>
      </c>
      <c r="H35" s="148" t="s">
        <v>249</v>
      </c>
      <c r="I35" s="148" t="s">
        <v>250</v>
      </c>
      <c r="J35" s="145" t="str">
        <f>IF(Setup!D41&lt;&gt;"",Setup!D41,Setup!C41)</f>
        <v>Group B Winner</v>
      </c>
    </row>
    <row r="36" spans="1:10" x14ac:dyDescent="0.3">
      <c r="A36" s="145">
        <v>35</v>
      </c>
      <c r="B36" s="147" t="str">
        <f>Setup!C42</f>
        <v>Group A 3rd Place</v>
      </c>
      <c r="C36" s="145" t="s">
        <v>48</v>
      </c>
      <c r="D36" s="148" t="s">
        <v>251</v>
      </c>
      <c r="E36" s="148" t="s">
        <v>252</v>
      </c>
      <c r="F36" s="148" t="s">
        <v>253</v>
      </c>
      <c r="G36" s="148" t="s">
        <v>254</v>
      </c>
      <c r="H36" s="148" t="s">
        <v>251</v>
      </c>
      <c r="I36" s="148" t="s">
        <v>255</v>
      </c>
      <c r="J36" s="145" t="str">
        <f>IF(Setup!D42&lt;&gt;"",Setup!D42,Setup!C42)</f>
        <v>Group A 3rd Place</v>
      </c>
    </row>
    <row r="37" spans="1:10" x14ac:dyDescent="0.3">
      <c r="A37" s="145">
        <v>36</v>
      </c>
      <c r="B37" s="147" t="str">
        <f>Setup!C43</f>
        <v>Group A 4th Place</v>
      </c>
      <c r="C37" s="145" t="s">
        <v>49</v>
      </c>
      <c r="D37" s="148" t="s">
        <v>256</v>
      </c>
      <c r="E37" s="148" t="s">
        <v>257</v>
      </c>
      <c r="F37" s="148" t="s">
        <v>258</v>
      </c>
      <c r="G37" s="148" t="s">
        <v>259</v>
      </c>
      <c r="H37" s="148" t="s">
        <v>256</v>
      </c>
      <c r="I37" s="148" t="s">
        <v>260</v>
      </c>
      <c r="J37" s="145" t="str">
        <f>IF(Setup!D43&lt;&gt;"",Setup!D43,Setup!C43)</f>
        <v>Group A 4th Place</v>
      </c>
    </row>
    <row r="38" spans="1:10" x14ac:dyDescent="0.3">
      <c r="A38" s="145">
        <v>37</v>
      </c>
      <c r="B38" s="147" t="str">
        <f>Setup!C44</f>
        <v>Group B 3rd Place</v>
      </c>
      <c r="C38" s="145" t="s">
        <v>50</v>
      </c>
      <c r="D38" s="148" t="s">
        <v>261</v>
      </c>
      <c r="E38" s="148" t="s">
        <v>262</v>
      </c>
      <c r="F38" s="148" t="s">
        <v>263</v>
      </c>
      <c r="G38" s="148" t="s">
        <v>264</v>
      </c>
      <c r="H38" s="148" t="s">
        <v>261</v>
      </c>
      <c r="I38" s="148" t="s">
        <v>265</v>
      </c>
      <c r="J38" s="145" t="str">
        <f>IF(Setup!D44&lt;&gt;"",Setup!D44,Setup!C44)</f>
        <v>Group B 3rd Place</v>
      </c>
    </row>
    <row r="39" spans="1:10" x14ac:dyDescent="0.3">
      <c r="A39" s="145">
        <v>38</v>
      </c>
      <c r="B39" s="147" t="str">
        <f>Setup!C45</f>
        <v>Group B 4th Place</v>
      </c>
      <c r="C39" s="145" t="s">
        <v>51</v>
      </c>
      <c r="D39" s="148" t="s">
        <v>266</v>
      </c>
      <c r="E39" s="148" t="s">
        <v>267</v>
      </c>
      <c r="F39" s="148" t="s">
        <v>268</v>
      </c>
      <c r="G39" s="148" t="s">
        <v>269</v>
      </c>
      <c r="H39" s="148" t="s">
        <v>266</v>
      </c>
      <c r="I39" s="148" t="s">
        <v>270</v>
      </c>
      <c r="J39" s="145" t="str">
        <f>IF(Setup!D45&lt;&gt;"",Setup!D45,Setup!C45)</f>
        <v>Group B 4th Place</v>
      </c>
    </row>
    <row r="40" spans="1:10" x14ac:dyDescent="0.3">
      <c r="A40" s="145">
        <v>39</v>
      </c>
      <c r="B40" s="147" t="str">
        <f>Setup!C46</f>
        <v>Group A Runner Up</v>
      </c>
      <c r="C40" s="145" t="s">
        <v>52</v>
      </c>
      <c r="D40" s="148" t="s">
        <v>271</v>
      </c>
      <c r="E40" s="148" t="s">
        <v>272</v>
      </c>
      <c r="F40" s="148" t="s">
        <v>273</v>
      </c>
      <c r="G40" s="148" t="s">
        <v>274</v>
      </c>
      <c r="H40" s="148" t="s">
        <v>275</v>
      </c>
      <c r="I40" s="148" t="s">
        <v>276</v>
      </c>
      <c r="J40" s="145" t="str">
        <f>IF(Setup!D46&lt;&gt;"",Setup!D46,Setup!C46)</f>
        <v>Group A Runner Up</v>
      </c>
    </row>
    <row r="41" spans="1:10" x14ac:dyDescent="0.3">
      <c r="A41" s="145">
        <v>40</v>
      </c>
      <c r="B41" s="147" t="str">
        <f>Setup!C47</f>
        <v>Group B Runner Up</v>
      </c>
      <c r="C41" s="145" t="s">
        <v>53</v>
      </c>
      <c r="D41" s="148" t="s">
        <v>277</v>
      </c>
      <c r="E41" s="148" t="s">
        <v>278</v>
      </c>
      <c r="F41" s="148" t="s">
        <v>279</v>
      </c>
      <c r="G41" s="148" t="s">
        <v>280</v>
      </c>
      <c r="H41" s="148" t="s">
        <v>281</v>
      </c>
      <c r="I41" s="148" t="s">
        <v>282</v>
      </c>
      <c r="J41" s="145" t="str">
        <f>IF(Setup!D47&lt;&gt;"",Setup!D47,Setup!C47)</f>
        <v>Group B Runner Up</v>
      </c>
    </row>
    <row r="42" spans="1:10" x14ac:dyDescent="0.3">
      <c r="A42" s="145">
        <v>41</v>
      </c>
      <c r="B42" s="147" t="str">
        <f>Setup!C48</f>
        <v>Match 21 Winner</v>
      </c>
      <c r="C42" s="147" t="s">
        <v>54</v>
      </c>
      <c r="D42" s="148" t="s">
        <v>283</v>
      </c>
      <c r="E42" s="148" t="s">
        <v>284</v>
      </c>
      <c r="F42" s="148" t="s">
        <v>285</v>
      </c>
      <c r="G42" s="148" t="s">
        <v>286</v>
      </c>
      <c r="H42" s="148" t="s">
        <v>287</v>
      </c>
      <c r="I42" s="148" t="s">
        <v>288</v>
      </c>
      <c r="J42" s="145" t="str">
        <f>IF(Setup!D48&lt;&gt;"",Setup!D48,Setup!C48)</f>
        <v>Match 21 Winner</v>
      </c>
    </row>
    <row r="43" spans="1:10" x14ac:dyDescent="0.3">
      <c r="A43" s="145">
        <v>42</v>
      </c>
      <c r="B43" s="147" t="str">
        <f>Setup!C49</f>
        <v>Match 22 Winner</v>
      </c>
      <c r="C43" s="147" t="s">
        <v>55</v>
      </c>
      <c r="D43" s="148" t="s">
        <v>289</v>
      </c>
      <c r="E43" s="148" t="s">
        <v>290</v>
      </c>
      <c r="F43" s="148" t="s">
        <v>291</v>
      </c>
      <c r="G43" s="148" t="s">
        <v>292</v>
      </c>
      <c r="H43" s="148" t="s">
        <v>293</v>
      </c>
      <c r="I43" s="148" t="s">
        <v>294</v>
      </c>
      <c r="J43" s="145" t="str">
        <f>IF(Setup!D49&lt;&gt;"",Setup!D49,Setup!C49)</f>
        <v>Match 22 Winner</v>
      </c>
    </row>
    <row r="44" spans="1:10" x14ac:dyDescent="0.3">
      <c r="A44" s="145">
        <v>43</v>
      </c>
      <c r="B44" s="147" t="str">
        <f>Setup!C50</f>
        <v>Match 23 Winner</v>
      </c>
      <c r="C44" s="147" t="s">
        <v>56</v>
      </c>
      <c r="D44" s="148" t="s">
        <v>295</v>
      </c>
      <c r="E44" s="148" t="s">
        <v>296</v>
      </c>
      <c r="F44" s="148" t="s">
        <v>297</v>
      </c>
      <c r="G44" s="148" t="s">
        <v>298</v>
      </c>
      <c r="H44" s="148" t="s">
        <v>299</v>
      </c>
      <c r="I44" s="148" t="s">
        <v>300</v>
      </c>
      <c r="J44" s="145" t="str">
        <f>IF(Setup!D50&lt;&gt;"",Setup!D50,Setup!C50)</f>
        <v>Match 23 Winner</v>
      </c>
    </row>
    <row r="45" spans="1:10" x14ac:dyDescent="0.3">
      <c r="A45" s="145">
        <v>44</v>
      </c>
      <c r="B45" s="147" t="str">
        <f>Setup!C51</f>
        <v>Match 24 Winner</v>
      </c>
      <c r="C45" s="147" t="s">
        <v>57</v>
      </c>
      <c r="D45" s="148" t="s">
        <v>301</v>
      </c>
      <c r="E45" s="148" t="s">
        <v>302</v>
      </c>
      <c r="F45" s="148" t="s">
        <v>303</v>
      </c>
      <c r="G45" s="148" t="s">
        <v>304</v>
      </c>
      <c r="H45" s="148" t="s">
        <v>305</v>
      </c>
      <c r="I45" s="148" t="s">
        <v>306</v>
      </c>
      <c r="J45" s="145" t="str">
        <f>IF(Setup!D51&lt;&gt;"",Setup!D51,Setup!C51)</f>
        <v>Match 24 Winner</v>
      </c>
    </row>
    <row r="46" spans="1:10" x14ac:dyDescent="0.3">
      <c r="A46" s="145">
        <v>45</v>
      </c>
      <c r="B46" s="147" t="str">
        <f>Setup!C52</f>
        <v>Match 25 Winner</v>
      </c>
      <c r="C46" s="147" t="s">
        <v>58</v>
      </c>
      <c r="D46" s="148" t="s">
        <v>307</v>
      </c>
      <c r="E46" s="148" t="s">
        <v>308</v>
      </c>
      <c r="F46" s="148" t="s">
        <v>309</v>
      </c>
      <c r="G46" s="148" t="s">
        <v>310</v>
      </c>
      <c r="H46" s="148" t="s">
        <v>311</v>
      </c>
      <c r="I46" s="148" t="s">
        <v>312</v>
      </c>
      <c r="J46" s="145" t="str">
        <f>IF(Setup!D52&lt;&gt;"",Setup!D52,Setup!C52)</f>
        <v>Match 25 Winner</v>
      </c>
    </row>
    <row r="47" spans="1:10" x14ac:dyDescent="0.3">
      <c r="A47" s="145">
        <v>46</v>
      </c>
      <c r="B47" s="147" t="str">
        <f>Setup!C53</f>
        <v>Match 26 Winner</v>
      </c>
      <c r="C47" s="147" t="s">
        <v>59</v>
      </c>
      <c r="D47" s="148" t="s">
        <v>313</v>
      </c>
      <c r="E47" s="148" t="s">
        <v>314</v>
      </c>
      <c r="F47" s="148" t="s">
        <v>315</v>
      </c>
      <c r="G47" s="148" t="s">
        <v>316</v>
      </c>
      <c r="H47" s="148" t="s">
        <v>317</v>
      </c>
      <c r="I47" s="148" t="s">
        <v>318</v>
      </c>
      <c r="J47" s="145" t="str">
        <f>IF(Setup!D53&lt;&gt;"",Setup!D53,Setup!C53)</f>
        <v>Match 26 Winner</v>
      </c>
    </row>
    <row r="48" spans="1:10" x14ac:dyDescent="0.3">
      <c r="A48" s="145">
        <v>47</v>
      </c>
      <c r="B48" s="147" t="str">
        <f>Setup!C54</f>
        <v>Match 27 Winner</v>
      </c>
      <c r="C48" s="147" t="s">
        <v>60</v>
      </c>
      <c r="D48" s="148" t="s">
        <v>319</v>
      </c>
      <c r="E48" s="148" t="s">
        <v>320</v>
      </c>
      <c r="F48" s="148" t="s">
        <v>321</v>
      </c>
      <c r="G48" s="148" t="s">
        <v>322</v>
      </c>
      <c r="H48" s="148" t="s">
        <v>323</v>
      </c>
      <c r="I48" s="148" t="s">
        <v>324</v>
      </c>
      <c r="J48" s="145" t="str">
        <f>IF(Setup!D54&lt;&gt;"",Setup!D54,Setup!C54)</f>
        <v>Match 27 Winner</v>
      </c>
    </row>
    <row r="49" spans="1:10" x14ac:dyDescent="0.3">
      <c r="A49" s="145">
        <v>48</v>
      </c>
      <c r="B49" s="147" t="str">
        <f>Setup!C55</f>
        <v>Match 28 Winner</v>
      </c>
      <c r="C49" s="147" t="s">
        <v>61</v>
      </c>
      <c r="D49" s="148" t="s">
        <v>325</v>
      </c>
      <c r="E49" s="148" t="s">
        <v>326</v>
      </c>
      <c r="F49" s="148" t="s">
        <v>327</v>
      </c>
      <c r="G49" s="148" t="s">
        <v>328</v>
      </c>
      <c r="H49" s="148" t="s">
        <v>329</v>
      </c>
      <c r="I49" s="148" t="s">
        <v>330</v>
      </c>
      <c r="J49" s="145" t="str">
        <f>IF(Setup!D55&lt;&gt;"",Setup!D55,Setup!C55)</f>
        <v>Match 28 Winner</v>
      </c>
    </row>
    <row r="50" spans="1:10" x14ac:dyDescent="0.3">
      <c r="A50" s="145">
        <v>49</v>
      </c>
      <c r="B50" s="147" t="str">
        <f>Setup!C56</f>
        <v>Match 25 Loser</v>
      </c>
      <c r="C50" s="147" t="s">
        <v>62</v>
      </c>
      <c r="D50" s="148" t="s">
        <v>331</v>
      </c>
      <c r="E50" s="148" t="s">
        <v>332</v>
      </c>
      <c r="F50" s="148" t="s">
        <v>333</v>
      </c>
      <c r="G50" s="148" t="s">
        <v>334</v>
      </c>
      <c r="H50" s="148" t="s">
        <v>335</v>
      </c>
      <c r="I50" s="148" t="s">
        <v>336</v>
      </c>
      <c r="J50" s="145" t="str">
        <f>IF(Setup!D56&lt;&gt;"",Setup!D56,Setup!C56)</f>
        <v>Match 25 Loser</v>
      </c>
    </row>
    <row r="51" spans="1:10" x14ac:dyDescent="0.3">
      <c r="A51" s="145">
        <v>50</v>
      </c>
      <c r="B51" s="147" t="str">
        <f>Setup!C57</f>
        <v>Match 26 Loser</v>
      </c>
      <c r="C51" s="147" t="s">
        <v>63</v>
      </c>
      <c r="D51" s="148" t="s">
        <v>337</v>
      </c>
      <c r="E51" s="148" t="s">
        <v>338</v>
      </c>
      <c r="F51" s="148" t="s">
        <v>339</v>
      </c>
      <c r="G51" s="148" t="s">
        <v>340</v>
      </c>
      <c r="H51" s="148" t="s">
        <v>341</v>
      </c>
      <c r="I51" s="148" t="s">
        <v>342</v>
      </c>
      <c r="J51" s="145" t="str">
        <f>IF(Setup!D57&lt;&gt;"",Setup!D57,Setup!C57)</f>
        <v>Match 26 Loser</v>
      </c>
    </row>
    <row r="52" spans="1:10" x14ac:dyDescent="0.3">
      <c r="A52" s="145">
        <v>51</v>
      </c>
      <c r="B52" s="147" t="str">
        <f>Setup!C58</f>
        <v>COPA AMERICA 2021 FIXTURES</v>
      </c>
      <c r="C52" s="145" t="s">
        <v>64</v>
      </c>
      <c r="D52" s="148" t="s">
        <v>343</v>
      </c>
      <c r="E52" s="148" t="s">
        <v>344</v>
      </c>
      <c r="F52" s="148" t="s">
        <v>345</v>
      </c>
      <c r="G52" s="148" t="s">
        <v>64</v>
      </c>
      <c r="H52" s="148" t="s">
        <v>346</v>
      </c>
      <c r="I52" s="148" t="s">
        <v>347</v>
      </c>
      <c r="J52" s="145" t="str">
        <f>IF(Setup!D58&lt;&gt;"",Setup!D58,Setup!C58)</f>
        <v>COPA AMERICA 2021 FIXTURES</v>
      </c>
    </row>
    <row r="53" spans="1:10" x14ac:dyDescent="0.3">
      <c r="A53" s="145">
        <v>52</v>
      </c>
      <c r="B53" s="147" t="str">
        <f>Setup!C59</f>
        <v>Group A</v>
      </c>
      <c r="C53" s="145" t="s">
        <v>65</v>
      </c>
      <c r="D53" s="148" t="s">
        <v>348</v>
      </c>
      <c r="E53" s="148" t="s">
        <v>349</v>
      </c>
      <c r="F53" s="148" t="s">
        <v>350</v>
      </c>
      <c r="G53" s="148" t="s">
        <v>351</v>
      </c>
      <c r="H53" s="148" t="s">
        <v>352</v>
      </c>
      <c r="I53" s="148" t="s">
        <v>351</v>
      </c>
      <c r="J53" s="145" t="str">
        <f>IF(Setup!D59&lt;&gt;"",Setup!D59,Setup!C59)</f>
        <v>Group A</v>
      </c>
    </row>
    <row r="54" spans="1:10" x14ac:dyDescent="0.3">
      <c r="A54" s="145">
        <v>53</v>
      </c>
      <c r="B54" s="147" t="str">
        <f>Setup!C60</f>
        <v>Group B</v>
      </c>
      <c r="C54" s="145" t="s">
        <v>66</v>
      </c>
      <c r="D54" s="148" t="s">
        <v>353</v>
      </c>
      <c r="E54" s="148" t="s">
        <v>354</v>
      </c>
      <c r="F54" s="148" t="s">
        <v>355</v>
      </c>
      <c r="G54" s="148" t="s">
        <v>356</v>
      </c>
      <c r="H54" s="148" t="s">
        <v>357</v>
      </c>
      <c r="I54" s="148" t="s">
        <v>356</v>
      </c>
      <c r="J54" s="145" t="str">
        <f>IF(Setup!D60&lt;&gt;"",Setup!D60,Setup!C60)</f>
        <v>Group B</v>
      </c>
    </row>
    <row r="55" spans="1:10" x14ac:dyDescent="0.3">
      <c r="A55" s="145">
        <v>54</v>
      </c>
      <c r="B55" s="147" t="str">
        <f>Setup!C61</f>
        <v>Win</v>
      </c>
      <c r="C55" s="145" t="s">
        <v>67</v>
      </c>
      <c r="D55" s="148" t="s">
        <v>358</v>
      </c>
      <c r="E55" s="148" t="s">
        <v>359</v>
      </c>
      <c r="F55" s="148" t="s">
        <v>360</v>
      </c>
      <c r="G55" s="148" t="s">
        <v>361</v>
      </c>
      <c r="H55" s="148" t="s">
        <v>362</v>
      </c>
      <c r="I55" s="148" t="s">
        <v>363</v>
      </c>
      <c r="J55" s="145" t="str">
        <f>IF(Setup!D61&lt;&gt;"",Setup!D61,Setup!C61)</f>
        <v>Win</v>
      </c>
    </row>
    <row r="56" spans="1:10" x14ac:dyDescent="0.3">
      <c r="A56" s="145">
        <v>55</v>
      </c>
      <c r="B56" s="147" t="str">
        <f>Setup!C62</f>
        <v>Draw</v>
      </c>
      <c r="C56" s="145" t="s">
        <v>68</v>
      </c>
      <c r="D56" s="148" t="s">
        <v>364</v>
      </c>
      <c r="E56" s="148" t="s">
        <v>365</v>
      </c>
      <c r="F56" s="148" t="s">
        <v>366</v>
      </c>
      <c r="G56" s="148" t="s">
        <v>367</v>
      </c>
      <c r="H56" s="148" t="s">
        <v>368</v>
      </c>
      <c r="I56" s="148" t="s">
        <v>369</v>
      </c>
      <c r="J56" s="145" t="str">
        <f>IF(Setup!D62&lt;&gt;"",Setup!D62,Setup!C62)</f>
        <v>Draw</v>
      </c>
    </row>
    <row r="57" spans="1:10" x14ac:dyDescent="0.3">
      <c r="A57" s="145">
        <v>56</v>
      </c>
      <c r="B57" s="147" t="str">
        <f>Setup!C63</f>
        <v>Lose</v>
      </c>
      <c r="C57" s="145" t="s">
        <v>69</v>
      </c>
      <c r="D57" s="148" t="s">
        <v>370</v>
      </c>
      <c r="E57" s="148" t="s">
        <v>371</v>
      </c>
      <c r="F57" s="148" t="s">
        <v>372</v>
      </c>
      <c r="G57" s="148" t="s">
        <v>373</v>
      </c>
      <c r="H57" s="148" t="s">
        <v>374</v>
      </c>
      <c r="I57" s="148" t="s">
        <v>373</v>
      </c>
      <c r="J57" s="145" t="str">
        <f>IF(Setup!D63&lt;&gt;"",Setup!D63,Setup!C63)</f>
        <v>Lose</v>
      </c>
    </row>
    <row r="58" spans="1:10" x14ac:dyDescent="0.3">
      <c r="A58" s="145">
        <v>57</v>
      </c>
      <c r="B58" s="147" t="str">
        <f>Setup!C64</f>
        <v>For</v>
      </c>
      <c r="C58" s="145" t="s">
        <v>70</v>
      </c>
      <c r="D58" s="148" t="s">
        <v>375</v>
      </c>
      <c r="E58" s="148" t="s">
        <v>376</v>
      </c>
      <c r="F58" s="148" t="s">
        <v>377</v>
      </c>
      <c r="G58" s="148" t="s">
        <v>378</v>
      </c>
      <c r="H58" s="148" t="s">
        <v>379</v>
      </c>
      <c r="I58" s="148" t="s">
        <v>380</v>
      </c>
      <c r="J58" s="145" t="str">
        <f>IF(Setup!D64&lt;&gt;"",Setup!D64,Setup!C64)</f>
        <v>For</v>
      </c>
    </row>
    <row r="59" spans="1:10" x14ac:dyDescent="0.3">
      <c r="A59" s="145">
        <v>58</v>
      </c>
      <c r="B59" s="147" t="str">
        <f>Setup!C65</f>
        <v>Against</v>
      </c>
      <c r="C59" s="145" t="s">
        <v>71</v>
      </c>
      <c r="D59" s="148" t="s">
        <v>381</v>
      </c>
      <c r="E59" s="148" t="s">
        <v>382</v>
      </c>
      <c r="F59" s="148" t="s">
        <v>383</v>
      </c>
      <c r="G59" s="148" t="s">
        <v>384</v>
      </c>
      <c r="H59" s="148" t="s">
        <v>385</v>
      </c>
      <c r="I59" s="148" t="s">
        <v>386</v>
      </c>
      <c r="J59" s="145" t="str">
        <f>IF(Setup!D65&lt;&gt;"",Setup!D65,Setup!C65)</f>
        <v>Against</v>
      </c>
    </row>
    <row r="60" spans="1:10" x14ac:dyDescent="0.3">
      <c r="A60" s="145">
        <v>59</v>
      </c>
      <c r="B60" s="147" t="str">
        <f>Setup!C66</f>
        <v>Points</v>
      </c>
      <c r="C60" s="145" t="s">
        <v>72</v>
      </c>
      <c r="D60" s="148" t="s">
        <v>387</v>
      </c>
      <c r="E60" s="148" t="s">
        <v>388</v>
      </c>
      <c r="F60" s="148" t="s">
        <v>389</v>
      </c>
      <c r="G60" s="148" t="s">
        <v>390</v>
      </c>
      <c r="H60" s="148" t="s">
        <v>391</v>
      </c>
      <c r="I60" s="148" t="s">
        <v>392</v>
      </c>
      <c r="J60" s="145" t="str">
        <f>IF(Setup!D66&lt;&gt;"",Setup!D66,Setup!C66)</f>
        <v>Points</v>
      </c>
    </row>
    <row r="61" spans="1:10" x14ac:dyDescent="0.3">
      <c r="A61" s="145">
        <v>60</v>
      </c>
      <c r="B61" s="147" t="str">
        <f>Setup!C67</f>
        <v>Knock Out Rounds</v>
      </c>
      <c r="C61" s="145" t="s">
        <v>73</v>
      </c>
      <c r="D61" s="148" t="s">
        <v>393</v>
      </c>
      <c r="E61" s="148" t="s">
        <v>394</v>
      </c>
      <c r="F61" s="148" t="s">
        <v>73</v>
      </c>
      <c r="G61" s="148" t="s">
        <v>395</v>
      </c>
      <c r="H61" s="148" t="s">
        <v>396</v>
      </c>
      <c r="I61" s="148" t="s">
        <v>397</v>
      </c>
      <c r="J61" s="145" t="str">
        <f>IF(Setup!D67&lt;&gt;"",Setup!D67,Setup!C67)</f>
        <v>Knock Out Rounds</v>
      </c>
    </row>
  </sheetData>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69"/>
  <sheetViews>
    <sheetView showGridLines="0" workbookViewId="0">
      <selection activeCell="DU4" sqref="DU4"/>
    </sheetView>
  </sheetViews>
  <sheetFormatPr defaultColWidth="9.08984375" defaultRowHeight="14.5" x14ac:dyDescent="0.35"/>
  <cols>
    <col min="1" max="1" width="5.1796875" style="191" bestFit="1" customWidth="1"/>
    <col min="2" max="2" width="15.453125" style="191" bestFit="1" customWidth="1"/>
    <col min="3" max="3" width="5.26953125" style="191" customWidth="1"/>
    <col min="4" max="4" width="2.1796875" style="191" bestFit="1" customWidth="1"/>
    <col min="5" max="5" width="1.90625" style="191" bestFit="1" customWidth="1"/>
    <col min="6" max="6" width="3.08984375" style="191" bestFit="1" customWidth="1"/>
    <col min="7" max="7" width="3.36328125" style="191" bestFit="1" customWidth="1"/>
    <col min="8" max="8" width="10.90625" style="191" bestFit="1" customWidth="1"/>
    <col min="9" max="9" width="6.08984375" style="191" bestFit="1" customWidth="1"/>
    <col min="10" max="10" width="9.81640625" style="191" bestFit="1" customWidth="1"/>
    <col min="11" max="11" width="12.1796875" style="191" bestFit="1" customWidth="1"/>
    <col min="12" max="12" width="8" style="191" bestFit="1" customWidth="1"/>
    <col min="13" max="13" width="7.6328125" style="191" bestFit="1" customWidth="1"/>
    <col min="14" max="14" width="5.81640625" style="191" customWidth="1"/>
    <col min="15" max="15" width="6.36328125" style="191" bestFit="1" customWidth="1"/>
    <col min="16" max="16" width="15.453125" style="191" bestFit="1" customWidth="1"/>
    <col min="17" max="17" width="5.54296875" style="191" bestFit="1" customWidth="1"/>
    <col min="18" max="18" width="15.453125" style="191" bestFit="1" customWidth="1"/>
    <col min="19" max="21" width="6" style="191" bestFit="1" customWidth="1"/>
    <col min="22" max="22" width="1.81640625" style="191" bestFit="1" customWidth="1"/>
    <col min="23" max="23" width="15.453125" style="191" bestFit="1" customWidth="1"/>
    <col min="24" max="24" width="2.7265625" style="191" bestFit="1" customWidth="1"/>
    <col min="25" max="25" width="2.1796875" style="191" bestFit="1" customWidth="1"/>
    <col min="26" max="26" width="1.90625" style="191" bestFit="1" customWidth="1"/>
    <col min="27" max="27" width="3.08984375" style="191" bestFit="1" customWidth="1"/>
    <col min="28" max="28" width="3.36328125" style="191" bestFit="1" customWidth="1"/>
    <col min="29" max="29" width="4.90625" style="191" bestFit="1" customWidth="1"/>
    <col min="30" max="30" width="1.81640625" style="191" bestFit="1" customWidth="1"/>
    <col min="31" max="31" width="4.81640625" style="191" bestFit="1" customWidth="1"/>
    <col min="32" max="32" width="3.90625" style="191" bestFit="1" customWidth="1"/>
    <col min="33" max="33" width="4.54296875" style="191" bestFit="1" customWidth="1"/>
    <col min="34" max="34" width="3.26953125" style="191" bestFit="1" customWidth="1"/>
    <col min="35" max="35" width="4.54296875" style="191" bestFit="1" customWidth="1"/>
    <col min="36" max="36" width="3.453125" style="191" bestFit="1" customWidth="1"/>
    <col min="37" max="37" width="3.08984375" style="191" bestFit="1" customWidth="1"/>
    <col min="38" max="38" width="4.6328125" style="191" bestFit="1" customWidth="1"/>
    <col min="39" max="39" width="4" style="191" bestFit="1" customWidth="1"/>
    <col min="40" max="40" width="4.6328125" style="191" bestFit="1" customWidth="1"/>
    <col min="41" max="41" width="13.54296875" style="191" bestFit="1" customWidth="1"/>
    <col min="42" max="42" width="15.453125" style="191" bestFit="1" customWidth="1"/>
    <col min="43" max="43" width="12.26953125" style="191" bestFit="1" customWidth="1"/>
    <col min="44" max="44" width="2.7265625" style="191" bestFit="1" customWidth="1"/>
    <col min="45" max="45" width="2.1796875" style="191" bestFit="1" customWidth="1"/>
    <col min="46" max="46" width="1.90625" style="191" bestFit="1" customWidth="1"/>
    <col min="47" max="47" width="3.08984375" style="191" bestFit="1" customWidth="1"/>
    <col min="48" max="48" width="3.36328125" style="191" bestFit="1" customWidth="1"/>
    <col min="49" max="49" width="4.90625" style="191" bestFit="1" customWidth="1"/>
    <col min="50" max="50" width="1.90625" style="191" bestFit="1" customWidth="1"/>
    <col min="51" max="51" width="4.81640625" style="191" bestFit="1" customWidth="1"/>
    <col min="52" max="52" width="4" style="191" bestFit="1" customWidth="1"/>
    <col min="53" max="53" width="4.6328125" style="191" bestFit="1" customWidth="1"/>
    <col min="54" max="54" width="3.36328125" style="191" bestFit="1" customWidth="1"/>
    <col min="55" max="55" width="2" style="191" bestFit="1" customWidth="1"/>
    <col min="56" max="56" width="3.453125" style="191" bestFit="1" customWidth="1"/>
    <col min="57" max="57" width="3.08984375" style="191" bestFit="1" customWidth="1"/>
    <col min="58" max="58" width="4.6328125" style="191" bestFit="1" customWidth="1"/>
    <col min="59" max="59" width="4" style="191" bestFit="1" customWidth="1"/>
    <col min="60" max="60" width="4.6328125" style="191" bestFit="1" customWidth="1"/>
    <col min="61" max="61" width="2.90625" style="191" bestFit="1" customWidth="1"/>
    <col min="62" max="62" width="7.7265625" style="191" bestFit="1" customWidth="1"/>
    <col min="63" max="63" width="10.6328125" style="191" bestFit="1" customWidth="1"/>
    <col min="64" max="64" width="2.7265625" style="191" bestFit="1" customWidth="1"/>
    <col min="65" max="65" width="2.1796875" style="191" bestFit="1" customWidth="1"/>
    <col min="66" max="66" width="1.90625" style="191" bestFit="1" customWidth="1"/>
    <col min="67" max="67" width="3.08984375" style="191" bestFit="1" customWidth="1"/>
    <col min="68" max="68" width="3.36328125" style="191" bestFit="1" customWidth="1"/>
    <col min="69" max="69" width="4.90625" style="191" bestFit="1" customWidth="1"/>
    <col min="70" max="70" width="1.81640625" style="191" bestFit="1" customWidth="1"/>
    <col min="71" max="72" width="3.90625" style="191" bestFit="1" customWidth="1"/>
    <col min="73" max="73" width="4.54296875" style="191" bestFit="1" customWidth="1"/>
    <col min="74" max="74" width="3.26953125" style="191" bestFit="1" customWidth="1"/>
    <col min="75" max="75" width="1.90625" style="191" bestFit="1" customWidth="1"/>
    <col min="76" max="76" width="3.36328125" style="191" bestFit="1" customWidth="1"/>
    <col min="77" max="77" width="3" style="191" bestFit="1" customWidth="1"/>
    <col min="78" max="79" width="3.90625" style="191" bestFit="1" customWidth="1"/>
    <col min="80" max="80" width="4.54296875" style="191" bestFit="1" customWidth="1"/>
    <col min="81" max="81" width="2.81640625" style="191" bestFit="1" customWidth="1"/>
    <col min="82" max="82" width="16.54296875" style="191" bestFit="1" customWidth="1"/>
    <col min="83" max="83" width="10.6328125" style="191" bestFit="1" customWidth="1"/>
    <col min="84" max="84" width="2.7265625" style="191" bestFit="1" customWidth="1"/>
    <col min="85" max="85" width="2.1796875" style="191" bestFit="1" customWidth="1"/>
    <col min="86" max="86" width="1.90625" style="191" bestFit="1" customWidth="1"/>
    <col min="87" max="87" width="3.08984375" style="191" bestFit="1" customWidth="1"/>
    <col min="88" max="88" width="3.36328125" style="191" bestFit="1" customWidth="1"/>
    <col min="89" max="89" width="4.90625" style="191" bestFit="1" customWidth="1"/>
    <col min="90" max="90" width="1.81640625" style="191" bestFit="1" customWidth="1"/>
    <col min="91" max="92" width="3.90625" style="191" bestFit="1" customWidth="1"/>
    <col min="93" max="93" width="4.54296875" style="191" bestFit="1" customWidth="1"/>
    <col min="94" max="94" width="3.26953125" style="191" bestFit="1" customWidth="1"/>
    <col min="95" max="95" width="1.90625" style="191" bestFit="1" customWidth="1"/>
    <col min="96" max="96" width="3.36328125" style="191" bestFit="1" customWidth="1"/>
    <col min="97" max="97" width="3" style="191" bestFit="1" customWidth="1"/>
    <col min="98" max="99" width="3.90625" style="191" bestFit="1" customWidth="1"/>
    <col min="100" max="100" width="4.54296875" style="191" bestFit="1" customWidth="1"/>
    <col min="101" max="101" width="2.81640625" style="191" bestFit="1" customWidth="1"/>
    <col min="102" max="102" width="5.36328125" style="191" bestFit="1" customWidth="1"/>
    <col min="103" max="103" width="15.453125" style="191" bestFit="1" customWidth="1"/>
    <col min="104" max="104" width="1.90625" style="191" bestFit="1" customWidth="1"/>
    <col min="105" max="105" width="2.90625" style="191" bestFit="1" customWidth="1"/>
    <col min="106" max="106" width="15.453125" style="191" bestFit="1" customWidth="1"/>
    <col min="107" max="107" width="3.08984375" style="191" bestFit="1" customWidth="1"/>
    <col min="108" max="108" width="3.36328125" style="191" bestFit="1" customWidth="1"/>
    <col min="109" max="109" width="15.453125" style="191" bestFit="1" customWidth="1"/>
    <col min="110" max="111" width="2.6328125" style="191" bestFit="1" customWidth="1"/>
    <col min="112" max="114" width="2.81640625" style="191" customWidth="1"/>
    <col min="115" max="121" width="9.08984375" style="191"/>
    <col min="122" max="122" width="10.81640625" style="192" customWidth="1"/>
    <col min="123" max="123" width="3.1796875" style="193" customWidth="1"/>
    <col min="124" max="124" width="23" style="192" customWidth="1"/>
    <col min="125" max="125" width="30.90625" style="192" customWidth="1"/>
    <col min="126" max="126" width="40.81640625" style="192" customWidth="1"/>
    <col min="127" max="127" width="9.1796875" style="191" bestFit="1" customWidth="1"/>
    <col min="128" max="128" width="12.54296875" style="191" bestFit="1" customWidth="1"/>
    <col min="129" max="129" width="13.1796875" style="191" customWidth="1"/>
    <col min="130" max="130" width="8.90625" style="191" customWidth="1"/>
    <col min="131" max="131" width="11" style="191" customWidth="1"/>
    <col min="132" max="132" width="5.36328125" style="191" customWidth="1"/>
    <col min="133" max="133" width="29.7265625" style="191" bestFit="1" customWidth="1"/>
    <col min="134" max="140" width="9.08984375" style="191"/>
    <col min="141" max="141" width="11.54296875" style="191" bestFit="1" customWidth="1"/>
    <col min="142" max="16384" width="9.08984375" style="191"/>
  </cols>
  <sheetData>
    <row r="1" spans="1:131" x14ac:dyDescent="0.35">
      <c r="AI1" s="191" t="s">
        <v>398</v>
      </c>
      <c r="AO1" s="191" t="s">
        <v>399</v>
      </c>
      <c r="AP1" s="191" t="s">
        <v>400</v>
      </c>
    </row>
    <row r="2" spans="1:131" x14ac:dyDescent="0.35">
      <c r="W2" s="191" t="s">
        <v>401</v>
      </c>
      <c r="AI2" s="191">
        <v>1</v>
      </c>
      <c r="AJ2" s="191">
        <v>2</v>
      </c>
      <c r="AK2" s="191">
        <v>3</v>
      </c>
      <c r="AL2" s="191">
        <v>5</v>
      </c>
      <c r="AM2" s="191">
        <v>6</v>
      </c>
      <c r="AN2" s="191">
        <v>9</v>
      </c>
      <c r="AQ2" s="191" t="s">
        <v>402</v>
      </c>
      <c r="BK2" s="191" t="s">
        <v>403</v>
      </c>
      <c r="CE2" s="191" t="s">
        <v>404</v>
      </c>
      <c r="DC2" s="191" t="s">
        <v>405</v>
      </c>
      <c r="DD2" s="191" t="s">
        <v>406</v>
      </c>
    </row>
    <row r="3" spans="1:131" x14ac:dyDescent="0.35">
      <c r="C3" s="191" t="s">
        <v>75</v>
      </c>
      <c r="D3" s="191" t="s">
        <v>76</v>
      </c>
      <c r="E3" s="191" t="s">
        <v>77</v>
      </c>
      <c r="F3" s="191" t="s">
        <v>405</v>
      </c>
      <c r="G3" s="191" t="s">
        <v>406</v>
      </c>
      <c r="H3" s="191" t="s">
        <v>407</v>
      </c>
      <c r="I3" s="191" t="s">
        <v>72</v>
      </c>
      <c r="J3" s="191" t="s">
        <v>408</v>
      </c>
      <c r="K3" s="191" t="s">
        <v>409</v>
      </c>
      <c r="L3" s="191" t="s">
        <v>410</v>
      </c>
      <c r="M3" s="191" t="s">
        <v>411</v>
      </c>
      <c r="N3" s="191" t="s">
        <v>412</v>
      </c>
      <c r="O3" s="191" t="s">
        <v>413</v>
      </c>
      <c r="R3" s="191" t="s">
        <v>414</v>
      </c>
      <c r="S3" s="191" t="s">
        <v>415</v>
      </c>
      <c r="T3" s="191" t="s">
        <v>416</v>
      </c>
      <c r="U3" s="191" t="s">
        <v>417</v>
      </c>
      <c r="W3" s="191" t="s">
        <v>418</v>
      </c>
      <c r="X3" s="191" t="s">
        <v>75</v>
      </c>
      <c r="Y3" s="191" t="s">
        <v>76</v>
      </c>
      <c r="Z3" s="191" t="s">
        <v>77</v>
      </c>
      <c r="AA3" s="191" t="s">
        <v>405</v>
      </c>
      <c r="AB3" s="191" t="s">
        <v>406</v>
      </c>
      <c r="AC3" s="191" t="s">
        <v>407</v>
      </c>
      <c r="AD3" s="191" t="s">
        <v>74</v>
      </c>
      <c r="AE3" s="191" t="s">
        <v>419</v>
      </c>
      <c r="AF3" s="191" t="s">
        <v>420</v>
      </c>
      <c r="AG3" s="191" t="s">
        <v>421</v>
      </c>
      <c r="AH3" s="191" t="s">
        <v>81</v>
      </c>
      <c r="AI3" s="191" t="s">
        <v>422</v>
      </c>
      <c r="AJ3" s="191" t="s">
        <v>80</v>
      </c>
      <c r="AK3" s="191" t="s">
        <v>405</v>
      </c>
      <c r="AL3" s="191" t="s">
        <v>423</v>
      </c>
      <c r="AM3" s="191" t="s">
        <v>420</v>
      </c>
      <c r="AN3" s="191" t="s">
        <v>421</v>
      </c>
      <c r="AO3" s="191" t="s">
        <v>424</v>
      </c>
      <c r="AQ3" s="191" t="s">
        <v>418</v>
      </c>
      <c r="AR3" s="191" t="s">
        <v>75</v>
      </c>
      <c r="AS3" s="191" t="s">
        <v>76</v>
      </c>
      <c r="AT3" s="191" t="s">
        <v>77</v>
      </c>
      <c r="AU3" s="191" t="s">
        <v>405</v>
      </c>
      <c r="AV3" s="191" t="s">
        <v>406</v>
      </c>
      <c r="AW3" s="191" t="s">
        <v>407</v>
      </c>
      <c r="AX3" s="191" t="s">
        <v>74</v>
      </c>
      <c r="AY3" s="191" t="s">
        <v>419</v>
      </c>
      <c r="AZ3" s="191" t="s">
        <v>420</v>
      </c>
      <c r="BA3" s="191" t="s">
        <v>421</v>
      </c>
      <c r="BB3" s="191" t="s">
        <v>81</v>
      </c>
      <c r="BC3" s="191" t="s">
        <v>422</v>
      </c>
      <c r="BD3" s="191" t="s">
        <v>80</v>
      </c>
      <c r="BE3" s="191" t="s">
        <v>405</v>
      </c>
      <c r="BF3" s="191" t="s">
        <v>423</v>
      </c>
      <c r="BG3" s="191" t="s">
        <v>420</v>
      </c>
      <c r="BH3" s="191" t="s">
        <v>421</v>
      </c>
      <c r="BI3" s="191" t="s">
        <v>424</v>
      </c>
      <c r="BK3" s="191" t="s">
        <v>418</v>
      </c>
      <c r="BL3" s="191" t="s">
        <v>75</v>
      </c>
      <c r="BM3" s="191" t="s">
        <v>76</v>
      </c>
      <c r="BN3" s="191" t="s">
        <v>77</v>
      </c>
      <c r="BO3" s="191" t="s">
        <v>405</v>
      </c>
      <c r="BP3" s="191" t="s">
        <v>406</v>
      </c>
      <c r="BQ3" s="191" t="s">
        <v>407</v>
      </c>
      <c r="BR3" s="191" t="s">
        <v>74</v>
      </c>
      <c r="BS3" s="191" t="s">
        <v>419</v>
      </c>
      <c r="BT3" s="191" t="s">
        <v>420</v>
      </c>
      <c r="BU3" s="191" t="s">
        <v>421</v>
      </c>
      <c r="BV3" s="191" t="s">
        <v>81</v>
      </c>
      <c r="BW3" s="191" t="s">
        <v>422</v>
      </c>
      <c r="BX3" s="191" t="s">
        <v>80</v>
      </c>
      <c r="BY3" s="191" t="s">
        <v>405</v>
      </c>
      <c r="BZ3" s="191" t="s">
        <v>419</v>
      </c>
      <c r="CA3" s="191" t="s">
        <v>420</v>
      </c>
      <c r="CB3" s="191" t="s">
        <v>421</v>
      </c>
      <c r="CC3" s="191" t="s">
        <v>424</v>
      </c>
      <c r="CE3" s="191" t="s">
        <v>418</v>
      </c>
      <c r="CF3" s="191" t="s">
        <v>75</v>
      </c>
      <c r="CG3" s="191" t="s">
        <v>76</v>
      </c>
      <c r="CH3" s="191" t="s">
        <v>77</v>
      </c>
      <c r="CI3" s="191" t="s">
        <v>405</v>
      </c>
      <c r="CJ3" s="191" t="s">
        <v>406</v>
      </c>
      <c r="CK3" s="191" t="s">
        <v>407</v>
      </c>
      <c r="CL3" s="191" t="s">
        <v>74</v>
      </c>
      <c r="CM3" s="191" t="s">
        <v>419</v>
      </c>
      <c r="CN3" s="191" t="s">
        <v>420</v>
      </c>
      <c r="CO3" s="191" t="s">
        <v>421</v>
      </c>
      <c r="CP3" s="191" t="s">
        <v>81</v>
      </c>
      <c r="CQ3" s="191" t="s">
        <v>422</v>
      </c>
      <c r="CR3" s="191" t="s">
        <v>80</v>
      </c>
      <c r="CS3" s="191" t="s">
        <v>405</v>
      </c>
      <c r="CT3" s="191" t="s">
        <v>419</v>
      </c>
      <c r="CU3" s="191" t="s">
        <v>420</v>
      </c>
      <c r="CV3" s="191" t="s">
        <v>421</v>
      </c>
      <c r="CW3" s="191" t="s">
        <v>424</v>
      </c>
      <c r="DA3" s="191">
        <v>1</v>
      </c>
      <c r="DB3" s="191" t="str">
        <f>Matches!F7</f>
        <v>Brazil</v>
      </c>
      <c r="DC3" s="191">
        <f>IF(AND(Matches!H7&lt;&gt;"",Matches!I7&lt;&gt;""),Matches!H7,0)</f>
        <v>0</v>
      </c>
      <c r="DD3" s="191">
        <f>IF(AND(Matches!I7&lt;&gt;"",Matches!H7&lt;&gt;""),Matches!I7,0)</f>
        <v>0</v>
      </c>
      <c r="DE3" s="191" t="str">
        <f>Matches!K7</f>
        <v>Venezuela</v>
      </c>
      <c r="DF3" s="191" t="str">
        <f>IF(AND(Matches!H7&lt;&gt;"",Matches!I7&lt;&gt;""),IF(DC3&gt;DD3,"W",IF(DC3=DD3,"D","L")),"")</f>
        <v/>
      </c>
      <c r="DG3" s="191" t="str">
        <f>IF(DF3&lt;&gt;"",IF(DF3="W","L",IF(DF3="L","W","D")),"")</f>
        <v/>
      </c>
    </row>
    <row r="4" spans="1:131" x14ac:dyDescent="0.35">
      <c r="A4" s="191">
        <f>VLOOKUP(B4,$CY$4:$CZ$8,2,FALSE)</f>
        <v>1</v>
      </c>
      <c r="B4" s="191" t="str">
        <f>'Dummy Table'!DT7</f>
        <v>Argentina</v>
      </c>
      <c r="C4" s="191">
        <f>SUMPRODUCT(($DB$3:$DB$42=$B4)*($DF$3:$DF$42="W"))+SUMPRODUCT(($DE$3:$DE$42=$B4)*($DG$3:$DG$42="W"))</f>
        <v>0</v>
      </c>
      <c r="D4" s="191">
        <f>SUMPRODUCT(($DB$3:$DB$42=$B4)*($DF$3:$DF$42="D"))+SUMPRODUCT(($DE$3:$DE$42=$B4)*($DG$3:$DG$42="D"))</f>
        <v>0</v>
      </c>
      <c r="E4" s="191">
        <f>SUMPRODUCT(($DB$3:$DB$42=$B4)*($DF$3:$DF$42="L"))+SUMPRODUCT(($DE$3:$DE$42=$B4)*($DG$3:$DG$42="L"))</f>
        <v>0</v>
      </c>
      <c r="F4" s="191">
        <f>SUMIF($DB$3:$DB$60,B4,$DC$3:$DC$60)+SUMIF($DE$3:$DE$60,B4,$DD$3:$DD$60)</f>
        <v>0</v>
      </c>
      <c r="G4" s="191">
        <f>SUMIF($DE$3:$DE$60,B4,$DC$3:$DC$60)+SUMIF($DB$3:$DB$60,B4,$DD$3:$DD$60)</f>
        <v>0</v>
      </c>
      <c r="H4" s="191">
        <f>F4-G4+1000</f>
        <v>1000</v>
      </c>
      <c r="I4" s="191">
        <f>C4*3+D4*1</f>
        <v>0</v>
      </c>
      <c r="J4" s="191">
        <v>9</v>
      </c>
      <c r="K4" s="191">
        <f>RANK(I4,I$4:I$8)</f>
        <v>1</v>
      </c>
      <c r="L4" s="191">
        <f>SUMPRODUCT((K$4:K$8=K4)*(H$4:H$8&gt;H4))</f>
        <v>0</v>
      </c>
      <c r="M4" s="191">
        <f>SUMPRODUCT((K$4:K$8=K4)*(H$4:H$8=H4)*(F$4:F$8&gt;F4))</f>
        <v>0</v>
      </c>
      <c r="N4" s="191">
        <f>SUM(K4:M4)</f>
        <v>1</v>
      </c>
      <c r="O4" s="191">
        <f>SUMPRODUCT((N$4:N$8=N4)*(J$4:J$8&lt;J4))+N4</f>
        <v>5</v>
      </c>
      <c r="P4" s="191" t="str">
        <f>INDEX($B$4:$B$8,MATCH(1,$O$4:$O$8,0),0)</f>
        <v>Bolivia</v>
      </c>
      <c r="Q4" s="191">
        <f>INDEX($N$4:$N$8,MATCH(P4,$B$4:$B$8,0),0)</f>
        <v>1</v>
      </c>
      <c r="R4" s="191" t="str">
        <f>IF(Q5=1,P4,"")</f>
        <v>Bolivia</v>
      </c>
      <c r="S4" s="191" t="str">
        <f>IF(Q6=2,P5,"")</f>
        <v/>
      </c>
      <c r="T4" s="191" t="str">
        <f>IF(Q7=3,P6,"")</f>
        <v/>
      </c>
      <c r="U4" s="191" t="str">
        <f>IF(Q8=4,P7,"")</f>
        <v/>
      </c>
      <c r="W4" s="191" t="str">
        <f>IF(R4&lt;&gt;"",R4,"")</f>
        <v>Bolivia</v>
      </c>
      <c r="X4" s="191">
        <f>SUMPRODUCT(($DB$3:$DB$42=$W4)*($DE$3:$DE$42=$W5)*($DF$3:$DF$42="W"))+SUMPRODUCT(($DB$3:$DB$42=$W4)*($DE$3:$DE$42=$W6)*($DF$3:$DF$42="W"))+SUMPRODUCT(($DB$3:$DB$42=$W4)*($DE$3:$DE$42=$W7)*($DF$3:$DF$42="W"))+SUMPRODUCT(($DB$3:$DB$42=$W4)*($DE$3:$DE$42=$W8)*($DF$3:$DF$42="W"))+SUMPRODUCT(($DB$3:$DB$42=$W5)*($DE$3:$DE$42=$W4)*($DG$3:$DG$42="W"))+SUMPRODUCT(($DB$3:$DB$42=$W6)*($DE$3:$DE$42=$W4)*($DG$3:$DG$42="W"))+SUMPRODUCT(($DB$3:$DB$42=$W7)*($DE$3:$DE$42=$W4)*($DG$3:$DG$42="W"))+SUMPRODUCT(($DB$3:$DB$42=$W8)*($DE$3:$DE$42=$W4)*($DG$3:$DG$42="W"))</f>
        <v>0</v>
      </c>
      <c r="Y4" s="191">
        <f>SUMPRODUCT(($DB$3:$DB$42=$W4)*($DE$3:$DE$42=$W5)*($DF$3:$DF$42="D"))+SUMPRODUCT(($DB$3:$DB$42=$W4)*($DE$3:$DE$42=$W6)*($DF$3:$DF$42="D"))+SUMPRODUCT(($DB$3:$DB$42=$W4)*($DE$3:$DE$42=$W7)*($DF$3:$DF$42="D"))+SUMPRODUCT(($DB$3:$DB$42=$W4)*($DE$3:$DE$42=$W8)*($DF$3:$DF$42="D"))+SUMPRODUCT(($DB$3:$DB$42=$W5)*($DE$3:$DE$42=$W4)*($DF$3:$DF$42="D"))+SUMPRODUCT(($DB$3:$DB$42=$W6)*($DE$3:$DE$42=$W4)*($DF$3:$DF$42="D"))+SUMPRODUCT(($DB$3:$DB$42=$W7)*($DE$3:$DE$42=$W4)*($DF$3:$DF$42="D"))+SUMPRODUCT(($DB$3:$DB$42=$W8)*($DE$3:$DE$42=$W4)*($DF$3:$DF$42="D"))</f>
        <v>0</v>
      </c>
      <c r="Z4" s="191">
        <f>SUMPRODUCT(($DB$3:$DB$42=$W4)*($DE$3:$DE$42=$W5)*($DF$3:$DF$42="L"))+SUMPRODUCT(($DB$3:$DB$42=$W4)*($DE$3:$DE$42=$W6)*($DF$3:$DF$42="L"))+SUMPRODUCT(($DB$3:$DB$42=$W4)*($DE$3:$DE$42=$W7)*($DF$3:$DF$42="L"))+SUMPRODUCT(($DB$3:$DB$42=$W4)*($DE$3:$DE$42=$W8)*($DF$3:$DF$42="L"))+SUMPRODUCT(($DB$3:$DB$42=$W5)*($DE$3:$DE$42=$W4)*($DG$3:$DG$42="L"))+SUMPRODUCT(($DB$3:$DB$42=$W6)*($DE$3:$DE$42=$W4)*($DG$3:$DG$42="L"))+SUMPRODUCT(($DB$3:$DB$42=$W7)*($DE$3:$DE$42=$W4)*($DG$3:$DG$42="L"))+SUMPRODUCT(($DB$3:$DB$42=$W8)*($DE$3:$DE$42=$W4)*($DG$3:$DG$42="L"))</f>
        <v>0</v>
      </c>
      <c r="AA4" s="191">
        <f>SUMPRODUCT(($DB$3:$DB$42=$W4)*($DE$3:$DE$42=$W5)*$DC$3:$DC$42)+SUMPRODUCT(($DB$3:$DB$42=$W4)*($DE$3:$DE$42=$W6)*$DC$3:$DC$42)+SUMPRODUCT(($DB$3:$DB$42=$W4)*($DE$3:$DE$42=$W7)*$DC$3:$DC$42)+SUMPRODUCT(($DB$3:$DB$42=$W4)*($DE$3:$DE$42=$W8)*$DC$3:$DC$42)+SUMPRODUCT(($DB$3:$DB$42=$W5)*($DE$3:$DE$42=$W4)*$DD$3:$DD$42)+SUMPRODUCT(($DB$3:$DB$42=$W6)*($DE$3:$DE$42=$W4)*$DD$3:$DD$42)+SUMPRODUCT(($DB$3:$DB$42=$W7)*($DE$3:$DE$42=$W4)*$DD$3:$DD$42)+SUMPRODUCT(($DB$3:$DB$42=$W8)*($DE$3:$DE$42=$W4)*$DD$3:$DD$42)</f>
        <v>0</v>
      </c>
      <c r="AB4" s="191">
        <f>SUMPRODUCT(($DB$3:$DB$42=$W4)*($DE$3:$DE$42=$W5)*$DD$3:$DD$42)+SUMPRODUCT(($DB$3:$DB$42=$W4)*($DE$3:$DE$42=$W6)*$DD$3:$DD$42)+SUMPRODUCT(($DB$3:$DB$42=$W4)*($DE$3:$DE$42=$W7)*$DD$3:$DD$42)+SUMPRODUCT(($DB$3:$DB$42=$W4)*($DE$3:$DE$42=$W8)*$DD$3:$DD$42)+SUMPRODUCT(($DB$3:$DB$42=$W5)*($DE$3:$DE$42=$W4)*$DC$3:$DC$42)+SUMPRODUCT(($DB$3:$DB$42=$W6)*($DE$3:$DE$42=$W4)*$DC$3:$DC$42)+SUMPRODUCT(($DB$3:$DB$42=$W7)*($DE$3:$DE$42=$W4)*$DC$3:$DC$42)+SUMPRODUCT(($DB$3:$DB$42=$W8)*($DE$3:$DE$42=$W4)*$DC$3:$DC$42)</f>
        <v>0</v>
      </c>
      <c r="AC4" s="191">
        <f>AA4-AB4+1000</f>
        <v>1000</v>
      </c>
      <c r="AD4" s="191">
        <f>IF(W4&lt;&gt;"",X4*3+Y4*1,"")</f>
        <v>0</v>
      </c>
      <c r="AE4" s="191">
        <f>IF(W4&lt;&gt;"",VLOOKUP(W4,$B$4:$H$40,7,FALSE),"")</f>
        <v>1000</v>
      </c>
      <c r="AF4" s="191">
        <f>IF(W4&lt;&gt;"",VLOOKUP(W4,$B$4:$H$40,5,FALSE),"")</f>
        <v>0</v>
      </c>
      <c r="AG4" s="191">
        <f>IF(W4&lt;&gt;"",VLOOKUP(W4,$B$4:$J$40,9,FALSE),"")</f>
        <v>1</v>
      </c>
      <c r="AH4" s="191">
        <f>AD4</f>
        <v>0</v>
      </c>
      <c r="AI4" s="191">
        <f>IF(W4&lt;&gt;"",RANK(AH4,AH$4:AH$8),"")</f>
        <v>1</v>
      </c>
      <c r="AJ4" s="191">
        <f>IF(W4&lt;&gt;"",SUMPRODUCT((AH$4:AH$8=AH4)*(AC$4:AC$8&gt;AC4)),"")</f>
        <v>0</v>
      </c>
      <c r="AK4" s="191">
        <f>IF(W4&lt;&gt;"",SUMPRODUCT((AH$4:AH$8=AH4)*(AC$4:AC$8=AC4)*(AA$4:AA$8&gt;AA4)),"")</f>
        <v>0</v>
      </c>
      <c r="AL4" s="191">
        <f>IF(W4&lt;&gt;"",SUMPRODUCT((AH$4:AH$8=AH4)*(AC$4:AC$8=AC4)*(AA$4:AA$8=AA4)*(AE$4:AE$8&gt;AE4)),"")</f>
        <v>0</v>
      </c>
      <c r="AM4" s="191">
        <f>IF(W4&lt;&gt;"",SUMPRODUCT((AH$4:AH$8=AH4)*(AC$4:AC$8=AC4)*(AA$4:AA$8=AA4)*(AE$4:AE$8=AE4)*(AF$4:AF$8&gt;AF4)),"")</f>
        <v>0</v>
      </c>
      <c r="AN4" s="191">
        <f>IF(W4&lt;&gt;"",SUMPRODUCT((AH$4:AH$8=AH4)*(AC$4:AC$8=AC4)*(AA$4:AA$8=AA4)*(AE$4:AE$8=AE4)*(AF$4:AF$8=AF4)*(AG$4:AG$8&gt;AG4)),"")</f>
        <v>4</v>
      </c>
      <c r="AO4" s="191">
        <f>IF(W4&lt;&gt;"",IF(AO44&lt;&gt;"",IF(V$43=3,AO44,AO44+V$43),SUM(AI4:AN4)),"")</f>
        <v>5</v>
      </c>
      <c r="AP4" s="191" t="str">
        <f>IF(W4&lt;&gt;"",INDEX($W$4:$W$8,MATCH(1,$AO$4:$AO$8,0),0),"")</f>
        <v>Argentina</v>
      </c>
      <c r="CY4" s="191" t="str">
        <f>IF(AP4&lt;&gt;"",AP4,P4)</f>
        <v>Argentina</v>
      </c>
      <c r="CZ4" s="191">
        <v>1</v>
      </c>
      <c r="DA4" s="191">
        <v>2</v>
      </c>
      <c r="DB4" s="191" t="str">
        <f>Matches!F8</f>
        <v>Colombia</v>
      </c>
      <c r="DC4" s="191">
        <f>IF(AND(Matches!H8&lt;&gt;"",Matches!I8&lt;&gt;""),Matches!H8,0)</f>
        <v>0</v>
      </c>
      <c r="DD4" s="191">
        <f>IF(AND(Matches!I8&lt;&gt;"",Matches!H8&lt;&gt;""),Matches!I8,0)</f>
        <v>0</v>
      </c>
      <c r="DE4" s="191" t="str">
        <f>Matches!K8</f>
        <v>Ecuador</v>
      </c>
      <c r="DF4" s="191" t="str">
        <f>IF(AND(Matches!H8&lt;&gt;"",Matches!I8&lt;&gt;""),IF(DC4&gt;DD4,"W",IF(DC4=DD4,"D","L")),"")</f>
        <v/>
      </c>
      <c r="DG4" s="191" t="str">
        <f t="shared" ref="DG4:DG22" si="0">IF(DF4&lt;&gt;"",IF(DF4="W","L",IF(DF4="L","W","D")),"")</f>
        <v/>
      </c>
    </row>
    <row r="5" spans="1:131" x14ac:dyDescent="0.35">
      <c r="A5" s="191">
        <f>VLOOKUP(B5,$CY$4:$CZ$8,2,FALSE)</f>
        <v>5</v>
      </c>
      <c r="B5" s="191" t="str">
        <f>'Dummy Table'!DT8</f>
        <v>Bolivia</v>
      </c>
      <c r="C5" s="191">
        <f>SUMPRODUCT(($DB$3:$DB$42=$B5)*($DF$3:$DF$42="W"))+SUMPRODUCT(($DE$3:$DE$42=$B5)*($DG$3:$DG$42="W"))</f>
        <v>0</v>
      </c>
      <c r="D5" s="191">
        <f>SUMPRODUCT(($DB$3:$DB$42=$B5)*($DF$3:$DF$42="D"))+SUMPRODUCT(($DE$3:$DE$42=$B5)*($DG$3:$DG$42="D"))</f>
        <v>0</v>
      </c>
      <c r="E5" s="191">
        <f>SUMPRODUCT(($DB$3:$DB$42=$B5)*($DF$3:$DF$42="L"))+SUMPRODUCT(($DE$3:$DE$42=$B5)*($DG$3:$DG$42="L"))</f>
        <v>0</v>
      </c>
      <c r="F5" s="191">
        <f>SUMIF($DB$3:$DB$60,B5,$DC$3:$DC$60)+SUMIF($DE$3:$DE$60,B5,$DD$3:$DD$60)</f>
        <v>0</v>
      </c>
      <c r="G5" s="191">
        <f>SUMIF($DE$3:$DE$60,B5,$DC$3:$DC$60)+SUMIF($DB$3:$DB$60,B5,$DD$3:$DD$60)</f>
        <v>0</v>
      </c>
      <c r="H5" s="191">
        <f t="shared" ref="H5:H8" si="1">F5-G5+1000</f>
        <v>1000</v>
      </c>
      <c r="I5" s="191">
        <f t="shared" ref="I5:I8" si="2">C5*3+D5*1</f>
        <v>0</v>
      </c>
      <c r="J5" s="191">
        <v>1</v>
      </c>
      <c r="K5" s="191">
        <f t="shared" ref="K5:K8" si="3">RANK(I5,I$4:I$8)</f>
        <v>1</v>
      </c>
      <c r="L5" s="191">
        <f t="shared" ref="L5:L8" si="4">SUMPRODUCT((K$4:K$8=K5)*(H$4:H$8&gt;H5))</f>
        <v>0</v>
      </c>
      <c r="M5" s="191">
        <f t="shared" ref="M5:M8" si="5">SUMPRODUCT((K$4:K$8=K5)*(H$4:H$8=H5)*(F$4:F$8&gt;F5))</f>
        <v>0</v>
      </c>
      <c r="N5" s="191">
        <f t="shared" ref="N5:N8" si="6">SUM(K5:M5)</f>
        <v>1</v>
      </c>
      <c r="O5" s="191">
        <f t="shared" ref="O5:O8" si="7">SUMPRODUCT((N$4:N$8=N5)*(J$4:J$8&lt;J5))+N5</f>
        <v>1</v>
      </c>
      <c r="P5" s="191" t="str">
        <f>INDEX($B$4:$B$8,MATCH(2,$O$4:$O$8,0),0)</f>
        <v>Paraguay</v>
      </c>
      <c r="Q5" s="191">
        <f t="shared" ref="Q5:Q8" si="8">INDEX($N$4:$N$8,MATCH(P5,$B$4:$B$8,0),0)</f>
        <v>1</v>
      </c>
      <c r="R5" s="191" t="str">
        <f>IF(R4&lt;&gt;"",P5,"")</f>
        <v>Paraguay</v>
      </c>
      <c r="S5" s="191" t="str">
        <f>IF(S4&lt;&gt;"",P6,"")</f>
        <v/>
      </c>
      <c r="T5" s="191" t="str">
        <f>IF(T4&lt;&gt;"",P7,"")</f>
        <v/>
      </c>
      <c r="U5" s="191" t="str">
        <f>IF(U4&lt;&gt;"",P8,"")</f>
        <v/>
      </c>
      <c r="W5" s="191" t="str">
        <f t="shared" ref="W5:W8" si="9">IF(R5&lt;&gt;"",R5,"")</f>
        <v>Paraguay</v>
      </c>
      <c r="X5" s="191">
        <f>SUMPRODUCT(($DB$3:$DB$42=$W5)*($DE$3:$DE$42=$W6)*($DF$3:$DF$42="W"))+SUMPRODUCT(($DB$3:$DB$42=$W5)*($DE$3:$DE$42=$W7)*($DF$3:$DF$42="W"))+SUMPRODUCT(($DB$3:$DB$42=$W5)*($DE$3:$DE$42=$W8)*($DF$3:$DF$42="W"))+SUMPRODUCT(($DB$3:$DB$42=$W5)*($DE$3:$DE$42=$W4)*($DF$3:$DF$42="W"))+SUMPRODUCT(($DB$3:$DB$42=$W6)*($DE$3:$DE$42=$W5)*($DG$3:$DG$42="W"))+SUMPRODUCT(($DB$3:$DB$42=$W7)*($DE$3:$DE$42=$W5)*($DG$3:$DG$42="W"))+SUMPRODUCT(($DB$3:$DB$42=$W8)*($DE$3:$DE$42=$W5)*($DG$3:$DG$42="W"))+SUMPRODUCT(($DB$3:$DB$42=$W4)*($DE$3:$DE$42=$W5)*($DG$3:$DG$42="W"))</f>
        <v>0</v>
      </c>
      <c r="Y5" s="191">
        <f>SUMPRODUCT(($DB$3:$DB$42=$W5)*($DE$3:$DE$42=$W6)*($DF$3:$DF$42="D"))+SUMPRODUCT(($DB$3:$DB$42=$W5)*($DE$3:$DE$42=$W7)*($DF$3:$DF$42="D"))+SUMPRODUCT(($DB$3:$DB$42=$W5)*($DE$3:$DE$42=$W8)*($DF$3:$DF$42="D"))+SUMPRODUCT(($DB$3:$DB$42=$W5)*($DE$3:$DE$42=$W4)*($DF$3:$DF$42="D"))+SUMPRODUCT(($DB$3:$DB$42=$W6)*($DE$3:$DE$42=$W5)*($DF$3:$DF$42="D"))+SUMPRODUCT(($DB$3:$DB$42=$W7)*($DE$3:$DE$42=$W5)*($DF$3:$DF$42="D"))+SUMPRODUCT(($DB$3:$DB$42=$W8)*($DE$3:$DE$42=$W5)*($DF$3:$DF$42="D"))+SUMPRODUCT(($DB$3:$DB$42=$W4)*($DE$3:$DE$42=$W5)*($DF$3:$DF$42="D"))</f>
        <v>0</v>
      </c>
      <c r="Z5" s="191">
        <f>SUMPRODUCT(($DB$3:$DB$42=$W5)*($DE$3:$DE$42=$W6)*($DF$3:$DF$42="L"))+SUMPRODUCT(($DB$3:$DB$42=$W5)*($DE$3:$DE$42=$W7)*($DF$3:$DF$42="L"))+SUMPRODUCT(($DB$3:$DB$42=$W5)*($DE$3:$DE$42=$W8)*($DF$3:$DF$42="L"))+SUMPRODUCT(($DB$3:$DB$42=$W5)*($DE$3:$DE$42=$W4)*($DF$3:$DF$42="L"))+SUMPRODUCT(($DB$3:$DB$42=$W6)*($DE$3:$DE$42=$W5)*($DG$3:$DG$42="L"))+SUMPRODUCT(($DB$3:$DB$42=$W7)*($DE$3:$DE$42=$W5)*($DG$3:$DG$42="L"))+SUMPRODUCT(($DB$3:$DB$42=$W8)*($DE$3:$DE$42=$W5)*($DG$3:$DG$42="L"))+SUMPRODUCT(($DB$3:$DB$42=$W4)*($DE$3:$DE$42=$W5)*($DG$3:$DG$42="L"))</f>
        <v>0</v>
      </c>
      <c r="AA5" s="191">
        <f>SUMPRODUCT(($DB$3:$DB$42=$W5)*($DE$3:$DE$42=$W6)*$DC$3:$DC$42)+SUMPRODUCT(($DB$3:$DB$42=$W5)*($DE$3:$DE$42=$W7)*$DC$3:$DC$42)+SUMPRODUCT(($DB$3:$DB$42=$W5)*($DE$3:$DE$42=$W8)*$DC$3:$DC$42)+SUMPRODUCT(($DB$3:$DB$42=$W5)*($DE$3:$DE$42=$W4)*$DC$3:$DC$42)+SUMPRODUCT(($DB$3:$DB$42=$W6)*($DE$3:$DE$42=$W5)*$DD$3:$DD$42)+SUMPRODUCT(($DB$3:$DB$42=$W7)*($DE$3:$DE$42=$W5)*$DD$3:$DD$42)+SUMPRODUCT(($DB$3:$DB$42=$W8)*($DE$3:$DE$42=$W5)*$DD$3:$DD$42)+SUMPRODUCT(($DB$3:$DB$42=$W4)*($DE$3:$DE$42=$W5)*$DD$3:$DD$42)</f>
        <v>0</v>
      </c>
      <c r="AB5" s="191">
        <f>SUMPRODUCT(($DB$3:$DB$42=$W5)*($DE$3:$DE$42=$W6)*$DD$3:$DD$42)+SUMPRODUCT(($DB$3:$DB$42=$W5)*($DE$3:$DE$42=$W7)*$DD$3:$DD$42)+SUMPRODUCT(($DB$3:$DB$42=$W5)*($DE$3:$DE$42=$W8)*$DD$3:$DD$42)+SUMPRODUCT(($DB$3:$DB$42=$W5)*($DE$3:$DE$42=$W4)*$DD$3:$DD$42)+SUMPRODUCT(($DB$3:$DB$42=$W6)*($DE$3:$DE$42=$W5)*$DC$3:$DC$42)+SUMPRODUCT(($DB$3:$DB$42=$W7)*($DE$3:$DE$42=$W5)*$DC$3:$DC$42)+SUMPRODUCT(($DB$3:$DB$42=$W8)*($DE$3:$DE$42=$W5)*$DC$3:$DC$42)+SUMPRODUCT(($DB$3:$DB$42=$W4)*($DE$3:$DE$42=$W5)*$DC$3:$DC$42)</f>
        <v>0</v>
      </c>
      <c r="AC5" s="191">
        <f>AA5-AB5+1000</f>
        <v>1000</v>
      </c>
      <c r="AD5" s="191">
        <f t="shared" ref="AD5:AD8" si="10">IF(W5&lt;&gt;"",X5*3+Y5*1,"")</f>
        <v>0</v>
      </c>
      <c r="AE5" s="191">
        <f t="shared" ref="AE5:AE8" si="11">IF(W5&lt;&gt;"",VLOOKUP(W5,$B$4:$H$40,7,FALSE),"")</f>
        <v>1000</v>
      </c>
      <c r="AF5" s="191">
        <f t="shared" ref="AF5:AF8" si="12">IF(W5&lt;&gt;"",VLOOKUP(W5,$B$4:$H$40,5,FALSE),"")</f>
        <v>0</v>
      </c>
      <c r="AG5" s="191">
        <f t="shared" ref="AG5:AG8" si="13">IF(W5&lt;&gt;"",VLOOKUP(W5,$B$4:$J$40,9,FALSE),"")</f>
        <v>3</v>
      </c>
      <c r="AH5" s="191">
        <f t="shared" ref="AH5:AH8" si="14">AD5</f>
        <v>0</v>
      </c>
      <c r="AI5" s="191">
        <f>IF(W5&lt;&gt;"",RANK(AH5,AH$4:AH$8),"")</f>
        <v>1</v>
      </c>
      <c r="AJ5" s="191">
        <f t="shared" ref="AJ5:AJ8" si="15">IF(W5&lt;&gt;"",SUMPRODUCT((AH$4:AH$8=AH5)*(AC$4:AC$8&gt;AC5)),"")</f>
        <v>0</v>
      </c>
      <c r="AK5" s="191">
        <f t="shared" ref="AK5:AK8" si="16">IF(W5&lt;&gt;"",SUMPRODUCT((AH$4:AH$8=AH5)*(AC$4:AC$8=AC5)*(AA$4:AA$8&gt;AA5)),"")</f>
        <v>0</v>
      </c>
      <c r="AL5" s="191">
        <f t="shared" ref="AL5:AL8" si="17">IF(W5&lt;&gt;"",SUMPRODUCT((AH$4:AH$8=AH5)*(AC$4:AC$8=AC5)*(AA$4:AA$8=AA5)*(AE$4:AE$8&gt;AE5)),"")</f>
        <v>0</v>
      </c>
      <c r="AM5" s="191">
        <f t="shared" ref="AM5:AM8" si="18">IF(W5&lt;&gt;"",SUMPRODUCT((AH$4:AH$8=AH5)*(AC$4:AC$8=AC5)*(AA$4:AA$8=AA5)*(AE$4:AE$8=AE5)*(AF$4:AF$8&gt;AF5)),"")</f>
        <v>0</v>
      </c>
      <c r="AN5" s="191">
        <f t="shared" ref="AN5:AN8" si="19">IF(W5&lt;&gt;"",SUMPRODUCT((AH$4:AH$8=AH5)*(AC$4:AC$8=AC5)*(AA$4:AA$8=AA5)*(AE$4:AE$8=AE5)*(AF$4:AF$8=AF5)*(AG$4:AG$8&gt;AG5)),"")</f>
        <v>3</v>
      </c>
      <c r="AO5" s="191">
        <f>IF(W5&lt;&gt;"",IF(AO45&lt;&gt;"",IF(V$43=3,AO45,AO45+V$43),SUM(AI5:AN5)),"")</f>
        <v>4</v>
      </c>
      <c r="AP5" s="191" t="str">
        <f>IF(W5&lt;&gt;"",INDEX($W$4:$W$8,MATCH(2,$AO$4:$AO$8,0),0),"")</f>
        <v>Uruguay</v>
      </c>
      <c r="AQ5" s="191" t="str">
        <f>IF(S4&lt;&gt;"",S4,"")</f>
        <v/>
      </c>
      <c r="AR5" s="191">
        <f>SUMPRODUCT(($DB$3:$DB$42=$AQ5)*($DE$3:$DE$42=$AQ6)*($DF$3:$DF$42="W"))+SUMPRODUCT(($DB$3:$DB$42=$AQ5)*($DE$3:$DE$42=$AQ7)*($DF$3:$DF$42="W"))+SUMPRODUCT(($DB$3:$DB$42=$AQ5)*($DE$3:$DE$42=$AQ8)*($DF$3:$DF$42="W"))+SUMPRODUCT(($DB$3:$DB$42=$AQ6)*($DE$3:$DE$42=$AQ5)*($DG$3:$DG$42="W"))+SUMPRODUCT(($DB$3:$DB$42=$AQ7)*($DE$3:$DE$42=$AQ5)*($DG$3:$DG$42="W"))+SUMPRODUCT(($DB$3:$DB$42=$AQ8)*($DE$3:$DE$42=$AQ5)*($DG$3:$DG$42="W"))</f>
        <v>0</v>
      </c>
      <c r="AS5" s="191">
        <f>SUMPRODUCT(($DB$3:$DB$42=$AQ5)*($DE$3:$DE$42=$AQ6)*($DF$3:$DF$42="D"))+SUMPRODUCT(($DB$3:$DB$42=$AQ5)*($DE$3:$DE$42=$AQ7)*($DF$3:$DF$42="D"))+SUMPRODUCT(($DB$3:$DB$42=$AQ5)*($DE$3:$DE$42=$AQ8)*($DF$3:$DF$42="D"))+SUMPRODUCT(($DB$3:$DB$42=$AQ6)*($DE$3:$DE$42=$AQ5)*($DF$3:$DF$42="D"))+SUMPRODUCT(($DB$3:$DB$42=$AQ7)*($DE$3:$DE$42=$AQ5)*($DF$3:$DF$42="D"))+SUMPRODUCT(($DB$3:$DB$42=$AQ8)*($DE$3:$DE$42=$AQ5)*($DF$3:$DF$42="D"))</f>
        <v>0</v>
      </c>
      <c r="AT5" s="191">
        <f>SUMPRODUCT(($DB$3:$DB$42=$AQ5)*($DE$3:$DE$42=$AQ6)*($DF$3:$DF$42="L"))+SUMPRODUCT(($DB$3:$DB$42=$AQ5)*($DE$3:$DE$42=$AQ7)*($DF$3:$DF$42="L"))+SUMPRODUCT(($DB$3:$DB$42=$AQ5)*($DE$3:$DE$42=$AQ8)*($DF$3:$DF$42="L"))+SUMPRODUCT(($DB$3:$DB$42=$AQ6)*($DE$3:$DE$42=$AQ5)*($DG$3:$DG$42="L"))+SUMPRODUCT(($DB$3:$DB$42=$AQ7)*($DE$3:$DE$42=$AQ5)*($DG$3:$DG$42="L"))+SUMPRODUCT(($DB$3:$DB$42=$AQ8)*($DE$3:$DE$42=$AQ5)*($DG$3:$DG$42="L"))</f>
        <v>0</v>
      </c>
      <c r="AU5" s="191">
        <f>SUMPRODUCT(($DB$3:$DB$42=$AQ5)*($DE$3:$DE$42=$AQ6)*$DC$3:$DC$42)+SUMPRODUCT(($DB$3:$DB$42=$AQ5)*($DE$3:$DE$42=$AQ7)*$DC$3:$DC$42)+SUMPRODUCT(($DB$3:$DB$42=$AQ5)*($DE$3:$DE$42=$AQ8)*$DC$3:$DC$42)+SUMPRODUCT(($DB$3:$DB$42=$AQ5)*($DE$3:$DE$42=$AQ4)*$DC$3:$DC$42)+SUMPRODUCT(($DB$3:$DB$42=$AQ6)*($DE$3:$DE$42=$AQ5)*$DD$3:$DD$42)+SUMPRODUCT(($DB$3:$DB$42=$AQ7)*($DE$3:$DE$42=$AQ5)*$DD$3:$DD$42)+SUMPRODUCT(($DB$3:$DB$42=$AQ8)*($DE$3:$DE$42=$AQ5)*$DD$3:$DD$42)+SUMPRODUCT(($DB$3:$DB$42=$AQ4)*($DE$3:$DE$42=$AQ5)*$DD$3:$DD$42)</f>
        <v>0</v>
      </c>
      <c r="AV5" s="191">
        <f>SUMPRODUCT(($DB$3:$DB$42=$AQ5)*($DE$3:$DE$42=$AQ6)*$DD$3:$DD$42)+SUMPRODUCT(($DB$3:$DB$42=$AQ5)*($DE$3:$DE$42=$AQ7)*$DD$3:$DD$42)+SUMPRODUCT(($DB$3:$DB$42=$AQ5)*($DE$3:$DE$42=$AQ8)*$DD$3:$DD$42)+SUMPRODUCT(($DB$3:$DB$42=$AQ5)*($DE$3:$DE$42=$AQ4)*$DD$3:$DD$42)+SUMPRODUCT(($DB$3:$DB$42=$AQ6)*($DE$3:$DE$42=$AQ5)*$DC$3:$DC$42)+SUMPRODUCT(($DB$3:$DB$42=$AQ7)*($DE$3:$DE$42=$AQ5)*$DC$3:$DC$42)+SUMPRODUCT(($DB$3:$DB$42=$AQ8)*($DE$3:$DE$42=$AQ5)*$DC$3:$DC$42)+SUMPRODUCT(($DB$3:$DB$42=$AQ4)*($DE$3:$DE$42=$AQ5)*$DC$3:$DC$42)</f>
        <v>0</v>
      </c>
      <c r="AW5" s="191">
        <f>AU5-AV5+1000</f>
        <v>1000</v>
      </c>
      <c r="AX5" s="191" t="str">
        <f t="shared" ref="AX5:AX8" si="20">IF(AQ5&lt;&gt;"",AR5*3+AS5*1,"")</f>
        <v/>
      </c>
      <c r="AY5" s="191" t="str">
        <f t="shared" ref="AY5:AY8" si="21">IF(AQ5&lt;&gt;"",VLOOKUP(AQ5,$B$4:$H$40,7,FALSE),"")</f>
        <v/>
      </c>
      <c r="AZ5" s="191" t="str">
        <f t="shared" ref="AZ5:AZ8" si="22">IF(AQ5&lt;&gt;"",VLOOKUP(AQ5,$B$4:$H$40,5,FALSE),"")</f>
        <v/>
      </c>
      <c r="BA5" s="191" t="str">
        <f t="shared" ref="BA5:BA8" si="23">IF(AQ5&lt;&gt;"",VLOOKUP(AQ5,$B$4:$J$40,9,FALSE),"")</f>
        <v/>
      </c>
      <c r="BB5" s="191" t="str">
        <f t="shared" ref="BB5:BB8" si="24">AX5</f>
        <v/>
      </c>
      <c r="BC5" s="191" t="str">
        <f>IF(AQ5&lt;&gt;"",RANK(BB5,BB$4:BB$8),"")</f>
        <v/>
      </c>
      <c r="BD5" s="191" t="str">
        <f t="shared" ref="BD5:BD8" si="25">IF(AQ5&lt;&gt;"",SUMPRODUCT((BB$4:BB$8=BB5)*(AW$4:AW$8&gt;AW5)),"")</f>
        <v/>
      </c>
      <c r="BE5" s="191" t="str">
        <f t="shared" ref="BE5:BE8" si="26">IF(AQ5&lt;&gt;"",SUMPRODUCT((BB$4:BB$8=BB5)*(AW$4:AW$8=AW5)*(AU$4:AU$8&gt;AU5)),"")</f>
        <v/>
      </c>
      <c r="BF5" s="191" t="str">
        <f t="shared" ref="BF5:BF8" si="27">IF(AQ5&lt;&gt;"",SUMPRODUCT((BB$4:BB$8=BB5)*(AW$4:AW$8=AW5)*(AU$4:AU$8=AU5)*(AY$4:AY$8&gt;AY5)),"")</f>
        <v/>
      </c>
      <c r="BG5" s="191" t="str">
        <f t="shared" ref="BG5:BG8" si="28">IF(AQ5&lt;&gt;"",SUMPRODUCT((BB$4:BB$8=BB5)*(AW$4:AW$8=AW5)*(AU$4:AU$8=AU5)*(AY$4:AY$8=AY5)*(AZ$4:AZ$8&gt;AZ5)),"")</f>
        <v/>
      </c>
      <c r="BH5" s="191" t="str">
        <f t="shared" ref="BH5:BH8" si="29">IF(AQ5&lt;&gt;"",SUMPRODUCT((BB$4:BB$8=BB5)*(AW$4:AW$8=AW5)*(AU$4:AU$8=AU5)*(AY$4:AY$8=AY5)*(AZ$4:AZ$8=AZ5)*(BA$4:BA$8&gt;BA5)),"")</f>
        <v/>
      </c>
      <c r="BI5" s="191" t="str">
        <f>IF(AQ5&lt;&gt;"",IF(BI45&lt;&gt;"",IF(AP$43=3,BI45,BI45+AP$43),SUM(BC5:BH5)+1),"")</f>
        <v/>
      </c>
      <c r="BJ5" s="191" t="str">
        <f>IF(AQ5&lt;&gt;"",INDEX(AQ5:AQ8,MATCH(2,BI5:BI8,0),0),"")</f>
        <v/>
      </c>
      <c r="CY5" s="191" t="str">
        <f>IF(BJ5&lt;&gt;"",BJ5,IF(AP5&lt;&gt;"",AP5,P5))</f>
        <v>Uruguay</v>
      </c>
      <c r="CZ5" s="191">
        <v>2</v>
      </c>
      <c r="DA5" s="191">
        <v>3</v>
      </c>
      <c r="DB5" s="191" t="str">
        <f>Matches!F9</f>
        <v>Argentina</v>
      </c>
      <c r="DC5" s="191">
        <f>IF(AND(Matches!H9&lt;&gt;"",Matches!I9&lt;&gt;""),Matches!H9,0)</f>
        <v>0</v>
      </c>
      <c r="DD5" s="191">
        <f>IF(AND(Matches!I9&lt;&gt;"",Matches!H9&lt;&gt;""),Matches!I9,0)</f>
        <v>0</v>
      </c>
      <c r="DE5" s="191" t="str">
        <f>Matches!K9</f>
        <v>Chile</v>
      </c>
      <c r="DF5" s="191" t="str">
        <f>IF(AND(Matches!H9&lt;&gt;"",Matches!I9&lt;&gt;""),IF(DC5&gt;DD5,"W",IF(DC5=DD5,"D","L")),"")</f>
        <v/>
      </c>
      <c r="DG5" s="191" t="str">
        <f t="shared" si="0"/>
        <v/>
      </c>
    </row>
    <row r="6" spans="1:131" x14ac:dyDescent="0.35">
      <c r="A6" s="191">
        <f>VLOOKUP(B6,$CY$4:$CZ$8,2,FALSE)</f>
        <v>2</v>
      </c>
      <c r="B6" s="191" t="str">
        <f>'Dummy Table'!DT9</f>
        <v>Uruguay</v>
      </c>
      <c r="C6" s="191">
        <f>SUMPRODUCT(($DB$3:$DB$42=$B6)*($DF$3:$DF$42="W"))+SUMPRODUCT(($DE$3:$DE$42=$B6)*($DG$3:$DG$42="W"))</f>
        <v>0</v>
      </c>
      <c r="D6" s="191">
        <f>SUMPRODUCT(($DB$3:$DB$42=$B6)*($DF$3:$DF$42="D"))+SUMPRODUCT(($DE$3:$DE$42=$B6)*($DG$3:$DG$42="D"))</f>
        <v>0</v>
      </c>
      <c r="E6" s="191">
        <f>SUMPRODUCT(($DB$3:$DB$42=$B6)*($DF$3:$DF$42="L"))+SUMPRODUCT(($DE$3:$DE$42=$B6)*($DG$3:$DG$42="L"))</f>
        <v>0</v>
      </c>
      <c r="F6" s="191">
        <f>SUMIF($DB$3:$DB$60,B6,$DC$3:$DC$60)+SUMIF($DE$3:$DE$60,B6,$DD$3:$DD$60)</f>
        <v>0</v>
      </c>
      <c r="G6" s="191">
        <f>SUMIF($DE$3:$DE$60,B6,$DC$3:$DC$60)+SUMIF($DB$3:$DB$60,B6,$DD$3:$DD$60)</f>
        <v>0</v>
      </c>
      <c r="H6" s="191">
        <f t="shared" si="1"/>
        <v>1000</v>
      </c>
      <c r="I6" s="191">
        <f t="shared" si="2"/>
        <v>0</v>
      </c>
      <c r="J6" s="191">
        <v>8</v>
      </c>
      <c r="K6" s="191">
        <f t="shared" si="3"/>
        <v>1</v>
      </c>
      <c r="L6" s="191">
        <f t="shared" si="4"/>
        <v>0</v>
      </c>
      <c r="M6" s="191">
        <f t="shared" si="5"/>
        <v>0</v>
      </c>
      <c r="N6" s="191">
        <f t="shared" si="6"/>
        <v>1</v>
      </c>
      <c r="O6" s="191">
        <f t="shared" si="7"/>
        <v>4</v>
      </c>
      <c r="P6" s="191" t="str">
        <f>INDEX($B$4:$B$8,MATCH(3,$O$4:$O$8,0),0)</f>
        <v>Chile</v>
      </c>
      <c r="Q6" s="191">
        <f t="shared" si="8"/>
        <v>1</v>
      </c>
      <c r="R6" s="191" t="str">
        <f>IF(AND(R5&lt;&gt;"",Q6=1),P6,"")</f>
        <v>Chile</v>
      </c>
      <c r="S6" s="191" t="str">
        <f>IF(AND(S5&lt;&gt;"",Q7=2),P7,"")</f>
        <v/>
      </c>
      <c r="T6" s="191" t="str">
        <f>IF(AND(T5&lt;&gt;"",Q8=3),P8,"")</f>
        <v/>
      </c>
      <c r="W6" s="191" t="str">
        <f t="shared" si="9"/>
        <v>Chile</v>
      </c>
      <c r="X6" s="191">
        <f>SUMPRODUCT(($DB$3:$DB$42=$W6)*($DE$3:$DE$42=$W7)*($DF$3:$DF$42="W"))+SUMPRODUCT(($DB$3:$DB$42=$W6)*($DE$3:$DE$42=$W8)*($DF$3:$DF$42="W"))+SUMPRODUCT(($DB$3:$DB$42=$W6)*($DE$3:$DE$42=$W4)*($DF$3:$DF$42="W"))+SUMPRODUCT(($DB$3:$DB$42=$W6)*($DE$3:$DE$42=$W5)*($DF$3:$DF$42="W"))+SUMPRODUCT(($DB$3:$DB$42=$W7)*($DE$3:$DE$42=$W6)*($DG$3:$DG$42="W"))+SUMPRODUCT(($DB$3:$DB$42=$W8)*($DE$3:$DE$42=$W6)*($DG$3:$DG$42="W"))+SUMPRODUCT(($DB$3:$DB$42=$W4)*($DE$3:$DE$42=$W6)*($DG$3:$DG$42="W"))+SUMPRODUCT(($DB$3:$DB$42=$W5)*($DE$3:$DE$42=$W6)*($DG$3:$DG$42="W"))</f>
        <v>0</v>
      </c>
      <c r="Y6" s="191">
        <f>SUMPRODUCT(($DB$3:$DB$42=$W6)*($DE$3:$DE$42=$W7)*($DF$3:$DF$42="D"))+SUMPRODUCT(($DB$3:$DB$42=$W6)*($DE$3:$DE$42=$W8)*($DF$3:$DF$42="D"))+SUMPRODUCT(($DB$3:$DB$42=$W6)*($DE$3:$DE$42=$W4)*($DF$3:$DF$42="D"))+SUMPRODUCT(($DB$3:$DB$42=$W6)*($DE$3:$DE$42=$W5)*($DF$3:$DF$42="D"))+SUMPRODUCT(($DB$3:$DB$42=$W7)*($DE$3:$DE$42=$W6)*($DF$3:$DF$42="D"))+SUMPRODUCT(($DB$3:$DB$42=$W8)*($DE$3:$DE$42=$W6)*($DF$3:$DF$42="D"))+SUMPRODUCT(($DB$3:$DB$42=$W4)*($DE$3:$DE$42=$W6)*($DF$3:$DF$42="D"))+SUMPRODUCT(($DB$3:$DB$42=$W5)*($DE$3:$DE$42=$W6)*($DF$3:$DF$42="D"))</f>
        <v>0</v>
      </c>
      <c r="Z6" s="191">
        <f>SUMPRODUCT(($DB$3:$DB$42=$W6)*($DE$3:$DE$42=$W7)*($DF$3:$DF$42="L"))+SUMPRODUCT(($DB$3:$DB$42=$W6)*($DE$3:$DE$42=$W8)*($DF$3:$DF$42="L"))+SUMPRODUCT(($DB$3:$DB$42=$W6)*($DE$3:$DE$42=$W4)*($DF$3:$DF$42="L"))+SUMPRODUCT(($DB$3:$DB$42=$W6)*($DE$3:$DE$42=$W5)*($DF$3:$DF$42="L"))+SUMPRODUCT(($DB$3:$DB$42=$W7)*($DE$3:$DE$42=$W6)*($DG$3:$DG$42="L"))+SUMPRODUCT(($DB$3:$DB$42=$W8)*($DE$3:$DE$42=$W6)*($DG$3:$DG$42="L"))+SUMPRODUCT(($DB$3:$DB$42=$W4)*($DE$3:$DE$42=$W6)*($DG$3:$DG$42="L"))+SUMPRODUCT(($DB$3:$DB$42=$W5)*($DE$3:$DE$42=$W6)*($DG$3:$DG$42="L"))</f>
        <v>0</v>
      </c>
      <c r="AA6" s="191">
        <f>SUMPRODUCT(($DB$3:$DB$42=$W6)*($DE$3:$DE$42=$W7)*$DC$3:$DC$42)+SUMPRODUCT(($DB$3:$DB$42=$W6)*($DE$3:$DE$42=$W8)*$DC$3:$DC$42)+SUMPRODUCT(($DB$3:$DB$42=$W6)*($DE$3:$DE$42=$W4)*$DC$3:$DC$42)+SUMPRODUCT(($DB$3:$DB$42=$W6)*($DE$3:$DE$42=$W5)*$DC$3:$DC$42)+SUMPRODUCT(($DB$3:$DB$42=$W7)*($DE$3:$DE$42=$W6)*$DD$3:$DD$42)+SUMPRODUCT(($DB$3:$DB$42=$W8)*($DE$3:$DE$42=$W6)*$DD$3:$DD$42)+SUMPRODUCT(($DB$3:$DB$42=$W4)*($DE$3:$DE$42=$W6)*$DD$3:$DD$42)+SUMPRODUCT(($DB$3:$DB$42=$W5)*($DE$3:$DE$42=$W6)*$DD$3:$DD$42)</f>
        <v>0</v>
      </c>
      <c r="AB6" s="191">
        <f>SUMPRODUCT(($DB$3:$DB$42=$W6)*($DE$3:$DE$42=$W7)*$DD$3:$DD$42)+SUMPRODUCT(($DB$3:$DB$42=$W6)*($DE$3:$DE$42=$W8)*$DD$3:$DD$42)+SUMPRODUCT(($DB$3:$DB$42=$W6)*($DE$3:$DE$42=$W4)*$DD$3:$DD$42)+SUMPRODUCT(($DB$3:$DB$42=$W6)*($DE$3:$DE$42=$W5)*$DD$3:$DD$42)+SUMPRODUCT(($DB$3:$DB$42=$W7)*($DE$3:$DE$42=$W6)*$DC$3:$DC$42)+SUMPRODUCT(($DB$3:$DB$42=$W8)*($DE$3:$DE$42=$W6)*$DC$3:$DC$42)+SUMPRODUCT(($DB$3:$DB$42=$W4)*($DE$3:$DE$42=$W6)*$DC$3:$DC$42)+SUMPRODUCT(($DB$3:$DB$42=$W5)*($DE$3:$DE$42=$W6)*$DC$3:$DC$42)</f>
        <v>0</v>
      </c>
      <c r="AC6" s="191">
        <f>AA6-AB6+1000</f>
        <v>1000</v>
      </c>
      <c r="AD6" s="191">
        <f t="shared" si="10"/>
        <v>0</v>
      </c>
      <c r="AE6" s="191">
        <f t="shared" si="11"/>
        <v>1000</v>
      </c>
      <c r="AF6" s="191">
        <f t="shared" si="12"/>
        <v>0</v>
      </c>
      <c r="AG6" s="191">
        <f t="shared" si="13"/>
        <v>6</v>
      </c>
      <c r="AH6" s="191">
        <f t="shared" si="14"/>
        <v>0</v>
      </c>
      <c r="AI6" s="191">
        <f>IF(W6&lt;&gt;"",RANK(AH6,AH$4:AH$8),"")</f>
        <v>1</v>
      </c>
      <c r="AJ6" s="191">
        <f t="shared" si="15"/>
        <v>0</v>
      </c>
      <c r="AK6" s="191">
        <f t="shared" si="16"/>
        <v>0</v>
      </c>
      <c r="AL6" s="191">
        <f t="shared" si="17"/>
        <v>0</v>
      </c>
      <c r="AM6" s="191">
        <f t="shared" si="18"/>
        <v>0</v>
      </c>
      <c r="AN6" s="191">
        <f t="shared" si="19"/>
        <v>2</v>
      </c>
      <c r="AO6" s="191">
        <f t="shared" ref="AO6:AO7" si="30">IF(W6&lt;&gt;"",IF(AO46&lt;&gt;"",IF(V$43=3,AO46,AO46+V$43),SUM(AI6:AN6)),"")</f>
        <v>3</v>
      </c>
      <c r="AP6" s="191" t="str">
        <f>IF(W6&lt;&gt;"",INDEX($W$4:$W$8,MATCH(3,$AO$4:$AO$8,0),0),"")</f>
        <v>Chile</v>
      </c>
      <c r="AQ6" s="191" t="str">
        <f>IF(S5&lt;&gt;"",S5,"")</f>
        <v/>
      </c>
      <c r="AR6" s="191">
        <f>SUMPRODUCT(($DB$3:$DB$42=$AQ6)*($DE$3:$DE$42=$AQ7)*($DF$3:$DF$42="W"))+SUMPRODUCT(($DB$3:$DB$42=$AQ6)*($DE$3:$DE$42=$AQ8)*($DF$3:$DF$42="W"))+SUMPRODUCT(($DB$3:$DB$42=$AQ6)*($DE$3:$DE$42=$AQ5)*($DF$3:$DF$42="W"))+SUMPRODUCT(($DB$3:$DB$42=$AQ7)*($DE$3:$DE$42=$AQ6)*($DG$3:$DG$42="W"))+SUMPRODUCT(($DB$3:$DB$42=$AQ8)*($DE$3:$DE$42=$AQ6)*($DG$3:$DG$42="W"))+SUMPRODUCT(($DB$3:$DB$42=$AQ5)*($DE$3:$DE$42=$AQ6)*($DG$3:$DG$42="W"))</f>
        <v>0</v>
      </c>
      <c r="AS6" s="191">
        <f>SUMPRODUCT(($DB$3:$DB$42=$AQ6)*($DE$3:$DE$42=$AQ7)*($DF$3:$DF$42="D"))+SUMPRODUCT(($DB$3:$DB$42=$AQ6)*($DE$3:$DE$42=$AQ8)*($DF$3:$DF$42="D"))+SUMPRODUCT(($DB$3:$DB$42=$AQ6)*($DE$3:$DE$42=$AQ5)*($DF$3:$DF$42="D"))+SUMPRODUCT(($DB$3:$DB$42=$AQ7)*($DE$3:$DE$42=$AQ6)*($DF$3:$DF$42="D"))+SUMPRODUCT(($DB$3:$DB$42=$AQ8)*($DE$3:$DE$42=$AQ6)*($DF$3:$DF$42="D"))+SUMPRODUCT(($DB$3:$DB$42=$AQ5)*($DE$3:$DE$42=$AQ6)*($DF$3:$DF$42="D"))</f>
        <v>0</v>
      </c>
      <c r="AT6" s="191">
        <f>SUMPRODUCT(($DB$3:$DB$42=$AQ6)*($DE$3:$DE$42=$AQ7)*($DF$3:$DF$42="L"))+SUMPRODUCT(($DB$3:$DB$42=$AQ6)*($DE$3:$DE$42=$AQ8)*($DF$3:$DF$42="L"))+SUMPRODUCT(($DB$3:$DB$42=$AQ6)*($DE$3:$DE$42=$AQ5)*($DF$3:$DF$42="L"))+SUMPRODUCT(($DB$3:$DB$42=$AQ7)*($DE$3:$DE$42=$AQ6)*($DG$3:$DG$42="L"))+SUMPRODUCT(($DB$3:$DB$42=$AQ8)*($DE$3:$DE$42=$AQ6)*($DG$3:$DG$42="L"))+SUMPRODUCT(($DB$3:$DB$42=$AQ5)*($DE$3:$DE$42=$AQ6)*($DG$3:$DG$42="L"))</f>
        <v>0</v>
      </c>
      <c r="AU6" s="191">
        <f>SUMPRODUCT(($DB$3:$DB$42=$AQ6)*($DE$3:$DE$42=$AQ7)*$DC$3:$DC$42)+SUMPRODUCT(($DB$3:$DB$42=$AQ6)*($DE$3:$DE$42=$AQ8)*$DC$3:$DC$42)+SUMPRODUCT(($DB$3:$DB$42=$AQ6)*($DE$3:$DE$42=$AQ4)*$DC$3:$DC$42)+SUMPRODUCT(($DB$3:$DB$42=$AQ6)*($DE$3:$DE$42=$AQ5)*$DC$3:$DC$42)+SUMPRODUCT(($DB$3:$DB$42=$AQ7)*($DE$3:$DE$42=$AQ6)*$DD$3:$DD$42)+SUMPRODUCT(($DB$3:$DB$42=$AQ8)*($DE$3:$DE$42=$AQ6)*$DD$3:$DD$42)+SUMPRODUCT(($DB$3:$DB$42=$AQ4)*($DE$3:$DE$42=$AQ6)*$DD$3:$DD$42)+SUMPRODUCT(($DB$3:$DB$42=$AQ5)*($DE$3:$DE$42=$AQ6)*$DD$3:$DD$42)</f>
        <v>0</v>
      </c>
      <c r="AV6" s="191">
        <f>SUMPRODUCT(($DB$3:$DB$42=$AQ6)*($DE$3:$DE$42=$AQ7)*$DD$3:$DD$42)+SUMPRODUCT(($DB$3:$DB$42=$AQ6)*($DE$3:$DE$42=$AQ8)*$DD$3:$DD$42)+SUMPRODUCT(($DB$3:$DB$42=$AQ6)*($DE$3:$DE$42=$AQ4)*$DD$3:$DD$42)+SUMPRODUCT(($DB$3:$DB$42=$AQ6)*($DE$3:$DE$42=$AQ5)*$DD$3:$DD$42)+SUMPRODUCT(($DB$3:$DB$42=$AQ7)*($DE$3:$DE$42=$AQ6)*$DC$3:$DC$42)+SUMPRODUCT(($DB$3:$DB$42=$AQ8)*($DE$3:$DE$42=$AQ6)*$DC$3:$DC$42)+SUMPRODUCT(($DB$3:$DB$42=$AQ4)*($DE$3:$DE$42=$AQ6)*$DC$3:$DC$42)+SUMPRODUCT(($DB$3:$DB$42=$AQ5)*($DE$3:$DE$42=$AQ6)*$DC$3:$DC$42)</f>
        <v>0</v>
      </c>
      <c r="AW6" s="191">
        <f>AU6-AV6+1000</f>
        <v>1000</v>
      </c>
      <c r="AX6" s="191" t="str">
        <f t="shared" si="20"/>
        <v/>
      </c>
      <c r="AY6" s="191" t="str">
        <f t="shared" si="21"/>
        <v/>
      </c>
      <c r="AZ6" s="191" t="str">
        <f t="shared" si="22"/>
        <v/>
      </c>
      <c r="BA6" s="191" t="str">
        <f t="shared" si="23"/>
        <v/>
      </c>
      <c r="BB6" s="191" t="str">
        <f t="shared" si="24"/>
        <v/>
      </c>
      <c r="BC6" s="191" t="str">
        <f>IF(AQ6&lt;&gt;"",RANK(BB6,BB$4:BB$8),"")</f>
        <v/>
      </c>
      <c r="BD6" s="191" t="str">
        <f t="shared" si="25"/>
        <v/>
      </c>
      <c r="BE6" s="191" t="str">
        <f t="shared" si="26"/>
        <v/>
      </c>
      <c r="BF6" s="191" t="str">
        <f t="shared" si="27"/>
        <v/>
      </c>
      <c r="BG6" s="191" t="str">
        <f t="shared" si="28"/>
        <v/>
      </c>
      <c r="BH6" s="191" t="str">
        <f t="shared" si="29"/>
        <v/>
      </c>
      <c r="BI6" s="191" t="str">
        <f t="shared" ref="BI6:BI7" si="31">IF(AQ6&lt;&gt;"",IF(BI46&lt;&gt;"",IF(AP$43=3,BI46,BI46+AP$43),SUM(BC6:BH6)+1),"")</f>
        <v/>
      </c>
      <c r="BJ6" s="191" t="str">
        <f>IF(AQ6&lt;&gt;"",INDEX(AQ5:AQ8,MATCH(3,BI5:BI8,0),0),"")</f>
        <v/>
      </c>
      <c r="BK6" s="191" t="str">
        <f>IF(T4&lt;&gt;"",T4,"")</f>
        <v/>
      </c>
      <c r="BL6" s="191">
        <f>SUMPRODUCT(($DB$3:$DB$42=$BK6)*($DE$3:$DE$42=$BK7)*($DF$3:$DF$42="W"))+SUMPRODUCT(($DB$3:$DB$42=$BK6)*($DE$3:$DE$42=$BK8)*($DF$3:$DF$42="W"))+SUMPRODUCT(($DB$3:$DB$42=$BK6)*($DE$3:$DE$42=$BK9)*($DF$3:$DF$42="W"))+SUMPRODUCT(($DB$3:$DB$42=$BK7)*($DE$3:$DE$42=$BK6)*($DG$3:$DG$42="W"))+SUMPRODUCT(($DB$3:$DB$42=$BK8)*($DE$3:$DE$42=$BK6)*($DG$3:$DG$42="W"))+SUMPRODUCT(($DB$3:$DB$42=$BK9)*($DE$3:$DE$42=$BK6)*($DG$3:$DG$42="W"))</f>
        <v>0</v>
      </c>
      <c r="BM6" s="191">
        <f>SUMPRODUCT(($DB$3:$DB$42=$BK6)*($DE$3:$DE$42=$BK7)*($DF$3:$DF$42="D"))+SUMPRODUCT(($DB$3:$DB$42=$BK6)*($DE$3:$DE$42=$BK8)*($DF$3:$DF$42="D"))+SUMPRODUCT(($DB$3:$DB$42=$BK6)*($DE$3:$DE$42=$BK9)*($DF$3:$DF$42="D"))+SUMPRODUCT(($DB$3:$DB$42=$BK7)*($DE$3:$DE$42=$BK6)*($DF$3:$DF$42="D"))+SUMPRODUCT(($DB$3:$DB$42=$BK8)*($DE$3:$DE$42=$BK6)*($DF$3:$DF$42="D"))+SUMPRODUCT(($DB$3:$DB$42=$BK9)*($DE$3:$DE$42=$BK6)*($DF$3:$DF$42="D"))</f>
        <v>0</v>
      </c>
      <c r="BN6" s="191">
        <f>SUMPRODUCT(($DB$3:$DB$42=$BK6)*($DE$3:$DE$42=$BK7)*($DF$3:$DF$42="L"))+SUMPRODUCT(($DB$3:$DB$42=$BK6)*($DE$3:$DE$42=$BK8)*($DF$3:$DF$42="L"))+SUMPRODUCT(($DB$3:$DB$42=$BK6)*($DE$3:$DE$42=$BK9)*($DF$3:$DF$42="L"))+SUMPRODUCT(($DB$3:$DB$42=$BK7)*($DE$3:$DE$42=$BK6)*($DG$3:$DG$42="L"))+SUMPRODUCT(($DB$3:$DB$42=$BK8)*($DE$3:$DE$42=$BK6)*($DG$3:$DG$42="L"))+SUMPRODUCT(($DB$3:$DB$42=$BK9)*($DE$3:$DE$42=$BK6)*($DG$3:$DG$42="L"))</f>
        <v>0</v>
      </c>
      <c r="BO6" s="191">
        <f>SUMPRODUCT(($DB$3:$DB$42=$BK6)*($DE$3:$DE$42=$BK7)*$DC$3:$DC$42)+SUMPRODUCT(($DB$3:$DB$42=$BK6)*($DE$3:$DE$42=$BK8)*$DC$3:$DC$42)+SUMPRODUCT(($DB$3:$DB$42=$BK6)*($DE$3:$DE$42=$BK4)*$DC$3:$DC$42)+SUMPRODUCT(($DB$3:$DB$42=$BK6)*($DE$3:$DE$42=$BK5)*$DC$3:$DC$42)+SUMPRODUCT(($DB$3:$DB$42=$BK7)*($DE$3:$DE$42=$BK6)*$DD$3:$DD$42)+SUMPRODUCT(($DB$3:$DB$42=$BK8)*($DE$3:$DE$42=$BK6)*$DD$3:$DD$42)+SUMPRODUCT(($DB$3:$DB$42=$BK4)*($DE$3:$DE$42=$BK6)*$DD$3:$DD$42)+SUMPRODUCT(($DB$3:$DB$42=$BK5)*($DE$3:$DE$42=$BK6)*$DD$3:$DD$42)</f>
        <v>0</v>
      </c>
      <c r="BP6" s="191">
        <f>SUMPRODUCT(($DB$3:$DB$42=$BK6)*($DE$3:$DE$42=$BK7)*$DD$3:$DD$42)+SUMPRODUCT(($DB$3:$DB$42=$BK6)*($DE$3:$DE$42=$BK8)*$DD$3:$DD$42)+SUMPRODUCT(($DB$3:$DB$42=$BK6)*($DE$3:$DE$42=$BK4)*$DD$3:$DD$42)+SUMPRODUCT(($DB$3:$DB$42=$BK6)*($DE$3:$DE$42=$BK5)*$DD$3:$DD$42)+SUMPRODUCT(($DB$3:$DB$42=$BK7)*($DE$3:$DE$42=$BK6)*$DC$3:$DC$42)+SUMPRODUCT(($DB$3:$DB$42=$BK8)*($DE$3:$DE$42=$BK6)*$DC$3:$DC$42)+SUMPRODUCT(($DB$3:$DB$42=$BK4)*($DE$3:$DE$42=$BK6)*$DC$3:$DC$42)+SUMPRODUCT(($DB$3:$DB$42=$BK5)*($DE$3:$DE$42=$BK6)*$DC$3:$DC$42)</f>
        <v>0</v>
      </c>
      <c r="BQ6" s="191">
        <f>BO6-BP6+1000</f>
        <v>1000</v>
      </c>
      <c r="BR6" s="191" t="str">
        <f t="shared" ref="BR6:BR8" si="32">IF(BK6&lt;&gt;"",BL6*3+BM6*1,"")</f>
        <v/>
      </c>
      <c r="BS6" s="191" t="str">
        <f t="shared" ref="BS6:BS8" si="33">IF(BK6&lt;&gt;"",VLOOKUP(BK6,$B$4:$H$40,7,FALSE),"")</f>
        <v/>
      </c>
      <c r="BT6" s="191" t="str">
        <f t="shared" ref="BT6:BT8" si="34">IF(BK6&lt;&gt;"",VLOOKUP(BK6,$B$4:$H$40,5,FALSE),"")</f>
        <v/>
      </c>
      <c r="BU6" s="191" t="str">
        <f t="shared" ref="BU6:BU8" si="35">IF(BK6&lt;&gt;"",VLOOKUP(BK6,$B$4:$J$40,9,FALSE),"")</f>
        <v/>
      </c>
      <c r="BV6" s="191" t="str">
        <f t="shared" ref="BV6:BV8" si="36">BR6</f>
        <v/>
      </c>
      <c r="BW6" s="191" t="str">
        <f>IF(BK6&lt;&gt;"",RANK(BV6,BV$4:BV$8),"")</f>
        <v/>
      </c>
      <c r="BX6" s="191" t="str">
        <f t="shared" ref="BX6:BX8" si="37">IF(BK6&lt;&gt;"",SUMPRODUCT((BV$4:BV$8=BV6)*(BQ$4:BQ$8&gt;BQ6)),"")</f>
        <v/>
      </c>
      <c r="BY6" s="191" t="str">
        <f t="shared" ref="BY6:BY8" si="38">IF(BK6&lt;&gt;"",SUMPRODUCT((BV$4:BV$8=BV6)*(BQ$4:BQ$8=BQ6)*(BO$4:BO$8&gt;BO6)),"")</f>
        <v/>
      </c>
      <c r="BZ6" s="191" t="str">
        <f t="shared" ref="BZ6:BZ8" si="39">IF(BK6&lt;&gt;"",SUMPRODUCT((BV$4:BV$8=BV6)*(BQ$4:BQ$8=BQ6)*(BO$4:BO$8=BO6)*(BS$4:BS$8&gt;BS6)),"")</f>
        <v/>
      </c>
      <c r="CA6" s="191" t="str">
        <f t="shared" ref="CA6:CA8" si="40">IF(BK6&lt;&gt;"",SUMPRODUCT((BV$4:BV$8=BV6)*(BQ$4:BQ$8=BQ6)*(BO$4:BO$8=BO6)*(BS$4:BS$8=BS6)*(BT$4:BT$8&gt;BT6)),"")</f>
        <v/>
      </c>
      <c r="CB6" s="191" t="str">
        <f t="shared" ref="CB6:CB8" si="41">IF(BK6&lt;&gt;"",SUMPRODUCT((BV$4:BV$8=BV6)*(BQ$4:BQ$8=BQ6)*(BO$4:BO$8=BO6)*(BS$4:BS$8=BS6)*(BT$4:BT$8=BT6)*(BU$4:BU$8&gt;BU6)),"")</f>
        <v/>
      </c>
      <c r="CC6" s="191" t="str">
        <f>IF(BK6&lt;&gt;"",SUM(BW6:CB6)+2,"")</f>
        <v/>
      </c>
      <c r="CD6" s="191" t="str">
        <f>IF(BK6&lt;&gt;"",INDEX(BK6:BK8,MATCH(3,CC6:CC8,0),0),"")</f>
        <v/>
      </c>
      <c r="CY6" s="191" t="str">
        <f>IF(CD6&lt;&gt;"",CD6,IF(BJ6&lt;&gt;"",BJ6,IF(AP6&lt;&gt;"",AP6,P6)))</f>
        <v>Chile</v>
      </c>
      <c r="CZ6" s="191">
        <v>3</v>
      </c>
      <c r="DA6" s="191">
        <v>4</v>
      </c>
      <c r="DB6" s="191" t="str">
        <f>Matches!F10</f>
        <v>Paraguay</v>
      </c>
      <c r="DC6" s="191">
        <f>IF(AND(Matches!H10&lt;&gt;"",Matches!I10&lt;&gt;""),Matches!H10,0)</f>
        <v>0</v>
      </c>
      <c r="DD6" s="191">
        <f>IF(AND(Matches!I10&lt;&gt;"",Matches!H10&lt;&gt;""),Matches!I10,0)</f>
        <v>0</v>
      </c>
      <c r="DE6" s="191" t="str">
        <f>Matches!K10</f>
        <v>Bolivia</v>
      </c>
      <c r="DF6" s="191" t="str">
        <f>IF(AND(Matches!H10&lt;&gt;"",Matches!I10&lt;&gt;""),IF(DC6&gt;DD6,"W",IF(DC6=DD6,"D","L")),"")</f>
        <v/>
      </c>
      <c r="DG6" s="191" t="str">
        <f t="shared" si="0"/>
        <v/>
      </c>
      <c r="DR6" s="194" t="s">
        <v>30</v>
      </c>
      <c r="DS6" s="194"/>
      <c r="DT6" s="194" t="s">
        <v>32</v>
      </c>
      <c r="DU6" s="194"/>
      <c r="DV6" s="194"/>
      <c r="DW6" s="191" t="s">
        <v>26</v>
      </c>
    </row>
    <row r="7" spans="1:131" x14ac:dyDescent="0.35">
      <c r="A7" s="191">
        <f>VLOOKUP(B7,$CY$4:$CZ$8,2,FALSE)</f>
        <v>3</v>
      </c>
      <c r="B7" s="191" t="str">
        <f>'Dummy Table'!DT10</f>
        <v>Chile</v>
      </c>
      <c r="C7" s="191">
        <f>SUMPRODUCT(($DB$3:$DB$42=$B7)*($DF$3:$DF$42="W"))+SUMPRODUCT(($DE$3:$DE$42=$B7)*($DG$3:$DG$42="W"))</f>
        <v>0</v>
      </c>
      <c r="D7" s="191">
        <f>SUMPRODUCT(($DB$3:$DB$42=$B7)*($DF$3:$DF$42="D"))+SUMPRODUCT(($DE$3:$DE$42=$B7)*($DG$3:$DG$42="D"))</f>
        <v>0</v>
      </c>
      <c r="E7" s="191">
        <f>SUMPRODUCT(($DB$3:$DB$42=$B7)*($DF$3:$DF$42="L"))+SUMPRODUCT(($DE$3:$DE$42=$B7)*($DG$3:$DG$42="L"))</f>
        <v>0</v>
      </c>
      <c r="F7" s="191">
        <f>SUMIF($DB$3:$DB$60,B7,$DC$3:$DC$60)+SUMIF($DE$3:$DE$60,B7,$DD$3:$DD$60)</f>
        <v>0</v>
      </c>
      <c r="G7" s="191">
        <f>SUMIF($DE$3:$DE$60,B7,$DC$3:$DC$60)+SUMIF($DB$3:$DB$60,B7,$DD$3:$DD$60)</f>
        <v>0</v>
      </c>
      <c r="H7" s="191">
        <f t="shared" si="1"/>
        <v>1000</v>
      </c>
      <c r="I7" s="191">
        <f t="shared" si="2"/>
        <v>0</v>
      </c>
      <c r="J7" s="191">
        <v>6</v>
      </c>
      <c r="K7" s="191">
        <f t="shared" si="3"/>
        <v>1</v>
      </c>
      <c r="L7" s="191">
        <f t="shared" si="4"/>
        <v>0</v>
      </c>
      <c r="M7" s="191">
        <f t="shared" si="5"/>
        <v>0</v>
      </c>
      <c r="N7" s="191">
        <f t="shared" si="6"/>
        <v>1</v>
      </c>
      <c r="O7" s="191">
        <f t="shared" si="7"/>
        <v>3</v>
      </c>
      <c r="P7" s="191" t="str">
        <f>INDEX($B$4:$B$8,MATCH(4,$O$4:$O$8,0),0)</f>
        <v>Uruguay</v>
      </c>
      <c r="Q7" s="191">
        <f t="shared" si="8"/>
        <v>1</v>
      </c>
      <c r="R7" s="191" t="str">
        <f>IF(AND(R6&lt;&gt;"",Q7=1),P7,"")</f>
        <v>Uruguay</v>
      </c>
      <c r="S7" s="191" t="str">
        <f>IF(AND(S6&lt;&gt;"",Q8=2),P8,"")</f>
        <v/>
      </c>
      <c r="W7" s="191" t="str">
        <f t="shared" si="9"/>
        <v>Uruguay</v>
      </c>
      <c r="X7" s="191">
        <f>SUMPRODUCT(($DB$3:$DB$42=$W7)*($DE$3:$DE$42=$W8)*($DF$3:$DF$42="W"))+SUMPRODUCT(($DB$3:$DB$42=$W7)*($DE$3:$DE$42=$W4)*($DF$3:$DF$42="W"))+SUMPRODUCT(($DB$3:$DB$42=$W7)*($DE$3:$DE$42=$W5)*($DF$3:$DF$42="W"))+SUMPRODUCT(($DB$3:$DB$42=$W7)*($DE$3:$DE$42=$W6)*($DF$3:$DF$42="W"))+SUMPRODUCT(($DB$3:$DB$42=$W8)*($DE$3:$DE$42=$W7)*($DG$3:$DG$42="W"))+SUMPRODUCT(($DB$3:$DB$42=$W4)*($DE$3:$DE$42=$W7)*($DG$3:$DG$42="W"))+SUMPRODUCT(($DB$3:$DB$42=$W5)*($DE$3:$DE$42=$W7)*($DG$3:$DG$42="W"))+SUMPRODUCT(($DB$3:$DB$42=$W6)*($DE$3:$DE$42=$W7)*($DG$3:$DG$42="W"))</f>
        <v>0</v>
      </c>
      <c r="Y7" s="191">
        <f>SUMPRODUCT(($DB$3:$DB$42=$W7)*($DE$3:$DE$42=$W8)*($DF$3:$DF$42="D"))+SUMPRODUCT(($DB$3:$DB$42=$W7)*($DE$3:$DE$42=$W4)*($DF$3:$DF$42="D"))+SUMPRODUCT(($DB$3:$DB$42=$W7)*($DE$3:$DE$42=$W5)*($DF$3:$DF$42="D"))+SUMPRODUCT(($DB$3:$DB$42=$W7)*($DE$3:$DE$42=$W6)*($DF$3:$DF$42="D"))+SUMPRODUCT(($DB$3:$DB$42=$W8)*($DE$3:$DE$42=$W7)*($DF$3:$DF$42="D"))+SUMPRODUCT(($DB$3:$DB$42=$W4)*($DE$3:$DE$42=$W7)*($DF$3:$DF$42="D"))+SUMPRODUCT(($DB$3:$DB$42=$W5)*($DE$3:$DE$42=$W7)*($DF$3:$DF$42="D"))+SUMPRODUCT(($DB$3:$DB$42=$W6)*($DE$3:$DE$42=$W7)*($DF$3:$DF$42="D"))</f>
        <v>0</v>
      </c>
      <c r="Z7" s="191">
        <f>SUMPRODUCT(($DB$3:$DB$42=$W7)*($DE$3:$DE$42=$W8)*($DF$3:$DF$42="L"))+SUMPRODUCT(($DB$3:$DB$42=$W7)*($DE$3:$DE$42=$W4)*($DF$3:$DF$42="L"))+SUMPRODUCT(($DB$3:$DB$42=$W7)*($DE$3:$DE$42=$W5)*($DF$3:$DF$42="L"))+SUMPRODUCT(($DB$3:$DB$42=$W7)*($DE$3:$DE$42=$W6)*($DF$3:$DF$42="L"))+SUMPRODUCT(($DB$3:$DB$42=$W8)*($DE$3:$DE$42=$W7)*($DG$3:$DG$42="L"))+SUMPRODUCT(($DB$3:$DB$42=$W4)*($DE$3:$DE$42=$W7)*($DG$3:$DG$42="L"))+SUMPRODUCT(($DB$3:$DB$42=$W5)*($DE$3:$DE$42=$W7)*($DG$3:$DG$42="L"))+SUMPRODUCT(($DB$3:$DB$42=$W6)*($DE$3:$DE$42=$W7)*($DG$3:$DG$42="L"))</f>
        <v>0</v>
      </c>
      <c r="AA7" s="191">
        <f>SUMPRODUCT(($DB$3:$DB$42=$W7)*($DE$3:$DE$42=$W8)*$DC$3:$DC$42)+SUMPRODUCT(($DB$3:$DB$42=$W7)*($DE$3:$DE$42=$W4)*$DC$3:$DC$42)+SUMPRODUCT(($DB$3:$DB$42=$W7)*($DE$3:$DE$42=$W5)*$DC$3:$DC$42)+SUMPRODUCT(($DB$3:$DB$42=$W7)*($DE$3:$DE$42=$W6)*$DC$3:$DC$42)+SUMPRODUCT(($DB$3:$DB$42=$W8)*($DE$3:$DE$42=$W7)*$DD$3:$DD$42)+SUMPRODUCT(($DB$3:$DB$42=$W4)*($DE$3:$DE$42=$W7)*$DD$3:$DD$42)+SUMPRODUCT(($DB$3:$DB$42=$W5)*($DE$3:$DE$42=$W7)*$DD$3:$DD$42)+SUMPRODUCT(($DB$3:$DB$42=$W6)*($DE$3:$DE$42=$W7)*$DD$3:$DD$42)</f>
        <v>0</v>
      </c>
      <c r="AB7" s="191">
        <f>SUMPRODUCT(($DB$3:$DB$42=$W7)*($DE$3:$DE$42=$W8)*$DD$3:$DD$42)+SUMPRODUCT(($DB$3:$DB$42=$W7)*($DE$3:$DE$42=$W4)*$DD$3:$DD$42)+SUMPRODUCT(($DB$3:$DB$42=$W7)*($DE$3:$DE$42=$W5)*$DD$3:$DD$42)+SUMPRODUCT(($DB$3:$DB$42=$W7)*($DE$3:$DE$42=$W6)*$DD$3:$DD$42)+SUMPRODUCT(($DB$3:$DB$42=$W8)*($DE$3:$DE$42=$W7)*$DC$3:$DC$42)+SUMPRODUCT(($DB$3:$DB$42=$W4)*($DE$3:$DE$42=$W7)*$DC$3:$DC$42)+SUMPRODUCT(($DB$3:$DB$42=$W5)*($DE$3:$DE$42=$W7)*$DC$3:$DC$42)+SUMPRODUCT(($DB$3:$DB$42=$W6)*($DE$3:$DE$42=$W7)*$DC$3:$DC$42)</f>
        <v>0</v>
      </c>
      <c r="AC7" s="191">
        <f>AA7-AB7+1000</f>
        <v>1000</v>
      </c>
      <c r="AD7" s="191">
        <f t="shared" si="10"/>
        <v>0</v>
      </c>
      <c r="AE7" s="191">
        <f t="shared" si="11"/>
        <v>1000</v>
      </c>
      <c r="AF7" s="191">
        <f t="shared" si="12"/>
        <v>0</v>
      </c>
      <c r="AG7" s="191">
        <f t="shared" si="13"/>
        <v>8</v>
      </c>
      <c r="AH7" s="191">
        <f t="shared" si="14"/>
        <v>0</v>
      </c>
      <c r="AI7" s="191">
        <f>IF(W7&lt;&gt;"",RANK(AH7,AH$4:AH$8),"")</f>
        <v>1</v>
      </c>
      <c r="AJ7" s="191">
        <f t="shared" si="15"/>
        <v>0</v>
      </c>
      <c r="AK7" s="191">
        <f t="shared" si="16"/>
        <v>0</v>
      </c>
      <c r="AL7" s="191">
        <f t="shared" si="17"/>
        <v>0</v>
      </c>
      <c r="AM7" s="191">
        <f t="shared" si="18"/>
        <v>0</v>
      </c>
      <c r="AN7" s="191">
        <f t="shared" si="19"/>
        <v>1</v>
      </c>
      <c r="AO7" s="191">
        <f t="shared" si="30"/>
        <v>2</v>
      </c>
      <c r="AP7" s="191" t="str">
        <f>IF(W7&lt;&gt;"",INDEX($W$4:$W$8,MATCH(4,$AO$4:$AO$8,0),0),"")</f>
        <v>Paraguay</v>
      </c>
      <c r="AQ7" s="191" t="str">
        <f>IF(S6&lt;&gt;"",S6,"")</f>
        <v/>
      </c>
      <c r="AR7" s="191">
        <f>SUMPRODUCT(($DB$3:$DB$42=$AQ7)*($DE$3:$DE$42=$AQ8)*($DF$3:$DF$42="W"))+SUMPRODUCT(($DB$3:$DB$42=$AQ7)*($DE$3:$DE$42=$AQ5)*($DF$3:$DF$42="W"))+SUMPRODUCT(($DB$3:$DB$42=$AQ7)*($DE$3:$DE$42=$AQ6)*($DF$3:$DF$42="W"))+SUMPRODUCT(($DB$3:$DB$42=$AQ8)*($DE$3:$DE$42=$AQ7)*($DG$3:$DG$42="W"))+SUMPRODUCT(($DB$3:$DB$42=$AQ5)*($DE$3:$DE$42=$AQ7)*($DG$3:$DG$42="W"))+SUMPRODUCT(($DB$3:$DB$42=$AQ6)*($DE$3:$DE$42=$AQ7)*($DG$3:$DG$42="W"))</f>
        <v>0</v>
      </c>
      <c r="AS7" s="191">
        <f>SUMPRODUCT(($DB$3:$DB$42=$AQ7)*($DE$3:$DE$42=$AQ8)*($DF$3:$DF$42="D"))+SUMPRODUCT(($DB$3:$DB$42=$AQ7)*($DE$3:$DE$42=$AQ5)*($DF$3:$DF$42="D"))+SUMPRODUCT(($DB$3:$DB$42=$AQ7)*($DE$3:$DE$42=$AQ6)*($DF$3:$DF$42="D"))+SUMPRODUCT(($DB$3:$DB$42=$AQ8)*($DE$3:$DE$42=$AQ7)*($DF$3:$DF$42="D"))+SUMPRODUCT(($DB$3:$DB$42=$AQ5)*($DE$3:$DE$42=$AQ7)*($DF$3:$DF$42="D"))+SUMPRODUCT(($DB$3:$DB$42=$AQ6)*($DE$3:$DE$42=$AQ7)*($DF$3:$DF$42="D"))</f>
        <v>0</v>
      </c>
      <c r="AT7" s="191">
        <f>SUMPRODUCT(($DB$3:$DB$42=$AQ7)*($DE$3:$DE$42=$AQ8)*($DF$3:$DF$42="L"))+SUMPRODUCT(($DB$3:$DB$42=$AQ7)*($DE$3:$DE$42=$AQ5)*($DF$3:$DF$42="L"))+SUMPRODUCT(($DB$3:$DB$42=$AQ7)*($DE$3:$DE$42=$AQ6)*($DF$3:$DF$42="L"))+SUMPRODUCT(($DB$3:$DB$42=$AQ8)*($DE$3:$DE$42=$AQ7)*($DG$3:$DG$42="L"))+SUMPRODUCT(($DB$3:$DB$42=$AQ5)*($DE$3:$DE$42=$AQ7)*($DG$3:$DG$42="L"))+SUMPRODUCT(($DB$3:$DB$42=$AQ6)*($DE$3:$DE$42=$AQ7)*($DG$3:$DG$42="L"))</f>
        <v>0</v>
      </c>
      <c r="AU7" s="191">
        <f>SUMPRODUCT(($DB$3:$DB$42=$AQ7)*($DE$3:$DE$42=$AQ8)*$DC$3:$DC$42)+SUMPRODUCT(($DB$3:$DB$42=$AQ7)*($DE$3:$DE$42=$AQ4)*$DC$3:$DC$42)+SUMPRODUCT(($DB$3:$DB$42=$AQ7)*($DE$3:$DE$42=$AQ5)*$DC$3:$DC$42)+SUMPRODUCT(($DB$3:$DB$42=$AQ7)*($DE$3:$DE$42=$AQ6)*$DC$3:$DC$42)+SUMPRODUCT(($DB$3:$DB$42=$AQ8)*($DE$3:$DE$42=$AQ7)*$DD$3:$DD$42)+SUMPRODUCT(($DB$3:$DB$42=$AQ4)*($DE$3:$DE$42=$AQ7)*$DD$3:$DD$42)+SUMPRODUCT(($DB$3:$DB$42=$AQ5)*($DE$3:$DE$42=$AQ7)*$DD$3:$DD$42)+SUMPRODUCT(($DB$3:$DB$42=$AQ6)*($DE$3:$DE$42=$AQ7)*$DD$3:$DD$42)</f>
        <v>0</v>
      </c>
      <c r="AV7" s="191">
        <f>SUMPRODUCT(($DB$3:$DB$42=$AQ7)*($DE$3:$DE$42=$AQ8)*$DD$3:$DD$42)+SUMPRODUCT(($DB$3:$DB$42=$AQ7)*($DE$3:$DE$42=$AQ4)*$DD$3:$DD$42)+SUMPRODUCT(($DB$3:$DB$42=$AQ7)*($DE$3:$DE$42=$AQ5)*$DD$3:$DD$42)+SUMPRODUCT(($DB$3:$DB$42=$AQ7)*($DE$3:$DE$42=$AQ6)*$DD$3:$DD$42)+SUMPRODUCT(($DB$3:$DB$42=$AQ8)*($DE$3:$DE$42=$AQ7)*$DC$3:$DC$42)+SUMPRODUCT(($DB$3:$DB$42=$AQ4)*($DE$3:$DE$42=$AQ7)*$DC$3:$DC$42)+SUMPRODUCT(($DB$3:$DB$42=$AQ5)*($DE$3:$DE$42=$AQ7)*$DC$3:$DC$42)+SUMPRODUCT(($DB$3:$DB$42=$AQ6)*($DE$3:$DE$42=$AQ7)*$DC$3:$DC$42)</f>
        <v>0</v>
      </c>
      <c r="AW7" s="191">
        <f>AU7-AV7+1000</f>
        <v>1000</v>
      </c>
      <c r="AX7" s="191" t="str">
        <f t="shared" si="20"/>
        <v/>
      </c>
      <c r="AY7" s="191" t="str">
        <f t="shared" si="21"/>
        <v/>
      </c>
      <c r="AZ7" s="191" t="str">
        <f t="shared" si="22"/>
        <v/>
      </c>
      <c r="BA7" s="191" t="str">
        <f t="shared" si="23"/>
        <v/>
      </c>
      <c r="BB7" s="191" t="str">
        <f t="shared" si="24"/>
        <v/>
      </c>
      <c r="BC7" s="191" t="str">
        <f>IF(AQ7&lt;&gt;"",RANK(BB7,BB$4:BB$8),"")</f>
        <v/>
      </c>
      <c r="BD7" s="191" t="str">
        <f t="shared" si="25"/>
        <v/>
      </c>
      <c r="BE7" s="191" t="str">
        <f t="shared" si="26"/>
        <v/>
      </c>
      <c r="BF7" s="191" t="str">
        <f t="shared" si="27"/>
        <v/>
      </c>
      <c r="BG7" s="191" t="str">
        <f t="shared" si="28"/>
        <v/>
      </c>
      <c r="BH7" s="191" t="str">
        <f t="shared" si="29"/>
        <v/>
      </c>
      <c r="BI7" s="191" t="str">
        <f t="shared" si="31"/>
        <v/>
      </c>
      <c r="BJ7" s="191" t="str">
        <f>IF(AQ7&lt;&gt;"",INDEX(AQ5:AQ8,MATCH(4,BI5:BI8,0),0),"")</f>
        <v/>
      </c>
      <c r="BK7" s="191" t="str">
        <f>IF(T5&lt;&gt;"",T5,"")</f>
        <v/>
      </c>
      <c r="BL7" s="191">
        <f>SUMPRODUCT(($DB$3:$DB$42=$BK7)*($DE$3:$DE$42=$BK8)*($DF$3:$DF$42="W"))+SUMPRODUCT(($DB$3:$DB$42=$BK7)*($DE$3:$DE$42=$BK9)*($DF$3:$DF$42="W"))+SUMPRODUCT(($DB$3:$DB$42=$BK7)*($DE$3:$DE$42=$BK6)*($DF$3:$DF$42="W"))+SUMPRODUCT(($DB$3:$DB$42=$BK8)*($DE$3:$DE$42=$BK7)*($DG$3:$DG$42="W"))+SUMPRODUCT(($DB$3:$DB$42=$BK9)*($DE$3:$DE$42=$BK7)*($DG$3:$DG$42="W"))+SUMPRODUCT(($DB$3:$DB$42=$BK6)*($DE$3:$DE$42=$BK7)*($DG$3:$DG$42="W"))</f>
        <v>0</v>
      </c>
      <c r="BM7" s="191">
        <f>SUMPRODUCT(($DB$3:$DB$42=$BK7)*($DE$3:$DE$42=$BK8)*($DF$3:$DF$42="D"))+SUMPRODUCT(($DB$3:$DB$42=$BK7)*($DE$3:$DE$42=$BK9)*($DF$3:$DF$42="D"))+SUMPRODUCT(($DB$3:$DB$42=$BK7)*($DE$3:$DE$42=$BK6)*($DF$3:$DF$42="D"))+SUMPRODUCT(($DB$3:$DB$42=$BK8)*($DE$3:$DE$42=$BK7)*($DF$3:$DF$42="D"))+SUMPRODUCT(($DB$3:$DB$42=$BK9)*($DE$3:$DE$42=$BK7)*($DF$3:$DF$42="D"))+SUMPRODUCT(($DB$3:$DB$42=$BK6)*($DE$3:$DE$42=$BK7)*($DF$3:$DF$42="D"))</f>
        <v>0</v>
      </c>
      <c r="BN7" s="191">
        <f>SUMPRODUCT(($DB$3:$DB$42=$BK7)*($DE$3:$DE$42=$BK8)*($DF$3:$DF$42="L"))+SUMPRODUCT(($DB$3:$DB$42=$BK7)*($DE$3:$DE$42=$BK9)*($DF$3:$DF$42="L"))+SUMPRODUCT(($DB$3:$DB$42=$BK7)*($DE$3:$DE$42=$BK6)*($DF$3:$DF$42="L"))+SUMPRODUCT(($DB$3:$DB$42=$BK8)*($DE$3:$DE$42=$BK7)*($DG$3:$DG$42="L"))+SUMPRODUCT(($DB$3:$DB$42=$BK9)*($DE$3:$DE$42=$BK7)*($DG$3:$DG$42="L"))+SUMPRODUCT(($DB$3:$DB$42=$BK6)*($DE$3:$DE$42=$BK7)*($DG$3:$DG$42="L"))</f>
        <v>0</v>
      </c>
      <c r="BO7" s="191">
        <f>SUMPRODUCT(($DB$3:$DB$42=$BK7)*($DE$3:$DE$42=$BK8)*$DC$3:$DC$42)+SUMPRODUCT(($DB$3:$DB$42=$BK7)*($DE$3:$DE$42=$BK4)*$DC$3:$DC$42)+SUMPRODUCT(($DB$3:$DB$42=$BK7)*($DE$3:$DE$42=$BK5)*$DC$3:$DC$42)+SUMPRODUCT(($DB$3:$DB$42=$BK7)*($DE$3:$DE$42=$BK6)*$DC$3:$DC$42)+SUMPRODUCT(($DB$3:$DB$42=$BK8)*($DE$3:$DE$42=$BK7)*$DD$3:$DD$42)+SUMPRODUCT(($DB$3:$DB$42=$BK4)*($DE$3:$DE$42=$BK7)*$DD$3:$DD$42)+SUMPRODUCT(($DB$3:$DB$42=$BK5)*($DE$3:$DE$42=$BK7)*$DD$3:$DD$42)+SUMPRODUCT(($DB$3:$DB$42=$BK6)*($DE$3:$DE$42=$BK7)*$DD$3:$DD$42)</f>
        <v>0</v>
      </c>
      <c r="BP7" s="191">
        <f>SUMPRODUCT(($DB$3:$DB$42=$BK7)*($DE$3:$DE$42=$BK8)*$DD$3:$DD$42)+SUMPRODUCT(($DB$3:$DB$42=$BK7)*($DE$3:$DE$42=$BK4)*$DD$3:$DD$42)+SUMPRODUCT(($DB$3:$DB$42=$BK7)*($DE$3:$DE$42=$BK5)*$DD$3:$DD$42)+SUMPRODUCT(($DB$3:$DB$42=$BK7)*($DE$3:$DE$42=$BK6)*$DD$3:$DD$42)+SUMPRODUCT(($DB$3:$DB$42=$BK8)*($DE$3:$DE$42=$BK7)*$DC$3:$DC$42)+SUMPRODUCT(($DB$3:$DB$42=$BK4)*($DE$3:$DE$42=$BK7)*$DC$3:$DC$42)+SUMPRODUCT(($DB$3:$DB$42=$BK5)*($DE$3:$DE$42=$BK7)*$DC$3:$DC$42)+SUMPRODUCT(($DB$3:$DB$42=$BK6)*($DE$3:$DE$42=$BK7)*$DC$3:$DC$42)</f>
        <v>0</v>
      </c>
      <c r="BQ7" s="191">
        <f>BO7-BP7+1000</f>
        <v>1000</v>
      </c>
      <c r="BR7" s="191" t="str">
        <f t="shared" si="32"/>
        <v/>
      </c>
      <c r="BS7" s="191" t="str">
        <f t="shared" si="33"/>
        <v/>
      </c>
      <c r="BT7" s="191" t="str">
        <f t="shared" si="34"/>
        <v/>
      </c>
      <c r="BU7" s="191" t="str">
        <f t="shared" si="35"/>
        <v/>
      </c>
      <c r="BV7" s="191" t="str">
        <f t="shared" si="36"/>
        <v/>
      </c>
      <c r="BW7" s="191" t="str">
        <f>IF(BK7&lt;&gt;"",RANK(BV7,BV$4:BV$8),"")</f>
        <v/>
      </c>
      <c r="BX7" s="191" t="str">
        <f t="shared" si="37"/>
        <v/>
      </c>
      <c r="BY7" s="191" t="str">
        <f t="shared" si="38"/>
        <v/>
      </c>
      <c r="BZ7" s="191" t="str">
        <f t="shared" si="39"/>
        <v/>
      </c>
      <c r="CA7" s="191" t="str">
        <f t="shared" si="40"/>
        <v/>
      </c>
      <c r="CB7" s="191" t="str">
        <f t="shared" si="41"/>
        <v/>
      </c>
      <c r="CC7" s="191" t="str">
        <f>IF(BK7&lt;&gt;"",SUM(BW7:CB7)+2,"")</f>
        <v/>
      </c>
      <c r="CD7" s="191" t="str">
        <f>IF(BK7&lt;&gt;"",INDEX(BK6:BK8,MATCH(4,CC6:CC8,0),0),"")</f>
        <v/>
      </c>
      <c r="CE7" s="191" t="str">
        <f>IF(U4&lt;&gt;"",U4,"")</f>
        <v/>
      </c>
      <c r="CF7" s="191">
        <f>SUMPRODUCT(($DB$3:$DB$42=$CE7)*($DE$3:$DE$42=$CE8)*($DF$3:$DF$42="W"))+SUMPRODUCT(($DB$3:$DB$42=$CE7)*($DE$3:$DE$42=$CE9)*($DF$3:$DF$42="W"))+SUMPRODUCT(($DB$3:$DB$42=$CE7)*($DE$3:$DE$42=$CE10)*($DF$3:$DF$42="W"))+SUMPRODUCT(($DB$3:$DB$42=$CE8)*($DE$3:$DE$42=$CE7)*($DG$3:$DG$42="W"))+SUMPRODUCT(($DB$3:$DB$42=$CE9)*($DE$3:$DE$42=$CE7)*($DG$3:$DG$42="W"))+SUMPRODUCT(($DB$3:$DB$42=$CE10)*($DE$3:$DE$42=$CE7)*($DG$3:$DG$42="W"))</f>
        <v>0</v>
      </c>
      <c r="CG7" s="191">
        <f>SUMPRODUCT(($DB$3:$DB$42=$CE7)*($DE$3:$DE$42=$CE8)*($DF$3:$DF$42="D"))+SUMPRODUCT(($DB$3:$DB$42=$CE7)*($DE$3:$DE$42=$CE9)*($DF$3:$DF$42="D"))+SUMPRODUCT(($DB$3:$DB$42=$CE7)*($DE$3:$DE$42=$CE10)*($DF$3:$DF$42="D"))+SUMPRODUCT(($DB$3:$DB$42=$CE8)*($DE$3:$DE$42=$CE7)*($DF$3:$DF$42="D"))+SUMPRODUCT(($DB$3:$DB$42=$CE9)*($DE$3:$DE$42=$CE7)*($DF$3:$DF$42="D"))+SUMPRODUCT(($DB$3:$DB$42=$CE10)*($DE$3:$DE$42=$CE7)*($DF$3:$DF$42="D"))</f>
        <v>0</v>
      </c>
      <c r="CH7" s="191">
        <f>SUMPRODUCT(($DB$3:$DB$42=$CE7)*($DE$3:$DE$42=$CE8)*($DF$3:$DF$42="L"))+SUMPRODUCT(($DB$3:$DB$42=$CE7)*($DE$3:$DE$42=$CE9)*($DF$3:$DF$42="L"))+SUMPRODUCT(($DB$3:$DB$42=$CE7)*($DE$3:$DE$42=$CE10)*($DF$3:$DF$42="L"))+SUMPRODUCT(($DB$3:$DB$42=$CE8)*($DE$3:$DE$42=$CE7)*($DG$3:$DG$42="L"))+SUMPRODUCT(($DB$3:$DB$42=$CE9)*($DE$3:$DE$42=$CE7)*($DG$3:$DG$42="L"))+SUMPRODUCT(($DB$3:$DB$42=$CE10)*($DE$3:$DE$42=$CE7)*($DG$3:$DG$42="L"))</f>
        <v>0</v>
      </c>
      <c r="CI7" s="191">
        <f>SUMPRODUCT(($DB$3:$DB$42=$CE7)*($DE$3:$DE$42=$CE8)*$DC$3:$DC$42)+SUMPRODUCT(($DB$3:$DB$42=$CE7)*($DE$3:$DE$42=$CE4)*$DC$3:$DC$42)+SUMPRODUCT(($DB$3:$DB$42=$CE7)*($DE$3:$DE$42=$CE5)*$DC$3:$DC$42)+SUMPRODUCT(($DB$3:$DB$42=$CE7)*($DE$3:$DE$42=$CE6)*$DC$3:$DC$42)+SUMPRODUCT(($DB$3:$DB$42=$CE8)*($DE$3:$DE$42=$CE7)*$DD$3:$DD$42)+SUMPRODUCT(($DB$3:$DB$42=$CE4)*($DE$3:$DE$42=$CE7)*$DD$3:$DD$42)+SUMPRODUCT(($DB$3:$DB$42=$CE5)*($DE$3:$DE$42=$CE7)*$DD$3:$DD$42)+SUMPRODUCT(($DB$3:$DB$42=$CE6)*($DE$3:$DE$42=$CE7)*$DD$3:$DD$42)</f>
        <v>0</v>
      </c>
      <c r="CJ7" s="191">
        <f>SUMPRODUCT(($DB$3:$DB$42=$CE7)*($DE$3:$DE$42=$CE8)*$DD$3:$DD$42)+SUMPRODUCT(($DB$3:$DB$42=$CE7)*($DE$3:$DE$42=$CE4)*$DD$3:$DD$42)+SUMPRODUCT(($DB$3:$DB$42=$CE7)*($DE$3:$DE$42=$CE5)*$DD$3:$DD$42)+SUMPRODUCT(($DB$3:$DB$42=$CE7)*($DE$3:$DE$42=$CE6)*$DD$3:$DD$42)+SUMPRODUCT(($DB$3:$DB$42=$CE8)*($DE$3:$DE$42=$CE7)*$DC$3:$DC$42)+SUMPRODUCT(($DB$3:$DB$42=$CE4)*($DE$3:$DE$42=$CE7)*$DC$3:$DC$42)+SUMPRODUCT(($DB$3:$DB$42=$CE5)*($DE$3:$DE$42=$CE7)*$DC$3:$DC$42)+SUMPRODUCT(($DB$3:$DB$42=$CE6)*($DE$3:$DE$42=$CE7)*$DC$3:$DC$42)</f>
        <v>0</v>
      </c>
      <c r="CK7" s="191">
        <f>CI7-CJ7+1000</f>
        <v>1000</v>
      </c>
      <c r="CL7" s="191" t="str">
        <f t="shared" ref="CL7:CL8" si="42">IF(CE7&lt;&gt;"",CF7*3+CG7*1,"")</f>
        <v/>
      </c>
      <c r="CM7" s="191" t="str">
        <f t="shared" ref="CM7:CM8" si="43">IF(CE7&lt;&gt;"",VLOOKUP(CE7,$B$4:$H$40,7,FALSE),"")</f>
        <v/>
      </c>
      <c r="CN7" s="191" t="str">
        <f t="shared" ref="CN7:CN8" si="44">IF(CE7&lt;&gt;"",VLOOKUP(CE7,$B$4:$H$40,5,FALSE),"")</f>
        <v/>
      </c>
      <c r="CO7" s="191" t="str">
        <f t="shared" ref="CO7:CO8" si="45">IF(CE7&lt;&gt;"",VLOOKUP(CE7,$B$4:$J$40,9,FALSE),"")</f>
        <v/>
      </c>
      <c r="CP7" s="191" t="str">
        <f t="shared" ref="CP7:CP8" si="46">CL7</f>
        <v/>
      </c>
      <c r="CQ7" s="191" t="str">
        <f>IF(CE7&lt;&gt;"",RANK(CP7,CP$4:CP$8),"")</f>
        <v/>
      </c>
      <c r="CR7" s="191" t="str">
        <f t="shared" ref="CR7:CR8" si="47">IF(CE7&lt;&gt;"",SUMPRODUCT((CP$4:CP$8=CP7)*(CK$4:CK$8&gt;CK7)),"")</f>
        <v/>
      </c>
      <c r="CS7" s="191" t="str">
        <f t="shared" ref="CS7:CS8" si="48">IF(CE7&lt;&gt;"",SUMPRODUCT((CP$4:CP$8=CP7)*(CK$4:CK$8=CK7)*(CI$4:CI$8&gt;CI7)),"")</f>
        <v/>
      </c>
      <c r="CT7" s="191" t="str">
        <f t="shared" ref="CT7:CT8" si="49">IF(CE7&lt;&gt;"",SUMPRODUCT((CP$4:CP$8=CP7)*(CK$4:CK$8=CK7)*(CI$4:CI$8=CI7)*(CM$4:CM$8&gt;CM7)),"")</f>
        <v/>
      </c>
      <c r="CU7" s="191" t="str">
        <f t="shared" ref="CU7:CU8" si="50">IF(CE7&lt;&gt;"",SUMPRODUCT((CP$4:CP$8=CP7)*(CK$4:CK$8=CK7)*(CI$4:CI$8=CI7)*(CM$4:CM$8=CM7)*(CN$4:CN$8&gt;CN7)),"")</f>
        <v/>
      </c>
      <c r="CV7" s="191" t="str">
        <f t="shared" ref="CV7:CV8" si="51">IF(CE7&lt;&gt;"",SUMPRODUCT((CP$4:CP$8=CP7)*(CK$4:CK$8=CK7)*(CI$4:CI$8=CI7)*(CM$4:CM$8=CM7)*(CN$4:CN$8=CN7)*(CO$4:CO$8&gt;CO7)),"")</f>
        <v/>
      </c>
      <c r="CW7" s="191" t="str">
        <f>IF(CE7&lt;&gt;"",SUM(CQ7:CV7)+3,"")</f>
        <v/>
      </c>
      <c r="CX7" s="191" t="str">
        <f>IF(CE7&lt;&gt;"",IF(CW7=4,CE7,CE8),"")</f>
        <v/>
      </c>
      <c r="CY7" s="191" t="str">
        <f>IF(CX7&lt;&gt;"",CX7,IF(CD7&lt;&gt;"",CD7,IF(BJ7&lt;&gt;"",BJ7,IF(AP7&lt;&gt;"",AP7,P7))))</f>
        <v>Paraguay</v>
      </c>
      <c r="CZ7" s="191">
        <v>4</v>
      </c>
      <c r="DA7" s="191">
        <v>5</v>
      </c>
      <c r="DB7" s="191" t="str">
        <f>Matches!F11</f>
        <v>Colombia</v>
      </c>
      <c r="DC7" s="191">
        <f>IF(AND(Matches!H11&lt;&gt;"",Matches!I11&lt;&gt;""),Matches!H11,0)</f>
        <v>0</v>
      </c>
      <c r="DD7" s="191">
        <f>IF(AND(Matches!I11&lt;&gt;"",Matches!H11&lt;&gt;""),Matches!I11,0)</f>
        <v>0</v>
      </c>
      <c r="DE7" s="191" t="str">
        <f>Matches!K11</f>
        <v>Venezuela</v>
      </c>
      <c r="DF7" s="191" t="str">
        <f>IF(AND(Matches!H11&lt;&gt;"",Matches!I11&lt;&gt;""),IF(DC7&gt;DD7,"W",IF(DC7=DD7,"D","L")),"")</f>
        <v/>
      </c>
      <c r="DG7" s="191" t="str">
        <f t="shared" si="0"/>
        <v/>
      </c>
      <c r="DR7" s="195" t="s">
        <v>79</v>
      </c>
      <c r="DS7" s="196"/>
      <c r="DT7" s="197" t="str">
        <f>Setup!C9</f>
        <v>Argentina</v>
      </c>
      <c r="DU7" s="198" t="s">
        <v>425</v>
      </c>
      <c r="DV7" s="197" t="str">
        <f>"'Dummy Table'!"&amp;VLOOKUP(Matches!Q7,$DT$7:$DU$38,2,FALSE)</f>
        <v>'Dummy Table'!DS7</v>
      </c>
      <c r="DW7" s="191">
        <f>TimezoneData</f>
        <v>0</v>
      </c>
      <c r="DX7" s="199">
        <v>44360.75</v>
      </c>
      <c r="DY7" s="200">
        <f>DX7+$DW$7/24</f>
        <v>44360.75</v>
      </c>
    </row>
    <row r="8" spans="1:131" x14ac:dyDescent="0.35">
      <c r="A8" s="191">
        <f>VLOOKUP(B8,$CY$4:$CZ$8,2,FALSE)</f>
        <v>4</v>
      </c>
      <c r="B8" s="191" t="str">
        <f>'Dummy Table'!DT11</f>
        <v>Paraguay</v>
      </c>
      <c r="C8" s="191">
        <f>SUMPRODUCT(($DB$3:$DB$42=$B8)*($DF$3:$DF$42="W"))+SUMPRODUCT(($DE$3:$DE$42=$B8)*($DG$3:$DG$42="W"))</f>
        <v>0</v>
      </c>
      <c r="D8" s="191">
        <f>SUMPRODUCT(($DB$3:$DB$42=$B8)*($DF$3:$DF$42="D"))+SUMPRODUCT(($DE$3:$DE$42=$B8)*($DG$3:$DG$42="D"))</f>
        <v>0</v>
      </c>
      <c r="E8" s="191">
        <f>SUMPRODUCT(($DB$3:$DB$42=$B8)*($DF$3:$DF$42="L"))+SUMPRODUCT(($DE$3:$DE$42=$B8)*($DG$3:$DG$42="L"))</f>
        <v>0</v>
      </c>
      <c r="F8" s="191">
        <f>SUMIF($DB$3:$DB$60,B8,$DC$3:$DC$60)+SUMIF($DE$3:$DE$60,B8,$DD$3:$DD$60)</f>
        <v>0</v>
      </c>
      <c r="G8" s="191">
        <f>SUMIF($DE$3:$DE$60,B8,$DC$3:$DC$60)+SUMIF($DB$3:$DB$60,B8,$DD$3:$DD$60)</f>
        <v>0</v>
      </c>
      <c r="H8" s="191">
        <f t="shared" si="1"/>
        <v>1000</v>
      </c>
      <c r="I8" s="191">
        <f t="shared" si="2"/>
        <v>0</v>
      </c>
      <c r="J8" s="191">
        <v>3</v>
      </c>
      <c r="K8" s="191">
        <f t="shared" si="3"/>
        <v>1</v>
      </c>
      <c r="L8" s="191">
        <f t="shared" si="4"/>
        <v>0</v>
      </c>
      <c r="M8" s="191">
        <f t="shared" si="5"/>
        <v>0</v>
      </c>
      <c r="N8" s="191">
        <f t="shared" si="6"/>
        <v>1</v>
      </c>
      <c r="O8" s="191">
        <f t="shared" si="7"/>
        <v>2</v>
      </c>
      <c r="P8" s="191" t="str">
        <f>INDEX($B$4:$B$8,MATCH(5,$O$4:$O$8,0),0)</f>
        <v>Argentina</v>
      </c>
      <c r="Q8" s="191">
        <f t="shared" si="8"/>
        <v>1</v>
      </c>
      <c r="R8" s="191" t="str">
        <f>IF(AND(R7&lt;&gt;"",Q8=1),P8,"")</f>
        <v>Argentina</v>
      </c>
      <c r="W8" s="191" t="str">
        <f t="shared" si="9"/>
        <v>Argentina</v>
      </c>
      <c r="X8" s="191">
        <f>SUMPRODUCT(($DB$3:$DB$42=$W7)*($DE$3:$DE$42=$W8)*($DF$3:$DF$42="W"))+SUMPRODUCT(($DB$3:$DB$42=$W8)*($DE$3:$DE$42=$W4)*($DF$3:$DF$42="W"))+SUMPRODUCT(($DB$3:$DB$42=$W8)*($DE$3:$DE$42=$W5)*($DF$3:$DF$42="W"))+SUMPRODUCT(($DB$3:$DB$42=$W8)*($DE$3:$DE$42=$W6)*($DF$3:$DF$42="W"))+SUMPRODUCT(($DB$3:$DB$42=$W8)*($DE$3:$DE$42=$W7)*($DG$3:$DG$42="W"))+SUMPRODUCT(($DB$3:$DB$42=$W4)*($DE$3:$DE$42=$W8)*($DG$3:$DG$42="W"))+SUMPRODUCT(($DB$3:$DB$42=$W5)*($DE$3:$DE$42=$W8)*($DG$3:$DG$42="W"))+SUMPRODUCT(($DB$3:$DB$42=$W6)*($DE$3:$DE$42=$W8)*($DG$3:$DG$42="W"))</f>
        <v>0</v>
      </c>
      <c r="Y8" s="191">
        <f>SUMPRODUCT(($DB$3:$DB$42=$W7)*($DE$3:$DE$42=$W8)*($DF$3:$DF$42="D"))+SUMPRODUCT(($DB$3:$DB$42=$W8)*($DE$3:$DE$42=$W4)*($DF$3:$DF$42="D"))+SUMPRODUCT(($DB$3:$DB$42=$W8)*($DE$3:$DE$42=$W5)*($DF$3:$DF$42="D"))+SUMPRODUCT(($DB$3:$DB$42=$W8)*($DE$3:$DE$42=$W6)*($DF$3:$DF$42="D"))+SUMPRODUCT(($DB$3:$DB$42=$W8)*($DE$3:$DE$42=$W7)*($DF$3:$DF$42="D"))+SUMPRODUCT(($DB$3:$DB$42=$W4)*($DE$3:$DE$42=$W8)*($DF$3:$DF$42="D"))+SUMPRODUCT(($DB$3:$DB$42=$W5)*($DE$3:$DE$42=$W8)*($DF$3:$DF$42="D"))+SUMPRODUCT(($DB$3:$DB$42=$W6)*($DE$3:$DE$42=$W8)*($DF$3:$DF$42="D"))</f>
        <v>0</v>
      </c>
      <c r="Z8" s="191">
        <f>SUMPRODUCT(($DB$3:$DB$42=$W7)*($DE$3:$DE$42=$W8)*($DF$3:$DF$42="L"))+SUMPRODUCT(($DB$3:$DB$42=$W8)*($DE$3:$DE$42=$W4)*($DF$3:$DF$42="L"))+SUMPRODUCT(($DB$3:$DB$42=$W8)*($DE$3:$DE$42=$W5)*($DF$3:$DF$42="L"))+SUMPRODUCT(($DB$3:$DB$42=$W8)*($DE$3:$DE$42=$W6)*($DF$3:$DF$42="L"))+SUMPRODUCT(($DB$3:$DB$42=$W8)*($DE$3:$DE$42=$W7)*($DG$3:$DG$42="L"))+SUMPRODUCT(($DB$3:$DB$42=$W4)*($DE$3:$DE$42=$W8)*($DG$3:$DG$42="L"))+SUMPRODUCT(($DB$3:$DB$42=$W5)*($DE$3:$DE$42=$W8)*($DG$3:$DG$42="L"))+SUMPRODUCT(($DB$3:$DB$42=$W6)*($DE$3:$DE$42=$W8)*($DG$3:$DG$42="L"))</f>
        <v>0</v>
      </c>
      <c r="AA8" s="191">
        <f>SUMPRODUCT(($DB$3:$DB$42=$W7)*($DE$3:$DE$42=$W8)*$DC$3:$DC$42)+SUMPRODUCT(($DB$3:$DB$42=$W8)*($DE$3:$DE$42=$W4)*$DC$3:$DC$42)+SUMPRODUCT(($DB$3:$DB$42=$W8)*($DE$3:$DE$42=$W5)*$DC$3:$DC$42)+SUMPRODUCT(($DB$3:$DB$42=$W8)*($DE$3:$DE$42=$W6)*$DC$3:$DC$42)+SUMPRODUCT(($DB$3:$DB$42=$W8)*($DE$3:$DE$42=$W7)*$DD$3:$DD$42)+SUMPRODUCT(($DB$3:$DB$42=$W4)*($DE$3:$DE$42=$W8)*$DD$3:$DD$42)+SUMPRODUCT(($DB$3:$DB$42=$W5)*($DE$3:$DE$42=$W8)*$DD$3:$DD$42)+SUMPRODUCT(($DB$3:$DB$42=$W6)*($DE$3:$DE$42=$W8)*$DD$3:$DD$42)</f>
        <v>0</v>
      </c>
      <c r="AB8" s="191">
        <f>SUMPRODUCT(($DB$3:$DB$42=$W7)*($DE$3:$DE$42=$W8)*$DD$3:$DD$42)+SUMPRODUCT(($DB$3:$DB$42=$W8)*($DE$3:$DE$42=$W4)*$DD$3:$DD$42)+SUMPRODUCT(($DB$3:$DB$42=$W8)*($DE$3:$DE$42=$W5)*$DD$3:$DD$42)+SUMPRODUCT(($DB$3:$DB$42=$W8)*($DE$3:$DE$42=$W6)*$DD$3:$DD$42)+SUMPRODUCT(($DB$3:$DB$42=$W8)*($DE$3:$DE$42=$W7)*$DC$3:$DC$42)+SUMPRODUCT(($DB$3:$DB$42=$W4)*($DE$3:$DE$42=$W8)*$DC$3:$DC$42)+SUMPRODUCT(($DB$3:$DB$42=$W5)*($DE$3:$DE$42=$W8)*$DC$3:$DC$42)+SUMPRODUCT(($DB$3:$DB$42=$W6)*($DE$3:$DE$42=$W8)*$DC$3:$DC$42)</f>
        <v>0</v>
      </c>
      <c r="AC8" s="191">
        <f>AA8-AB8+1000</f>
        <v>1000</v>
      </c>
      <c r="AD8" s="191">
        <f t="shared" si="10"/>
        <v>0</v>
      </c>
      <c r="AE8" s="191">
        <f t="shared" si="11"/>
        <v>1000</v>
      </c>
      <c r="AF8" s="191">
        <f t="shared" si="12"/>
        <v>0</v>
      </c>
      <c r="AG8" s="191">
        <f t="shared" si="13"/>
        <v>9</v>
      </c>
      <c r="AH8" s="191">
        <f t="shared" si="14"/>
        <v>0</v>
      </c>
      <c r="AI8" s="191">
        <f>IF(W8&lt;&gt;"",RANK(AH8,AH$4:AH$8),"")</f>
        <v>1</v>
      </c>
      <c r="AJ8" s="191">
        <f t="shared" si="15"/>
        <v>0</v>
      </c>
      <c r="AK8" s="191">
        <f t="shared" si="16"/>
        <v>0</v>
      </c>
      <c r="AL8" s="191">
        <f t="shared" si="17"/>
        <v>0</v>
      </c>
      <c r="AM8" s="191">
        <f t="shared" si="18"/>
        <v>0</v>
      </c>
      <c r="AN8" s="191">
        <f t="shared" si="19"/>
        <v>0</v>
      </c>
      <c r="AO8" s="191">
        <f t="shared" ref="AO8" si="52">IF(W8&lt;&gt;"",IF(AO48&lt;&gt;"",IF(V$43=3,AO48,AO48+V$43),SUM(AI8:AN8)),"")</f>
        <v>1</v>
      </c>
      <c r="AP8" s="191" t="str">
        <f>IF(W8&lt;&gt;"",INDEX($W$4:$W$8,MATCH(5,$AO$4:$AO$8,0),0),"")</f>
        <v>Bolivia</v>
      </c>
      <c r="AQ8" s="191" t="str">
        <f>IF(S7&lt;&gt;"",S7,"")</f>
        <v/>
      </c>
      <c r="AR8" s="191">
        <f>SUMPRODUCT(($DB$3:$DB$42=$AQ8)*($DE$3:$DE$42=$AQ9)*($DF$3:$DF$42="W"))+SUMPRODUCT(($DB$3:$DB$42=$AQ8)*($DE$3:$DE$42=$AQ6)*($DF$3:$DF$42="W"))+SUMPRODUCT(($DB$3:$DB$42=$AQ8)*($DE$3:$DE$42=$AQ7)*($DF$3:$DF$42="W"))+SUMPRODUCT(($DB$3:$DB$42=$AQ9)*($DE$3:$DE$42=$AQ8)*($DG$3:$DG$42="W"))+SUMPRODUCT(($DB$3:$DB$42=$AQ6)*($DE$3:$DE$42=$AQ8)*($DG$3:$DG$42="W"))+SUMPRODUCT(($DB$3:$DB$42=$AQ7)*($DE$3:$DE$42=$AQ8)*($DG$3:$DG$42="W"))</f>
        <v>0</v>
      </c>
      <c r="AS8" s="191">
        <f>SUMPRODUCT(($DB$3:$DB$42=$AQ8)*($DE$3:$DE$42=$AQ9)*($DF$3:$DF$42="D"))+SUMPRODUCT(($DB$3:$DB$42=$AQ8)*($DE$3:$DE$42=$AQ6)*($DF$3:$DF$42="D"))+SUMPRODUCT(($DB$3:$DB$42=$AQ8)*($DE$3:$DE$42=$AQ7)*($DF$3:$DF$42="D"))+SUMPRODUCT(($DB$3:$DB$42=$AQ9)*($DE$3:$DE$42=$AQ8)*($DF$3:$DF$42="D"))+SUMPRODUCT(($DB$3:$DB$42=$AQ6)*($DE$3:$DE$42=$AQ8)*($DF$3:$DF$42="D"))+SUMPRODUCT(($DB$3:$DB$42=$AQ7)*($DE$3:$DE$42=$AQ8)*($DF$3:$DF$42="D"))</f>
        <v>0</v>
      </c>
      <c r="AT8" s="191">
        <f>SUMPRODUCT(($DB$3:$DB$42=$AQ8)*($DE$3:$DE$42=$AQ9)*($DF$3:$DF$42="L"))+SUMPRODUCT(($DB$3:$DB$42=$AQ8)*($DE$3:$DE$42=$AQ6)*($DF$3:$DF$42="L"))+SUMPRODUCT(($DB$3:$DB$42=$AQ8)*($DE$3:$DE$42=$AQ7)*($DF$3:$DF$42="L"))+SUMPRODUCT(($DB$3:$DB$42=$AQ9)*($DE$3:$DE$42=$AQ8)*($DG$3:$DG$42="L"))+SUMPRODUCT(($DB$3:$DB$42=$AQ6)*($DE$3:$DE$42=$AQ8)*($DG$3:$DG$42="L"))+SUMPRODUCT(($DB$3:$DB$42=$AQ7)*($DE$3:$DE$42=$AQ8)*($DG$3:$DG$42="L"))</f>
        <v>0</v>
      </c>
      <c r="AU8" s="191">
        <f>SUMPRODUCT(($DB$3:$DB$42=$AQ8)*($DE$3:$DE$42=$AQ9)*$DC$3:$DC$42)+SUMPRODUCT(($DB$3:$DB$42=$AQ8)*($DE$3:$DE$42=$AQ5)*$DC$3:$DC$42)+SUMPRODUCT(($DB$3:$DB$42=$AQ8)*($DE$3:$DE$42=$AQ6)*$DC$3:$DC$42)+SUMPRODUCT(($DB$3:$DB$42=$AQ8)*($DE$3:$DE$42=$AQ7)*$DC$3:$DC$42)+SUMPRODUCT(($DB$3:$DB$42=$AQ9)*($DE$3:$DE$42=$AQ8)*$DD$3:$DD$42)+SUMPRODUCT(($DB$3:$DB$42=$AQ5)*($DE$3:$DE$42=$AQ8)*$DD$3:$DD$42)+SUMPRODUCT(($DB$3:$DB$42=$AQ6)*($DE$3:$DE$42=$AQ8)*$DD$3:$DD$42)+SUMPRODUCT(($DB$3:$DB$42=$AQ7)*($DE$3:$DE$42=$AQ8)*$DD$3:$DD$42)</f>
        <v>0</v>
      </c>
      <c r="AV8" s="191">
        <f>SUMPRODUCT(($DB$3:$DB$42=$AQ8)*($DE$3:$DE$42=$AQ9)*$DD$3:$DD$42)+SUMPRODUCT(($DB$3:$DB$42=$AQ8)*($DE$3:$DE$42=$AQ5)*$DD$3:$DD$42)+SUMPRODUCT(($DB$3:$DB$42=$AQ8)*($DE$3:$DE$42=$AQ6)*$DD$3:$DD$42)+SUMPRODUCT(($DB$3:$DB$42=$AQ8)*($DE$3:$DE$42=$AQ7)*$DD$3:$DD$42)+SUMPRODUCT(($DB$3:$DB$42=$AQ9)*($DE$3:$DE$42=$AQ8)*$DC$3:$DC$42)+SUMPRODUCT(($DB$3:$DB$42=$AQ5)*($DE$3:$DE$42=$AQ8)*$DC$3:$DC$42)+SUMPRODUCT(($DB$3:$DB$42=$AQ6)*($DE$3:$DE$42=$AQ8)*$DC$3:$DC$42)+SUMPRODUCT(($DB$3:$DB$42=$AQ7)*($DE$3:$DE$42=$AQ8)*$DC$3:$DC$42)</f>
        <v>0</v>
      </c>
      <c r="AW8" s="191">
        <f>AU8-AV8+1000</f>
        <v>1000</v>
      </c>
      <c r="AX8" s="191" t="str">
        <f t="shared" si="20"/>
        <v/>
      </c>
      <c r="AY8" s="191" t="str">
        <f t="shared" si="21"/>
        <v/>
      </c>
      <c r="AZ8" s="191" t="str">
        <f t="shared" si="22"/>
        <v/>
      </c>
      <c r="BA8" s="191" t="str">
        <f t="shared" si="23"/>
        <v/>
      </c>
      <c r="BB8" s="191" t="str">
        <f t="shared" si="24"/>
        <v/>
      </c>
      <c r="BC8" s="191" t="str">
        <f>IF(AQ8&lt;&gt;"",RANK(BB8,BB$4:BB$8),"")</f>
        <v/>
      </c>
      <c r="BD8" s="191" t="str">
        <f t="shared" si="25"/>
        <v/>
      </c>
      <c r="BE8" s="191" t="str">
        <f t="shared" si="26"/>
        <v/>
      </c>
      <c r="BF8" s="191" t="str">
        <f t="shared" si="27"/>
        <v/>
      </c>
      <c r="BG8" s="191" t="str">
        <f t="shared" si="28"/>
        <v/>
      </c>
      <c r="BH8" s="191" t="str">
        <f t="shared" si="29"/>
        <v/>
      </c>
      <c r="BI8" s="191" t="str">
        <f t="shared" ref="BI8" si="53">IF(AQ8&lt;&gt;"",IF(BI48&lt;&gt;"",IF(AP$43=3,BI48,BI48+AP$43),SUM(BC8:BH8)+1),"")</f>
        <v/>
      </c>
      <c r="BJ8" s="191" t="str">
        <f>IF(AQ8&lt;&gt;"",INDEX(AQ6:AQ9,MATCH(4,BI6:BI9,0),0),"")</f>
        <v/>
      </c>
      <c r="BK8" s="191" t="str">
        <f>IF(T6&lt;&gt;"",T6,"")</f>
        <v/>
      </c>
      <c r="BL8" s="191">
        <f>SUMPRODUCT(($DB$3:$DB$42=$BK8)*($DE$3:$DE$42=$BK9)*($DF$3:$DF$42="W"))+SUMPRODUCT(($DB$3:$DB$42=$BK8)*($DE$3:$DE$42=$BK10)*($DF$3:$DF$42="W"))+SUMPRODUCT(($DB$3:$DB$42=$BK8)*($DE$3:$DE$42=$BK7)*($DF$3:$DF$42="W"))+SUMPRODUCT(($DB$3:$DB$42=$BK9)*($DE$3:$DE$42=$BK8)*($DG$3:$DG$42="W"))+SUMPRODUCT(($DB$3:$DB$42=$BK10)*($DE$3:$DE$42=$BK8)*($DG$3:$DG$42="W"))+SUMPRODUCT(($DB$3:$DB$42=$BK7)*($DE$3:$DE$42=$BK8)*($DG$3:$DG$42="W"))</f>
        <v>0</v>
      </c>
      <c r="BM8" s="191">
        <f>SUMPRODUCT(($DB$3:$DB$42=$BK8)*($DE$3:$DE$42=$BK9)*($DF$3:$DF$42="D"))+SUMPRODUCT(($DB$3:$DB$42=$BK8)*($DE$3:$DE$42=$BK10)*($DF$3:$DF$42="D"))+SUMPRODUCT(($DB$3:$DB$42=$BK8)*($DE$3:$DE$42=$BK7)*($DF$3:$DF$42="D"))+SUMPRODUCT(($DB$3:$DB$42=$BK9)*($DE$3:$DE$42=$BK8)*($DF$3:$DF$42="D"))+SUMPRODUCT(($DB$3:$DB$42=$BK10)*($DE$3:$DE$42=$BK8)*($DF$3:$DF$42="D"))+SUMPRODUCT(($DB$3:$DB$42=$BK7)*($DE$3:$DE$42=$BK8)*($DF$3:$DF$42="D"))</f>
        <v>0</v>
      </c>
      <c r="BN8" s="191">
        <f>SUMPRODUCT(($DB$3:$DB$42=$BK8)*($DE$3:$DE$42=$BK9)*($DF$3:$DF$42="L"))+SUMPRODUCT(($DB$3:$DB$42=$BK8)*($DE$3:$DE$42=$BK10)*($DF$3:$DF$42="L"))+SUMPRODUCT(($DB$3:$DB$42=$BK8)*($DE$3:$DE$42=$BK7)*($DF$3:$DF$42="L"))+SUMPRODUCT(($DB$3:$DB$42=$BK9)*($DE$3:$DE$42=$BK8)*($DG$3:$DG$42="L"))+SUMPRODUCT(($DB$3:$DB$42=$BK10)*($DE$3:$DE$42=$BK8)*($DG$3:$DG$42="L"))+SUMPRODUCT(($DB$3:$DB$42=$BK7)*($DE$3:$DE$42=$BK8)*($DG$3:$DG$42="L"))</f>
        <v>0</v>
      </c>
      <c r="BO8" s="191">
        <f>SUMPRODUCT(($DB$3:$DB$42=$BK8)*($DE$3:$DE$42=$BK9)*$DC$3:$DC$42)+SUMPRODUCT(($DB$3:$DB$42=$BK8)*($DE$3:$DE$42=$BK5)*$DC$3:$DC$42)+SUMPRODUCT(($DB$3:$DB$42=$BK8)*($DE$3:$DE$42=$BK6)*$DC$3:$DC$42)+SUMPRODUCT(($DB$3:$DB$42=$BK8)*($DE$3:$DE$42=$BK7)*$DC$3:$DC$42)+SUMPRODUCT(($DB$3:$DB$42=$BK9)*($DE$3:$DE$42=$BK8)*$DD$3:$DD$42)+SUMPRODUCT(($DB$3:$DB$42=$BK5)*($DE$3:$DE$42=$BK8)*$DD$3:$DD$42)+SUMPRODUCT(($DB$3:$DB$42=$BK6)*($DE$3:$DE$42=$BK8)*$DD$3:$DD$42)+SUMPRODUCT(($DB$3:$DB$42=$BK7)*($DE$3:$DE$42=$BK8)*$DD$3:$DD$42)</f>
        <v>0</v>
      </c>
      <c r="BP8" s="191">
        <f>SUMPRODUCT(($DB$3:$DB$42=$BK8)*($DE$3:$DE$42=$BK9)*$DD$3:$DD$42)+SUMPRODUCT(($DB$3:$DB$42=$BK8)*($DE$3:$DE$42=$BK5)*$DD$3:$DD$42)+SUMPRODUCT(($DB$3:$DB$42=$BK8)*($DE$3:$DE$42=$BK6)*$DD$3:$DD$42)+SUMPRODUCT(($DB$3:$DB$42=$BK8)*($DE$3:$DE$42=$BK7)*$DD$3:$DD$42)+SUMPRODUCT(($DB$3:$DB$42=$BK9)*($DE$3:$DE$42=$BK8)*$DC$3:$DC$42)+SUMPRODUCT(($DB$3:$DB$42=$BK5)*($DE$3:$DE$42=$BK8)*$DC$3:$DC$42)+SUMPRODUCT(($DB$3:$DB$42=$BK6)*($DE$3:$DE$42=$BK8)*$DC$3:$DC$42)+SUMPRODUCT(($DB$3:$DB$42=$BK7)*($DE$3:$DE$42=$BK8)*$DC$3:$DC$42)</f>
        <v>0</v>
      </c>
      <c r="BQ8" s="191">
        <f>BO8-BP8+1000</f>
        <v>1000</v>
      </c>
      <c r="BR8" s="191" t="str">
        <f t="shared" si="32"/>
        <v/>
      </c>
      <c r="BS8" s="191" t="str">
        <f t="shared" si="33"/>
        <v/>
      </c>
      <c r="BT8" s="191" t="str">
        <f t="shared" si="34"/>
        <v/>
      </c>
      <c r="BU8" s="191" t="str">
        <f t="shared" si="35"/>
        <v/>
      </c>
      <c r="BV8" s="191" t="str">
        <f t="shared" si="36"/>
        <v/>
      </c>
      <c r="BW8" s="191" t="str">
        <f>IF(BK8&lt;&gt;"",RANK(BV8,BV$4:BV$8),"")</f>
        <v/>
      </c>
      <c r="BX8" s="191" t="str">
        <f t="shared" si="37"/>
        <v/>
      </c>
      <c r="BY8" s="191" t="str">
        <f t="shared" si="38"/>
        <v/>
      </c>
      <c r="BZ8" s="191" t="str">
        <f t="shared" si="39"/>
        <v/>
      </c>
      <c r="CA8" s="191" t="str">
        <f t="shared" si="40"/>
        <v/>
      </c>
      <c r="CB8" s="191" t="str">
        <f t="shared" si="41"/>
        <v/>
      </c>
      <c r="CC8" s="191" t="str">
        <f>IF(BK8&lt;&gt;"",SUM(BW8:CB8)+2,"")</f>
        <v/>
      </c>
      <c r="CD8" s="191" t="str">
        <f>IF(BK8&lt;&gt;"",INDEX(BK6:BK8,MATCH(5,CC6:CC8,0),0),"")</f>
        <v/>
      </c>
      <c r="CE8" s="191" t="str">
        <f>IF(U5&lt;&gt;"",U5,"")</f>
        <v/>
      </c>
      <c r="CF8" s="191">
        <f>SUMPRODUCT(($DB$3:$DB$42=$CE8)*($DE$3:$DE$42=$CE9)*($DF$3:$DF$42="W"))+SUMPRODUCT(($DB$3:$DB$42=$CE8)*($DE$3:$DE$42=$CE10)*($DF$3:$DF$42="W"))+SUMPRODUCT(($DB$3:$DB$42=$CE8)*($DE$3:$DE$42=$CE11)*($DF$3:$DF$42="W"))+SUMPRODUCT(($DB$3:$DB$42=$CE9)*($DE$3:$DE$42=$CE8)*($DG$3:$DG$42="W"))+SUMPRODUCT(($DB$3:$DB$42=$CE10)*($DE$3:$DE$42=$CE8)*($DG$3:$DG$42="W"))+SUMPRODUCT(($DB$3:$DB$42=$CE11)*($DE$3:$DE$42=$CE8)*($DG$3:$DG$42="W"))</f>
        <v>0</v>
      </c>
      <c r="CG8" s="191">
        <f>SUMPRODUCT(($DB$3:$DB$42=$CE8)*($DE$3:$DE$42=$CE9)*($DF$3:$DF$42="D"))+SUMPRODUCT(($DB$3:$DB$42=$CE8)*($DE$3:$DE$42=$CE10)*($DF$3:$DF$42="D"))+SUMPRODUCT(($DB$3:$DB$42=$CE8)*($DE$3:$DE$42=$CE11)*($DF$3:$DF$42="D"))+SUMPRODUCT(($DB$3:$DB$42=$CE9)*($DE$3:$DE$42=$CE8)*($DF$3:$DF$42="D"))+SUMPRODUCT(($DB$3:$DB$42=$CE10)*($DE$3:$DE$42=$CE8)*($DF$3:$DF$42="D"))+SUMPRODUCT(($DB$3:$DB$42=$CE11)*($DE$3:$DE$42=$CE8)*($DF$3:$DF$42="D"))</f>
        <v>0</v>
      </c>
      <c r="CH8" s="191">
        <f>SUMPRODUCT(($DB$3:$DB$42=$CE8)*($DE$3:$DE$42=$CE9)*($DF$3:$DF$42="L"))+SUMPRODUCT(($DB$3:$DB$42=$CE8)*($DE$3:$DE$42=$CE10)*($DF$3:$DF$42="L"))+SUMPRODUCT(($DB$3:$DB$42=$CE8)*($DE$3:$DE$42=$CE11)*($DF$3:$DF$42="L"))+SUMPRODUCT(($DB$3:$DB$42=$CE9)*($DE$3:$DE$42=$CE8)*($DG$3:$DG$42="L"))+SUMPRODUCT(($DB$3:$DB$42=$CE10)*($DE$3:$DE$42=$CE8)*($DG$3:$DG$42="L"))+SUMPRODUCT(($DB$3:$DB$42=$CE11)*($DE$3:$DE$42=$CE8)*($DG$3:$DG$42="L"))</f>
        <v>0</v>
      </c>
      <c r="CI8" s="191">
        <f>SUMPRODUCT(($DB$3:$DB$42=$CE8)*($DE$3:$DE$42=$CE9)*$DC$3:$DC$42)+SUMPRODUCT(($DB$3:$DB$42=$CE8)*($DE$3:$DE$42=$CE5)*$DC$3:$DC$42)+SUMPRODUCT(($DB$3:$DB$42=$CE8)*($DE$3:$DE$42=$CE6)*$DC$3:$DC$42)+SUMPRODUCT(($DB$3:$DB$42=$CE8)*($DE$3:$DE$42=$CE7)*$DC$3:$DC$42)+SUMPRODUCT(($DB$3:$DB$42=$CE9)*($DE$3:$DE$42=$CE8)*$DD$3:$DD$42)+SUMPRODUCT(($DB$3:$DB$42=$CE5)*($DE$3:$DE$42=$CE8)*$DD$3:$DD$42)+SUMPRODUCT(($DB$3:$DB$42=$CE6)*($DE$3:$DE$42=$CE8)*$DD$3:$DD$42)+SUMPRODUCT(($DB$3:$DB$42=$CE7)*($DE$3:$DE$42=$CE8)*$DD$3:$DD$42)</f>
        <v>0</v>
      </c>
      <c r="CJ8" s="191">
        <f>SUMPRODUCT(($DB$3:$DB$42=$CE8)*($DE$3:$DE$42=$CE9)*$DD$3:$DD$42)+SUMPRODUCT(($DB$3:$DB$42=$CE8)*($DE$3:$DE$42=$CE5)*$DD$3:$DD$42)+SUMPRODUCT(($DB$3:$DB$42=$CE8)*($DE$3:$DE$42=$CE6)*$DD$3:$DD$42)+SUMPRODUCT(($DB$3:$DB$42=$CE8)*($DE$3:$DE$42=$CE7)*$DD$3:$DD$42)+SUMPRODUCT(($DB$3:$DB$42=$CE9)*($DE$3:$DE$42=$CE8)*$DC$3:$DC$42)+SUMPRODUCT(($DB$3:$DB$42=$CE5)*($DE$3:$DE$42=$CE8)*$DC$3:$DC$42)+SUMPRODUCT(($DB$3:$DB$42=$CE6)*($DE$3:$DE$42=$CE8)*$DC$3:$DC$42)+SUMPRODUCT(($DB$3:$DB$42=$CE7)*($DE$3:$DE$42=$CE8)*$DC$3:$DC$42)</f>
        <v>0</v>
      </c>
      <c r="CK8" s="191">
        <f>CI8-CJ8+1000</f>
        <v>1000</v>
      </c>
      <c r="CL8" s="191" t="str">
        <f t="shared" si="42"/>
        <v/>
      </c>
      <c r="CM8" s="191" t="str">
        <f t="shared" si="43"/>
        <v/>
      </c>
      <c r="CN8" s="191" t="str">
        <f t="shared" si="44"/>
        <v/>
      </c>
      <c r="CO8" s="191" t="str">
        <f t="shared" si="45"/>
        <v/>
      </c>
      <c r="CP8" s="191" t="str">
        <f t="shared" si="46"/>
        <v/>
      </c>
      <c r="CQ8" s="191" t="str">
        <f>IF(CE8&lt;&gt;"",RANK(CP8,CP$4:CP$8),"")</f>
        <v/>
      </c>
      <c r="CR8" s="191" t="str">
        <f t="shared" si="47"/>
        <v/>
      </c>
      <c r="CS8" s="191" t="str">
        <f t="shared" si="48"/>
        <v/>
      </c>
      <c r="CT8" s="191" t="str">
        <f t="shared" si="49"/>
        <v/>
      </c>
      <c r="CU8" s="191" t="str">
        <f t="shared" si="50"/>
        <v/>
      </c>
      <c r="CV8" s="191" t="str">
        <f t="shared" si="51"/>
        <v/>
      </c>
      <c r="CW8" s="191" t="str">
        <f>IF(CE8&lt;&gt;"",SUM(CQ8:CV8)+3,"")</f>
        <v/>
      </c>
      <c r="CX8" s="191" t="str">
        <f>IF(CX7=CE7,CE8,CE7)</f>
        <v/>
      </c>
      <c r="CY8" s="191" t="str">
        <f>IF(CX8&lt;&gt;"",CX8,IF(CD8&lt;&gt;"",CD8,IF(BJ8&lt;&gt;"",BJ8,IF(AP8&lt;&gt;"",AP8,P8))))</f>
        <v>Bolivia</v>
      </c>
      <c r="CZ8" s="191">
        <v>5</v>
      </c>
      <c r="DA8" s="191">
        <v>6</v>
      </c>
      <c r="DB8" s="191" t="str">
        <f>Matches!F12</f>
        <v>Brazil</v>
      </c>
      <c r="DC8" s="191">
        <f>IF(AND(Matches!H12&lt;&gt;"",Matches!I12&lt;&gt;""),Matches!H12,0)</f>
        <v>0</v>
      </c>
      <c r="DD8" s="191">
        <f>IF(AND(Matches!I12&lt;&gt;"",Matches!H12&lt;&gt;""),Matches!I12,0)</f>
        <v>0</v>
      </c>
      <c r="DE8" s="191" t="str">
        <f>Matches!K12</f>
        <v>Peru</v>
      </c>
      <c r="DF8" s="191" t="str">
        <f>IF(AND(Matches!H12&lt;&gt;"",Matches!I12&lt;&gt;""),IF(DC8&gt;DD8,"W",IF(DC8=DD8,"D","L")),"")</f>
        <v/>
      </c>
      <c r="DG8" s="191" t="str">
        <f t="shared" si="0"/>
        <v/>
      </c>
      <c r="DR8" s="195"/>
      <c r="DS8" s="196"/>
      <c r="DT8" s="197" t="str">
        <f>Setup!C10</f>
        <v>Bolivia</v>
      </c>
      <c r="DU8" s="198" t="s">
        <v>426</v>
      </c>
      <c r="DV8" s="197" t="str">
        <f>"'Dummy Table'!"&amp;VLOOKUP(Matches!Q8,$DT$7:$DU$38,2,FALSE)</f>
        <v>'Dummy Table'!DS9</v>
      </c>
      <c r="DX8" s="199">
        <v>44360.875</v>
      </c>
      <c r="DY8" s="200">
        <f t="shared" ref="DY8:DY58" si="54">DX8+$DW$7/24</f>
        <v>44360.875</v>
      </c>
      <c r="EA8" s="191">
        <v>-12</v>
      </c>
    </row>
    <row r="9" spans="1:131" x14ac:dyDescent="0.35">
      <c r="BI9" s="191" t="s">
        <v>427</v>
      </c>
      <c r="DA9" s="191">
        <v>7</v>
      </c>
      <c r="DB9" s="191" t="str">
        <f>Matches!F13</f>
        <v>Chile</v>
      </c>
      <c r="DC9" s="191">
        <f>IF(AND(Matches!H13&lt;&gt;"",Matches!I13&lt;&gt;""),Matches!H13,0)</f>
        <v>0</v>
      </c>
      <c r="DD9" s="191">
        <f>IF(AND(Matches!I13&lt;&gt;"",Matches!H13&lt;&gt;""),Matches!I13,0)</f>
        <v>0</v>
      </c>
      <c r="DE9" s="191" t="str">
        <f>Matches!K13</f>
        <v>Bolivia</v>
      </c>
      <c r="DF9" s="191" t="str">
        <f>IF(AND(Matches!H13&lt;&gt;"",Matches!I13&lt;&gt;""),IF(DC9&gt;DD9,"W",IF(DC9=DD9,"D","L")),"")</f>
        <v/>
      </c>
      <c r="DG9" s="191" t="str">
        <f t="shared" si="0"/>
        <v/>
      </c>
      <c r="DR9" s="195"/>
      <c r="DS9" s="196"/>
      <c r="DT9" s="197" t="str">
        <f>Setup!C11</f>
        <v>Uruguay</v>
      </c>
      <c r="DU9" s="198" t="s">
        <v>428</v>
      </c>
      <c r="DV9" s="197" t="str">
        <f>"'Dummy Table'!"&amp;VLOOKUP(Matches!Q9,$DT$7:$DU$38,2,FALSE)</f>
        <v>'Dummy Table'!DS10</v>
      </c>
      <c r="DX9" s="199">
        <v>44361.75</v>
      </c>
      <c r="DY9" s="200">
        <f t="shared" si="54"/>
        <v>44361.75</v>
      </c>
      <c r="EA9" s="191">
        <v>-11.5</v>
      </c>
    </row>
    <row r="10" spans="1:131" x14ac:dyDescent="0.35">
      <c r="DA10" s="191">
        <v>8</v>
      </c>
      <c r="DB10" s="191" t="str">
        <f>Matches!F14</f>
        <v>Argentina</v>
      </c>
      <c r="DC10" s="191">
        <f>IF(AND(Matches!H14&lt;&gt;"",Matches!I14&lt;&gt;""),Matches!H14,0)</f>
        <v>0</v>
      </c>
      <c r="DD10" s="191">
        <f>IF(AND(Matches!I14&lt;&gt;"",Matches!H14&lt;&gt;""),Matches!I14,0)</f>
        <v>0</v>
      </c>
      <c r="DE10" s="191" t="str">
        <f>Matches!K14</f>
        <v>Uruguay</v>
      </c>
      <c r="DF10" s="191" t="str">
        <f>IF(AND(Matches!H14&lt;&gt;"",Matches!I14&lt;&gt;""),IF(DC10&gt;DD10,"W",IF(DC10=DD10,"D","L")),"")</f>
        <v/>
      </c>
      <c r="DG10" s="191" t="str">
        <f t="shared" si="0"/>
        <v/>
      </c>
      <c r="DR10" s="195"/>
      <c r="DS10" s="196"/>
      <c r="DT10" s="197" t="str">
        <f>Setup!C12</f>
        <v>Chile</v>
      </c>
      <c r="DU10" s="198" t="s">
        <v>429</v>
      </c>
      <c r="DV10" s="197" t="str">
        <f>"'Dummy Table'!"&amp;VLOOKUP(Matches!Q10,$DT$7:$DU$38,2,FALSE)</f>
        <v>'Dummy Table'!DS11</v>
      </c>
      <c r="DX10" s="199">
        <v>44361.875</v>
      </c>
      <c r="DY10" s="200">
        <f t="shared" si="54"/>
        <v>44361.875</v>
      </c>
      <c r="EA10" s="191">
        <v>-11</v>
      </c>
    </row>
    <row r="11" spans="1:131" x14ac:dyDescent="0.35">
      <c r="A11" s="191">
        <f>VLOOKUP(B11,$CY$11:$CZ$15,2,FALSE)</f>
        <v>2</v>
      </c>
      <c r="B11" s="191" t="str">
        <f>'Dummy Table'!DT12</f>
        <v>Colombia</v>
      </c>
      <c r="C11" s="191">
        <f>SUMPRODUCT(($DB$3:$DB$42=$B11)*($DF$3:$DF$42="W"))+SUMPRODUCT(($DE$3:$DE$42=$B11)*($DG$3:$DG$42="W"))</f>
        <v>0</v>
      </c>
      <c r="D11" s="191">
        <f>SUMPRODUCT(($DB$3:$DB$42=$B11)*($DF$3:$DF$42="D"))+SUMPRODUCT(($DE$3:$DE$42=$B11)*($DG$3:$DG$42="D"))</f>
        <v>0</v>
      </c>
      <c r="E11" s="191">
        <f>SUMPRODUCT(($DB$3:$DB$42=$B11)*($DF$3:$DF$42="L"))+SUMPRODUCT(($DE$3:$DE$42=$B11)*($DG$3:$DG$42="L"))</f>
        <v>0</v>
      </c>
      <c r="F11" s="191">
        <f>SUMIF($DB$3:$DB$60,B11,$DC$3:$DC$60)+SUMIF($DE$3:$DE$60,B11,$DD$3:$DD$60)</f>
        <v>0</v>
      </c>
      <c r="G11" s="191">
        <f>SUMIF($DE$3:$DE$60,B11,$DC$3:$DC$60)+SUMIF($DB$3:$DB$60,B11,$DD$3:$DD$60)</f>
        <v>0</v>
      </c>
      <c r="H11" s="191">
        <f t="shared" ref="H11:H15" si="55">F11-G11+1000</f>
        <v>1000</v>
      </c>
      <c r="I11" s="191">
        <f t="shared" ref="I11:I15" si="56">C11*3+D11*1</f>
        <v>0</v>
      </c>
      <c r="J11" s="191">
        <v>7</v>
      </c>
      <c r="K11" s="191">
        <f>RANK(I11,I$11:I$15)</f>
        <v>1</v>
      </c>
      <c r="L11" s="191">
        <f>SUMPRODUCT((K$11:K$15=K11)*(H$11:H$15&gt;H11))</f>
        <v>0</v>
      </c>
      <c r="M11" s="191">
        <f>SUMPRODUCT((K$11:K$15=K11)*(H$11:H$15=H11)*(F$11:F$15&gt;F11))</f>
        <v>0</v>
      </c>
      <c r="N11" s="191">
        <f t="shared" ref="N11:N15" si="57">SUM(K11:M11)</f>
        <v>1</v>
      </c>
      <c r="O11" s="191">
        <f>SUMPRODUCT((N$11:N$15=N11)*(J$11:J$15&lt;J11))+N11</f>
        <v>4</v>
      </c>
      <c r="P11" s="191" t="str">
        <f>INDEX($B$11:$B$15,MATCH(1,$O$11:$O$15,0),0)</f>
        <v>Ecuador</v>
      </c>
      <c r="Q11" s="191">
        <f>INDEX($N$11:$N$15,MATCH(P11,$B$11:$B$15,0),0)</f>
        <v>1</v>
      </c>
      <c r="R11" s="191" t="str">
        <f>IF(Q12=1,P11,"")</f>
        <v>Ecuador</v>
      </c>
      <c r="S11" s="191" t="str">
        <f>IF(Q13=2,P12,"")</f>
        <v/>
      </c>
      <c r="T11" s="191" t="str">
        <f>IF(Q14=3,P13,"")</f>
        <v/>
      </c>
      <c r="U11" s="191" t="str">
        <f>IF(Q15=4,P14,"")</f>
        <v/>
      </c>
      <c r="W11" s="191" t="str">
        <f>IF(R11&lt;&gt;"",R11,"")</f>
        <v>Ecuador</v>
      </c>
      <c r="X11" s="191">
        <f>SUMPRODUCT(($DB$3:$DB$42=$W11)*($DE$3:$DE$42=$W12)*($DF$3:$DF$42="W"))+SUMPRODUCT(($DB$3:$DB$42=$W11)*($DE$3:$DE$42=$W13)*($DF$3:$DF$42="W"))+SUMPRODUCT(($DB$3:$DB$42=$W11)*($DE$3:$DE$42=$W14)*($DF$3:$DF$42="W"))+SUMPRODUCT(($DB$3:$DB$42=$W11)*($DE$3:$DE$42=$W15)*($DF$3:$DF$42="W"))+SUMPRODUCT(($DB$3:$DB$42=$W12)*($DE$3:$DE$42=$W11)*($DG$3:$DG$42="W"))+SUMPRODUCT(($DB$3:$DB$42=$W13)*($DE$3:$DE$42=$W11)*($DG$3:$DG$42="W"))+SUMPRODUCT(($DB$3:$DB$42=$W14)*($DE$3:$DE$42=$W11)*($DG$3:$DG$42="W"))+SUMPRODUCT(($DB$3:$DB$42=$W15)*($DE$3:$DE$42=$W11)*($DG$3:$DG$42="W"))</f>
        <v>0</v>
      </c>
      <c r="Y11" s="191">
        <f>SUMPRODUCT(($DB$3:$DB$42=$W11)*($DE$3:$DE$42=$W12)*($DF$3:$DF$42="D"))+SUMPRODUCT(($DB$3:$DB$42=$W11)*($DE$3:$DE$42=$W13)*($DF$3:$DF$42="D"))+SUMPRODUCT(($DB$3:$DB$42=$W11)*($DE$3:$DE$42=$W14)*($DF$3:$DF$42="D"))+SUMPRODUCT(($DB$3:$DB$42=$W11)*($DE$3:$DE$42=$W15)*($DF$3:$DF$42="D"))+SUMPRODUCT(($DB$3:$DB$42=$W12)*($DE$3:$DE$42=$W11)*($DF$3:$DF$42="D"))+SUMPRODUCT(($DB$3:$DB$42=$W13)*($DE$3:$DE$42=$W11)*($DF$3:$DF$42="D"))+SUMPRODUCT(($DB$3:$DB$42=$W14)*($DE$3:$DE$42=$W11)*($DF$3:$DF$42="D"))+SUMPRODUCT(($DB$3:$DB$42=$W15)*($DE$3:$DE$42=$W11)*($DF$3:$DF$42="D"))</f>
        <v>0</v>
      </c>
      <c r="Z11" s="191">
        <f>SUMPRODUCT(($DB$3:$DB$42=$W11)*($DE$3:$DE$42=$W12)*($DF$3:$DF$42="L"))+SUMPRODUCT(($DB$3:$DB$42=$W11)*($DE$3:$DE$42=$W13)*($DF$3:$DF$42="L"))+SUMPRODUCT(($DB$3:$DB$42=$W11)*($DE$3:$DE$42=$W14)*($DF$3:$DF$42="L"))+SUMPRODUCT(($DB$3:$DB$42=$W11)*($DE$3:$DE$42=$W15)*($DF$3:$DF$42="L"))+SUMPRODUCT(($DB$3:$DB$42=$W12)*($DE$3:$DE$42=$W11)*($DG$3:$DG$42="L"))+SUMPRODUCT(($DB$3:$DB$42=$W13)*($DE$3:$DE$42=$W11)*($DG$3:$DG$42="L"))+SUMPRODUCT(($DB$3:$DB$42=$W14)*($DE$3:$DE$42=$W11)*($DG$3:$DG$42="L"))+SUMPRODUCT(($DB$3:$DB$42=$W15)*($DE$3:$DE$42=$W11)*($DG$3:$DG$42="L"))</f>
        <v>0</v>
      </c>
      <c r="AA11" s="191">
        <f>SUMPRODUCT(($DB$3:$DB$42=$W11)*($DE$3:$DE$42=$W12)*$DC$3:$DC$42)+SUMPRODUCT(($DB$3:$DB$42=$W11)*($DE$3:$DE$42=$W13)*$DC$3:$DC$42)+SUMPRODUCT(($DB$3:$DB$42=$W11)*($DE$3:$DE$42=$W14)*$DC$3:$DC$42)+SUMPRODUCT(($DB$3:$DB$42=$W11)*($DE$3:$DE$42=$W15)*$DC$3:$DC$42)+SUMPRODUCT(($DB$3:$DB$42=$W12)*($DE$3:$DE$42=$W11)*$DD$3:$DD$42)+SUMPRODUCT(($DB$3:$DB$42=$W13)*($DE$3:$DE$42=$W11)*$DD$3:$DD$42)+SUMPRODUCT(($DB$3:$DB$42=$W14)*($DE$3:$DE$42=$W11)*$DD$3:$DD$42)+SUMPRODUCT(($DB$3:$DB$42=$W15)*($DE$3:$DE$42=$W11)*$DD$3:$DD$42)</f>
        <v>0</v>
      </c>
      <c r="AB11" s="191">
        <f>SUMPRODUCT(($DB$3:$DB$42=$W11)*($DE$3:$DE$42=$W12)*$DD$3:$DD$42)+SUMPRODUCT(($DB$3:$DB$42=$W11)*($DE$3:$DE$42=$W13)*$DD$3:$DD$42)+SUMPRODUCT(($DB$3:$DB$42=$W11)*($DE$3:$DE$42=$W14)*$DD$3:$DD$42)+SUMPRODUCT(($DB$3:$DB$42=$W11)*($DE$3:$DE$42=$W15)*$DD$3:$DD$42)+SUMPRODUCT(($DB$3:$DB$42=$W12)*($DE$3:$DE$42=$W11)*$DC$3:$DC$42)+SUMPRODUCT(($DB$3:$DB$42=$W13)*($DE$3:$DE$42=$W11)*$DC$3:$DC$42)+SUMPRODUCT(($DB$3:$DB$42=$W14)*($DE$3:$DE$42=$W11)*$DC$3:$DC$42)+SUMPRODUCT(($DB$3:$DB$42=$W15)*($DE$3:$DE$42=$W11)*$DC$3:$DC$42)</f>
        <v>0</v>
      </c>
      <c r="AC11" s="191">
        <f>AA11-AB11+1000</f>
        <v>1000</v>
      </c>
      <c r="AD11" s="191">
        <f t="shared" ref="AD11:AD15" si="58">IF(W11&lt;&gt;"",X11*3+Y11*1,"")</f>
        <v>0</v>
      </c>
      <c r="AE11" s="191">
        <f t="shared" ref="AE11:AE15" si="59">IF(W11&lt;&gt;"",VLOOKUP(W11,$B$4:$H$40,7,FALSE),"")</f>
        <v>1000</v>
      </c>
      <c r="AF11" s="191">
        <f t="shared" ref="AF11:AF15" si="60">IF(W11&lt;&gt;"",VLOOKUP(W11,$B$4:$H$40,5,FALSE),"")</f>
        <v>0</v>
      </c>
      <c r="AG11" s="191">
        <f t="shared" ref="AG11:AG15" si="61">IF(W11&lt;&gt;"",VLOOKUP(W11,$B$4:$J$40,9,FALSE),"")</f>
        <v>2</v>
      </c>
      <c r="AH11" s="191">
        <f t="shared" ref="AH11:AH15" si="62">AD11</f>
        <v>0</v>
      </c>
      <c r="AI11" s="191">
        <f>IF(W11&lt;&gt;"",RANK(AH11,AH$11:AH$15),"")</f>
        <v>1</v>
      </c>
      <c r="AJ11" s="191">
        <f>IF(W11&lt;&gt;"",SUMPRODUCT((AH$11:AH$15=AH11)*(AC$11:AC$15&gt;AC11)),"")</f>
        <v>0</v>
      </c>
      <c r="AK11" s="191">
        <f>IF(W11&lt;&gt;"",SUMPRODUCT((AH$11:AH$15=AH11)*(AC$11:AC$15=AC11)*(AA$11:AA$15&gt;AA11)),"")</f>
        <v>0</v>
      </c>
      <c r="AL11" s="191">
        <f>IF(W11&lt;&gt;"",SUMPRODUCT((AH$11:AH$15=AH11)*(AC$11:AC$15=AC11)*(AA$11:AA$15=AA11)*(AE$11:AE$15&gt;AE11)),"")</f>
        <v>0</v>
      </c>
      <c r="AM11" s="191">
        <f>IF(W11&lt;&gt;"",SUMPRODUCT((AH$11:AH$15=AH11)*(AC$11:AC$15=AC11)*(AA$11:AA$15=AA11)*(AE$11:AE$15=AE11)*(AF$11:AF$15&gt;AF11)),"")</f>
        <v>0</v>
      </c>
      <c r="AN11" s="191">
        <f>IF(W11&lt;&gt;"",SUMPRODUCT((AH$11:AH$15=AH11)*(AC$11:AC$15=AC11)*(AA$11:AA$15=AA11)*(AE$11:AE$15=AE11)*(AF$11:AF$15=AF11)*(AG$11:AG$15&gt;AG11)),"")</f>
        <v>4</v>
      </c>
      <c r="AO11" s="191">
        <f>IF(W11&lt;&gt;"",IF(AO51&lt;&gt;"",IF(V$50=3,AO51,AO51+V$50),SUM(AI11:AN11)),"")</f>
        <v>5</v>
      </c>
      <c r="AP11" s="191" t="str">
        <f>IF(W11&lt;&gt;"",INDEX($W$11:$W$15,MATCH(1,$AO$11:$AO$15,0),0),"")</f>
        <v>Brazil</v>
      </c>
      <c r="CY11" s="191" t="str">
        <f>IF(AP11&lt;&gt;"",AP11,P11)</f>
        <v>Brazil</v>
      </c>
      <c r="CZ11" s="191">
        <v>1</v>
      </c>
      <c r="DA11" s="191">
        <v>9</v>
      </c>
      <c r="DB11" s="191" t="str">
        <f>Matches!F15</f>
        <v>Venezuela</v>
      </c>
      <c r="DC11" s="191">
        <f>IF(AND(Matches!H15&lt;&gt;"",Matches!I15&lt;&gt;""),Matches!H15,0)</f>
        <v>0</v>
      </c>
      <c r="DD11" s="191">
        <f>IF(AND(Matches!I15&lt;&gt;"",Matches!H15&lt;&gt;""),Matches!I15,0)</f>
        <v>0</v>
      </c>
      <c r="DE11" s="191" t="str">
        <f>Matches!K15</f>
        <v>Ecuador</v>
      </c>
      <c r="DF11" s="191" t="str">
        <f>IF(AND(Matches!H15&lt;&gt;"",Matches!I15&lt;&gt;""),IF(DC11&gt;DD11,"W",IF(DC11=DD11,"D","L")),"")</f>
        <v/>
      </c>
      <c r="DG11" s="191" t="str">
        <f t="shared" si="0"/>
        <v/>
      </c>
      <c r="DR11" s="195"/>
      <c r="DS11" s="196"/>
      <c r="DT11" s="197" t="str">
        <f>Setup!C13</f>
        <v>Paraguay</v>
      </c>
      <c r="DU11" s="198" t="s">
        <v>430</v>
      </c>
      <c r="DV11" s="197"/>
      <c r="DX11" s="199">
        <v>44364.75</v>
      </c>
      <c r="DY11" s="200">
        <f t="shared" si="54"/>
        <v>44364.75</v>
      </c>
      <c r="EA11" s="191">
        <v>-10.5</v>
      </c>
    </row>
    <row r="12" spans="1:131" ht="14.5" customHeight="1" x14ac:dyDescent="0.35">
      <c r="A12" s="191">
        <f>VLOOKUP(B12,$CY$11:$CZ$15,2,FALSE)</f>
        <v>1</v>
      </c>
      <c r="B12" s="191" t="str">
        <f>'Dummy Table'!DT13</f>
        <v>Brazil</v>
      </c>
      <c r="C12" s="191">
        <f>SUMPRODUCT(($DB$3:$DB$42=$B12)*($DF$3:$DF$42="W"))+SUMPRODUCT(($DE$3:$DE$42=$B12)*($DG$3:$DG$42="W"))</f>
        <v>0</v>
      </c>
      <c r="D12" s="191">
        <f>SUMPRODUCT(($DB$3:$DB$42=$B12)*($DF$3:$DF$42="D"))+SUMPRODUCT(($DE$3:$DE$42=$B12)*($DG$3:$DG$42="D"))</f>
        <v>0</v>
      </c>
      <c r="E12" s="191">
        <f>SUMPRODUCT(($DB$3:$DB$42=$B12)*($DF$3:$DF$42="L"))+SUMPRODUCT(($DE$3:$DE$42=$B12)*($DG$3:$DG$42="L"))</f>
        <v>0</v>
      </c>
      <c r="F12" s="191">
        <f>SUMIF($DB$3:$DB$60,B12,$DC$3:$DC$60)+SUMIF($DE$3:$DE$60,B12,$DD$3:$DD$60)</f>
        <v>0</v>
      </c>
      <c r="G12" s="191">
        <f>SUMIF($DE$3:$DE$60,B12,$DC$3:$DC$60)+SUMIF($DB$3:$DB$60,B12,$DD$3:$DD$60)</f>
        <v>0</v>
      </c>
      <c r="H12" s="191">
        <f t="shared" si="55"/>
        <v>1000</v>
      </c>
      <c r="I12" s="191">
        <f t="shared" si="56"/>
        <v>0</v>
      </c>
      <c r="J12" s="191">
        <v>10</v>
      </c>
      <c r="K12" s="191">
        <f t="shared" ref="K12:K15" si="63">RANK(I12,I$11:I$15)</f>
        <v>1</v>
      </c>
      <c r="L12" s="191">
        <f t="shared" ref="L12:L15" si="64">SUMPRODUCT((K$11:K$15=K12)*(H$11:H$15&gt;H12))</f>
        <v>0</v>
      </c>
      <c r="M12" s="191">
        <f t="shared" ref="M12:M15" si="65">SUMPRODUCT((K$11:K$15=K12)*(H$11:H$15=H12)*(F$11:F$15&gt;F12))</f>
        <v>0</v>
      </c>
      <c r="N12" s="191">
        <f t="shared" si="57"/>
        <v>1</v>
      </c>
      <c r="O12" s="191">
        <f t="shared" ref="O12:O15" si="66">SUMPRODUCT((N$11:N$15=N12)*(J$11:J$15&lt;J12))+N12</f>
        <v>5</v>
      </c>
      <c r="P12" s="191" t="str">
        <f>INDEX($B$11:$B$15,MATCH(2,$O$11:$O$15,0),0)</f>
        <v>Venezuela</v>
      </c>
      <c r="Q12" s="191">
        <f t="shared" ref="Q12:Q15" si="67">INDEX($N$11:$N$15,MATCH(P12,$B$11:$B$15,0),0)</f>
        <v>1</v>
      </c>
      <c r="R12" s="191" t="str">
        <f>IF(R11&lt;&gt;"",P12,"")</f>
        <v>Venezuela</v>
      </c>
      <c r="S12" s="191" t="str">
        <f>IF(S11&lt;&gt;"",P13,"")</f>
        <v/>
      </c>
      <c r="T12" s="191" t="str">
        <f>IF(T11&lt;&gt;"",P14,"")</f>
        <v/>
      </c>
      <c r="U12" s="191" t="str">
        <f>IF(U11&lt;&gt;"",P15,"")</f>
        <v/>
      </c>
      <c r="W12" s="191" t="str">
        <f t="shared" ref="W12:W15" si="68">IF(R12&lt;&gt;"",R12,"")</f>
        <v>Venezuela</v>
      </c>
      <c r="X12" s="191">
        <f>SUMPRODUCT(($DB$3:$DB$42=$W12)*($DE$3:$DE$42=$W13)*($DF$3:$DF$42="W"))+SUMPRODUCT(($DB$3:$DB$42=$W12)*($DE$3:$DE$42=$W14)*($DF$3:$DF$42="W"))+SUMPRODUCT(($DB$3:$DB$42=$W12)*($DE$3:$DE$42=$W15)*($DF$3:$DF$42="W"))+SUMPRODUCT(($DB$3:$DB$42=$W12)*($DE$3:$DE$42=$W11)*($DF$3:$DF$42="W"))+SUMPRODUCT(($DB$3:$DB$42=$W13)*($DE$3:$DE$42=$W12)*($DG$3:$DG$42="W"))+SUMPRODUCT(($DB$3:$DB$42=$W14)*($DE$3:$DE$42=$W12)*($DG$3:$DG$42="W"))+SUMPRODUCT(($DB$3:$DB$42=$W15)*($DE$3:$DE$42=$W12)*($DG$3:$DG$42="W"))+SUMPRODUCT(($DB$3:$DB$42=$W11)*($DE$3:$DE$42=$W12)*($DG$3:$DG$42="W"))</f>
        <v>0</v>
      </c>
      <c r="Y12" s="191">
        <f>SUMPRODUCT(($DB$3:$DB$42=$W12)*($DE$3:$DE$42=$W13)*($DF$3:$DF$42="D"))+SUMPRODUCT(($DB$3:$DB$42=$W12)*($DE$3:$DE$42=$W14)*($DF$3:$DF$42="D"))+SUMPRODUCT(($DB$3:$DB$42=$W12)*($DE$3:$DE$42=$W15)*($DF$3:$DF$42="D"))+SUMPRODUCT(($DB$3:$DB$42=$W12)*($DE$3:$DE$42=$W11)*($DF$3:$DF$42="D"))+SUMPRODUCT(($DB$3:$DB$42=$W13)*($DE$3:$DE$42=$W12)*($DF$3:$DF$42="D"))+SUMPRODUCT(($DB$3:$DB$42=$W14)*($DE$3:$DE$42=$W12)*($DF$3:$DF$42="D"))+SUMPRODUCT(($DB$3:$DB$42=$W15)*($DE$3:$DE$42=$W12)*($DF$3:$DF$42="D"))+SUMPRODUCT(($DB$3:$DB$42=$W11)*($DE$3:$DE$42=$W12)*($DF$3:$DF$42="D"))</f>
        <v>0</v>
      </c>
      <c r="Z12" s="191">
        <f>SUMPRODUCT(($DB$3:$DB$42=$W12)*($DE$3:$DE$42=$W13)*($DF$3:$DF$42="L"))+SUMPRODUCT(($DB$3:$DB$42=$W12)*($DE$3:$DE$42=$W14)*($DF$3:$DF$42="L"))+SUMPRODUCT(($DB$3:$DB$42=$W12)*($DE$3:$DE$42=$W15)*($DF$3:$DF$42="L"))+SUMPRODUCT(($DB$3:$DB$42=$W12)*($DE$3:$DE$42=$W11)*($DF$3:$DF$42="L"))+SUMPRODUCT(($DB$3:$DB$42=$W13)*($DE$3:$DE$42=$W12)*($DG$3:$DG$42="L"))+SUMPRODUCT(($DB$3:$DB$42=$W14)*($DE$3:$DE$42=$W12)*($DG$3:$DG$42="L"))+SUMPRODUCT(($DB$3:$DB$42=$W15)*($DE$3:$DE$42=$W12)*($DG$3:$DG$42="L"))+SUMPRODUCT(($DB$3:$DB$42=$W11)*($DE$3:$DE$42=$W12)*($DG$3:$DG$42="L"))</f>
        <v>0</v>
      </c>
      <c r="AA12" s="191">
        <f>SUMPRODUCT(($DB$3:$DB$42=$W12)*($DE$3:$DE$42=$W13)*$DC$3:$DC$42)+SUMPRODUCT(($DB$3:$DB$42=$W12)*($DE$3:$DE$42=$W14)*$DC$3:$DC$42)+SUMPRODUCT(($DB$3:$DB$42=$W12)*($DE$3:$DE$42=$W15)*$DC$3:$DC$42)+SUMPRODUCT(($DB$3:$DB$42=$W12)*($DE$3:$DE$42=$W11)*$DC$3:$DC$42)+SUMPRODUCT(($DB$3:$DB$42=$W13)*($DE$3:$DE$42=$W12)*$DD$3:$DD$42)+SUMPRODUCT(($DB$3:$DB$42=$W14)*($DE$3:$DE$42=$W12)*$DD$3:$DD$42)+SUMPRODUCT(($DB$3:$DB$42=$W15)*($DE$3:$DE$42=$W12)*$DD$3:$DD$42)+SUMPRODUCT(($DB$3:$DB$42=$W11)*($DE$3:$DE$42=$W12)*$DD$3:$DD$42)</f>
        <v>0</v>
      </c>
      <c r="AB12" s="191">
        <f>SUMPRODUCT(($DB$3:$DB$42=$W12)*($DE$3:$DE$42=$W13)*$DD$3:$DD$42)+SUMPRODUCT(($DB$3:$DB$42=$W12)*($DE$3:$DE$42=$W14)*$DD$3:$DD$42)+SUMPRODUCT(($DB$3:$DB$42=$W12)*($DE$3:$DE$42=$W15)*$DD$3:$DD$42)+SUMPRODUCT(($DB$3:$DB$42=$W12)*($DE$3:$DE$42=$W11)*$DD$3:$DD$42)+SUMPRODUCT(($DB$3:$DB$42=$W13)*($DE$3:$DE$42=$W12)*$DC$3:$DC$42)+SUMPRODUCT(($DB$3:$DB$42=$W14)*($DE$3:$DE$42=$W12)*$DC$3:$DC$42)+SUMPRODUCT(($DB$3:$DB$42=$W15)*($DE$3:$DE$42=$W12)*$DC$3:$DC$42)+SUMPRODUCT(($DB$3:$DB$42=$W11)*($DE$3:$DE$42=$W12)*$DC$3:$DC$42)</f>
        <v>0</v>
      </c>
      <c r="AC12" s="191">
        <f>AA12-AB12+1000</f>
        <v>1000</v>
      </c>
      <c r="AD12" s="191">
        <f t="shared" si="58"/>
        <v>0</v>
      </c>
      <c r="AE12" s="191">
        <f t="shared" si="59"/>
        <v>1000</v>
      </c>
      <c r="AF12" s="191">
        <f t="shared" si="60"/>
        <v>0</v>
      </c>
      <c r="AG12" s="191">
        <f t="shared" si="61"/>
        <v>4</v>
      </c>
      <c r="AH12" s="191">
        <f t="shared" si="62"/>
        <v>0</v>
      </c>
      <c r="AI12" s="191">
        <f>IF(W12&lt;&gt;"",RANK(AH12,AH$11:AH$15),"")</f>
        <v>1</v>
      </c>
      <c r="AJ12" s="191">
        <f t="shared" ref="AJ12:AJ15" si="69">IF(W12&lt;&gt;"",SUMPRODUCT((AH$11:AH$15=AH12)*(AC$11:AC$15&gt;AC12)),"")</f>
        <v>0</v>
      </c>
      <c r="AK12" s="191">
        <f t="shared" ref="AK12:AK15" si="70">IF(W12&lt;&gt;"",SUMPRODUCT((AH$11:AH$15=AH12)*(AC$11:AC$15=AC12)*(AA$11:AA$15&gt;AA12)),"")</f>
        <v>0</v>
      </c>
      <c r="AL12" s="191">
        <f t="shared" ref="AL12:AL15" si="71">IF(W12&lt;&gt;"",SUMPRODUCT((AH$11:AH$15=AH12)*(AC$11:AC$15=AC12)*(AA$11:AA$15=AA12)*(AE$11:AE$15&gt;AE12)),"")</f>
        <v>0</v>
      </c>
      <c r="AM12" s="191">
        <f t="shared" ref="AM12:AM15" si="72">IF(W12&lt;&gt;"",SUMPRODUCT((AH$11:AH$15=AH12)*(AC$11:AC$15=AC12)*(AA$11:AA$15=AA12)*(AE$11:AE$15=AE12)*(AF$11:AF$15&gt;AF12)),"")</f>
        <v>0</v>
      </c>
      <c r="AN12" s="191">
        <f t="shared" ref="AN12:AN15" si="73">IF(W12&lt;&gt;"",SUMPRODUCT((AH$11:AH$15=AH12)*(AC$11:AC$15=AC12)*(AA$11:AA$15=AA12)*(AE$11:AE$15=AE12)*(AF$11:AF$15=AF12)*(AG$11:AG$15&gt;AG12)),"")</f>
        <v>3</v>
      </c>
      <c r="AO12" s="191">
        <f t="shared" ref="AO12:AO15" si="74">IF(W12&lt;&gt;"",IF(AO52&lt;&gt;"",IF(V$50=3,AO52,AO52+V$50),SUM(AI12:AN12)),"")</f>
        <v>4</v>
      </c>
      <c r="AP12" s="191" t="str">
        <f>IF(W12&lt;&gt;"",INDEX($W$11:$W$15,MATCH(2,$AO$11:$AO$15,0),0),"")</f>
        <v>Colombia</v>
      </c>
      <c r="AQ12" s="191" t="str">
        <f>IF(S11&lt;&gt;"",S11,"")</f>
        <v/>
      </c>
      <c r="AR12" s="191">
        <f>SUMPRODUCT(($DB$3:$DB$42=$AQ12)*($DE$3:$DE$42=$AQ13)*($DF$3:$DF$42="W"))+SUMPRODUCT(($DB$3:$DB$42=$AQ12)*($DE$3:$DE$42=$AQ14)*($DF$3:$DF$42="W"))+SUMPRODUCT(($DB$3:$DB$42=$AQ12)*($DE$3:$DE$42=$AQ15)*($DF$3:$DF$42="W"))+SUMPRODUCT(($DB$3:$DB$42=$AQ13)*($DE$3:$DE$42=$AQ12)*($DG$3:$DG$42="W"))+SUMPRODUCT(($DB$3:$DB$42=$AQ14)*($DE$3:$DE$42=$AQ12)*($DG$3:$DG$42="W"))+SUMPRODUCT(($DB$3:$DB$42=$AQ15)*($DE$3:$DE$42=$AQ12)*($DG$3:$DG$42="W"))</f>
        <v>0</v>
      </c>
      <c r="AS12" s="191">
        <f>SUMPRODUCT(($DB$3:$DB$42=$AQ12)*($DE$3:$DE$42=$AQ13)*($DF$3:$DF$42="D"))+SUMPRODUCT(($DB$3:$DB$42=$AQ12)*($DE$3:$DE$42=$AQ14)*($DF$3:$DF$42="D"))+SUMPRODUCT(($DB$3:$DB$42=$AQ12)*($DE$3:$DE$42=$AQ15)*($DF$3:$DF$42="D"))+SUMPRODUCT(($DB$3:$DB$42=$AQ13)*($DE$3:$DE$42=$AQ12)*($DF$3:$DF$42="D"))+SUMPRODUCT(($DB$3:$DB$42=$AQ14)*($DE$3:$DE$42=$AQ12)*($DF$3:$DF$42="D"))+SUMPRODUCT(($DB$3:$DB$42=$AQ15)*($DE$3:$DE$42=$AQ12)*($DF$3:$DF$42="D"))</f>
        <v>0</v>
      </c>
      <c r="AT12" s="191">
        <f>SUMPRODUCT(($DB$3:$DB$42=$AQ12)*($DE$3:$DE$42=$AQ13)*($DF$3:$DF$42="L"))+SUMPRODUCT(($DB$3:$DB$42=$AQ12)*($DE$3:$DE$42=$AQ14)*($DF$3:$DF$42="L"))+SUMPRODUCT(($DB$3:$DB$42=$AQ12)*($DE$3:$DE$42=$AQ15)*($DF$3:$DF$42="L"))+SUMPRODUCT(($DB$3:$DB$42=$AQ13)*($DE$3:$DE$42=$AQ12)*($DG$3:$DG$42="L"))+SUMPRODUCT(($DB$3:$DB$42=$AQ14)*($DE$3:$DE$42=$AQ12)*($DG$3:$DG$42="L"))+SUMPRODUCT(($DB$3:$DB$42=$AQ15)*($DE$3:$DE$42=$AQ12)*($DG$3:$DG$42="L"))</f>
        <v>0</v>
      </c>
      <c r="AU12" s="191">
        <f>SUMPRODUCT(($DB$3:$DB$42=$AQ12)*($DE$3:$DE$42=$AQ13)*$DC$3:$DC$42)+SUMPRODUCT(($DB$3:$DB$42=$AQ12)*($DE$3:$DE$42=$AQ14)*$DC$3:$DC$42)+SUMPRODUCT(($DB$3:$DB$42=$AQ12)*($DE$3:$DE$42=$AQ15)*$DC$3:$DC$42)+SUMPRODUCT(($DB$3:$DB$42=$AQ12)*($DE$3:$DE$42=$AQ11)*$DC$3:$DC$42)+SUMPRODUCT(($DB$3:$DB$42=$AQ13)*($DE$3:$DE$42=$AQ12)*$DD$3:$DD$42)+SUMPRODUCT(($DB$3:$DB$42=$AQ14)*($DE$3:$DE$42=$AQ12)*$DD$3:$DD$42)+SUMPRODUCT(($DB$3:$DB$42=$AQ15)*($DE$3:$DE$42=$AQ12)*$DD$3:$DD$42)+SUMPRODUCT(($DB$3:$DB$42=$AQ11)*($DE$3:$DE$42=$AQ12)*$DD$3:$DD$42)</f>
        <v>0</v>
      </c>
      <c r="AV12" s="191">
        <f>SUMPRODUCT(($DB$3:$DB$42=$AQ12)*($DE$3:$DE$42=$AQ13)*$DD$3:$DD$42)+SUMPRODUCT(($DB$3:$DB$42=$AQ12)*($DE$3:$DE$42=$AQ14)*$DD$3:$DD$42)+SUMPRODUCT(($DB$3:$DB$42=$AQ12)*($DE$3:$DE$42=$AQ15)*$DD$3:$DD$42)+SUMPRODUCT(($DB$3:$DB$42=$AQ12)*($DE$3:$DE$42=$AQ11)*$DD$3:$DD$42)+SUMPRODUCT(($DB$3:$DB$42=$AQ13)*($DE$3:$DE$42=$AQ12)*$DC$3:$DC$42)+SUMPRODUCT(($DB$3:$DB$42=$AQ14)*($DE$3:$DE$42=$AQ12)*$DC$3:$DC$42)+SUMPRODUCT(($DB$3:$DB$42=$AQ15)*($DE$3:$DE$42=$AQ12)*$DC$3:$DC$42)+SUMPRODUCT(($DB$3:$DB$42=$AQ11)*($DE$3:$DE$42=$AQ12)*$DC$3:$DC$42)</f>
        <v>0</v>
      </c>
      <c r="AW12" s="191">
        <f>AU12-AV12+1000</f>
        <v>1000</v>
      </c>
      <c r="AX12" s="191" t="str">
        <f t="shared" ref="AX12:AX15" si="75">IF(AQ12&lt;&gt;"",AR12*3+AS12*1,"")</f>
        <v/>
      </c>
      <c r="AY12" s="191" t="str">
        <f t="shared" ref="AY12:AY15" si="76">IF(AQ12&lt;&gt;"",VLOOKUP(AQ12,$B$4:$H$40,7,FALSE),"")</f>
        <v/>
      </c>
      <c r="AZ12" s="191" t="str">
        <f t="shared" ref="AZ12:AZ15" si="77">IF(AQ12&lt;&gt;"",VLOOKUP(AQ12,$B$4:$H$40,5,FALSE),"")</f>
        <v/>
      </c>
      <c r="BA12" s="191" t="str">
        <f t="shared" ref="BA12:BA15" si="78">IF(AQ12&lt;&gt;"",VLOOKUP(AQ12,$B$4:$J$40,9,FALSE),"")</f>
        <v/>
      </c>
      <c r="BB12" s="191" t="str">
        <f t="shared" ref="BB12:BB15" si="79">AX12</f>
        <v/>
      </c>
      <c r="BC12" s="191" t="str">
        <f>IF(AQ12&lt;&gt;"",RANK(BB12,BB$11:BB$15),"")</f>
        <v/>
      </c>
      <c r="BD12" s="191" t="str">
        <f t="shared" ref="BD12:BD15" si="80">IF(AQ12&lt;&gt;"",SUMPRODUCT((BB$11:BB$15=BB12)*(AW$11:AW$15&gt;AW12)),"")</f>
        <v/>
      </c>
      <c r="BE12" s="191" t="str">
        <f t="shared" ref="BE12:BE15" si="81">IF(AQ12&lt;&gt;"",SUMPRODUCT((BB$11:BB$15=BB12)*(AW$11:AW$15=AW12)*(AU$11:AU$15&gt;AU12)),"")</f>
        <v/>
      </c>
      <c r="BF12" s="191" t="str">
        <f t="shared" ref="BF12:BF15" si="82">IF(AQ12&lt;&gt;"",SUMPRODUCT((BB$11:BB$15=BB12)*(AW$11:AW$15=AW12)*(AU$11:AU$15=AU12)*(AY$11:AY$15&gt;AY12)),"")</f>
        <v/>
      </c>
      <c r="BG12" s="191" t="str">
        <f t="shared" ref="BG12:BG15" si="83">IF(AQ12&lt;&gt;"",SUMPRODUCT((BB$11:BB$15=BB12)*(AW$11:AW$15=AW12)*(AU$11:AU$15=AU12)*(AY$11:AY$15=AY12)*(AZ$11:AZ$15&gt;AZ12)),"")</f>
        <v/>
      </c>
      <c r="BH12" s="191" t="str">
        <f t="shared" ref="BH12:BH15" si="84">IF(AQ12&lt;&gt;"",SUMPRODUCT((BB$11:BB$15=BB12)*(AW$11:AW$15=AW12)*(AU$11:AU$15=AU12)*(AY$11:AY$15=AY12)*(AZ$11:AZ$15=AZ12)*(BA$11:BA$15&gt;BA12)),"")</f>
        <v/>
      </c>
      <c r="BI12" s="191" t="str">
        <f>IF(AQ12&lt;&gt;"",IF(BI52&lt;&gt;"",IF(AP$50=3,BI52,BI52+AP$50),SUM(BC12:BH12)+1),"")</f>
        <v/>
      </c>
      <c r="BJ12" s="191" t="str">
        <f>IF(AQ12&lt;&gt;"",INDEX(AQ12:AQ15,MATCH(2,BI12:BI15,0),0),"")</f>
        <v/>
      </c>
      <c r="CY12" s="191" t="str">
        <f>IF(BJ12&lt;&gt;"",BJ12,IF(AP12&lt;&gt;"",AP12,P12))</f>
        <v>Colombia</v>
      </c>
      <c r="CZ12" s="191">
        <v>2</v>
      </c>
      <c r="DA12" s="191">
        <v>10</v>
      </c>
      <c r="DB12" s="191" t="str">
        <f>Matches!F16</f>
        <v>Colombia</v>
      </c>
      <c r="DC12" s="191">
        <f>IF(AND(Matches!H16&lt;&gt;"",Matches!I16&lt;&gt;""),Matches!H16,0)</f>
        <v>0</v>
      </c>
      <c r="DD12" s="191">
        <f>IF(AND(Matches!I16&lt;&gt;"",Matches!H16&lt;&gt;""),Matches!I16,0)</f>
        <v>0</v>
      </c>
      <c r="DE12" s="191" t="str">
        <f>Matches!K16</f>
        <v>Peru</v>
      </c>
      <c r="DF12" s="191" t="str">
        <f>IF(AND(Matches!H16&lt;&gt;"",Matches!I16&lt;&gt;""),IF(DC12&gt;DD12,"W",IF(DC12=DD12,"D","L")),"")</f>
        <v/>
      </c>
      <c r="DG12" s="191" t="str">
        <f t="shared" si="0"/>
        <v/>
      </c>
      <c r="DJ12" s="201"/>
      <c r="DR12" s="195" t="s">
        <v>83</v>
      </c>
      <c r="DS12" s="196"/>
      <c r="DT12" s="197" t="str">
        <f>Setup!C14</f>
        <v>Colombia</v>
      </c>
      <c r="DU12" s="198" t="s">
        <v>431</v>
      </c>
      <c r="DV12" s="197" t="str">
        <f>"'Dummy Table'!"&amp;VLOOKUP(Matches!Q14,$DT$7:$DU$38,2,FALSE)</f>
        <v>'Dummy Table'!DS13</v>
      </c>
      <c r="DX12" s="199">
        <v>44364.875</v>
      </c>
      <c r="DY12" s="200">
        <f t="shared" si="54"/>
        <v>44364.875</v>
      </c>
      <c r="EA12" s="191">
        <v>-10</v>
      </c>
    </row>
    <row r="13" spans="1:131" x14ac:dyDescent="0.35">
      <c r="A13" s="191">
        <f>VLOOKUP(B13,$CY$11:$CZ$15,2,FALSE)</f>
        <v>4</v>
      </c>
      <c r="B13" s="191" t="str">
        <f>'Dummy Table'!DT14</f>
        <v>Venezuela</v>
      </c>
      <c r="C13" s="191">
        <f>SUMPRODUCT(($DB$3:$DB$42=$B13)*($DF$3:$DF$42="W"))+SUMPRODUCT(($DE$3:$DE$42=$B13)*($DG$3:$DG$42="W"))</f>
        <v>0</v>
      </c>
      <c r="D13" s="191">
        <f>SUMPRODUCT(($DB$3:$DB$42=$B13)*($DF$3:$DF$42="D"))+SUMPRODUCT(($DE$3:$DE$42=$B13)*($DG$3:$DG$42="D"))</f>
        <v>0</v>
      </c>
      <c r="E13" s="191">
        <f>SUMPRODUCT(($DB$3:$DB$42=$B13)*($DF$3:$DF$42="L"))+SUMPRODUCT(($DE$3:$DE$42=$B13)*($DG$3:$DG$42="L"))</f>
        <v>0</v>
      </c>
      <c r="F13" s="191">
        <f>SUMIF($DB$3:$DB$60,B13,$DC$3:$DC$60)+SUMIF($DE$3:$DE$60,B13,$DD$3:$DD$60)</f>
        <v>0</v>
      </c>
      <c r="G13" s="191">
        <f>SUMIF($DE$3:$DE$60,B13,$DC$3:$DC$60)+SUMIF($DB$3:$DB$60,B13,$DD$3:$DD$60)</f>
        <v>0</v>
      </c>
      <c r="H13" s="191">
        <f t="shared" si="55"/>
        <v>1000</v>
      </c>
      <c r="I13" s="191">
        <f t="shared" si="56"/>
        <v>0</v>
      </c>
      <c r="J13" s="191">
        <v>4</v>
      </c>
      <c r="K13" s="191">
        <f t="shared" si="63"/>
        <v>1</v>
      </c>
      <c r="L13" s="191">
        <f t="shared" si="64"/>
        <v>0</v>
      </c>
      <c r="M13" s="191">
        <f t="shared" si="65"/>
        <v>0</v>
      </c>
      <c r="N13" s="191">
        <f t="shared" si="57"/>
        <v>1</v>
      </c>
      <c r="O13" s="191">
        <f t="shared" si="66"/>
        <v>2</v>
      </c>
      <c r="P13" s="191" t="str">
        <f>INDEX($B$11:$B$15,MATCH(3,$O$11:$O$15,0),0)</f>
        <v>Peru</v>
      </c>
      <c r="Q13" s="191">
        <f t="shared" si="67"/>
        <v>1</v>
      </c>
      <c r="R13" s="191" t="str">
        <f>IF(AND(R12&lt;&gt;"",Q13=1),P13,"")</f>
        <v>Peru</v>
      </c>
      <c r="S13" s="191" t="str">
        <f>IF(AND(S12&lt;&gt;"",Q14=2),P14,"")</f>
        <v/>
      </c>
      <c r="T13" s="191" t="str">
        <f>IF(AND(T12&lt;&gt;"",Q15=3),P15,"")</f>
        <v/>
      </c>
      <c r="W13" s="191" t="str">
        <f t="shared" si="68"/>
        <v>Peru</v>
      </c>
      <c r="X13" s="191">
        <f>SUMPRODUCT(($DB$3:$DB$42=$W13)*($DE$3:$DE$42=$W14)*($DF$3:$DF$42="W"))+SUMPRODUCT(($DB$3:$DB$42=$W13)*($DE$3:$DE$42=$W15)*($DF$3:$DF$42="W"))+SUMPRODUCT(($DB$3:$DB$42=$W13)*($DE$3:$DE$42=$W11)*($DF$3:$DF$42="W"))+SUMPRODUCT(($DB$3:$DB$42=$W13)*($DE$3:$DE$42=$W12)*($DF$3:$DF$42="W"))+SUMPRODUCT(($DB$3:$DB$42=$W14)*($DE$3:$DE$42=$W13)*($DG$3:$DG$42="W"))+SUMPRODUCT(($DB$3:$DB$42=$W15)*($DE$3:$DE$42=$W13)*($DG$3:$DG$42="W"))+SUMPRODUCT(($DB$3:$DB$42=$W11)*($DE$3:$DE$42=$W13)*($DG$3:$DG$42="W"))+SUMPRODUCT(($DB$3:$DB$42=$W12)*($DE$3:$DE$42=$W13)*($DG$3:$DG$42="W"))</f>
        <v>0</v>
      </c>
      <c r="Y13" s="191">
        <f>SUMPRODUCT(($DB$3:$DB$42=$W13)*($DE$3:$DE$42=$W14)*($DF$3:$DF$42="D"))+SUMPRODUCT(($DB$3:$DB$42=$W13)*($DE$3:$DE$42=$W15)*($DF$3:$DF$42="D"))+SUMPRODUCT(($DB$3:$DB$42=$W13)*($DE$3:$DE$42=$W11)*($DF$3:$DF$42="D"))+SUMPRODUCT(($DB$3:$DB$42=$W13)*($DE$3:$DE$42=$W12)*($DF$3:$DF$42="D"))+SUMPRODUCT(($DB$3:$DB$42=$W14)*($DE$3:$DE$42=$W13)*($DF$3:$DF$42="D"))+SUMPRODUCT(($DB$3:$DB$42=$W15)*($DE$3:$DE$42=$W13)*($DF$3:$DF$42="D"))+SUMPRODUCT(($DB$3:$DB$42=$W11)*($DE$3:$DE$42=$W13)*($DF$3:$DF$42="D"))+SUMPRODUCT(($DB$3:$DB$42=$W12)*($DE$3:$DE$42=$W13)*($DF$3:$DF$42="D"))</f>
        <v>0</v>
      </c>
      <c r="Z13" s="191">
        <f>SUMPRODUCT(($DB$3:$DB$42=$W13)*($DE$3:$DE$42=$W14)*($DF$3:$DF$42="L"))+SUMPRODUCT(($DB$3:$DB$42=$W13)*($DE$3:$DE$42=$W15)*($DF$3:$DF$42="L"))+SUMPRODUCT(($DB$3:$DB$42=$W13)*($DE$3:$DE$42=$W11)*($DF$3:$DF$42="L"))+SUMPRODUCT(($DB$3:$DB$42=$W13)*($DE$3:$DE$42=$W12)*($DF$3:$DF$42="L"))+SUMPRODUCT(($DB$3:$DB$42=$W14)*($DE$3:$DE$42=$W13)*($DG$3:$DG$42="L"))+SUMPRODUCT(($DB$3:$DB$42=$W15)*($DE$3:$DE$42=$W13)*($DG$3:$DG$42="L"))+SUMPRODUCT(($DB$3:$DB$42=$W11)*($DE$3:$DE$42=$W13)*($DG$3:$DG$42="L"))+SUMPRODUCT(($DB$3:$DB$42=$W12)*($DE$3:$DE$42=$W13)*($DG$3:$DG$42="L"))</f>
        <v>0</v>
      </c>
      <c r="AA13" s="191">
        <f>SUMPRODUCT(($DB$3:$DB$42=$W13)*($DE$3:$DE$42=$W14)*$DC$3:$DC$42)+SUMPRODUCT(($DB$3:$DB$42=$W13)*($DE$3:$DE$42=$W15)*$DC$3:$DC$42)+SUMPRODUCT(($DB$3:$DB$42=$W13)*($DE$3:$DE$42=$W11)*$DC$3:$DC$42)+SUMPRODUCT(($DB$3:$DB$42=$W13)*($DE$3:$DE$42=$W12)*$DC$3:$DC$42)+SUMPRODUCT(($DB$3:$DB$42=$W14)*($DE$3:$DE$42=$W13)*$DD$3:$DD$42)+SUMPRODUCT(($DB$3:$DB$42=$W15)*($DE$3:$DE$42=$W13)*$DD$3:$DD$42)+SUMPRODUCT(($DB$3:$DB$42=$W11)*($DE$3:$DE$42=$W13)*$DD$3:$DD$42)+SUMPRODUCT(($DB$3:$DB$42=$W12)*($DE$3:$DE$42=$W13)*$DD$3:$DD$42)</f>
        <v>0</v>
      </c>
      <c r="AB13" s="191">
        <f>SUMPRODUCT(($DB$3:$DB$42=$W13)*($DE$3:$DE$42=$W14)*$DD$3:$DD$42)+SUMPRODUCT(($DB$3:$DB$42=$W13)*($DE$3:$DE$42=$W15)*$DD$3:$DD$42)+SUMPRODUCT(($DB$3:$DB$42=$W13)*($DE$3:$DE$42=$W11)*$DD$3:$DD$42)+SUMPRODUCT(($DB$3:$DB$42=$W13)*($DE$3:$DE$42=$W12)*$DD$3:$DD$42)+SUMPRODUCT(($DB$3:$DB$42=$W14)*($DE$3:$DE$42=$W13)*$DC$3:$DC$42)+SUMPRODUCT(($DB$3:$DB$42=$W15)*($DE$3:$DE$42=$W13)*$DC$3:$DC$42)+SUMPRODUCT(($DB$3:$DB$42=$W11)*($DE$3:$DE$42=$W13)*$DC$3:$DC$42)+SUMPRODUCT(($DB$3:$DB$42=$W12)*($DE$3:$DE$42=$W13)*$DC$3:$DC$42)</f>
        <v>0</v>
      </c>
      <c r="AC13" s="191">
        <f>AA13-AB13+1000</f>
        <v>1000</v>
      </c>
      <c r="AD13" s="191">
        <f t="shared" si="58"/>
        <v>0</v>
      </c>
      <c r="AE13" s="191">
        <f t="shared" si="59"/>
        <v>1000</v>
      </c>
      <c r="AF13" s="191">
        <f t="shared" si="60"/>
        <v>0</v>
      </c>
      <c r="AG13" s="191">
        <f t="shared" si="61"/>
        <v>5</v>
      </c>
      <c r="AH13" s="191">
        <f t="shared" si="62"/>
        <v>0</v>
      </c>
      <c r="AI13" s="191">
        <f>IF(W13&lt;&gt;"",RANK(AH13,AH$11:AH$15),"")</f>
        <v>1</v>
      </c>
      <c r="AJ13" s="191">
        <f t="shared" si="69"/>
        <v>0</v>
      </c>
      <c r="AK13" s="191">
        <f t="shared" si="70"/>
        <v>0</v>
      </c>
      <c r="AL13" s="191">
        <f t="shared" si="71"/>
        <v>0</v>
      </c>
      <c r="AM13" s="191">
        <f t="shared" si="72"/>
        <v>0</v>
      </c>
      <c r="AN13" s="191">
        <f t="shared" si="73"/>
        <v>2</v>
      </c>
      <c r="AO13" s="191">
        <f t="shared" si="74"/>
        <v>3</v>
      </c>
      <c r="AP13" s="191" t="str">
        <f>IF(W13&lt;&gt;"",INDEX($W$11:$W$15,MATCH(3,$AO$11:$AO$15,0),0),"")</f>
        <v>Peru</v>
      </c>
      <c r="AQ13" s="191" t="str">
        <f>IF(S12&lt;&gt;"",S12,"")</f>
        <v/>
      </c>
      <c r="AR13" s="191">
        <f>SUMPRODUCT(($DB$3:$DB$42=$AQ13)*($DE$3:$DE$42=$AQ14)*($DF$3:$DF$42="W"))+SUMPRODUCT(($DB$3:$DB$42=$AQ13)*($DE$3:$DE$42=$AQ15)*($DF$3:$DF$42="W"))+SUMPRODUCT(($DB$3:$DB$42=$AQ13)*($DE$3:$DE$42=$AQ12)*($DF$3:$DF$42="W"))+SUMPRODUCT(($DB$3:$DB$42=$AQ14)*($DE$3:$DE$42=$AQ13)*($DG$3:$DG$42="W"))+SUMPRODUCT(($DB$3:$DB$42=$AQ15)*($DE$3:$DE$42=$AQ13)*($DG$3:$DG$42="W"))+SUMPRODUCT(($DB$3:$DB$42=$AQ12)*($DE$3:$DE$42=$AQ13)*($DG$3:$DG$42="W"))</f>
        <v>0</v>
      </c>
      <c r="AS13" s="191">
        <f>SUMPRODUCT(($DB$3:$DB$42=$AQ13)*($DE$3:$DE$42=$AQ14)*($DF$3:$DF$42="D"))+SUMPRODUCT(($DB$3:$DB$42=$AQ13)*($DE$3:$DE$42=$AQ15)*($DF$3:$DF$42="D"))+SUMPRODUCT(($DB$3:$DB$42=$AQ13)*($DE$3:$DE$42=$AQ12)*($DF$3:$DF$42="D"))+SUMPRODUCT(($DB$3:$DB$42=$AQ14)*($DE$3:$DE$42=$AQ13)*($DF$3:$DF$42="D"))+SUMPRODUCT(($DB$3:$DB$42=$AQ15)*($DE$3:$DE$42=$AQ13)*($DF$3:$DF$42="D"))+SUMPRODUCT(($DB$3:$DB$42=$AQ12)*($DE$3:$DE$42=$AQ13)*($DF$3:$DF$42="D"))</f>
        <v>0</v>
      </c>
      <c r="AT13" s="191">
        <f>SUMPRODUCT(($DB$3:$DB$42=$AQ13)*($DE$3:$DE$42=$AQ14)*($DF$3:$DF$42="L"))+SUMPRODUCT(($DB$3:$DB$42=$AQ13)*($DE$3:$DE$42=$AQ15)*($DF$3:$DF$42="L"))+SUMPRODUCT(($DB$3:$DB$42=$AQ13)*($DE$3:$DE$42=$AQ12)*($DF$3:$DF$42="L"))+SUMPRODUCT(($DB$3:$DB$42=$AQ14)*($DE$3:$DE$42=$AQ13)*($DG$3:$DG$42="L"))+SUMPRODUCT(($DB$3:$DB$42=$AQ15)*($DE$3:$DE$42=$AQ13)*($DG$3:$DG$42="L"))+SUMPRODUCT(($DB$3:$DB$42=$AQ12)*($DE$3:$DE$42=$AQ13)*($DG$3:$DG$42="L"))</f>
        <v>0</v>
      </c>
      <c r="AU13" s="191">
        <f>SUMPRODUCT(($DB$3:$DB$42=$AQ13)*($DE$3:$DE$42=$AQ14)*$DC$3:$DC$42)+SUMPRODUCT(($DB$3:$DB$42=$AQ13)*($DE$3:$DE$42=$AQ15)*$DC$3:$DC$42)+SUMPRODUCT(($DB$3:$DB$42=$AQ13)*($DE$3:$DE$42=$AQ11)*$DC$3:$DC$42)+SUMPRODUCT(($DB$3:$DB$42=$AQ13)*($DE$3:$DE$42=$AQ12)*$DC$3:$DC$42)+SUMPRODUCT(($DB$3:$DB$42=$AQ14)*($DE$3:$DE$42=$AQ13)*$DD$3:$DD$42)+SUMPRODUCT(($DB$3:$DB$42=$AQ15)*($DE$3:$DE$42=$AQ13)*$DD$3:$DD$42)+SUMPRODUCT(($DB$3:$DB$42=$AQ11)*($DE$3:$DE$42=$AQ13)*$DD$3:$DD$42)+SUMPRODUCT(($DB$3:$DB$42=$AQ12)*($DE$3:$DE$42=$AQ13)*$DD$3:$DD$42)</f>
        <v>0</v>
      </c>
      <c r="AV13" s="191">
        <f>SUMPRODUCT(($DB$3:$DB$42=$AQ13)*($DE$3:$DE$42=$AQ14)*$DD$3:$DD$42)+SUMPRODUCT(($DB$3:$DB$42=$AQ13)*($DE$3:$DE$42=$AQ15)*$DD$3:$DD$42)+SUMPRODUCT(($DB$3:$DB$42=$AQ13)*($DE$3:$DE$42=$AQ11)*$DD$3:$DD$42)+SUMPRODUCT(($DB$3:$DB$42=$AQ13)*($DE$3:$DE$42=$AQ12)*$DD$3:$DD$42)+SUMPRODUCT(($DB$3:$DB$42=$AQ14)*($DE$3:$DE$42=$AQ13)*$DC$3:$DC$42)+SUMPRODUCT(($DB$3:$DB$42=$AQ15)*($DE$3:$DE$42=$AQ13)*$DC$3:$DC$42)+SUMPRODUCT(($DB$3:$DB$42=$AQ11)*($DE$3:$DE$42=$AQ13)*$DC$3:$DC$42)+SUMPRODUCT(($DB$3:$DB$42=$AQ12)*($DE$3:$DE$42=$AQ13)*$DC$3:$DC$42)</f>
        <v>0</v>
      </c>
      <c r="AW13" s="191">
        <f>AU13-AV13+1000</f>
        <v>1000</v>
      </c>
      <c r="AX13" s="191" t="str">
        <f t="shared" si="75"/>
        <v/>
      </c>
      <c r="AY13" s="191" t="str">
        <f t="shared" si="76"/>
        <v/>
      </c>
      <c r="AZ13" s="191" t="str">
        <f t="shared" si="77"/>
        <v/>
      </c>
      <c r="BA13" s="191" t="str">
        <f t="shared" si="78"/>
        <v/>
      </c>
      <c r="BB13" s="191" t="str">
        <f t="shared" si="79"/>
        <v/>
      </c>
      <c r="BC13" s="191" t="str">
        <f>IF(AQ13&lt;&gt;"",RANK(BB13,BB$11:BB$15),"")</f>
        <v/>
      </c>
      <c r="BD13" s="191" t="str">
        <f t="shared" si="80"/>
        <v/>
      </c>
      <c r="BE13" s="191" t="str">
        <f t="shared" si="81"/>
        <v/>
      </c>
      <c r="BF13" s="191" t="str">
        <f t="shared" si="82"/>
        <v/>
      </c>
      <c r="BG13" s="191" t="str">
        <f t="shared" si="83"/>
        <v/>
      </c>
      <c r="BH13" s="191" t="str">
        <f t="shared" si="84"/>
        <v/>
      </c>
      <c r="BI13" s="191" t="str">
        <f t="shared" ref="BI13:BI14" si="85">IF(AQ13&lt;&gt;"",IF(BI53&lt;&gt;"",IF(AP$50=3,BI53,BI53+AP$50),SUM(BC13:BH13)+1),"")</f>
        <v/>
      </c>
      <c r="BJ13" s="191" t="str">
        <f>IF(AQ13&lt;&gt;"",INDEX(AQ12:AQ15,MATCH(3,BI12:BI15,0),0),"")</f>
        <v/>
      </c>
      <c r="BK13" s="191" t="str">
        <f>IF(T11&lt;&gt;"",T11,"")</f>
        <v/>
      </c>
      <c r="BL13" s="191">
        <f>SUMPRODUCT(($DB$3:$DB$42=$BK13)*($DE$3:$DE$42=$BK14)*($DF$3:$DF$42="W"))+SUMPRODUCT(($DB$3:$DB$42=$BK13)*($DE$3:$DE$42=$BK15)*($DF$3:$DF$42="W"))+SUMPRODUCT(($DB$3:$DB$42=$BK13)*($DE$3:$DE$42=$BK16)*($DF$3:$DF$42="W"))+SUMPRODUCT(($DB$3:$DB$42=$BK14)*($DE$3:$DE$42=$BK13)*($DG$3:$DG$42="W"))+SUMPRODUCT(($DB$3:$DB$42=$BK15)*($DE$3:$DE$42=$BK13)*($DG$3:$DG$42="W"))+SUMPRODUCT(($DB$3:$DB$42=$BK16)*($DE$3:$DE$42=$BK13)*($DG$3:$DG$42="W"))</f>
        <v>0</v>
      </c>
      <c r="BM13" s="191">
        <f>SUMPRODUCT(($DB$3:$DB$42=$BK13)*($DE$3:$DE$42=$BK14)*($DF$3:$DF$42="D"))+SUMPRODUCT(($DB$3:$DB$42=$BK13)*($DE$3:$DE$42=$BK15)*($DF$3:$DF$42="D"))+SUMPRODUCT(($DB$3:$DB$42=$BK13)*($DE$3:$DE$42=$BK16)*($DF$3:$DF$42="D"))+SUMPRODUCT(($DB$3:$DB$42=$BK14)*($DE$3:$DE$42=$BK13)*($DF$3:$DF$42="D"))+SUMPRODUCT(($DB$3:$DB$42=$BK15)*($DE$3:$DE$42=$BK13)*($DF$3:$DF$42="D"))+SUMPRODUCT(($DB$3:$DB$42=$BK16)*($DE$3:$DE$42=$BK13)*($DF$3:$DF$42="D"))</f>
        <v>0</v>
      </c>
      <c r="BN13" s="191">
        <f>SUMPRODUCT(($DB$3:$DB$42=$BK13)*($DE$3:$DE$42=$BK14)*($DF$3:$DF$42="L"))+SUMPRODUCT(($DB$3:$DB$42=$BK13)*($DE$3:$DE$42=$BK15)*($DF$3:$DF$42="L"))+SUMPRODUCT(($DB$3:$DB$42=$BK13)*($DE$3:$DE$42=$BK16)*($DF$3:$DF$42="L"))+SUMPRODUCT(($DB$3:$DB$42=$BK14)*($DE$3:$DE$42=$BK13)*($DG$3:$DG$42="L"))+SUMPRODUCT(($DB$3:$DB$42=$BK15)*($DE$3:$DE$42=$BK13)*($DG$3:$DG$42="L"))+SUMPRODUCT(($DB$3:$DB$42=$BK16)*($DE$3:$DE$42=$BK13)*($DG$3:$DG$42="L"))</f>
        <v>0</v>
      </c>
      <c r="BO13" s="191">
        <f>SUMPRODUCT(($DB$3:$DB$42=$BK13)*($DE$3:$DE$42=$BK14)*$DC$3:$DC$42)+SUMPRODUCT(($DB$3:$DB$42=$BK13)*($DE$3:$DE$42=$BK15)*$DC$3:$DC$42)+SUMPRODUCT(($DB$3:$DB$42=$BK13)*($DE$3:$DE$42=$BK11)*$DC$3:$DC$42)+SUMPRODUCT(($DB$3:$DB$42=$BK13)*($DE$3:$DE$42=$BK12)*$DC$3:$DC$42)+SUMPRODUCT(($DB$3:$DB$42=$BK14)*($DE$3:$DE$42=$BK13)*$DD$3:$DD$42)+SUMPRODUCT(($DB$3:$DB$42=$BK15)*($DE$3:$DE$42=$BK13)*$DD$3:$DD$42)+SUMPRODUCT(($DB$3:$DB$42=$BK11)*($DE$3:$DE$42=$BK13)*$DD$3:$DD$42)+SUMPRODUCT(($DB$3:$DB$42=$BK12)*($DE$3:$DE$42=$BK13)*$DD$3:$DD$42)</f>
        <v>0</v>
      </c>
      <c r="BP13" s="191">
        <f>SUMPRODUCT(($DB$3:$DB$42=$BK13)*($DE$3:$DE$42=$BK14)*$DD$3:$DD$42)+SUMPRODUCT(($DB$3:$DB$42=$BK13)*($DE$3:$DE$42=$BK15)*$DD$3:$DD$42)+SUMPRODUCT(($DB$3:$DB$42=$BK13)*($DE$3:$DE$42=$BK11)*$DD$3:$DD$42)+SUMPRODUCT(($DB$3:$DB$42=$BK13)*($DE$3:$DE$42=$BK12)*$DD$3:$DD$42)+SUMPRODUCT(($DB$3:$DB$42=$BK14)*($DE$3:$DE$42=$BK13)*$DC$3:$DC$42)+SUMPRODUCT(($DB$3:$DB$42=$BK15)*($DE$3:$DE$42=$BK13)*$DC$3:$DC$42)+SUMPRODUCT(($DB$3:$DB$42=$BK11)*($DE$3:$DE$42=$BK13)*$DC$3:$DC$42)+SUMPRODUCT(($DB$3:$DB$42=$BK12)*($DE$3:$DE$42=$BK13)*$DC$3:$DC$42)</f>
        <v>0</v>
      </c>
      <c r="BQ13" s="191">
        <f>BO13-BP13+1000</f>
        <v>1000</v>
      </c>
      <c r="BR13" s="191" t="str">
        <f t="shared" ref="BR13:BR15" si="86">IF(BK13&lt;&gt;"",BL13*3+BM13*1,"")</f>
        <v/>
      </c>
      <c r="BS13" s="191" t="str">
        <f t="shared" ref="BS13:BS15" si="87">IF(BK13&lt;&gt;"",VLOOKUP(BK13,$B$4:$H$40,7,FALSE),"")</f>
        <v/>
      </c>
      <c r="BT13" s="191" t="str">
        <f t="shared" ref="BT13:BT15" si="88">IF(BK13&lt;&gt;"",VLOOKUP(BK13,$B$4:$H$40,5,FALSE),"")</f>
        <v/>
      </c>
      <c r="BU13" s="191" t="str">
        <f t="shared" ref="BU13:BU15" si="89">IF(BK13&lt;&gt;"",VLOOKUP(BK13,$B$4:$J$40,9,FALSE),"")</f>
        <v/>
      </c>
      <c r="BV13" s="191" t="str">
        <f t="shared" ref="BV13:BV15" si="90">BR13</f>
        <v/>
      </c>
      <c r="BW13" s="191" t="str">
        <f>IF(BK13&lt;&gt;"",RANK(BV13,BV$11:BV$15),"")</f>
        <v/>
      </c>
      <c r="BX13" s="191" t="str">
        <f t="shared" ref="BX13:BX15" si="91">IF(BK13&lt;&gt;"",SUMPRODUCT((BV$11:BV$15=BV13)*(BQ$11:BQ$15&gt;BQ13)),"")</f>
        <v/>
      </c>
      <c r="BY13" s="191" t="str">
        <f t="shared" ref="BY13:BY15" si="92">IF(BK13&lt;&gt;"",SUMPRODUCT((BV$11:BV$15=BV13)*(BQ$11:BQ$15=BQ13)*(BO$11:BO$15&gt;BO13)),"")</f>
        <v/>
      </c>
      <c r="BZ13" s="191" t="str">
        <f t="shared" ref="BZ13:BZ15" si="93">IF(BK13&lt;&gt;"",SUMPRODUCT((BV$11:BV$15=BV13)*(BQ$11:BQ$15=BQ13)*(BO$11:BO$15=BO13)*(BS$11:BS$15&gt;BS13)),"")</f>
        <v/>
      </c>
      <c r="CA13" s="191" t="str">
        <f t="shared" ref="CA13:CA15" si="94">IF(BK13&lt;&gt;"",SUMPRODUCT((BV$11:BV$15=BV13)*(BQ$11:BQ$15=BQ13)*(BO$11:BO$15=BO13)*(BS$11:BS$15=BS13)*(BT$11:BT$15&gt;BT13)),"")</f>
        <v/>
      </c>
      <c r="CB13" s="191" t="str">
        <f t="shared" ref="CB13:CB15" si="95">IF(BK13&lt;&gt;"",SUMPRODUCT((BV$11:BV$15=BV13)*(BQ$11:BQ$15=BQ13)*(BO$11:BO$15=BO13)*(BS$11:BS$15=BS13)*(BT$11:BT$15=BT13)*(BU$11:BU$15&gt;BU13)),"")</f>
        <v/>
      </c>
      <c r="CC13" s="191" t="str">
        <f>IF(BK13&lt;&gt;"",SUM(BW13:CB13)+2,"")</f>
        <v/>
      </c>
      <c r="CD13" s="191" t="str">
        <f>IF(BK13&lt;&gt;"",INDEX(BK13:BK15,MATCH(3,CC13:CC15,0),0),"")</f>
        <v/>
      </c>
      <c r="CY13" s="191" t="str">
        <f>IF(CD13&lt;&gt;"",CD13,IF(BJ13&lt;&gt;"",BJ13,IF(AP13&lt;&gt;"",AP13,P13)))</f>
        <v>Peru</v>
      </c>
      <c r="CZ13" s="191">
        <v>3</v>
      </c>
      <c r="DA13" s="191">
        <v>11</v>
      </c>
      <c r="DB13" s="191" t="str">
        <f>Matches!F17</f>
        <v>Uruguay</v>
      </c>
      <c r="DC13" s="191">
        <f>IF(AND(Matches!H17&lt;&gt;"",Matches!I17&lt;&gt;""),Matches!H17,0)</f>
        <v>0</v>
      </c>
      <c r="DD13" s="191">
        <f>IF(AND(Matches!I17&lt;&gt;"",Matches!H17&lt;&gt;""),Matches!I17,0)</f>
        <v>0</v>
      </c>
      <c r="DE13" s="191" t="str">
        <f>Matches!K17</f>
        <v>Chile</v>
      </c>
      <c r="DF13" s="191" t="str">
        <f>IF(AND(Matches!H17&lt;&gt;"",Matches!I17&lt;&gt;""),IF(DC13&gt;DD13,"W",IF(DC13=DD13,"D","L")),"")</f>
        <v/>
      </c>
      <c r="DG13" s="191" t="str">
        <f t="shared" si="0"/>
        <v/>
      </c>
      <c r="DJ13" s="201"/>
      <c r="DR13" s="195"/>
      <c r="DS13" s="196"/>
      <c r="DT13" s="197" t="str">
        <f>Setup!C15</f>
        <v>Brazil</v>
      </c>
      <c r="DU13" s="198" t="s">
        <v>432</v>
      </c>
      <c r="DV13" s="197" t="str">
        <f>"'Dummy Table'!"&amp;VLOOKUP(Matches!Q15,$DT$7:$DU$38,2,FALSE)</f>
        <v>'Dummy Table'!DS12</v>
      </c>
      <c r="DX13" s="199">
        <v>44365.75</v>
      </c>
      <c r="DY13" s="200">
        <f t="shared" si="54"/>
        <v>44365.75</v>
      </c>
      <c r="EA13" s="191">
        <v>-9.5</v>
      </c>
    </row>
    <row r="14" spans="1:131" x14ac:dyDescent="0.35">
      <c r="A14" s="191">
        <f>VLOOKUP(B14,$CY$11:$CZ$15,2,FALSE)</f>
        <v>5</v>
      </c>
      <c r="B14" s="191" t="str">
        <f>'Dummy Table'!DT15</f>
        <v>Ecuador</v>
      </c>
      <c r="C14" s="191">
        <f>SUMPRODUCT(($DB$3:$DB$42=$B14)*($DF$3:$DF$42="W"))+SUMPRODUCT(($DE$3:$DE$42=$B14)*($DG$3:$DG$42="W"))</f>
        <v>0</v>
      </c>
      <c r="D14" s="191">
        <f>SUMPRODUCT(($DB$3:$DB$42=$B14)*($DF$3:$DF$42="D"))+SUMPRODUCT(($DE$3:$DE$42=$B14)*($DG$3:$DG$42="D"))</f>
        <v>0</v>
      </c>
      <c r="E14" s="191">
        <f>SUMPRODUCT(($DB$3:$DB$42=$B14)*($DF$3:$DF$42="L"))+SUMPRODUCT(($DE$3:$DE$42=$B14)*($DG$3:$DG$42="L"))</f>
        <v>0</v>
      </c>
      <c r="F14" s="191">
        <f>SUMIF($DB$3:$DB$60,B14,$DC$3:$DC$60)+SUMIF($DE$3:$DE$60,B14,$DD$3:$DD$60)</f>
        <v>0</v>
      </c>
      <c r="G14" s="191">
        <f>SUMIF($DE$3:$DE$60,B14,$DC$3:$DC$60)+SUMIF($DB$3:$DB$60,B14,$DD$3:$DD$60)</f>
        <v>0</v>
      </c>
      <c r="H14" s="191">
        <f t="shared" si="55"/>
        <v>1000</v>
      </c>
      <c r="I14" s="191">
        <f t="shared" si="56"/>
        <v>0</v>
      </c>
      <c r="J14" s="191">
        <v>2</v>
      </c>
      <c r="K14" s="191">
        <f t="shared" si="63"/>
        <v>1</v>
      </c>
      <c r="L14" s="191">
        <f t="shared" si="64"/>
        <v>0</v>
      </c>
      <c r="M14" s="191">
        <f t="shared" si="65"/>
        <v>0</v>
      </c>
      <c r="N14" s="191">
        <f t="shared" si="57"/>
        <v>1</v>
      </c>
      <c r="O14" s="191">
        <f t="shared" si="66"/>
        <v>1</v>
      </c>
      <c r="P14" s="191" t="str">
        <f>INDEX($B$11:$B$15,MATCH(4,$O$11:$O$15,0),0)</f>
        <v>Colombia</v>
      </c>
      <c r="Q14" s="191">
        <f t="shared" si="67"/>
        <v>1</v>
      </c>
      <c r="R14" s="191" t="str">
        <f>IF(AND(R13&lt;&gt;"",Q14=1),P14,"")</f>
        <v>Colombia</v>
      </c>
      <c r="S14" s="191" t="str">
        <f>IF(AND(S13&lt;&gt;"",Q15=2),P15,"")</f>
        <v/>
      </c>
      <c r="W14" s="191" t="str">
        <f t="shared" si="68"/>
        <v>Colombia</v>
      </c>
      <c r="X14" s="191">
        <f>SUMPRODUCT(($DB$3:$DB$42=$W14)*($DE$3:$DE$42=$W15)*($DF$3:$DF$42="W"))+SUMPRODUCT(($DB$3:$DB$42=$W14)*($DE$3:$DE$42=$W11)*($DF$3:$DF$42="W"))+SUMPRODUCT(($DB$3:$DB$42=$W14)*($DE$3:$DE$42=$W12)*($DF$3:$DF$42="W"))+SUMPRODUCT(($DB$3:$DB$42=$W14)*($DE$3:$DE$42=$W13)*($DF$3:$DF$42="W"))+SUMPRODUCT(($DB$3:$DB$42=$W15)*($DE$3:$DE$42=$W14)*($DG$3:$DG$42="W"))+SUMPRODUCT(($DB$3:$DB$42=$W11)*($DE$3:$DE$42=$W14)*($DG$3:$DG$42="W"))+SUMPRODUCT(($DB$3:$DB$42=$W12)*($DE$3:$DE$42=$W14)*($DG$3:$DG$42="W"))+SUMPRODUCT(($DB$3:$DB$42=$W13)*($DE$3:$DE$42=$W14)*($DG$3:$DG$42="W"))</f>
        <v>0</v>
      </c>
      <c r="Y14" s="191">
        <f>SUMPRODUCT(($DB$3:$DB$42=$W14)*($DE$3:$DE$42=$W15)*($DF$3:$DF$42="D"))+SUMPRODUCT(($DB$3:$DB$42=$W14)*($DE$3:$DE$42=$W11)*($DF$3:$DF$42="D"))+SUMPRODUCT(($DB$3:$DB$42=$W14)*($DE$3:$DE$42=$W12)*($DF$3:$DF$42="D"))+SUMPRODUCT(($DB$3:$DB$42=$W14)*($DE$3:$DE$42=$W13)*($DF$3:$DF$42="D"))+SUMPRODUCT(($DB$3:$DB$42=$W15)*($DE$3:$DE$42=$W14)*($DF$3:$DF$42="D"))+SUMPRODUCT(($DB$3:$DB$42=$W11)*($DE$3:$DE$42=$W14)*($DF$3:$DF$42="D"))+SUMPRODUCT(($DB$3:$DB$42=$W12)*($DE$3:$DE$42=$W14)*($DF$3:$DF$42="D"))+SUMPRODUCT(($DB$3:$DB$42=$W13)*($DE$3:$DE$42=$W14)*($DF$3:$DF$42="D"))</f>
        <v>0</v>
      </c>
      <c r="Z14" s="191">
        <f>SUMPRODUCT(($DB$3:$DB$42=$W14)*($DE$3:$DE$42=$W15)*($DF$3:$DF$42="L"))+SUMPRODUCT(($DB$3:$DB$42=$W14)*($DE$3:$DE$42=$W11)*($DF$3:$DF$42="L"))+SUMPRODUCT(($DB$3:$DB$42=$W14)*($DE$3:$DE$42=$W12)*($DF$3:$DF$42="L"))+SUMPRODUCT(($DB$3:$DB$42=$W14)*($DE$3:$DE$42=$W13)*($DF$3:$DF$42="L"))+SUMPRODUCT(($DB$3:$DB$42=$W15)*($DE$3:$DE$42=$W14)*($DG$3:$DG$42="L"))+SUMPRODUCT(($DB$3:$DB$42=$W11)*($DE$3:$DE$42=$W14)*($DG$3:$DG$42="L"))+SUMPRODUCT(($DB$3:$DB$42=$W12)*($DE$3:$DE$42=$W14)*($DG$3:$DG$42="L"))+SUMPRODUCT(($DB$3:$DB$42=$W13)*($DE$3:$DE$42=$W14)*($DG$3:$DG$42="L"))</f>
        <v>0</v>
      </c>
      <c r="AA14" s="191">
        <f>SUMPRODUCT(($DB$3:$DB$42=$W14)*($DE$3:$DE$42=$W15)*$DC$3:$DC$42)+SUMPRODUCT(($DB$3:$DB$42=$W14)*($DE$3:$DE$42=$W11)*$DC$3:$DC$42)+SUMPRODUCT(($DB$3:$DB$42=$W14)*($DE$3:$DE$42=$W12)*$DC$3:$DC$42)+SUMPRODUCT(($DB$3:$DB$42=$W14)*($DE$3:$DE$42=$W13)*$DC$3:$DC$42)+SUMPRODUCT(($DB$3:$DB$42=$W15)*($DE$3:$DE$42=$W14)*$DD$3:$DD$42)+SUMPRODUCT(($DB$3:$DB$42=$W11)*($DE$3:$DE$42=$W14)*$DD$3:$DD$42)+SUMPRODUCT(($DB$3:$DB$42=$W12)*($DE$3:$DE$42=$W14)*$DD$3:$DD$42)+SUMPRODUCT(($DB$3:$DB$42=$W13)*($DE$3:$DE$42=$W14)*$DD$3:$DD$42)</f>
        <v>0</v>
      </c>
      <c r="AB14" s="191">
        <f>SUMPRODUCT(($DB$3:$DB$42=$W14)*($DE$3:$DE$42=$W15)*$DD$3:$DD$42)+SUMPRODUCT(($DB$3:$DB$42=$W14)*($DE$3:$DE$42=$W11)*$DD$3:$DD$42)+SUMPRODUCT(($DB$3:$DB$42=$W14)*($DE$3:$DE$42=$W12)*$DD$3:$DD$42)+SUMPRODUCT(($DB$3:$DB$42=$W14)*($DE$3:$DE$42=$W13)*$DD$3:$DD$42)+SUMPRODUCT(($DB$3:$DB$42=$W15)*($DE$3:$DE$42=$W14)*$DC$3:$DC$42)+SUMPRODUCT(($DB$3:$DB$42=$W11)*($DE$3:$DE$42=$W14)*$DC$3:$DC$42)+SUMPRODUCT(($DB$3:$DB$42=$W12)*($DE$3:$DE$42=$W14)*$DC$3:$DC$42)+SUMPRODUCT(($DB$3:$DB$42=$W13)*($DE$3:$DE$42=$W14)*$DC$3:$DC$42)</f>
        <v>0</v>
      </c>
      <c r="AC14" s="191">
        <f>AA14-AB14+1000</f>
        <v>1000</v>
      </c>
      <c r="AD14" s="191">
        <f t="shared" si="58"/>
        <v>0</v>
      </c>
      <c r="AE14" s="191">
        <f t="shared" si="59"/>
        <v>1000</v>
      </c>
      <c r="AF14" s="191">
        <f t="shared" si="60"/>
        <v>0</v>
      </c>
      <c r="AG14" s="191">
        <f t="shared" si="61"/>
        <v>7</v>
      </c>
      <c r="AH14" s="191">
        <f t="shared" si="62"/>
        <v>0</v>
      </c>
      <c r="AI14" s="191">
        <f>IF(W14&lt;&gt;"",RANK(AH14,AH$11:AH$15),"")</f>
        <v>1</v>
      </c>
      <c r="AJ14" s="191">
        <f t="shared" si="69"/>
        <v>0</v>
      </c>
      <c r="AK14" s="191">
        <f t="shared" si="70"/>
        <v>0</v>
      </c>
      <c r="AL14" s="191">
        <f t="shared" si="71"/>
        <v>0</v>
      </c>
      <c r="AM14" s="191">
        <f t="shared" si="72"/>
        <v>0</v>
      </c>
      <c r="AN14" s="191">
        <f t="shared" si="73"/>
        <v>1</v>
      </c>
      <c r="AO14" s="191">
        <f t="shared" si="74"/>
        <v>2</v>
      </c>
      <c r="AP14" s="191" t="str">
        <f>IF(W14&lt;&gt;"",INDEX($W$11:$W$15,MATCH(4,$AO$11:$AO$15,0),0),"")</f>
        <v>Venezuela</v>
      </c>
      <c r="AQ14" s="191" t="str">
        <f>IF(S13&lt;&gt;"",S13,"")</f>
        <v/>
      </c>
      <c r="AR14" s="191" t="str">
        <f>IF($AQ14&lt;&gt;"",SUMPRODUCT(($DB$3:$DB$42=$AQ14)*($DE$3:$DE$42=$AQ15)*($DF$3:$DF$42="W"))+SUMPRODUCT(($DB$3:$DB$42=$AQ14)*($DE$3:$DE$42=$AQ12)*($DF$3:$DF$42="W"))+SUMPRODUCT(($DB$3:$DB$42=$AQ14)*($DE$3:$DE$42=$AQ13)*($DF$3:$DF$42="W"))+SUMPRODUCT(($DB$3:$DB$42=$AQ15)*($DE$3:$DE$42=$AQ14)*($DG$3:$DG$42="W"))+SUMPRODUCT(($DB$3:$DB$42=$AQ12)*($DE$3:$DE$42=$AQ14)*($DG$3:$DG$42="W"))+SUMPRODUCT(($DB$3:$DB$42=$AQ13)*($DE$3:$DE$42=$AQ14)*($DG$3:$DG$42="W")),"")</f>
        <v/>
      </c>
      <c r="AS14" s="191" t="str">
        <f>IF($AQ14&lt;&gt;"",SUMPRODUCT(($DB$3:$DB$42=$AQ14)*($DE$3:$DE$42=$AQ15)*($DF$3:$DF$42="D"))+SUMPRODUCT(($DB$3:$DB$42=$AQ14)*($DE$3:$DE$42=$AQ12)*($DF$3:$DF$42="D"))+SUMPRODUCT(($DB$3:$DB$42=$AQ14)*($DE$3:$DE$42=$AQ13)*($DF$3:$DF$42="D"))+SUMPRODUCT(($DB$3:$DB$42=$AQ15)*($DE$3:$DE$42=$AQ14)*($DF$3:$DF$42="D"))+SUMPRODUCT(($DB$3:$DB$42=$AQ12)*($DE$3:$DE$42=$AQ14)*($DF$3:$DF$42="D"))+SUMPRODUCT(($DB$3:$DB$42=$AQ13)*($DE$3:$DE$42=$AQ14)*($DF$3:$DF$42="D")),"")</f>
        <v/>
      </c>
      <c r="AT14" s="191" t="str">
        <f>IF($AQ14&lt;&gt;"",SUMPRODUCT(($DB$3:$DB$42=$AQ14)*($DE$3:$DE$42=$AQ15)*($DF$3:$DF$42="L"))+SUMPRODUCT(($DB$3:$DB$42=$AQ14)*($DE$3:$DE$42=$AQ12)*($DF$3:$DF$42="L"))+SUMPRODUCT(($DB$3:$DB$42=$AQ14)*($DE$3:$DE$42=$AQ13)*($DF$3:$DF$42="L"))+SUMPRODUCT(($DB$3:$DB$42=$AQ15)*($DE$3:$DE$42=$AQ14)*($DG$3:$DG$42="L"))+SUMPRODUCT(($DB$3:$DB$42=$AQ12)*($DE$3:$DE$42=$AQ14)*($DG$3:$DG$42="L"))+SUMPRODUCT(($DB$3:$DB$42=$AQ13)*($DE$3:$DE$42=$AQ14)*($DG$3:$DG$42="L")),"")</f>
        <v/>
      </c>
      <c r="AU14" s="191">
        <f>SUMPRODUCT(($DB$3:$DB$42=$AQ14)*($DE$3:$DE$42=$AQ15)*$DC$3:$DC$42)+SUMPRODUCT(($DB$3:$DB$42=$AQ14)*($DE$3:$DE$42=$AQ11)*$DC$3:$DC$42)+SUMPRODUCT(($DB$3:$DB$42=$AQ14)*($DE$3:$DE$42=$AQ12)*$DC$3:$DC$42)+SUMPRODUCT(($DB$3:$DB$42=$AQ14)*($DE$3:$DE$42=$AQ13)*$DC$3:$DC$42)+SUMPRODUCT(($DB$3:$DB$42=$AQ15)*($DE$3:$DE$42=$AQ14)*$DD$3:$DD$42)+SUMPRODUCT(($DB$3:$DB$42=$AQ11)*($DE$3:$DE$42=$AQ14)*$DD$3:$DD$42)+SUMPRODUCT(($DB$3:$DB$42=$AQ12)*($DE$3:$DE$42=$AQ14)*$DD$3:$DD$42)+SUMPRODUCT(($DB$3:$DB$42=$AQ13)*($DE$3:$DE$42=$AQ14)*$DD$3:$DD$42)</f>
        <v>0</v>
      </c>
      <c r="AV14" s="191">
        <f>SUMPRODUCT(($DB$3:$DB$42=$AQ14)*($DE$3:$DE$42=$AQ15)*$DD$3:$DD$42)+SUMPRODUCT(($DB$3:$DB$42=$AQ14)*($DE$3:$DE$42=$AQ11)*$DD$3:$DD$42)+SUMPRODUCT(($DB$3:$DB$42=$AQ14)*($DE$3:$DE$42=$AQ12)*$DD$3:$DD$42)+SUMPRODUCT(($DB$3:$DB$42=$AQ14)*($DE$3:$DE$42=$AQ13)*$DD$3:$DD$42)+SUMPRODUCT(($DB$3:$DB$42=$AQ15)*($DE$3:$DE$42=$AQ14)*$DC$3:$DC$42)+SUMPRODUCT(($DB$3:$DB$42=$AQ11)*($DE$3:$DE$42=$AQ14)*$DC$3:$DC$42)+SUMPRODUCT(($DB$3:$DB$42=$AQ12)*($DE$3:$DE$42=$AQ14)*$DC$3:$DC$42)+SUMPRODUCT(($DB$3:$DB$42=$AQ13)*($DE$3:$DE$42=$AQ14)*$DC$3:$DC$42)</f>
        <v>0</v>
      </c>
      <c r="AW14" s="191">
        <f>AU14-AV14+1000</f>
        <v>1000</v>
      </c>
      <c r="AX14" s="191" t="str">
        <f t="shared" si="75"/>
        <v/>
      </c>
      <c r="AY14" s="191" t="str">
        <f t="shared" si="76"/>
        <v/>
      </c>
      <c r="AZ14" s="191" t="str">
        <f t="shared" si="77"/>
        <v/>
      </c>
      <c r="BA14" s="191" t="str">
        <f t="shared" si="78"/>
        <v/>
      </c>
      <c r="BB14" s="191" t="str">
        <f t="shared" si="79"/>
        <v/>
      </c>
      <c r="BC14" s="191" t="str">
        <f>IF(AQ14&lt;&gt;"",RANK(BB14,BB$11:BB$15),"")</f>
        <v/>
      </c>
      <c r="BD14" s="191" t="str">
        <f t="shared" si="80"/>
        <v/>
      </c>
      <c r="BE14" s="191" t="str">
        <f t="shared" si="81"/>
        <v/>
      </c>
      <c r="BF14" s="191" t="str">
        <f t="shared" si="82"/>
        <v/>
      </c>
      <c r="BG14" s="191" t="str">
        <f t="shared" si="83"/>
        <v/>
      </c>
      <c r="BH14" s="191" t="str">
        <f t="shared" si="84"/>
        <v/>
      </c>
      <c r="BI14" s="191" t="str">
        <f t="shared" si="85"/>
        <v/>
      </c>
      <c r="BJ14" s="191" t="str">
        <f>IF(AQ14&lt;&gt;"",INDEX(AQ12:AQ15,MATCH(4,BI12:BI15,0),0),"")</f>
        <v/>
      </c>
      <c r="BK14" s="191" t="str">
        <f>IF(T12&lt;&gt;"",T12,"")</f>
        <v/>
      </c>
      <c r="BL14" s="191">
        <f>SUMPRODUCT(($DB$3:$DB$42=$BK14)*($DE$3:$DE$42=$BK15)*($DF$3:$DF$42="W"))+SUMPRODUCT(($DB$3:$DB$42=$BK14)*($DE$3:$DE$42=$BK16)*($DF$3:$DF$42="W"))+SUMPRODUCT(($DB$3:$DB$42=$BK14)*($DE$3:$DE$42=$BK13)*($DF$3:$DF$42="W"))+SUMPRODUCT(($DB$3:$DB$42=$BK15)*($DE$3:$DE$42=$BK14)*($DG$3:$DG$42="W"))+SUMPRODUCT(($DB$3:$DB$42=$BK16)*($DE$3:$DE$42=$BK14)*($DG$3:$DG$42="W"))+SUMPRODUCT(($DB$3:$DB$42=$BK13)*($DE$3:$DE$42=$BK14)*($DG$3:$DG$42="W"))</f>
        <v>0</v>
      </c>
      <c r="BM14" s="191">
        <f>SUMPRODUCT(($DB$3:$DB$42=$BK14)*($DE$3:$DE$42=$BK15)*($DF$3:$DF$42="D"))+SUMPRODUCT(($DB$3:$DB$42=$BK14)*($DE$3:$DE$42=$BK16)*($DF$3:$DF$42="D"))+SUMPRODUCT(($DB$3:$DB$42=$BK14)*($DE$3:$DE$42=$BK13)*($DF$3:$DF$42="D"))+SUMPRODUCT(($DB$3:$DB$42=$BK15)*($DE$3:$DE$42=$BK14)*($DF$3:$DF$42="D"))+SUMPRODUCT(($DB$3:$DB$42=$BK16)*($DE$3:$DE$42=$BK14)*($DF$3:$DF$42="D"))+SUMPRODUCT(($DB$3:$DB$42=$BK13)*($DE$3:$DE$42=$BK14)*($DF$3:$DF$42="D"))</f>
        <v>0</v>
      </c>
      <c r="BN14" s="191">
        <f>SUMPRODUCT(($DB$3:$DB$42=$BK14)*($DE$3:$DE$42=$BK15)*($DF$3:$DF$42="L"))+SUMPRODUCT(($DB$3:$DB$42=$BK14)*($DE$3:$DE$42=$BK16)*($DF$3:$DF$42="L"))+SUMPRODUCT(($DB$3:$DB$42=$BK14)*($DE$3:$DE$42=$BK13)*($DF$3:$DF$42="L"))+SUMPRODUCT(($DB$3:$DB$42=$BK15)*($DE$3:$DE$42=$BK14)*($DG$3:$DG$42="L"))+SUMPRODUCT(($DB$3:$DB$42=$BK16)*($DE$3:$DE$42=$BK14)*($DG$3:$DG$42="L"))+SUMPRODUCT(($DB$3:$DB$42=$BK13)*($DE$3:$DE$42=$BK14)*($DG$3:$DG$42="L"))</f>
        <v>0</v>
      </c>
      <c r="BO14" s="191">
        <f>SUMPRODUCT(($DB$3:$DB$42=$BK14)*($DE$3:$DE$42=$BK15)*$DC$3:$DC$42)+SUMPRODUCT(($DB$3:$DB$42=$BK14)*($DE$3:$DE$42=$BK11)*$DC$3:$DC$42)+SUMPRODUCT(($DB$3:$DB$42=$BK14)*($DE$3:$DE$42=$BK12)*$DC$3:$DC$42)+SUMPRODUCT(($DB$3:$DB$42=$BK14)*($DE$3:$DE$42=$BK13)*$DC$3:$DC$42)+SUMPRODUCT(($DB$3:$DB$42=$BK15)*($DE$3:$DE$42=$BK14)*$DD$3:$DD$42)+SUMPRODUCT(($DB$3:$DB$42=$BK11)*($DE$3:$DE$42=$BK14)*$DD$3:$DD$42)+SUMPRODUCT(($DB$3:$DB$42=$BK12)*($DE$3:$DE$42=$BK14)*$DD$3:$DD$42)+SUMPRODUCT(($DB$3:$DB$42=$BK13)*($DE$3:$DE$42=$BK14)*$DD$3:$DD$42)</f>
        <v>0</v>
      </c>
      <c r="BP14" s="191">
        <f>SUMPRODUCT(($DB$3:$DB$42=$BK14)*($DE$3:$DE$42=$BK15)*$DD$3:$DD$42)+SUMPRODUCT(($DB$3:$DB$42=$BK14)*($DE$3:$DE$42=$BK11)*$DD$3:$DD$42)+SUMPRODUCT(($DB$3:$DB$42=$BK14)*($DE$3:$DE$42=$BK12)*$DD$3:$DD$42)+SUMPRODUCT(($DB$3:$DB$42=$BK14)*($DE$3:$DE$42=$BK13)*$DD$3:$DD$42)+SUMPRODUCT(($DB$3:$DB$42=$BK15)*($DE$3:$DE$42=$BK14)*$DC$3:$DC$42)+SUMPRODUCT(($DB$3:$DB$42=$BK11)*($DE$3:$DE$42=$BK14)*$DC$3:$DC$42)+SUMPRODUCT(($DB$3:$DB$42=$BK12)*($DE$3:$DE$42=$BK14)*$DC$3:$DC$42)+SUMPRODUCT(($DB$3:$DB$42=$BK13)*($DE$3:$DE$42=$BK14)*$DC$3:$DC$42)</f>
        <v>0</v>
      </c>
      <c r="BQ14" s="191">
        <f>BO14-BP14+1000</f>
        <v>1000</v>
      </c>
      <c r="BR14" s="191" t="str">
        <f t="shared" si="86"/>
        <v/>
      </c>
      <c r="BS14" s="191" t="str">
        <f t="shared" si="87"/>
        <v/>
      </c>
      <c r="BT14" s="191" t="str">
        <f t="shared" si="88"/>
        <v/>
      </c>
      <c r="BU14" s="191" t="str">
        <f t="shared" si="89"/>
        <v/>
      </c>
      <c r="BV14" s="191" t="str">
        <f t="shared" si="90"/>
        <v/>
      </c>
      <c r="BW14" s="191" t="str">
        <f>IF(BK14&lt;&gt;"",RANK(BV14,BV$11:BV$15),"")</f>
        <v/>
      </c>
      <c r="BX14" s="191" t="str">
        <f t="shared" si="91"/>
        <v/>
      </c>
      <c r="BY14" s="191" t="str">
        <f t="shared" si="92"/>
        <v/>
      </c>
      <c r="BZ14" s="191" t="str">
        <f t="shared" si="93"/>
        <v/>
      </c>
      <c r="CA14" s="191" t="str">
        <f t="shared" si="94"/>
        <v/>
      </c>
      <c r="CB14" s="191" t="str">
        <f t="shared" si="95"/>
        <v/>
      </c>
      <c r="CC14" s="191" t="str">
        <f>IF(BK14&lt;&gt;"",SUM(BW14:CB14)+2,"")</f>
        <v/>
      </c>
      <c r="CD14" s="191" t="str">
        <f>IF(BK14&lt;&gt;"",INDEX(BK13:BK15,MATCH(4,CC13:CC15,0),0),"")</f>
        <v/>
      </c>
      <c r="CE14" s="191" t="str">
        <f>IF(U11&lt;&gt;"",U11,"")</f>
        <v/>
      </c>
      <c r="CF14" s="191">
        <f>SUMPRODUCT(($DB$3:$DB$42=$CE14)*($DE$3:$DE$42=$CE15)*($DF$3:$DF$42="W"))+SUMPRODUCT(($DB$3:$DB$42=$CE14)*($DE$3:$DE$42=$CE16)*($DF$3:$DF$42="W"))+SUMPRODUCT(($DB$3:$DB$42=$CE14)*($DE$3:$DE$42=$CE17)*($DF$3:$DF$42="W"))+SUMPRODUCT(($DB$3:$DB$42=$CE15)*($DE$3:$DE$42=$CE14)*($DG$3:$DG$42="W"))+SUMPRODUCT(($DB$3:$DB$42=$CE16)*($DE$3:$DE$42=$CE14)*($DG$3:$DG$42="W"))+SUMPRODUCT(($DB$3:$DB$42=$CE17)*($DE$3:$DE$42=$CE14)*($DG$3:$DG$42="W"))</f>
        <v>0</v>
      </c>
      <c r="CG14" s="191">
        <f>SUMPRODUCT(($DB$3:$DB$42=$CE14)*($DE$3:$DE$42=$CE15)*($DF$3:$DF$42="D"))+SUMPRODUCT(($DB$3:$DB$42=$CE14)*($DE$3:$DE$42=$CE16)*($DF$3:$DF$42="D"))+SUMPRODUCT(($DB$3:$DB$42=$CE14)*($DE$3:$DE$42=$CE17)*($DF$3:$DF$42="D"))+SUMPRODUCT(($DB$3:$DB$42=$CE15)*($DE$3:$DE$42=$CE14)*($DF$3:$DF$42="D"))+SUMPRODUCT(($DB$3:$DB$42=$CE16)*($DE$3:$DE$42=$CE14)*($DF$3:$DF$42="D"))+SUMPRODUCT(($DB$3:$DB$42=$CE17)*($DE$3:$DE$42=$CE14)*($DF$3:$DF$42="D"))</f>
        <v>0</v>
      </c>
      <c r="CH14" s="191">
        <f>SUMPRODUCT(($DB$3:$DB$42=$CE14)*($DE$3:$DE$42=$CE15)*($DF$3:$DF$42="L"))+SUMPRODUCT(($DB$3:$DB$42=$CE14)*($DE$3:$DE$42=$CE16)*($DF$3:$DF$42="L"))+SUMPRODUCT(($DB$3:$DB$42=$CE14)*($DE$3:$DE$42=$CE17)*($DF$3:$DF$42="L"))+SUMPRODUCT(($DB$3:$DB$42=$CE15)*($DE$3:$DE$42=$CE14)*($DG$3:$DG$42="L"))+SUMPRODUCT(($DB$3:$DB$42=$CE16)*($DE$3:$DE$42=$CE14)*($DG$3:$DG$42="L"))+SUMPRODUCT(($DB$3:$DB$42=$CE17)*($DE$3:$DE$42=$CE14)*($DG$3:$DG$42="L"))</f>
        <v>0</v>
      </c>
      <c r="CI14" s="191">
        <f>SUMPRODUCT(($DB$3:$DB$42=$CE14)*($DE$3:$DE$42=$CE15)*$DC$3:$DC$42)+SUMPRODUCT(($DB$3:$DB$42=$CE14)*($DE$3:$DE$42=$CE11)*$DC$3:$DC$42)+SUMPRODUCT(($DB$3:$DB$42=$CE14)*($DE$3:$DE$42=$CE12)*$DC$3:$DC$42)+SUMPRODUCT(($DB$3:$DB$42=$CE14)*($DE$3:$DE$42=$CE13)*$DC$3:$DC$42)+SUMPRODUCT(($DB$3:$DB$42=$CE15)*($DE$3:$DE$42=$CE14)*$DD$3:$DD$42)+SUMPRODUCT(($DB$3:$DB$42=$CE11)*($DE$3:$DE$42=$CE14)*$DD$3:$DD$42)+SUMPRODUCT(($DB$3:$DB$42=$CE12)*($DE$3:$DE$42=$CE14)*$DD$3:$DD$42)+SUMPRODUCT(($DB$3:$DB$42=$CE13)*($DE$3:$DE$42=$CE14)*$DD$3:$DD$42)</f>
        <v>0</v>
      </c>
      <c r="CJ14" s="191">
        <f>SUMPRODUCT(($DB$3:$DB$42=$CE14)*($DE$3:$DE$42=$CE15)*$DD$3:$DD$42)+SUMPRODUCT(($DB$3:$DB$42=$CE14)*($DE$3:$DE$42=$CE11)*$DD$3:$DD$42)+SUMPRODUCT(($DB$3:$DB$42=$CE14)*($DE$3:$DE$42=$CE12)*$DD$3:$DD$42)+SUMPRODUCT(($DB$3:$DB$42=$CE14)*($DE$3:$DE$42=$CE13)*$DD$3:$DD$42)+SUMPRODUCT(($DB$3:$DB$42=$CE15)*($DE$3:$DE$42=$CE14)*$DC$3:$DC$42)+SUMPRODUCT(($DB$3:$DB$42=$CE11)*($DE$3:$DE$42=$CE14)*$DC$3:$DC$42)+SUMPRODUCT(($DB$3:$DB$42=$CE12)*($DE$3:$DE$42=$CE14)*$DC$3:$DC$42)+SUMPRODUCT(($DB$3:$DB$42=$CE13)*($DE$3:$DE$42=$CE14)*$DC$3:$DC$42)</f>
        <v>0</v>
      </c>
      <c r="CK14" s="191">
        <f>CI14-CJ14+1000</f>
        <v>1000</v>
      </c>
      <c r="CL14" s="191" t="str">
        <f t="shared" ref="CL14:CL15" si="96">IF(CE14&lt;&gt;"",CF14*3+CG14*1,"")</f>
        <v/>
      </c>
      <c r="CM14" s="191" t="str">
        <f t="shared" ref="CM14:CM15" si="97">IF(CE14&lt;&gt;"",VLOOKUP(CE14,$B$4:$H$40,7,FALSE),"")</f>
        <v/>
      </c>
      <c r="CN14" s="191" t="str">
        <f t="shared" ref="CN14:CN15" si="98">IF(CE14&lt;&gt;"",VLOOKUP(CE14,$B$4:$H$40,5,FALSE),"")</f>
        <v/>
      </c>
      <c r="CO14" s="191" t="str">
        <f t="shared" ref="CO14:CO15" si="99">IF(CE14&lt;&gt;"",VLOOKUP(CE14,$B$4:$J$40,9,FALSE),"")</f>
        <v/>
      </c>
      <c r="CP14" s="191" t="str">
        <f t="shared" ref="CP14:CP15" si="100">CL14</f>
        <v/>
      </c>
      <c r="CQ14" s="191" t="str">
        <f>IF(CE14&lt;&gt;"",RANK(CP14,CP$11:CP$15),"")</f>
        <v/>
      </c>
      <c r="CR14" s="191" t="str">
        <f t="shared" ref="CR14:CR15" si="101">IF(CE14&lt;&gt;"",SUMPRODUCT((CP$11:CP$15=CP14)*(CK$11:CK$15&gt;CK14)),"")</f>
        <v/>
      </c>
      <c r="CS14" s="191" t="str">
        <f t="shared" ref="CS14:CS15" si="102">IF(CE14&lt;&gt;"",SUMPRODUCT((CP$11:CP$15=CP14)*(CK$11:CK$15=CK14)*(CI$11:CI$15&gt;CI14)),"")</f>
        <v/>
      </c>
      <c r="CT14" s="191" t="str">
        <f t="shared" ref="CT14:CT15" si="103">IF(CE14&lt;&gt;"",SUMPRODUCT((CP$11:CP$15=CP14)*(CK$11:CK$15=CK14)*(CI$11:CI$15=CI14)*(CM$11:CM$15&gt;CM14)),"")</f>
        <v/>
      </c>
      <c r="CU14" s="191" t="str">
        <f t="shared" ref="CU14:CU15" si="104">IF(CE14&lt;&gt;"",SUMPRODUCT((CP$11:CP$15=CP14)*(CK$11:CK$15=CK14)*(CI$11:CI$15=CI14)*(CM$11:CM$15=CM14)*(CN$11:CN$15&gt;CN14)),"")</f>
        <v/>
      </c>
      <c r="CV14" s="191" t="str">
        <f t="shared" ref="CV14:CV15" si="105">IF(CE14&lt;&gt;"",SUMPRODUCT((CP$11:CP$15=CP14)*(CK$11:CK$15=CK14)*(CI$11:CI$15=CI14)*(CM$11:CM$15=CM14)*(CN$11:CN$15=CN14)*(CO$11:CO$15&gt;CO14)),"")</f>
        <v/>
      </c>
      <c r="CW14" s="191" t="str">
        <f>IF(CE14&lt;&gt;"",SUM(CQ14:CV14)+3,"")</f>
        <v/>
      </c>
      <c r="CX14" s="191" t="str">
        <f>IF(CE14&lt;&gt;"",IF(CW14=4,CE14,CE15),"")</f>
        <v/>
      </c>
      <c r="CY14" s="191" t="str">
        <f>IF(CX14&lt;&gt;"",CX14,IF(CD14&lt;&gt;"",CD14,IF(BJ14&lt;&gt;"",BJ14,IF(AP14&lt;&gt;"",AP14,P14))))</f>
        <v>Venezuela</v>
      </c>
      <c r="CZ14" s="191">
        <v>4</v>
      </c>
      <c r="DA14" s="191">
        <v>12</v>
      </c>
      <c r="DB14" s="191" t="str">
        <f>Matches!F18</f>
        <v>Argentina</v>
      </c>
      <c r="DC14" s="191">
        <f>IF(AND(Matches!H18&lt;&gt;"",Matches!I18&lt;&gt;""),Matches!H18,0)</f>
        <v>0</v>
      </c>
      <c r="DD14" s="191">
        <f>IF(AND(Matches!I18&lt;&gt;"",Matches!H18&lt;&gt;""),Matches!I18,0)</f>
        <v>0</v>
      </c>
      <c r="DE14" s="191" t="str">
        <f>Matches!K18</f>
        <v>Paraguay</v>
      </c>
      <c r="DF14" s="191" t="str">
        <f>IF(AND(Matches!H18&lt;&gt;"",Matches!I18&lt;&gt;""),IF(DC14&gt;DD14,"W",IF(DC14=DD14,"D","L")),"")</f>
        <v/>
      </c>
      <c r="DG14" s="191" t="str">
        <f t="shared" si="0"/>
        <v/>
      </c>
      <c r="DJ14" s="201"/>
      <c r="DR14" s="195"/>
      <c r="DS14" s="196"/>
      <c r="DT14" s="197" t="str">
        <f>Setup!C16</f>
        <v>Venezuela</v>
      </c>
      <c r="DU14" s="198" t="s">
        <v>433</v>
      </c>
      <c r="DV14" s="197" t="str">
        <f>"'Dummy Table'!"&amp;VLOOKUP(Matches!Q16,$DT$7:$DU$38,2,FALSE)</f>
        <v>'Dummy Table'!DS16</v>
      </c>
      <c r="DX14" s="199">
        <v>44365.875</v>
      </c>
      <c r="DY14" s="200">
        <f t="shared" si="54"/>
        <v>44365.875</v>
      </c>
      <c r="EA14" s="191">
        <v>-9</v>
      </c>
    </row>
    <row r="15" spans="1:131" x14ac:dyDescent="0.35">
      <c r="A15" s="191">
        <f>VLOOKUP(B15,$CY$11:$CZ$15,2,FALSE)</f>
        <v>3</v>
      </c>
      <c r="B15" s="191" t="str">
        <f>'Dummy Table'!DT16</f>
        <v>Peru</v>
      </c>
      <c r="C15" s="191">
        <f>SUMPRODUCT(($DB$3:$DB$42=$B15)*($DF$3:$DF$42="W"))+SUMPRODUCT(($DE$3:$DE$42=$B15)*($DG$3:$DG$42="W"))</f>
        <v>0</v>
      </c>
      <c r="D15" s="191">
        <f>SUMPRODUCT(($DB$3:$DB$42=$B15)*($DF$3:$DF$42="D"))+SUMPRODUCT(($DE$3:$DE$42=$B15)*($DG$3:$DG$42="D"))</f>
        <v>0</v>
      </c>
      <c r="E15" s="191">
        <f>SUMPRODUCT(($DB$3:$DB$42=$B15)*($DF$3:$DF$42="L"))+SUMPRODUCT(($DE$3:$DE$42=$B15)*($DG$3:$DG$42="L"))</f>
        <v>0</v>
      </c>
      <c r="F15" s="191">
        <f>SUMIF($DB$3:$DB$60,B15,$DC$3:$DC$60)+SUMIF($DE$3:$DE$60,B15,$DD$3:$DD$60)</f>
        <v>0</v>
      </c>
      <c r="G15" s="191">
        <f>SUMIF($DE$3:$DE$60,B15,$DC$3:$DC$60)+SUMIF($DB$3:$DB$60,B15,$DD$3:$DD$60)</f>
        <v>0</v>
      </c>
      <c r="H15" s="191">
        <f t="shared" si="55"/>
        <v>1000</v>
      </c>
      <c r="I15" s="191">
        <f t="shared" si="56"/>
        <v>0</v>
      </c>
      <c r="J15" s="191">
        <v>5</v>
      </c>
      <c r="K15" s="191">
        <f t="shared" si="63"/>
        <v>1</v>
      </c>
      <c r="L15" s="191">
        <f t="shared" si="64"/>
        <v>0</v>
      </c>
      <c r="M15" s="191">
        <f t="shared" si="65"/>
        <v>0</v>
      </c>
      <c r="N15" s="191">
        <f t="shared" si="57"/>
        <v>1</v>
      </c>
      <c r="O15" s="191">
        <f t="shared" si="66"/>
        <v>3</v>
      </c>
      <c r="P15" s="191" t="str">
        <f>INDEX($B$11:$B$15,MATCH(5,$O$11:$O$15,0),0)</f>
        <v>Brazil</v>
      </c>
      <c r="Q15" s="191">
        <f t="shared" si="67"/>
        <v>1</v>
      </c>
      <c r="R15" s="191" t="str">
        <f>IF(AND(R14&lt;&gt;"",Q15=1),P15,"")</f>
        <v>Brazil</v>
      </c>
      <c r="W15" s="191" t="str">
        <f t="shared" si="68"/>
        <v>Brazil</v>
      </c>
      <c r="X15" s="191">
        <f>SUMPRODUCT(($DB$3:$DB$42=$W14)*($DE$3:$DE$42=$W15)*($DF$3:$DF$42="W"))+SUMPRODUCT(($DB$3:$DB$42=$W15)*($DE$3:$DE$42=$W11)*($DF$3:$DF$42="W"))+SUMPRODUCT(($DB$3:$DB$42=$W15)*($DE$3:$DE$42=$W12)*($DF$3:$DF$42="W"))+SUMPRODUCT(($DB$3:$DB$42=$W15)*($DE$3:$DE$42=$W13)*($DF$3:$DF$42="W"))+SUMPRODUCT(($DB$3:$DB$42=$W15)*($DE$3:$DE$42=$W14)*($DG$3:$DG$42="W"))+SUMPRODUCT(($DB$3:$DB$42=$W11)*($DE$3:$DE$42=$W15)*($DG$3:$DG$42="W"))+SUMPRODUCT(($DB$3:$DB$42=$W12)*($DE$3:$DE$42=$W15)*($DG$3:$DG$42="W"))+SUMPRODUCT(($DB$3:$DB$42=$W13)*($DE$3:$DE$42=$W15)*($DG$3:$DG$42="W"))</f>
        <v>0</v>
      </c>
      <c r="Y15" s="191">
        <f>SUMPRODUCT(($DB$3:$DB$42=$W14)*($DE$3:$DE$42=$W15)*($DF$3:$DF$42="D"))+SUMPRODUCT(($DB$3:$DB$42=$W15)*($DE$3:$DE$42=$W11)*($DF$3:$DF$42="D"))+SUMPRODUCT(($DB$3:$DB$42=$W15)*($DE$3:$DE$42=$W12)*($DF$3:$DF$42="D"))+SUMPRODUCT(($DB$3:$DB$42=$W15)*($DE$3:$DE$42=$W13)*($DF$3:$DF$42="D"))+SUMPRODUCT(($DB$3:$DB$42=$W15)*($DE$3:$DE$42=$W14)*($DF$3:$DF$42="D"))+SUMPRODUCT(($DB$3:$DB$42=$W11)*($DE$3:$DE$42=$W15)*($DF$3:$DF$42="D"))+SUMPRODUCT(($DB$3:$DB$42=$W12)*($DE$3:$DE$42=$W15)*($DF$3:$DF$42="D"))+SUMPRODUCT(($DB$3:$DB$42=$W13)*($DE$3:$DE$42=$W15)*($DF$3:$DF$42="D"))</f>
        <v>0</v>
      </c>
      <c r="Z15" s="191">
        <f>SUMPRODUCT(($DB$3:$DB$42=$W14)*($DE$3:$DE$42=$W15)*($DF$3:$DF$42="L"))+SUMPRODUCT(($DB$3:$DB$42=$W15)*($DE$3:$DE$42=$W11)*($DF$3:$DF$42="L"))+SUMPRODUCT(($DB$3:$DB$42=$W15)*($DE$3:$DE$42=$W12)*($DF$3:$DF$42="L"))+SUMPRODUCT(($DB$3:$DB$42=$W15)*($DE$3:$DE$42=$W13)*($DF$3:$DF$42="L"))+SUMPRODUCT(($DB$3:$DB$42=$W15)*($DE$3:$DE$42=$W14)*($DG$3:$DG$42="L"))+SUMPRODUCT(($DB$3:$DB$42=$W11)*($DE$3:$DE$42=$W15)*($DG$3:$DG$42="L"))+SUMPRODUCT(($DB$3:$DB$42=$W12)*($DE$3:$DE$42=$W15)*($DG$3:$DG$42="L"))+SUMPRODUCT(($DB$3:$DB$42=$W13)*($DE$3:$DE$42=$W15)*($DG$3:$DG$42="L"))</f>
        <v>0</v>
      </c>
      <c r="AA15" s="191">
        <f>SUMPRODUCT(($DB$3:$DB$42=$W14)*($DE$3:$DE$42=$W15)*$DC$3:$DC$42)+SUMPRODUCT(($DB$3:$DB$42=$W15)*($DE$3:$DE$42=$W11)*$DC$3:$DC$42)+SUMPRODUCT(($DB$3:$DB$42=$W15)*($DE$3:$DE$42=$W12)*$DC$3:$DC$42)+SUMPRODUCT(($DB$3:$DB$42=$W15)*($DE$3:$DE$42=$W13)*$DC$3:$DC$42)+SUMPRODUCT(($DB$3:$DB$42=$W15)*($DE$3:$DE$42=$W14)*$DD$3:$DD$42)+SUMPRODUCT(($DB$3:$DB$42=$W11)*($DE$3:$DE$42=$W15)*$DD$3:$DD$42)+SUMPRODUCT(($DB$3:$DB$42=$W12)*($DE$3:$DE$42=$W15)*$DD$3:$DD$42)+SUMPRODUCT(($DB$3:$DB$42=$W13)*($DE$3:$DE$42=$W15)*$DD$3:$DD$42)</f>
        <v>0</v>
      </c>
      <c r="AB15" s="191">
        <f>SUMPRODUCT(($DB$3:$DB$42=$W14)*($DE$3:$DE$42=$W15)*$DD$3:$DD$42)+SUMPRODUCT(($DB$3:$DB$42=$W15)*($DE$3:$DE$42=$W11)*$DD$3:$DD$42)+SUMPRODUCT(($DB$3:$DB$42=$W15)*($DE$3:$DE$42=$W12)*$DD$3:$DD$42)+SUMPRODUCT(($DB$3:$DB$42=$W15)*($DE$3:$DE$42=$W13)*$DD$3:$DD$42)+SUMPRODUCT(($DB$3:$DB$42=$W15)*($DE$3:$DE$42=$W14)*$DC$3:$DC$42)+SUMPRODUCT(($DB$3:$DB$42=$W11)*($DE$3:$DE$42=$W15)*$DC$3:$DC$42)+SUMPRODUCT(($DB$3:$DB$42=$W12)*($DE$3:$DE$42=$W15)*$DC$3:$DC$42)+SUMPRODUCT(($DB$3:$DB$42=$W13)*($DE$3:$DE$42=$W15)*$DC$3:$DC$42)</f>
        <v>0</v>
      </c>
      <c r="AC15" s="191">
        <f>AA15-AB15+1000</f>
        <v>1000</v>
      </c>
      <c r="AD15" s="191">
        <f t="shared" si="58"/>
        <v>0</v>
      </c>
      <c r="AE15" s="191">
        <f t="shared" si="59"/>
        <v>1000</v>
      </c>
      <c r="AF15" s="191">
        <f t="shared" si="60"/>
        <v>0</v>
      </c>
      <c r="AG15" s="191">
        <f t="shared" si="61"/>
        <v>10</v>
      </c>
      <c r="AH15" s="191">
        <f t="shared" si="62"/>
        <v>0</v>
      </c>
      <c r="AI15" s="191">
        <f>IF(W15&lt;&gt;"",RANK(AH15,AH$11:AH$15),"")</f>
        <v>1</v>
      </c>
      <c r="AJ15" s="191">
        <f t="shared" si="69"/>
        <v>0</v>
      </c>
      <c r="AK15" s="191">
        <f t="shared" si="70"/>
        <v>0</v>
      </c>
      <c r="AL15" s="191">
        <f t="shared" si="71"/>
        <v>0</v>
      </c>
      <c r="AM15" s="191">
        <f t="shared" si="72"/>
        <v>0</v>
      </c>
      <c r="AN15" s="191">
        <f t="shared" si="73"/>
        <v>0</v>
      </c>
      <c r="AO15" s="191">
        <f t="shared" si="74"/>
        <v>1</v>
      </c>
      <c r="AP15" s="191" t="str">
        <f>IF(W15&lt;&gt;"",INDEX($W$11:$W$15,MATCH(5,$AO$11:$AO$15,0),0),"")</f>
        <v>Ecuador</v>
      </c>
      <c r="AQ15" s="191" t="str">
        <f>IF(S14&lt;&gt;"",S14,"")</f>
        <v/>
      </c>
      <c r="AR15" s="191" t="str">
        <f>IF($AQ15&lt;&gt;"",SUMPRODUCT(($DB$3:$DB$42=$AQ15)*($DE$3:$DE$42=$AQ16)*($DF$3:$DF$42="W"))+SUMPRODUCT(($DB$3:$DB$42=$AQ15)*($DE$3:$DE$42=$AQ13)*($DF$3:$DF$42="W"))+SUMPRODUCT(($DB$3:$DB$42=$AQ15)*($DE$3:$DE$42=$AQ14)*($DF$3:$DF$42="W"))+SUMPRODUCT(($DB$3:$DB$42=$AQ16)*($DE$3:$DE$42=$AQ15)*($DG$3:$DG$42="W"))+SUMPRODUCT(($DB$3:$DB$42=$AQ13)*($DE$3:$DE$42=$AQ15)*($DG$3:$DG$42="W"))+SUMPRODUCT(($DB$3:$DB$42=$AQ14)*($DE$3:$DE$42=$AQ15)*($DG$3:$DG$42="W")),"")</f>
        <v/>
      </c>
      <c r="AS15" s="191" t="str">
        <f>IF($AQ15&lt;&gt;"",SUMPRODUCT(($DB$3:$DB$42=$AQ15)*($DE$3:$DE$42=$AQ16)*($DF$3:$DF$42="D"))+SUMPRODUCT(($DB$3:$DB$42=$AQ15)*($DE$3:$DE$42=$AQ13)*($DF$3:$DF$42="D"))+SUMPRODUCT(($DB$3:$DB$42=$AQ15)*($DE$3:$DE$42=$AQ14)*($DF$3:$DF$42="D"))+SUMPRODUCT(($DB$3:$DB$42=$AQ16)*($DE$3:$DE$42=$AQ15)*($DF$3:$DF$42="D"))+SUMPRODUCT(($DB$3:$DB$42=$AQ13)*($DE$3:$DE$42=$AQ15)*($DF$3:$DF$42="D"))+SUMPRODUCT(($DB$3:$DB$42=$AQ14)*($DE$3:$DE$42=$AQ15)*($DF$3:$DF$42="D")),"")</f>
        <v/>
      </c>
      <c r="AT15" s="191" t="str">
        <f>IF($AQ15&lt;&gt;"",SUMPRODUCT(($DB$3:$DB$42=$AQ15)*($DE$3:$DE$42=$AQ16)*($DF$3:$DF$42="L"))+SUMPRODUCT(($DB$3:$DB$42=$AQ15)*($DE$3:$DE$42=$AQ13)*($DF$3:$DF$42="L"))+SUMPRODUCT(($DB$3:$DB$42=$AQ15)*($DE$3:$DE$42=$AQ14)*($DF$3:$DF$42="L"))+SUMPRODUCT(($DB$3:$DB$42=$AQ16)*($DE$3:$DE$42=$AQ15)*($DG$3:$DG$42="L"))+SUMPRODUCT(($DB$3:$DB$42=$AQ13)*($DE$3:$DE$42=$AQ15)*($DG$3:$DG$42="L"))+SUMPRODUCT(($DB$3:$DB$42=$AQ14)*($DE$3:$DE$42=$AQ15)*($DG$3:$DG$42="L")),"")</f>
        <v/>
      </c>
      <c r="AU15" s="191">
        <f>SUMPRODUCT(($DB$3:$DB$42=$AQ15)*($DE$3:$DE$42=$AQ16)*$DC$3:$DC$42)+SUMPRODUCT(($DB$3:$DB$42=$AQ15)*($DE$3:$DE$42=$AQ12)*$DC$3:$DC$42)+SUMPRODUCT(($DB$3:$DB$42=$AQ15)*($DE$3:$DE$42=$AQ13)*$DC$3:$DC$42)+SUMPRODUCT(($DB$3:$DB$42=$AQ15)*($DE$3:$DE$42=$AQ14)*$DC$3:$DC$42)+SUMPRODUCT(($DB$3:$DB$42=$AQ16)*($DE$3:$DE$42=$AQ15)*$DD$3:$DD$42)+SUMPRODUCT(($DB$3:$DB$42=$AQ12)*($DE$3:$DE$42=$AQ15)*$DD$3:$DD$42)+SUMPRODUCT(($DB$3:$DB$42=$AQ13)*($DE$3:$DE$42=$AQ15)*$DD$3:$DD$42)+SUMPRODUCT(($DB$3:$DB$42=$AQ14)*($DE$3:$DE$42=$AQ15)*$DD$3:$DD$42)</f>
        <v>0</v>
      </c>
      <c r="AV15" s="191">
        <f>SUMPRODUCT(($DB$3:$DB$42=$AQ15)*($DE$3:$DE$42=$AQ16)*$DD$3:$DD$42)+SUMPRODUCT(($DB$3:$DB$42=$AQ15)*($DE$3:$DE$42=$AQ12)*$DD$3:$DD$42)+SUMPRODUCT(($DB$3:$DB$42=$AQ15)*($DE$3:$DE$42=$AQ13)*$DD$3:$DD$42)+SUMPRODUCT(($DB$3:$DB$42=$AQ15)*($DE$3:$DE$42=$AQ14)*$DD$3:$DD$42)+SUMPRODUCT(($DB$3:$DB$42=$AQ16)*($DE$3:$DE$42=$AQ15)*$DC$3:$DC$42)+SUMPRODUCT(($DB$3:$DB$42=$AQ12)*($DE$3:$DE$42=$AQ15)*$DC$3:$DC$42)+SUMPRODUCT(($DB$3:$DB$42=$AQ13)*($DE$3:$DE$42=$AQ15)*$DC$3:$DC$42)+SUMPRODUCT(($DB$3:$DB$42=$AQ14)*($DE$3:$DE$42=$AQ15)*$DC$3:$DC$42)</f>
        <v>0</v>
      </c>
      <c r="AW15" s="191">
        <f>AU15-AV15+1000</f>
        <v>1000</v>
      </c>
      <c r="AX15" s="191" t="str">
        <f t="shared" si="75"/>
        <v/>
      </c>
      <c r="AY15" s="191" t="str">
        <f t="shared" si="76"/>
        <v/>
      </c>
      <c r="AZ15" s="191" t="str">
        <f t="shared" si="77"/>
        <v/>
      </c>
      <c r="BA15" s="191" t="str">
        <f t="shared" si="78"/>
        <v/>
      </c>
      <c r="BB15" s="191" t="str">
        <f t="shared" si="79"/>
        <v/>
      </c>
      <c r="BC15" s="191" t="str">
        <f>IF(AQ15&lt;&gt;"",RANK(BB15,BB$11:BB$15),"")</f>
        <v/>
      </c>
      <c r="BD15" s="191" t="str">
        <f t="shared" si="80"/>
        <v/>
      </c>
      <c r="BE15" s="191" t="str">
        <f t="shared" si="81"/>
        <v/>
      </c>
      <c r="BF15" s="191" t="str">
        <f t="shared" si="82"/>
        <v/>
      </c>
      <c r="BG15" s="191" t="str">
        <f t="shared" si="83"/>
        <v/>
      </c>
      <c r="BH15" s="191" t="str">
        <f t="shared" si="84"/>
        <v/>
      </c>
      <c r="BI15" s="191" t="str">
        <f t="shared" ref="BI15" si="106">IF(AQ15&lt;&gt;"",IF(BI55&lt;&gt;"",IF(AP$50=3,BI55,BI55+AP$50),SUM(BC15:BH15)+1),"")</f>
        <v/>
      </c>
      <c r="BJ15" s="191" t="str">
        <f>IF(AQ15&lt;&gt;"",INDEX(AQ13:AQ16,MATCH(4,BI13:BI16,0),0),"")</f>
        <v/>
      </c>
      <c r="BK15" s="191" t="str">
        <f>IF(T13&lt;&gt;"",T13,"")</f>
        <v/>
      </c>
      <c r="BL15" s="191">
        <f>SUMPRODUCT(($DB$3:$DB$42=$BK15)*($DE$3:$DE$42=$BK16)*($DF$3:$DF$42="W"))+SUMPRODUCT(($DB$3:$DB$42=$BK15)*($DE$3:$DE$42=$BK17)*($DF$3:$DF$42="W"))+SUMPRODUCT(($DB$3:$DB$42=$BK15)*($DE$3:$DE$42=$BK14)*($DF$3:$DF$42="W"))+SUMPRODUCT(($DB$3:$DB$42=$BK16)*($DE$3:$DE$42=$BK15)*($DG$3:$DG$42="W"))+SUMPRODUCT(($DB$3:$DB$42=$BK17)*($DE$3:$DE$42=$BK15)*($DG$3:$DG$42="W"))+SUMPRODUCT(($DB$3:$DB$42=$BK14)*($DE$3:$DE$42=$BK15)*($DG$3:$DG$42="W"))</f>
        <v>0</v>
      </c>
      <c r="BM15" s="191">
        <f>SUMPRODUCT(($DB$3:$DB$42=$BK15)*($DE$3:$DE$42=$BK16)*($DF$3:$DF$42="D"))+SUMPRODUCT(($DB$3:$DB$42=$BK15)*($DE$3:$DE$42=$BK17)*($DF$3:$DF$42="D"))+SUMPRODUCT(($DB$3:$DB$42=$BK15)*($DE$3:$DE$42=$BK14)*($DF$3:$DF$42="D"))+SUMPRODUCT(($DB$3:$DB$42=$BK16)*($DE$3:$DE$42=$BK15)*($DF$3:$DF$42="D"))+SUMPRODUCT(($DB$3:$DB$42=$BK17)*($DE$3:$DE$42=$BK15)*($DF$3:$DF$42="D"))+SUMPRODUCT(($DB$3:$DB$42=$BK14)*($DE$3:$DE$42=$BK15)*($DF$3:$DF$42="D"))</f>
        <v>0</v>
      </c>
      <c r="BN15" s="191">
        <f>SUMPRODUCT(($DB$3:$DB$42=$BK15)*($DE$3:$DE$42=$BK16)*($DF$3:$DF$42="L"))+SUMPRODUCT(($DB$3:$DB$42=$BK15)*($DE$3:$DE$42=$BK17)*($DF$3:$DF$42="L"))+SUMPRODUCT(($DB$3:$DB$42=$BK15)*($DE$3:$DE$42=$BK14)*($DF$3:$DF$42="L"))+SUMPRODUCT(($DB$3:$DB$42=$BK16)*($DE$3:$DE$42=$BK15)*($DG$3:$DG$42="L"))+SUMPRODUCT(($DB$3:$DB$42=$BK17)*($DE$3:$DE$42=$BK15)*($DG$3:$DG$42="L"))+SUMPRODUCT(($DB$3:$DB$42=$BK14)*($DE$3:$DE$42=$BK15)*($DG$3:$DG$42="L"))</f>
        <v>0</v>
      </c>
      <c r="BO15" s="191">
        <f>SUMPRODUCT(($DB$3:$DB$42=$BK15)*($DE$3:$DE$42=$BK16)*$DC$3:$DC$42)+SUMPRODUCT(($DB$3:$DB$42=$BK15)*($DE$3:$DE$42=$BK12)*$DC$3:$DC$42)+SUMPRODUCT(($DB$3:$DB$42=$BK15)*($DE$3:$DE$42=$BK13)*$DC$3:$DC$42)+SUMPRODUCT(($DB$3:$DB$42=$BK15)*($DE$3:$DE$42=$BK14)*$DC$3:$DC$42)+SUMPRODUCT(($DB$3:$DB$42=$BK16)*($DE$3:$DE$42=$BK15)*$DD$3:$DD$42)+SUMPRODUCT(($DB$3:$DB$42=$BK12)*($DE$3:$DE$42=$BK15)*$DD$3:$DD$42)+SUMPRODUCT(($DB$3:$DB$42=$BK13)*($DE$3:$DE$42=$BK15)*$DD$3:$DD$42)+SUMPRODUCT(($DB$3:$DB$42=$BK14)*($DE$3:$DE$42=$BK15)*$DD$3:$DD$42)</f>
        <v>0</v>
      </c>
      <c r="BP15" s="191">
        <f>SUMPRODUCT(($DB$3:$DB$42=$BK15)*($DE$3:$DE$42=$BK16)*$DD$3:$DD$42)+SUMPRODUCT(($DB$3:$DB$42=$BK15)*($DE$3:$DE$42=$BK12)*$DD$3:$DD$42)+SUMPRODUCT(($DB$3:$DB$42=$BK15)*($DE$3:$DE$42=$BK13)*$DD$3:$DD$42)+SUMPRODUCT(($DB$3:$DB$42=$BK15)*($DE$3:$DE$42=$BK14)*$DD$3:$DD$42)+SUMPRODUCT(($DB$3:$DB$42=$BK16)*($DE$3:$DE$42=$BK15)*$DC$3:$DC$42)+SUMPRODUCT(($DB$3:$DB$42=$BK12)*($DE$3:$DE$42=$BK15)*$DC$3:$DC$42)+SUMPRODUCT(($DB$3:$DB$42=$BK13)*($DE$3:$DE$42=$BK15)*$DC$3:$DC$42)+SUMPRODUCT(($DB$3:$DB$42=$BK14)*($DE$3:$DE$42=$BK15)*$DC$3:$DC$42)</f>
        <v>0</v>
      </c>
      <c r="BQ15" s="191">
        <f>BO15-BP15+1000</f>
        <v>1000</v>
      </c>
      <c r="BR15" s="191" t="str">
        <f t="shared" si="86"/>
        <v/>
      </c>
      <c r="BS15" s="191" t="str">
        <f t="shared" si="87"/>
        <v/>
      </c>
      <c r="BT15" s="191" t="str">
        <f t="shared" si="88"/>
        <v/>
      </c>
      <c r="BU15" s="191" t="str">
        <f t="shared" si="89"/>
        <v/>
      </c>
      <c r="BV15" s="191" t="str">
        <f t="shared" si="90"/>
        <v/>
      </c>
      <c r="BW15" s="191" t="str">
        <f>IF(BK15&lt;&gt;"",RANK(BV15,BV$11:BV$15),"")</f>
        <v/>
      </c>
      <c r="BX15" s="191" t="str">
        <f t="shared" si="91"/>
        <v/>
      </c>
      <c r="BY15" s="191" t="str">
        <f t="shared" si="92"/>
        <v/>
      </c>
      <c r="BZ15" s="191" t="str">
        <f t="shared" si="93"/>
        <v/>
      </c>
      <c r="CA15" s="191" t="str">
        <f t="shared" si="94"/>
        <v/>
      </c>
      <c r="CB15" s="191" t="str">
        <f t="shared" si="95"/>
        <v/>
      </c>
      <c r="CC15" s="191" t="str">
        <f>IF(BK15&lt;&gt;"",SUM(BW15:CB15)+2,"")</f>
        <v/>
      </c>
      <c r="CD15" s="191" t="str">
        <f>IF(BK15&lt;&gt;"",INDEX(BK13:BK15,MATCH(5,CC13:CC15,0),0),"")</f>
        <v/>
      </c>
      <c r="CE15" s="191" t="str">
        <f>IF(U12&lt;&gt;"",U12,"")</f>
        <v/>
      </c>
      <c r="CF15" s="191">
        <f>SUMPRODUCT(($DB$3:$DB$42=$CE15)*($DE$3:$DE$42=$CE16)*($DF$3:$DF$42="W"))+SUMPRODUCT(($DB$3:$DB$42=$CE15)*($DE$3:$DE$42=$CE17)*($DF$3:$DF$42="W"))+SUMPRODUCT(($DB$3:$DB$42=$CE15)*($DE$3:$DE$42=$CE18)*($DF$3:$DF$42="W"))+SUMPRODUCT(($DB$3:$DB$42=$CE16)*($DE$3:$DE$42=$CE15)*($DG$3:$DG$42="W"))+SUMPRODUCT(($DB$3:$DB$42=$CE17)*($DE$3:$DE$42=$CE15)*($DG$3:$DG$42="W"))+SUMPRODUCT(($DB$3:$DB$42=$CE18)*($DE$3:$DE$42=$CE15)*($DG$3:$DG$42="W"))</f>
        <v>0</v>
      </c>
      <c r="CG15" s="191">
        <f>SUMPRODUCT(($DB$3:$DB$42=$CE15)*($DE$3:$DE$42=$CE16)*($DF$3:$DF$42="D"))+SUMPRODUCT(($DB$3:$DB$42=$CE15)*($DE$3:$DE$42=$CE17)*($DF$3:$DF$42="D"))+SUMPRODUCT(($DB$3:$DB$42=$CE15)*($DE$3:$DE$42=$CE18)*($DF$3:$DF$42="D"))+SUMPRODUCT(($DB$3:$DB$42=$CE16)*($DE$3:$DE$42=$CE15)*($DF$3:$DF$42="D"))+SUMPRODUCT(($DB$3:$DB$42=$CE17)*($DE$3:$DE$42=$CE15)*($DF$3:$DF$42="D"))+SUMPRODUCT(($DB$3:$DB$42=$CE18)*($DE$3:$DE$42=$CE15)*($DF$3:$DF$42="D"))</f>
        <v>0</v>
      </c>
      <c r="CH15" s="191">
        <f>SUMPRODUCT(($DB$3:$DB$42=$CE15)*($DE$3:$DE$42=$CE16)*($DF$3:$DF$42="L"))+SUMPRODUCT(($DB$3:$DB$42=$CE15)*($DE$3:$DE$42=$CE17)*($DF$3:$DF$42="L"))+SUMPRODUCT(($DB$3:$DB$42=$CE15)*($DE$3:$DE$42=$CE18)*($DF$3:$DF$42="L"))+SUMPRODUCT(($DB$3:$DB$42=$CE16)*($DE$3:$DE$42=$CE15)*($DG$3:$DG$42="L"))+SUMPRODUCT(($DB$3:$DB$42=$CE17)*($DE$3:$DE$42=$CE15)*($DG$3:$DG$42="L"))+SUMPRODUCT(($DB$3:$DB$42=$CE18)*($DE$3:$DE$42=$CE15)*($DG$3:$DG$42="L"))</f>
        <v>0</v>
      </c>
      <c r="CI15" s="191">
        <f>SUMPRODUCT(($DB$3:$DB$42=$CE15)*($DE$3:$DE$42=$CE16)*$DC$3:$DC$42)+SUMPRODUCT(($DB$3:$DB$42=$CE15)*($DE$3:$DE$42=$CE12)*$DC$3:$DC$42)+SUMPRODUCT(($DB$3:$DB$42=$CE15)*($DE$3:$DE$42=$CE13)*$DC$3:$DC$42)+SUMPRODUCT(($DB$3:$DB$42=$CE15)*($DE$3:$DE$42=$CE14)*$DC$3:$DC$42)+SUMPRODUCT(($DB$3:$DB$42=$CE16)*($DE$3:$DE$42=$CE15)*$DD$3:$DD$42)+SUMPRODUCT(($DB$3:$DB$42=$CE12)*($DE$3:$DE$42=$CE15)*$DD$3:$DD$42)+SUMPRODUCT(($DB$3:$DB$42=$CE13)*($DE$3:$DE$42=$CE15)*$DD$3:$DD$42)+SUMPRODUCT(($DB$3:$DB$42=$CE14)*($DE$3:$DE$42=$CE15)*$DD$3:$DD$42)</f>
        <v>0</v>
      </c>
      <c r="CJ15" s="191">
        <f>SUMPRODUCT(($DB$3:$DB$42=$CE15)*($DE$3:$DE$42=$CE16)*$DD$3:$DD$42)+SUMPRODUCT(($DB$3:$DB$42=$CE15)*($DE$3:$DE$42=$CE12)*$DD$3:$DD$42)+SUMPRODUCT(($DB$3:$DB$42=$CE15)*($DE$3:$DE$42=$CE13)*$DD$3:$DD$42)+SUMPRODUCT(($DB$3:$DB$42=$CE15)*($DE$3:$DE$42=$CE14)*$DD$3:$DD$42)+SUMPRODUCT(($DB$3:$DB$42=$CE16)*($DE$3:$DE$42=$CE15)*$DC$3:$DC$42)+SUMPRODUCT(($DB$3:$DB$42=$CE12)*($DE$3:$DE$42=$CE15)*$DC$3:$DC$42)+SUMPRODUCT(($DB$3:$DB$42=$CE13)*($DE$3:$DE$42=$CE15)*$DC$3:$DC$42)+SUMPRODUCT(($DB$3:$DB$42=$CE14)*($DE$3:$DE$42=$CE15)*$DC$3:$DC$42)</f>
        <v>0</v>
      </c>
      <c r="CK15" s="191">
        <f>CI15-CJ15+1000</f>
        <v>1000</v>
      </c>
      <c r="CL15" s="191" t="str">
        <f t="shared" si="96"/>
        <v/>
      </c>
      <c r="CM15" s="191" t="str">
        <f t="shared" si="97"/>
        <v/>
      </c>
      <c r="CN15" s="191" t="str">
        <f t="shared" si="98"/>
        <v/>
      </c>
      <c r="CO15" s="191" t="str">
        <f t="shared" si="99"/>
        <v/>
      </c>
      <c r="CP15" s="191" t="str">
        <f t="shared" si="100"/>
        <v/>
      </c>
      <c r="CQ15" s="191" t="str">
        <f>IF(CE15&lt;&gt;"",RANK(CP15,CP$11:CP$15),"")</f>
        <v/>
      </c>
      <c r="CR15" s="191" t="str">
        <f t="shared" si="101"/>
        <v/>
      </c>
      <c r="CS15" s="191" t="str">
        <f t="shared" si="102"/>
        <v/>
      </c>
      <c r="CT15" s="191" t="str">
        <f t="shared" si="103"/>
        <v/>
      </c>
      <c r="CU15" s="191" t="str">
        <f t="shared" si="104"/>
        <v/>
      </c>
      <c r="CV15" s="191" t="str">
        <f t="shared" si="105"/>
        <v/>
      </c>
      <c r="CW15" s="191" t="str">
        <f>IF(CE15&lt;&gt;"",SUM(CQ15:CV15)+3,"")</f>
        <v/>
      </c>
      <c r="CX15" s="191" t="str">
        <f>IF(CX14=CE14,CE15,CE14)</f>
        <v/>
      </c>
      <c r="CY15" s="191" t="str">
        <f>IF(CX15&lt;&gt;"",CX15,IF(CD15&lt;&gt;"",CD15,IF(BJ15&lt;&gt;"",BJ15,IF(AP15&lt;&gt;"",AP15,P15))))</f>
        <v>Ecuador</v>
      </c>
      <c r="CZ15" s="191">
        <v>5</v>
      </c>
      <c r="DA15" s="191">
        <v>13</v>
      </c>
      <c r="DB15" s="191" t="str">
        <f>Matches!F19</f>
        <v>Ecuador</v>
      </c>
      <c r="DC15" s="191">
        <f>IF(AND(Matches!H19&lt;&gt;"",Matches!I19&lt;&gt;""),Matches!H19,0)</f>
        <v>0</v>
      </c>
      <c r="DD15" s="191">
        <f>IF(AND(Matches!I19&lt;&gt;"",Matches!H19&lt;&gt;""),Matches!I19,0)</f>
        <v>0</v>
      </c>
      <c r="DE15" s="191" t="str">
        <f>Matches!K19</f>
        <v>Peru</v>
      </c>
      <c r="DF15" s="191" t="str">
        <f>IF(AND(Matches!H19&lt;&gt;"",Matches!I19&lt;&gt;""),IF(DC15&gt;DD15,"W",IF(DC15=DD15,"D","L")),"")</f>
        <v/>
      </c>
      <c r="DG15" s="191" t="str">
        <f t="shared" si="0"/>
        <v/>
      </c>
      <c r="DJ15" s="201"/>
      <c r="DR15" s="195"/>
      <c r="DS15" s="196"/>
      <c r="DT15" s="197" t="str">
        <f>Setup!C17</f>
        <v>Ecuador</v>
      </c>
      <c r="DU15" s="198" t="s">
        <v>434</v>
      </c>
      <c r="DV15" s="197" t="str">
        <f>"'Dummy Table'!"&amp;VLOOKUP(Matches!Q17,$DT$7:$DU$38,2,FALSE)</f>
        <v>'Dummy Table'!DS14</v>
      </c>
      <c r="DX15" s="199">
        <v>44367.75</v>
      </c>
      <c r="DY15" s="200">
        <f t="shared" si="54"/>
        <v>44367.75</v>
      </c>
      <c r="EA15" s="191">
        <v>-8.5</v>
      </c>
    </row>
    <row r="16" spans="1:131" x14ac:dyDescent="0.35">
      <c r="DA16" s="191">
        <v>14</v>
      </c>
      <c r="DB16" s="191" t="str">
        <f>Matches!F20</f>
        <v>Brazil</v>
      </c>
      <c r="DC16" s="191">
        <f>IF(AND(Matches!H20&lt;&gt;"",Matches!I20&lt;&gt;""),Matches!H20,0)</f>
        <v>0</v>
      </c>
      <c r="DD16" s="191">
        <f>IF(AND(Matches!I20&lt;&gt;"",Matches!H20&lt;&gt;""),Matches!I20,0)</f>
        <v>0</v>
      </c>
      <c r="DE16" s="191" t="str">
        <f>Matches!K20</f>
        <v>Colombia</v>
      </c>
      <c r="DF16" s="191" t="str">
        <f>IF(AND(Matches!H20&lt;&gt;"",Matches!I20&lt;&gt;""),IF(DC16&gt;DD16,"W",IF(DC16=DD16,"D","L")),"")</f>
        <v/>
      </c>
      <c r="DG16" s="191" t="str">
        <f t="shared" si="0"/>
        <v/>
      </c>
      <c r="DJ16" s="201"/>
      <c r="DR16" s="195"/>
      <c r="DS16" s="196"/>
      <c r="DT16" s="197" t="str">
        <f>Setup!C18</f>
        <v>Peru</v>
      </c>
      <c r="DU16" s="198" t="s">
        <v>435</v>
      </c>
      <c r="DV16" s="197"/>
      <c r="DX16" s="199">
        <v>44367.875</v>
      </c>
      <c r="DY16" s="200">
        <f t="shared" si="54"/>
        <v>44367.875</v>
      </c>
      <c r="EA16" s="191">
        <v>-8</v>
      </c>
    </row>
    <row r="17" spans="105:141" x14ac:dyDescent="0.35">
      <c r="DA17" s="191">
        <v>15</v>
      </c>
      <c r="DB17" s="191" t="str">
        <f>Matches!F21</f>
        <v>Bolivia</v>
      </c>
      <c r="DC17" s="191">
        <f>IF(AND(Matches!H21&lt;&gt;"",Matches!I21&lt;&gt;""),Matches!H21,0)</f>
        <v>0</v>
      </c>
      <c r="DD17" s="191">
        <f>IF(AND(Matches!I21&lt;&gt;"",Matches!H21&lt;&gt;""),Matches!I21,0)</f>
        <v>0</v>
      </c>
      <c r="DE17" s="191" t="str">
        <f>Matches!K21</f>
        <v>Uruguay</v>
      </c>
      <c r="DF17" s="191" t="str">
        <f>IF(AND(Matches!H21&lt;&gt;"",Matches!I21&lt;&gt;""),IF(DC17&gt;DD17,"W",IF(DC17=DD17,"D","L")),"")</f>
        <v/>
      </c>
      <c r="DG17" s="191" t="str">
        <f t="shared" si="0"/>
        <v/>
      </c>
      <c r="DJ17" s="201"/>
      <c r="DR17" s="195"/>
      <c r="DS17" s="196"/>
      <c r="DT17" s="197"/>
      <c r="DU17" s="198"/>
      <c r="DV17" s="197"/>
      <c r="DX17" s="199">
        <v>44368.75</v>
      </c>
      <c r="DY17" s="200">
        <f t="shared" si="54"/>
        <v>44368.75</v>
      </c>
      <c r="EA17" s="191">
        <v>-7.5</v>
      </c>
    </row>
    <row r="18" spans="105:141" x14ac:dyDescent="0.35">
      <c r="DA18" s="191">
        <v>16</v>
      </c>
      <c r="DB18" s="191" t="str">
        <f>Matches!F22</f>
        <v>Chile</v>
      </c>
      <c r="DC18" s="191">
        <f>IF(AND(Matches!H22&lt;&gt;"",Matches!I22&lt;&gt;""),Matches!H22,0)</f>
        <v>0</v>
      </c>
      <c r="DD18" s="191">
        <f>IF(AND(Matches!I22&lt;&gt;"",Matches!H22&lt;&gt;""),Matches!I22,0)</f>
        <v>0</v>
      </c>
      <c r="DE18" s="191" t="str">
        <f>Matches!K22</f>
        <v>Paraguay</v>
      </c>
      <c r="DF18" s="191" t="str">
        <f>IF(AND(Matches!H22&lt;&gt;"",Matches!I22&lt;&gt;""),IF(DC18&gt;DD18,"W",IF(DC18=DD18,"D","L")),"")</f>
        <v/>
      </c>
      <c r="DG18" s="191" t="str">
        <f t="shared" si="0"/>
        <v/>
      </c>
      <c r="DJ18" s="201"/>
      <c r="DR18" s="195"/>
      <c r="DS18" s="196"/>
      <c r="DT18" s="197"/>
      <c r="DU18" s="198"/>
      <c r="DV18" s="197"/>
      <c r="DX18" s="199">
        <v>44368.875</v>
      </c>
      <c r="DY18" s="200">
        <f t="shared" si="54"/>
        <v>44368.875</v>
      </c>
      <c r="EA18" s="191">
        <v>-7</v>
      </c>
    </row>
    <row r="19" spans="105:141" x14ac:dyDescent="0.35">
      <c r="DA19" s="191">
        <v>17</v>
      </c>
      <c r="DB19" s="191" t="str">
        <f>Matches!F23</f>
        <v>Ecuador</v>
      </c>
      <c r="DC19" s="191">
        <f>IF(AND(Matches!H23&lt;&gt;"",Matches!I23&lt;&gt;""),Matches!H23,0)</f>
        <v>0</v>
      </c>
      <c r="DD19" s="191">
        <f>IF(AND(Matches!I23&lt;&gt;"",Matches!H23&lt;&gt;""),Matches!I23,0)</f>
        <v>0</v>
      </c>
      <c r="DE19" s="191" t="str">
        <f>Matches!K23</f>
        <v>Brazil</v>
      </c>
      <c r="DF19" s="191" t="str">
        <f>IF(AND(Matches!H23&lt;&gt;"",Matches!I23&lt;&gt;""),IF(DC19&gt;DD19,"W",IF(DC19=DD19,"D","L")),"")</f>
        <v/>
      </c>
      <c r="DG19" s="191" t="str">
        <f t="shared" si="0"/>
        <v/>
      </c>
      <c r="DJ19" s="201"/>
      <c r="DR19" s="195"/>
      <c r="DS19" s="196"/>
      <c r="DT19" s="197"/>
      <c r="DU19" s="198"/>
      <c r="DV19" s="197"/>
      <c r="DX19" s="199">
        <v>44370.75</v>
      </c>
      <c r="DY19" s="200">
        <f t="shared" si="54"/>
        <v>44370.75</v>
      </c>
      <c r="EA19" s="191">
        <v>-6.5</v>
      </c>
    </row>
    <row r="20" spans="105:141" x14ac:dyDescent="0.35">
      <c r="DA20" s="191">
        <v>18</v>
      </c>
      <c r="DB20" s="191" t="str">
        <f>Matches!F24</f>
        <v>Venezuela</v>
      </c>
      <c r="DC20" s="191">
        <f>IF(AND(Matches!H24&lt;&gt;"",Matches!I24&lt;&gt;""),Matches!H24,0)</f>
        <v>0</v>
      </c>
      <c r="DD20" s="191">
        <f>IF(AND(Matches!I24&lt;&gt;"",Matches!H24&lt;&gt;""),Matches!I24,0)</f>
        <v>0</v>
      </c>
      <c r="DE20" s="191" t="str">
        <f>Matches!K24</f>
        <v>Peru</v>
      </c>
      <c r="DF20" s="191" t="str">
        <f>IF(AND(Matches!H24&lt;&gt;"",Matches!I24&lt;&gt;""),IF(DC20&gt;DD20,"W",IF(DC20=DD20,"D","L")),"")</f>
        <v/>
      </c>
      <c r="DG20" s="191" t="str">
        <f t="shared" si="0"/>
        <v/>
      </c>
      <c r="DJ20" s="201"/>
      <c r="DR20" s="195"/>
      <c r="DS20" s="196"/>
      <c r="DT20" s="197"/>
      <c r="DU20" s="198"/>
      <c r="DV20" s="197"/>
      <c r="DX20" s="199">
        <v>44370.875</v>
      </c>
      <c r="DY20" s="200">
        <f t="shared" si="54"/>
        <v>44370.875</v>
      </c>
      <c r="EA20" s="191">
        <v>-6</v>
      </c>
    </row>
    <row r="21" spans="105:141" x14ac:dyDescent="0.35">
      <c r="DA21" s="191">
        <v>19</v>
      </c>
      <c r="DB21" s="191" t="str">
        <f>Matches!F25</f>
        <v>Uruguay</v>
      </c>
      <c r="DC21" s="191">
        <f>IF(AND(Matches!H25&lt;&gt;"",Matches!I25&lt;&gt;""),Matches!H25,0)</f>
        <v>0</v>
      </c>
      <c r="DD21" s="191">
        <f>IF(AND(Matches!I25&lt;&gt;"",Matches!H25&lt;&gt;""),Matches!I25,0)</f>
        <v>0</v>
      </c>
      <c r="DE21" s="191" t="str">
        <f>Matches!K25</f>
        <v>Paraguay</v>
      </c>
      <c r="DF21" s="191" t="str">
        <f>IF(AND(Matches!H25&lt;&gt;"",Matches!I25&lt;&gt;""),IF(DC21&gt;DD21,"W",IF(DC21=DD21,"D","L")),"")</f>
        <v/>
      </c>
      <c r="DG21" s="191" t="str">
        <f t="shared" si="0"/>
        <v/>
      </c>
      <c r="DJ21" s="201"/>
      <c r="DR21" s="195"/>
      <c r="DS21" s="196"/>
      <c r="DT21" s="197"/>
      <c r="DU21" s="198"/>
      <c r="DV21" s="197"/>
      <c r="DX21" s="199">
        <v>44371.75</v>
      </c>
      <c r="DY21" s="200">
        <f t="shared" si="54"/>
        <v>44371.75</v>
      </c>
      <c r="EA21" s="191">
        <v>-5.5</v>
      </c>
    </row>
    <row r="22" spans="105:141" x14ac:dyDescent="0.35">
      <c r="DA22" s="191">
        <v>20</v>
      </c>
      <c r="DB22" s="191" t="str">
        <f>Matches!F26</f>
        <v>Bolivia</v>
      </c>
      <c r="DC22" s="191">
        <f>IF(AND(Matches!H26&lt;&gt;"",Matches!I26&lt;&gt;""),Matches!H26,0)</f>
        <v>0</v>
      </c>
      <c r="DD22" s="191">
        <f>IF(AND(Matches!I26&lt;&gt;"",Matches!H26&lt;&gt;""),Matches!I26,0)</f>
        <v>0</v>
      </c>
      <c r="DE22" s="191" t="str">
        <f>Matches!K26</f>
        <v>Argentina</v>
      </c>
      <c r="DF22" s="191" t="str">
        <f>IF(AND(Matches!H26&lt;&gt;"",Matches!I26&lt;&gt;""),IF(DC22&gt;DD22,"W",IF(DC22=DD22,"D","L")),"")</f>
        <v/>
      </c>
      <c r="DG22" s="191" t="str">
        <f t="shared" si="0"/>
        <v/>
      </c>
      <c r="DJ22" s="201"/>
      <c r="DR22" s="195"/>
      <c r="DS22" s="196"/>
      <c r="DT22" s="197"/>
      <c r="DU22" s="198"/>
      <c r="DV22" s="197"/>
      <c r="DX22" s="199">
        <v>44371.875</v>
      </c>
      <c r="DY22" s="200">
        <f t="shared" si="54"/>
        <v>44371.875</v>
      </c>
      <c r="EA22" s="191">
        <v>-5</v>
      </c>
    </row>
    <row r="23" spans="105:141" x14ac:dyDescent="0.35">
      <c r="DJ23" s="201"/>
      <c r="DR23" s="195"/>
      <c r="DS23" s="196"/>
      <c r="DT23" s="197"/>
      <c r="DU23" s="198"/>
      <c r="DV23" s="197"/>
      <c r="DX23" s="199">
        <v>44374.75</v>
      </c>
      <c r="DY23" s="200">
        <f t="shared" si="54"/>
        <v>44374.75</v>
      </c>
      <c r="EA23" s="191">
        <v>-4.5</v>
      </c>
    </row>
    <row r="24" spans="105:141" x14ac:dyDescent="0.35">
      <c r="DJ24" s="201"/>
      <c r="DR24" s="195"/>
      <c r="DS24" s="196"/>
      <c r="DT24" s="197"/>
      <c r="DU24" s="198"/>
      <c r="DV24" s="197"/>
      <c r="DX24" s="199">
        <v>44374.75</v>
      </c>
      <c r="DY24" s="200">
        <f t="shared" si="54"/>
        <v>44374.75</v>
      </c>
      <c r="EA24" s="191">
        <v>-4</v>
      </c>
    </row>
    <row r="25" spans="105:141" x14ac:dyDescent="0.35">
      <c r="DJ25" s="201"/>
      <c r="DR25" s="195"/>
      <c r="DS25" s="196"/>
      <c r="DT25" s="197"/>
      <c r="DU25" s="198"/>
      <c r="DV25" s="197"/>
      <c r="DX25" s="199">
        <v>44375.875</v>
      </c>
      <c r="DY25" s="200">
        <f t="shared" si="54"/>
        <v>44375.875</v>
      </c>
      <c r="EA25" s="191">
        <v>-3.5</v>
      </c>
    </row>
    <row r="26" spans="105:141" x14ac:dyDescent="0.35">
      <c r="DJ26" s="201"/>
      <c r="DR26" s="195"/>
      <c r="DS26" s="196"/>
      <c r="DT26" s="197"/>
      <c r="DU26" s="198"/>
      <c r="DV26" s="197"/>
      <c r="DX26" s="199">
        <v>44375.875</v>
      </c>
      <c r="DY26" s="200">
        <f t="shared" si="54"/>
        <v>44375.875</v>
      </c>
      <c r="EA26" s="191">
        <v>-3</v>
      </c>
    </row>
    <row r="27" spans="105:141" x14ac:dyDescent="0.35">
      <c r="DJ27" s="201"/>
      <c r="DR27" s="195"/>
      <c r="DS27" s="196"/>
      <c r="DT27" s="197"/>
      <c r="DU27" s="198"/>
      <c r="DV27" s="197"/>
      <c r="DX27" s="199">
        <v>44379.75</v>
      </c>
      <c r="DY27" s="200">
        <f t="shared" si="54"/>
        <v>44379.75</v>
      </c>
      <c r="EA27" s="191">
        <v>-2.5</v>
      </c>
      <c r="EK27" s="202"/>
    </row>
    <row r="28" spans="105:141" x14ac:dyDescent="0.35">
      <c r="DR28" s="195"/>
      <c r="DS28" s="196"/>
      <c r="DT28" s="197"/>
      <c r="DU28" s="198"/>
      <c r="DV28" s="197"/>
      <c r="DX28" s="199">
        <v>44379.875</v>
      </c>
      <c r="DY28" s="200">
        <f t="shared" si="54"/>
        <v>44379.875</v>
      </c>
      <c r="EA28" s="191">
        <v>-2</v>
      </c>
    </row>
    <row r="29" spans="105:141" x14ac:dyDescent="0.35">
      <c r="DR29" s="195"/>
      <c r="DS29" s="196"/>
      <c r="DT29" s="197"/>
      <c r="DU29" s="198"/>
      <c r="DV29" s="197"/>
      <c r="DX29" s="199">
        <v>44380.791666666664</v>
      </c>
      <c r="DY29" s="200">
        <f t="shared" si="54"/>
        <v>44380.791666666664</v>
      </c>
      <c r="EA29" s="191">
        <v>-1.5</v>
      </c>
    </row>
    <row r="30" spans="105:141" x14ac:dyDescent="0.35">
      <c r="DR30" s="195"/>
      <c r="DS30" s="196"/>
      <c r="DT30" s="197"/>
      <c r="DU30" s="198"/>
      <c r="DV30" s="197"/>
      <c r="DX30" s="199">
        <v>44380.916666666664</v>
      </c>
      <c r="DY30" s="200">
        <f t="shared" si="54"/>
        <v>44380.916666666664</v>
      </c>
      <c r="EA30" s="191">
        <v>-1</v>
      </c>
    </row>
    <row r="31" spans="105:141" x14ac:dyDescent="0.35">
      <c r="DR31" s="195"/>
      <c r="DS31" s="196"/>
      <c r="DT31" s="197"/>
      <c r="DU31" s="198"/>
      <c r="DV31" s="197"/>
      <c r="DX31" s="199">
        <v>44382.833333333336</v>
      </c>
      <c r="DY31" s="200">
        <f t="shared" si="54"/>
        <v>44382.833333333336</v>
      </c>
      <c r="EA31" s="191">
        <v>-0.5</v>
      </c>
    </row>
    <row r="32" spans="105:141" x14ac:dyDescent="0.35">
      <c r="DR32" s="195"/>
      <c r="DS32" s="196"/>
      <c r="DT32" s="197"/>
      <c r="DU32" s="198"/>
      <c r="DV32" s="197"/>
      <c r="DX32" s="199">
        <v>44383.916666666664</v>
      </c>
      <c r="DY32" s="200">
        <f t="shared" si="54"/>
        <v>44383.916666666664</v>
      </c>
      <c r="EA32" s="191">
        <v>0</v>
      </c>
    </row>
    <row r="33" spans="122:131" x14ac:dyDescent="0.35">
      <c r="DR33" s="195"/>
      <c r="DS33" s="196"/>
      <c r="DT33" s="197"/>
      <c r="DU33" s="198"/>
      <c r="DV33" s="197"/>
      <c r="DX33" s="199">
        <v>44386.875</v>
      </c>
      <c r="DY33" s="200">
        <f t="shared" si="54"/>
        <v>44386.875</v>
      </c>
      <c r="EA33" s="191" t="s">
        <v>453</v>
      </c>
    </row>
    <row r="34" spans="122:131" x14ac:dyDescent="0.35">
      <c r="DR34" s="195"/>
      <c r="DS34" s="196"/>
      <c r="DT34" s="197"/>
      <c r="DU34" s="198"/>
      <c r="DV34" s="197"/>
      <c r="DX34" s="199">
        <v>44387.875</v>
      </c>
      <c r="DY34" s="200">
        <f t="shared" si="54"/>
        <v>44387.875</v>
      </c>
      <c r="EA34" s="203" t="s">
        <v>454</v>
      </c>
    </row>
    <row r="35" spans="122:131" x14ac:dyDescent="0.35">
      <c r="DR35" s="195"/>
      <c r="DS35" s="196"/>
      <c r="DT35" s="197"/>
      <c r="DU35" s="198"/>
      <c r="DV35" s="197"/>
      <c r="DX35" s="199"/>
      <c r="DY35" s="200">
        <f t="shared" si="54"/>
        <v>0</v>
      </c>
      <c r="EA35" s="203" t="s">
        <v>455</v>
      </c>
    </row>
    <row r="36" spans="122:131" x14ac:dyDescent="0.35">
      <c r="DR36" s="195"/>
      <c r="DS36" s="196"/>
      <c r="DT36" s="197"/>
      <c r="DU36" s="198"/>
      <c r="DV36" s="197"/>
      <c r="DX36" s="199"/>
      <c r="DY36" s="200">
        <f t="shared" si="54"/>
        <v>0</v>
      </c>
      <c r="EA36" s="203" t="s">
        <v>456</v>
      </c>
    </row>
    <row r="37" spans="122:131" x14ac:dyDescent="0.35">
      <c r="DR37" s="195"/>
      <c r="DS37" s="196"/>
      <c r="DT37" s="197"/>
      <c r="DU37" s="198"/>
      <c r="DV37" s="197"/>
      <c r="DX37" s="199"/>
      <c r="DY37" s="200">
        <f t="shared" si="54"/>
        <v>0</v>
      </c>
      <c r="EA37" s="203" t="s">
        <v>457</v>
      </c>
    </row>
    <row r="38" spans="122:131" x14ac:dyDescent="0.35">
      <c r="DR38" s="195"/>
      <c r="DS38" s="196"/>
      <c r="DT38" s="197"/>
      <c r="DU38" s="198"/>
      <c r="DV38" s="197"/>
      <c r="DX38" s="199"/>
      <c r="DY38" s="200">
        <f t="shared" si="54"/>
        <v>0</v>
      </c>
      <c r="EA38" s="203" t="s">
        <v>458</v>
      </c>
    </row>
    <row r="39" spans="122:131" x14ac:dyDescent="0.35">
      <c r="DX39" s="199"/>
      <c r="DY39" s="200">
        <f t="shared" si="54"/>
        <v>0</v>
      </c>
      <c r="EA39" s="203" t="s">
        <v>459</v>
      </c>
    </row>
    <row r="40" spans="122:131" x14ac:dyDescent="0.35">
      <c r="DR40" s="192">
        <v>37</v>
      </c>
      <c r="DT40" s="192" t="str">
        <f>Matches!$F28</f>
        <v>Group B Runner Up</v>
      </c>
      <c r="DV40" s="192" t="str">
        <f>IF(ISERROR("'Dummy Table'!"&amp;VLOOKUP(DT40,'Dummy Table'!$DT$7:$DU$38,2,FALSE)),"'Dummy Table'!eg4","'Dummy Table'!"&amp;VLOOKUP(DT40,'Dummy Table'!$DT$7:$DU$38,2,FALSE))</f>
        <v>'Dummy Table'!eg4</v>
      </c>
      <c r="DX40" s="199"/>
      <c r="DY40" s="200">
        <f t="shared" si="54"/>
        <v>0</v>
      </c>
      <c r="EA40" s="203" t="s">
        <v>460</v>
      </c>
    </row>
    <row r="41" spans="122:131" x14ac:dyDescent="0.35">
      <c r="DR41" s="192">
        <v>38</v>
      </c>
      <c r="DT41" s="192" t="str">
        <f>Matches!$F29</f>
        <v>Group B Winner</v>
      </c>
      <c r="DV41" s="192" t="str">
        <f>IF(ISERROR("'Dummy Table'!"&amp;VLOOKUP(DT41,'Dummy Table'!$DT$7:$DU$38,2,FALSE)),"'Dummy Table'!eg4","'Dummy Table'!"&amp;VLOOKUP(DT41,'Dummy Table'!$DT$7:$DU$38,2,FALSE))</f>
        <v>'Dummy Table'!eg4</v>
      </c>
      <c r="DX41" s="199"/>
      <c r="DY41" s="200">
        <f t="shared" si="54"/>
        <v>0</v>
      </c>
      <c r="EA41" s="203" t="s">
        <v>461</v>
      </c>
    </row>
    <row r="42" spans="122:131" x14ac:dyDescent="0.35">
      <c r="DR42" s="192">
        <v>39</v>
      </c>
      <c r="DT42" s="192" t="str">
        <f>Matches!$F30</f>
        <v>Group A Runner Up</v>
      </c>
      <c r="DV42" s="192" t="str">
        <f>IF(ISERROR("'Dummy Table'!"&amp;VLOOKUP(DT42,'Dummy Table'!$DT$7:$DU$38,2,FALSE)),"'Dummy Table'!eg4","'Dummy Table'!"&amp;VLOOKUP(DT42,'Dummy Table'!$DT$7:$DU$38,2,FALSE))</f>
        <v>'Dummy Table'!eg4</v>
      </c>
      <c r="DX42" s="199"/>
      <c r="DY42" s="200">
        <f t="shared" si="54"/>
        <v>0</v>
      </c>
      <c r="EA42" s="203" t="s">
        <v>462</v>
      </c>
    </row>
    <row r="43" spans="122:131" x14ac:dyDescent="0.35">
      <c r="DR43" s="192">
        <v>40</v>
      </c>
      <c r="DT43" s="192" t="str">
        <f>Matches!$F31</f>
        <v>Group A Winner</v>
      </c>
      <c r="DV43" s="192" t="str">
        <f>IF(ISERROR("'Dummy Table'!"&amp;VLOOKUP(DT43,'Dummy Table'!$DT$7:$DU$38,2,FALSE)),"'Dummy Table'!eg4","'Dummy Table'!"&amp;VLOOKUP(DT43,'Dummy Table'!$DT$7:$DU$38,2,FALSE))</f>
        <v>'Dummy Table'!eg4</v>
      </c>
      <c r="DX43" s="199"/>
      <c r="DY43" s="200">
        <f t="shared" si="54"/>
        <v>0</v>
      </c>
      <c r="EA43" s="203" t="s">
        <v>463</v>
      </c>
    </row>
    <row r="44" spans="122:131" x14ac:dyDescent="0.35">
      <c r="DR44" s="192">
        <v>41</v>
      </c>
      <c r="DV44" s="192" t="str">
        <f>IF(ISERROR("'Dummy Table'!"&amp;VLOOKUP(DT44,'Dummy Table'!$DT$7:$DU$38,2,FALSE)),"'Dummy Table'!eg4","'Dummy Table'!"&amp;VLOOKUP(DT44,'Dummy Table'!$DT$7:$DU$38,2,FALSE))</f>
        <v>'Dummy Table'!eg4</v>
      </c>
      <c r="DX44" s="199"/>
      <c r="DY44" s="200">
        <f t="shared" si="54"/>
        <v>0</v>
      </c>
      <c r="EA44" s="203" t="s">
        <v>464</v>
      </c>
    </row>
    <row r="45" spans="122:131" x14ac:dyDescent="0.35">
      <c r="DR45" s="192">
        <v>42</v>
      </c>
      <c r="DV45" s="192" t="str">
        <f>IF(ISERROR("'Dummy Table'!"&amp;VLOOKUP(DT45,'Dummy Table'!$DT$7:$DU$38,2,FALSE)),"'Dummy Table'!eg4","'Dummy Table'!"&amp;VLOOKUP(DT45,'Dummy Table'!$DT$7:$DU$38,2,FALSE))</f>
        <v>'Dummy Table'!eg4</v>
      </c>
      <c r="DX45" s="199"/>
      <c r="DY45" s="200">
        <f t="shared" si="54"/>
        <v>0</v>
      </c>
      <c r="EA45" s="203" t="s">
        <v>465</v>
      </c>
    </row>
    <row r="46" spans="122:131" x14ac:dyDescent="0.35">
      <c r="DR46" s="192">
        <v>43</v>
      </c>
      <c r="DV46" s="192" t="str">
        <f>IF(ISERROR("'Dummy Table'!"&amp;VLOOKUP(DT46,'Dummy Table'!$DT$7:$DU$38,2,FALSE)),"'Dummy Table'!eg4","'Dummy Table'!"&amp;VLOOKUP(DT46,'Dummy Table'!$DT$7:$DU$38,2,FALSE))</f>
        <v>'Dummy Table'!eg4</v>
      </c>
      <c r="DX46" s="199"/>
      <c r="DY46" s="200">
        <f t="shared" si="54"/>
        <v>0</v>
      </c>
      <c r="EA46" s="203" t="s">
        <v>466</v>
      </c>
    </row>
    <row r="47" spans="122:131" x14ac:dyDescent="0.35">
      <c r="DR47" s="192">
        <v>44</v>
      </c>
      <c r="DV47" s="192" t="str">
        <f>IF(ISERROR("'Dummy Table'!"&amp;VLOOKUP(DT47,'Dummy Table'!$DT$7:$DU$38,2,FALSE)),"'Dummy Table'!eg4","'Dummy Table'!"&amp;VLOOKUP(DT47,'Dummy Table'!$DT$7:$DU$38,2,FALSE))</f>
        <v>'Dummy Table'!eg4</v>
      </c>
      <c r="DX47" s="199"/>
      <c r="DY47" s="200">
        <f t="shared" si="54"/>
        <v>0</v>
      </c>
      <c r="EA47" s="203" t="s">
        <v>467</v>
      </c>
    </row>
    <row r="48" spans="122:131" x14ac:dyDescent="0.35">
      <c r="DR48" s="192">
        <v>45</v>
      </c>
      <c r="DT48" s="192" t="str">
        <f>Matches!$F32</f>
        <v>Match 22 Winner</v>
      </c>
      <c r="DV48" s="192" t="str">
        <f>IF(ISERROR("'Dummy Table'!"&amp;VLOOKUP(DT48,'Dummy Table'!$DT$7:$DU$38,2,FALSE)),"'Dummy Table'!eg4","'Dummy Table'!"&amp;VLOOKUP(DT48,'Dummy Table'!$DT$7:$DU$38,2,FALSE))</f>
        <v>'Dummy Table'!eg4</v>
      </c>
      <c r="DX48" s="199"/>
      <c r="DY48" s="200">
        <f t="shared" si="54"/>
        <v>0</v>
      </c>
      <c r="EA48" s="203" t="s">
        <v>468</v>
      </c>
    </row>
    <row r="49" spans="122:131" x14ac:dyDescent="0.35">
      <c r="DR49" s="192">
        <v>46</v>
      </c>
      <c r="DT49" s="192" t="str">
        <f>Matches!$F33</f>
        <v>Match 24 Winner</v>
      </c>
      <c r="DV49" s="192" t="str">
        <f>IF(ISERROR("'Dummy Table'!"&amp;VLOOKUP(DT49,'Dummy Table'!$DT$7:$DU$38,2,FALSE)),"'Dummy Table'!eg4","'Dummy Table'!"&amp;VLOOKUP(DT49,'Dummy Table'!$DT$7:$DU$38,2,FALSE))</f>
        <v>'Dummy Table'!eg4</v>
      </c>
      <c r="DX49" s="199"/>
      <c r="DY49" s="200">
        <f t="shared" si="54"/>
        <v>0</v>
      </c>
      <c r="EA49" s="203" t="s">
        <v>469</v>
      </c>
    </row>
    <row r="50" spans="122:131" x14ac:dyDescent="0.35">
      <c r="DR50" s="192">
        <v>47</v>
      </c>
      <c r="DV50" s="192" t="str">
        <f>IF(ISERROR("'Dummy Table'!"&amp;VLOOKUP(DT50,'Dummy Table'!$DT$7:$DU$38,2,FALSE)),"'Dummy Table'!eg4","'Dummy Table'!"&amp;VLOOKUP(DT50,'Dummy Table'!$DT$7:$DU$38,2,FALSE))</f>
        <v>'Dummy Table'!eg4</v>
      </c>
      <c r="DX50" s="199"/>
      <c r="DY50" s="200">
        <f t="shared" si="54"/>
        <v>0</v>
      </c>
      <c r="EA50" s="203" t="s">
        <v>470</v>
      </c>
    </row>
    <row r="51" spans="122:131" x14ac:dyDescent="0.35">
      <c r="DR51" s="192">
        <v>48</v>
      </c>
      <c r="DT51" s="192" t="str">
        <f>Matches!F34</f>
        <v>Match 26 Loser</v>
      </c>
      <c r="DV51" s="192" t="str">
        <f>IF(ISERROR("'Dummy Table'!"&amp;VLOOKUP(DT51,'Dummy Table'!$DT$7:$DU$38,2,FALSE)),"'Dummy Table'!eg4","'Dummy Table'!"&amp;VLOOKUP(DT51,'Dummy Table'!$DT$7:$DU$38,2,FALSE))</f>
        <v>'Dummy Table'!eg4</v>
      </c>
      <c r="DX51" s="199"/>
      <c r="DY51" s="200">
        <f t="shared" si="54"/>
        <v>0</v>
      </c>
      <c r="EA51" s="203" t="s">
        <v>471</v>
      </c>
    </row>
    <row r="52" spans="122:131" x14ac:dyDescent="0.35">
      <c r="DR52" s="192">
        <v>49</v>
      </c>
      <c r="DT52" s="192" t="str">
        <f>Matches!$F35</f>
        <v>Match 26 Winner</v>
      </c>
      <c r="DV52" s="192" t="str">
        <f>IF(ISERROR("'Dummy Table'!"&amp;VLOOKUP(DT52,'Dummy Table'!$DT$7:$DU$38,2,FALSE)),"'Dummy Table'!eg4","'Dummy Table'!"&amp;VLOOKUP(DT52,'Dummy Table'!$DT$7:$DU$38,2,FALSE))</f>
        <v>'Dummy Table'!eg4</v>
      </c>
      <c r="DX52" s="199"/>
      <c r="DY52" s="200">
        <f t="shared" si="54"/>
        <v>0</v>
      </c>
      <c r="EA52" s="203" t="s">
        <v>472</v>
      </c>
    </row>
    <row r="53" spans="122:131" x14ac:dyDescent="0.35">
      <c r="DR53" s="192">
        <v>50</v>
      </c>
      <c r="DV53" s="192" t="str">
        <f>IF(ISERROR("'Dummy Table'!"&amp;VLOOKUP(DT53,'Dummy Table'!$DT$7:$DU$38,2,FALSE)),"'Dummy Table'!eg4","'Dummy Table'!"&amp;VLOOKUP(DT53,'Dummy Table'!$DT$7:$DU$38,2,FALSE))</f>
        <v>'Dummy Table'!eg4</v>
      </c>
      <c r="DX53" s="199"/>
      <c r="DY53" s="200">
        <f t="shared" si="54"/>
        <v>0</v>
      </c>
      <c r="EA53" s="203" t="s">
        <v>473</v>
      </c>
    </row>
    <row r="54" spans="122:131" x14ac:dyDescent="0.35">
      <c r="DR54" s="192">
        <v>51</v>
      </c>
      <c r="DV54" s="192" t="str">
        <f>IF(ISERROR("'Dummy Table'!"&amp;VLOOKUP(DT54,'Dummy Table'!$DT$7:$DU$38,2,FALSE)),"'Dummy Table'!eg4","'Dummy Table'!"&amp;VLOOKUP(DT54,'Dummy Table'!$DT$7:$DU$38,2,FALSE))</f>
        <v>'Dummy Table'!eg4</v>
      </c>
      <c r="DX54" s="199"/>
      <c r="DY54" s="200">
        <f t="shared" si="54"/>
        <v>0</v>
      </c>
      <c r="EA54" s="203" t="s">
        <v>474</v>
      </c>
    </row>
    <row r="55" spans="122:131" x14ac:dyDescent="0.35">
      <c r="DR55" s="192">
        <v>37</v>
      </c>
      <c r="DT55" s="192" t="str">
        <f>Matches!K28</f>
        <v>Group A 3rd Place</v>
      </c>
      <c r="DV55" s="192" t="str">
        <f>IF(ISERROR("'Dummy Table'!"&amp;VLOOKUP(DT55,'Dummy Table'!$DT$7:$DU$38,2,FALSE)),"'Dummy Table'!eg4","'Dummy Table'!"&amp;VLOOKUP(DT55,'Dummy Table'!$DT$7:$DU$38,2,FALSE))</f>
        <v>'Dummy Table'!eg4</v>
      </c>
      <c r="DX55" s="199"/>
      <c r="DY55" s="200">
        <f t="shared" si="54"/>
        <v>0</v>
      </c>
      <c r="EA55" s="203" t="s">
        <v>475</v>
      </c>
    </row>
    <row r="56" spans="122:131" x14ac:dyDescent="0.35">
      <c r="DR56" s="192">
        <v>38</v>
      </c>
      <c r="DT56" s="192" t="str">
        <f>Matches!K29</f>
        <v>Group A 4th Place</v>
      </c>
      <c r="DV56" s="192" t="str">
        <f>IF(ISERROR("'Dummy Table'!"&amp;VLOOKUP(DT56,'Dummy Table'!$DT$7:$DU$38,2,FALSE)),"'Dummy Table'!eg4","'Dummy Table'!"&amp;VLOOKUP(DT56,'Dummy Table'!$DT$7:$DU$38,2,FALSE))</f>
        <v>'Dummy Table'!eg4</v>
      </c>
      <c r="DX56" s="199"/>
      <c r="DY56" s="200">
        <f t="shared" si="54"/>
        <v>0</v>
      </c>
      <c r="EA56" s="203" t="s">
        <v>476</v>
      </c>
    </row>
    <row r="57" spans="122:131" x14ac:dyDescent="0.35">
      <c r="DR57" s="192">
        <v>39</v>
      </c>
      <c r="DT57" s="192" t="str">
        <f>Matches!K30</f>
        <v>Group B 3rd Place</v>
      </c>
      <c r="DV57" s="192" t="str">
        <f>IF(ISERROR("'Dummy Table'!"&amp;VLOOKUP(DT57,'Dummy Table'!$DT$7:$DU$38,2,FALSE)),"'Dummy Table'!eg4","'Dummy Table'!"&amp;VLOOKUP(DT57,'Dummy Table'!$DT$7:$DU$38,2,FALSE))</f>
        <v>'Dummy Table'!eg4</v>
      </c>
      <c r="DX57" s="199"/>
      <c r="DY57" s="200">
        <f t="shared" si="54"/>
        <v>0</v>
      </c>
      <c r="EA57" s="203"/>
    </row>
    <row r="58" spans="122:131" x14ac:dyDescent="0.35">
      <c r="DR58" s="192">
        <v>40</v>
      </c>
      <c r="DT58" s="192" t="str">
        <f>Matches!K31</f>
        <v>Group B 4th Place</v>
      </c>
      <c r="DV58" s="192" t="str">
        <f>IF(ISERROR("'Dummy Table'!"&amp;VLOOKUP(DT58,'Dummy Table'!$DT$7:$DU$38,2,FALSE)),"'Dummy Table'!eg4","'Dummy Table'!"&amp;VLOOKUP(DT58,'Dummy Table'!$DT$7:$DU$38,2,FALSE))</f>
        <v>'Dummy Table'!eg4</v>
      </c>
      <c r="DX58" s="199"/>
      <c r="DY58" s="200">
        <f t="shared" si="54"/>
        <v>0</v>
      </c>
    </row>
    <row r="59" spans="122:131" x14ac:dyDescent="0.35">
      <c r="DR59" s="192">
        <v>41</v>
      </c>
      <c r="DV59" s="192" t="str">
        <f>IF(ISERROR("'Dummy Table'!"&amp;VLOOKUP(DT59,'Dummy Table'!$DT$7:$DU$38,2,FALSE)),"'Dummy Table'!eg4","'Dummy Table'!"&amp;VLOOKUP(DT59,'Dummy Table'!$DT$7:$DU$38,2,FALSE))</f>
        <v>'Dummy Table'!eg4</v>
      </c>
    </row>
    <row r="60" spans="122:131" x14ac:dyDescent="0.35">
      <c r="DR60" s="192">
        <v>42</v>
      </c>
      <c r="DV60" s="192" t="str">
        <f>IF(ISERROR("'Dummy Table'!"&amp;VLOOKUP(DT60,'Dummy Table'!$DT$7:$DU$38,2,FALSE)),"'Dummy Table'!eg4","'Dummy Table'!"&amp;VLOOKUP(DT60,'Dummy Table'!$DT$7:$DU$38,2,FALSE))</f>
        <v>'Dummy Table'!eg4</v>
      </c>
    </row>
    <row r="61" spans="122:131" x14ac:dyDescent="0.35">
      <c r="DR61" s="192">
        <v>43</v>
      </c>
      <c r="DV61" s="192" t="str">
        <f>IF(ISERROR("'Dummy Table'!"&amp;VLOOKUP(DT61,'Dummy Table'!$DT$7:$DU$38,2,FALSE)),"'Dummy Table'!eg4","'Dummy Table'!"&amp;VLOOKUP(DT61,'Dummy Table'!$DT$7:$DU$38,2,FALSE))</f>
        <v>'Dummy Table'!eg4</v>
      </c>
    </row>
    <row r="62" spans="122:131" x14ac:dyDescent="0.35">
      <c r="DR62" s="192">
        <v>44</v>
      </c>
      <c r="DV62" s="192" t="str">
        <f>IF(ISERROR("'Dummy Table'!"&amp;VLOOKUP(DT62,'Dummy Table'!$DT$7:$DU$38,2,FALSE)),"'Dummy Table'!eg4","'Dummy Table'!"&amp;VLOOKUP(DT62,'Dummy Table'!$DT$7:$DU$38,2,FALSE))</f>
        <v>'Dummy Table'!eg4</v>
      </c>
    </row>
    <row r="63" spans="122:131" x14ac:dyDescent="0.35">
      <c r="DR63" s="192">
        <v>45</v>
      </c>
      <c r="DT63" s="192" t="str">
        <f>Matches!K32</f>
        <v>Match 21 Winner</v>
      </c>
      <c r="DV63" s="192" t="str">
        <f>IF(ISERROR("'Dummy Table'!"&amp;VLOOKUP(DT63,'Dummy Table'!$DT$7:$DU$38,2,FALSE)),"'Dummy Table'!eg4","'Dummy Table'!"&amp;VLOOKUP(DT63,'Dummy Table'!$DT$7:$DU$38,2,FALSE))</f>
        <v>'Dummy Table'!eg4</v>
      </c>
    </row>
    <row r="64" spans="122:131" x14ac:dyDescent="0.35">
      <c r="DR64" s="192">
        <v>46</v>
      </c>
      <c r="DT64" s="192" t="str">
        <f>Matches!K33</f>
        <v>Match 23 Winner</v>
      </c>
      <c r="DV64" s="192" t="str">
        <f>IF(ISERROR("'Dummy Table'!"&amp;VLOOKUP(DT64,'Dummy Table'!$DT$7:$DU$38,2,FALSE)),"'Dummy Table'!eg4","'Dummy Table'!"&amp;VLOOKUP(DT64,'Dummy Table'!$DT$7:$DU$38,2,FALSE))</f>
        <v>'Dummy Table'!eg4</v>
      </c>
    </row>
    <row r="65" spans="122:126" x14ac:dyDescent="0.35">
      <c r="DR65" s="192">
        <v>47</v>
      </c>
      <c r="DV65" s="192" t="str">
        <f>IF(ISERROR("'Dummy Table'!"&amp;VLOOKUP(DT65,'Dummy Table'!$DT$7:$DU$38,2,FALSE)),"'Dummy Table'!eg4","'Dummy Table'!"&amp;VLOOKUP(DT65,'Dummy Table'!$DT$7:$DU$38,2,FALSE))</f>
        <v>'Dummy Table'!eg4</v>
      </c>
    </row>
    <row r="66" spans="122:126" x14ac:dyDescent="0.35">
      <c r="DR66" s="192">
        <v>48</v>
      </c>
      <c r="DT66" s="192" t="str">
        <f>Matches!K34</f>
        <v>Match 25 Loser</v>
      </c>
      <c r="DV66" s="192" t="str">
        <f>IF(ISERROR("'Dummy Table'!"&amp;VLOOKUP(DT66,'Dummy Table'!$DT$7:$DU$38,2,FALSE)),"'Dummy Table'!eg4","'Dummy Table'!"&amp;VLOOKUP(DT66,'Dummy Table'!$DT$7:$DU$38,2,FALSE))</f>
        <v>'Dummy Table'!eg4</v>
      </c>
    </row>
    <row r="67" spans="122:126" x14ac:dyDescent="0.35">
      <c r="DR67" s="192">
        <v>49</v>
      </c>
      <c r="DT67" s="192" t="str">
        <f>Matches!K35</f>
        <v>Match 25 Winner</v>
      </c>
      <c r="DV67" s="192" t="str">
        <f>IF(ISERROR("'Dummy Table'!"&amp;VLOOKUP(DT67,'Dummy Table'!$DT$7:$DU$38,2,FALSE)),"'Dummy Table'!eg4","'Dummy Table'!"&amp;VLOOKUP(DT67,'Dummy Table'!$DT$7:$DU$38,2,FALSE))</f>
        <v>'Dummy Table'!eg4</v>
      </c>
    </row>
    <row r="68" spans="122:126" x14ac:dyDescent="0.35">
      <c r="DR68" s="192">
        <v>50</v>
      </c>
      <c r="DV68" s="192" t="str">
        <f>IF(ISERROR("'Dummy Table'!"&amp;VLOOKUP(DT68,'Dummy Table'!$DT$7:$DU$38,2,FALSE)),"'Dummy Table'!eg4","'Dummy Table'!"&amp;VLOOKUP(DT68,'Dummy Table'!$DT$7:$DU$38,2,FALSE))</f>
        <v>'Dummy Table'!eg4</v>
      </c>
    </row>
    <row r="69" spans="122:126" x14ac:dyDescent="0.35">
      <c r="DR69" s="192">
        <v>51</v>
      </c>
      <c r="DV69" s="192" t="str">
        <f>IF(ISERROR("'Dummy Table'!"&amp;VLOOKUP(DT69,'Dummy Table'!$DT$7:$DU$38,2,FALSE)),"'Dummy Table'!eg4","'Dummy Table'!"&amp;VLOOKUP(DT69,'Dummy Table'!$DT$7:$DU$38,2,FALSE))</f>
        <v>'Dummy Table'!eg4</v>
      </c>
    </row>
  </sheetData>
  <pageMargins left="0.75" right="0.75" top="1" bottom="1" header="0.5" footer="0.5"/>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
  <sheetViews>
    <sheetView showGridLines="0" workbookViewId="0">
      <pane ySplit="4" topLeftCell="A5" activePane="bottomLeft" state="frozen"/>
      <selection activeCell="R10" sqref="R10"/>
      <selection pane="bottomLeft" activeCell="T13" sqref="T13"/>
    </sheetView>
  </sheetViews>
  <sheetFormatPr defaultRowHeight="12.5" x14ac:dyDescent="0.25"/>
  <cols>
    <col min="1" max="1" width="1.6328125" customWidth="1"/>
  </cols>
  <sheetData>
    <row r="1" spans="2:103" s="152" customFormat="1" ht="5" customHeight="1" x14ac:dyDescent="0.25"/>
    <row r="2" spans="2:103" s="1" customFormat="1" ht="5" customHeight="1" x14ac:dyDescent="0.35">
      <c r="D2" s="2"/>
      <c r="E2" s="3"/>
      <c r="N2" s="4"/>
      <c r="O2" s="5"/>
      <c r="P2" s="5"/>
      <c r="Q2" s="5"/>
      <c r="R2" s="5"/>
      <c r="S2" s="6"/>
      <c r="T2" s="7"/>
      <c r="U2" s="8"/>
      <c r="V2" s="9"/>
      <c r="CO2" s="4"/>
      <c r="CP2" s="4"/>
      <c r="CQ2" s="4"/>
      <c r="CR2" s="4"/>
    </row>
    <row r="3" spans="2:103" s="10" customFormat="1" ht="30" customHeight="1" x14ac:dyDescent="0.35">
      <c r="B3" s="11" t="s">
        <v>452</v>
      </c>
      <c r="C3" s="12"/>
      <c r="D3" s="13"/>
      <c r="E3" s="14"/>
      <c r="F3" s="12"/>
      <c r="G3" s="12"/>
      <c r="H3" s="12"/>
      <c r="I3" s="12"/>
      <c r="J3" s="12"/>
      <c r="K3" s="12"/>
      <c r="L3" s="12"/>
      <c r="M3" s="12"/>
      <c r="N3" s="12"/>
      <c r="O3" s="12"/>
      <c r="P3" s="12"/>
      <c r="Q3" s="12"/>
      <c r="R3" s="12"/>
      <c r="S3" s="12"/>
      <c r="T3" s="15"/>
      <c r="U3" s="16"/>
      <c r="V3" s="12"/>
      <c r="W3" s="12"/>
      <c r="X3" s="12"/>
      <c r="Y3" s="12"/>
      <c r="Z3" s="12"/>
      <c r="AA3" s="12"/>
      <c r="AB3" s="12"/>
      <c r="AC3" s="12"/>
      <c r="AD3" s="12"/>
      <c r="AE3" s="12"/>
    </row>
    <row r="4" spans="2:103" s="17" customFormat="1" ht="5" customHeight="1" x14ac:dyDescent="0.35">
      <c r="D4" s="18"/>
      <c r="M4" s="1"/>
      <c r="N4" s="4"/>
      <c r="O4" s="4"/>
      <c r="P4" s="4"/>
      <c r="Q4" s="4"/>
      <c r="R4" s="4"/>
      <c r="S4" s="19"/>
      <c r="T4" s="7"/>
      <c r="U4" s="8"/>
      <c r="V4" s="9"/>
      <c r="W4" s="1"/>
      <c r="X4" s="1"/>
      <c r="Y4" s="1"/>
      <c r="Z4" s="1"/>
      <c r="AA4" s="1"/>
      <c r="AB4" s="1"/>
      <c r="AC4" s="1"/>
      <c r="AD4" s="1"/>
      <c r="AE4" s="1"/>
      <c r="CV4" s="20"/>
      <c r="CW4" s="20"/>
      <c r="CX4" s="20"/>
      <c r="CY4"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X19"/>
  <sheetViews>
    <sheetView showGridLines="0" workbookViewId="0">
      <pane ySplit="4" topLeftCell="A5" activePane="bottomLeft" state="frozen"/>
      <selection activeCell="R10" sqref="R10"/>
      <selection pane="bottomLeft" activeCell="J18" sqref="J18"/>
    </sheetView>
  </sheetViews>
  <sheetFormatPr defaultRowHeight="13" x14ac:dyDescent="0.3"/>
  <cols>
    <col min="1" max="1" width="1.6328125" style="150" customWidth="1"/>
    <col min="2" max="2" width="3.6328125" style="150" customWidth="1"/>
    <col min="3" max="3" width="12.90625" style="150" customWidth="1"/>
    <col min="4" max="4" width="2.26953125" style="150" customWidth="1"/>
    <col min="5" max="5" width="28.36328125" style="150" customWidth="1"/>
    <col min="6" max="7" width="8.7265625" style="150"/>
    <col min="8" max="8" width="1.6328125" style="150" customWidth="1"/>
    <col min="9" max="11" width="15.6328125" style="150" customWidth="1"/>
    <col min="12" max="12" width="2.6328125" style="150" customWidth="1"/>
    <col min="13" max="16384" width="8.7265625" style="150"/>
  </cols>
  <sheetData>
    <row r="1" spans="2:102" s="152" customFormat="1" ht="5" customHeight="1" x14ac:dyDescent="0.25"/>
    <row r="2" spans="2:102" s="1" customFormat="1" ht="5" customHeight="1" x14ac:dyDescent="0.35">
      <c r="D2" s="2"/>
      <c r="E2" s="3"/>
      <c r="M2" s="4"/>
      <c r="N2" s="5"/>
      <c r="O2" s="5"/>
      <c r="P2" s="5"/>
      <c r="Q2" s="5"/>
      <c r="R2" s="6"/>
      <c r="S2" s="7"/>
      <c r="T2" s="8"/>
      <c r="U2" s="9"/>
      <c r="CN2" s="4"/>
      <c r="CO2" s="4"/>
      <c r="CP2" s="4"/>
      <c r="CQ2" s="4"/>
    </row>
    <row r="3" spans="2:102" s="10" customFormat="1" ht="30" customHeight="1" x14ac:dyDescent="0.35">
      <c r="B3" s="11" t="s">
        <v>436</v>
      </c>
      <c r="C3" s="12"/>
      <c r="D3" s="13"/>
      <c r="E3" s="14"/>
      <c r="F3" s="12"/>
      <c r="G3" s="12"/>
      <c r="H3" s="12"/>
      <c r="I3" s="12"/>
      <c r="J3" s="12"/>
      <c r="K3" s="12"/>
      <c r="L3" s="12"/>
      <c r="M3" s="12"/>
      <c r="N3" s="12"/>
      <c r="O3" s="12"/>
      <c r="P3" s="12"/>
      <c r="Q3" s="12"/>
      <c r="R3" s="12"/>
      <c r="S3" s="15"/>
      <c r="T3" s="16"/>
      <c r="U3" s="12"/>
      <c r="V3" s="12"/>
      <c r="W3" s="12"/>
      <c r="X3" s="12"/>
      <c r="Y3" s="12"/>
      <c r="Z3" s="12"/>
      <c r="AA3" s="12"/>
      <c r="AB3" s="12"/>
      <c r="AC3" s="12"/>
      <c r="AD3" s="12"/>
    </row>
    <row r="4" spans="2:102" s="17" customFormat="1" ht="5" customHeight="1" thickBot="1" x14ac:dyDescent="0.4">
      <c r="D4" s="18"/>
      <c r="L4" s="1"/>
      <c r="M4" s="4"/>
      <c r="N4" s="4"/>
      <c r="O4" s="4"/>
      <c r="P4" s="4"/>
      <c r="Q4" s="4"/>
      <c r="R4" s="19"/>
      <c r="S4" s="7"/>
      <c r="T4" s="8"/>
      <c r="U4" s="9"/>
      <c r="V4" s="1"/>
      <c r="W4" s="1"/>
      <c r="X4" s="1"/>
      <c r="Y4" s="1"/>
      <c r="Z4" s="1"/>
      <c r="AA4" s="1"/>
      <c r="AB4" s="1"/>
      <c r="AC4" s="1"/>
      <c r="AD4" s="1"/>
      <c r="CU4" s="20"/>
      <c r="CV4" s="20"/>
      <c r="CW4" s="20"/>
      <c r="CX4" s="20"/>
    </row>
    <row r="5" spans="2:102" ht="15" thickTop="1" x14ac:dyDescent="0.35">
      <c r="B5" s="153"/>
      <c r="C5" s="153"/>
      <c r="D5" s="153"/>
      <c r="E5" s="153"/>
      <c r="F5" s="153"/>
      <c r="G5" s="153"/>
      <c r="I5" s="154"/>
      <c r="J5" s="155"/>
      <c r="K5" s="156"/>
    </row>
    <row r="6" spans="2:102" ht="14.5" x14ac:dyDescent="0.35">
      <c r="B6" s="153"/>
      <c r="C6" s="153"/>
      <c r="D6" s="153"/>
      <c r="E6" s="157"/>
      <c r="F6" s="157"/>
      <c r="G6" s="157"/>
      <c r="I6" s="158"/>
      <c r="J6" s="151"/>
      <c r="K6" s="159"/>
    </row>
    <row r="7" spans="2:102" ht="14.5" x14ac:dyDescent="0.35">
      <c r="B7" s="153"/>
      <c r="C7" s="153"/>
      <c r="D7" s="153"/>
      <c r="E7" s="157"/>
      <c r="F7" s="157"/>
      <c r="G7" s="157"/>
      <c r="I7" s="158"/>
      <c r="J7" s="151"/>
      <c r="K7" s="159"/>
    </row>
    <row r="8" spans="2:102" ht="14.5" x14ac:dyDescent="0.35">
      <c r="B8" s="153"/>
      <c r="C8" s="153" t="s">
        <v>437</v>
      </c>
      <c r="D8" s="153" t="s">
        <v>438</v>
      </c>
      <c r="E8" s="160" t="s">
        <v>478</v>
      </c>
      <c r="F8" s="160"/>
      <c r="G8" s="160"/>
      <c r="I8" s="158"/>
      <c r="J8" s="151"/>
      <c r="K8" s="159"/>
    </row>
    <row r="9" spans="2:102" ht="14.5" x14ac:dyDescent="0.35">
      <c r="B9" s="153"/>
      <c r="C9" s="153" t="s">
        <v>439</v>
      </c>
      <c r="D9" s="153" t="s">
        <v>438</v>
      </c>
      <c r="E9" s="161" t="s">
        <v>477</v>
      </c>
      <c r="F9" s="153"/>
      <c r="G9" s="153"/>
      <c r="I9" s="158"/>
      <c r="J9" s="151"/>
      <c r="K9" s="159"/>
    </row>
    <row r="10" spans="2:102" ht="14.5" x14ac:dyDescent="0.35">
      <c r="B10" s="153"/>
      <c r="C10" s="153" t="s">
        <v>440</v>
      </c>
      <c r="D10" s="153" t="s">
        <v>438</v>
      </c>
      <c r="E10" s="160" t="s">
        <v>441</v>
      </c>
      <c r="F10" s="160"/>
      <c r="G10" s="160"/>
      <c r="I10" s="158"/>
      <c r="J10" s="151"/>
      <c r="K10" s="159"/>
    </row>
    <row r="11" spans="2:102" ht="14.5" x14ac:dyDescent="0.35">
      <c r="B11" s="153"/>
      <c r="C11" s="153" t="s">
        <v>442</v>
      </c>
      <c r="D11" s="153" t="s">
        <v>438</v>
      </c>
      <c r="E11" s="162" t="s">
        <v>443</v>
      </c>
      <c r="F11" s="163"/>
      <c r="G11" s="163"/>
      <c r="I11" s="158"/>
      <c r="J11" s="151"/>
      <c r="K11" s="159"/>
    </row>
    <row r="12" spans="2:102" ht="15.5" x14ac:dyDescent="0.35">
      <c r="B12" s="153"/>
      <c r="C12" s="153" t="s">
        <v>444</v>
      </c>
      <c r="D12" s="153" t="s">
        <v>438</v>
      </c>
      <c r="E12" s="164" t="s">
        <v>445</v>
      </c>
      <c r="F12" s="164"/>
      <c r="G12" s="164"/>
      <c r="I12" s="212" t="s">
        <v>446</v>
      </c>
      <c r="J12" s="213"/>
      <c r="K12" s="214"/>
    </row>
    <row r="13" spans="2:102" ht="14.5" x14ac:dyDescent="0.35">
      <c r="B13" s="153"/>
      <c r="C13" s="153" t="s">
        <v>447</v>
      </c>
      <c r="D13" s="153" t="s">
        <v>438</v>
      </c>
      <c r="E13" s="165" t="s">
        <v>448</v>
      </c>
      <c r="F13" s="163"/>
      <c r="G13" s="166"/>
      <c r="I13" s="167"/>
      <c r="J13" s="215" t="s">
        <v>449</v>
      </c>
      <c r="K13" s="168"/>
    </row>
    <row r="14" spans="2:102" ht="15" thickBot="1" x14ac:dyDescent="0.4">
      <c r="B14" s="153"/>
      <c r="C14" s="153"/>
      <c r="D14" s="153"/>
      <c r="E14" s="153"/>
      <c r="F14" s="153"/>
      <c r="G14" s="153"/>
      <c r="I14" s="169"/>
      <c r="J14" s="216"/>
      <c r="K14" s="170"/>
    </row>
    <row r="15" spans="2:102" ht="13.5" thickTop="1" x14ac:dyDescent="0.3"/>
    <row r="16" spans="2:102" ht="15.5" customHeight="1" x14ac:dyDescent="0.3">
      <c r="B16" s="217" t="s">
        <v>450</v>
      </c>
      <c r="C16" s="217"/>
      <c r="D16" s="217"/>
      <c r="E16" s="217"/>
      <c r="F16" s="217"/>
      <c r="G16" s="217"/>
      <c r="H16" s="217"/>
      <c r="I16" s="217"/>
      <c r="J16" s="217"/>
      <c r="K16" s="217"/>
    </row>
    <row r="17" spans="2:11" ht="15.5" customHeight="1" x14ac:dyDescent="0.3">
      <c r="B17" s="217"/>
      <c r="C17" s="217"/>
      <c r="D17" s="217"/>
      <c r="E17" s="217"/>
      <c r="F17" s="217"/>
      <c r="G17" s="217"/>
      <c r="H17" s="217"/>
      <c r="I17" s="217"/>
      <c r="J17" s="217"/>
      <c r="K17" s="217"/>
    </row>
    <row r="18" spans="2:11" ht="15.5" x14ac:dyDescent="0.35">
      <c r="B18" s="171"/>
    </row>
    <row r="19" spans="2:11" ht="15.5" x14ac:dyDescent="0.35">
      <c r="B19" s="218" t="s">
        <v>451</v>
      </c>
      <c r="C19" s="218"/>
      <c r="D19" s="218"/>
      <c r="E19" s="218"/>
      <c r="F19" s="218"/>
      <c r="G19" s="218"/>
    </row>
  </sheetData>
  <mergeCells count="4">
    <mergeCell ref="I12:K12"/>
    <mergeCell ref="J13:J14"/>
    <mergeCell ref="B16:K17"/>
    <mergeCell ref="B19:G19"/>
  </mergeCells>
  <hyperlinks>
    <hyperlink ref="E11" r:id="rId1"/>
    <hyperlink ref="B19:G19" r:id="rId2" display="Go to journalSHEET.com for other Euro 2020 spreadsheets"/>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Setup</vt:lpstr>
      <vt:lpstr>Matches</vt:lpstr>
      <vt:lpstr>Language</vt:lpstr>
      <vt:lpstr>Dummy Table</vt:lpstr>
      <vt:lpstr>License</vt:lpstr>
      <vt:lpstr>About</vt:lpstr>
      <vt:lpstr>Countries</vt:lpstr>
      <vt:lpstr>Country</vt:lpstr>
      <vt:lpstr>PoolTeam</vt:lpstr>
      <vt:lpstr>Matches!Print_Area</vt:lpstr>
      <vt:lpstr>Team</vt:lpstr>
      <vt:lpstr>TimezoneData</vt:lpstr>
      <vt:lpstr>TimezoneList</vt:lpstr>
      <vt:lpstr>Venues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Copa America 2021 Schedule</dc:title>
  <dc:creator>journalSHEET</dc:creator>
  <cp:keywords>copa america spreadsheet, copa america excel</cp:keywords>
  <cp:lastModifiedBy>Admin</cp:lastModifiedBy>
  <dcterms:created xsi:type="dcterms:W3CDTF">2021-04-15T03:31:39Z</dcterms:created>
  <dcterms:modified xsi:type="dcterms:W3CDTF">2021-06-04T15:46:03Z</dcterms:modified>
</cp:coreProperties>
</file>