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27822G\Documents\Chapter 14 5e\"/>
    </mc:Choice>
  </mc:AlternateContent>
  <bookViews>
    <workbookView xWindow="-15" yWindow="-15" windowWidth="9075" windowHeight="6285" tabRatio="245" activeTab="4"/>
  </bookViews>
  <sheets>
    <sheet name="14.15" sheetId="6" r:id="rId1"/>
    <sheet name="14.16" sheetId="7" r:id="rId2"/>
    <sheet name="14.17" sheetId="11" r:id="rId3"/>
    <sheet name="CB_DATA_" sheetId="16" state="hidden" r:id="rId4"/>
    <sheet name="14.18" sheetId="12" r:id="rId5"/>
    <sheet name="14.19" sheetId="18" r:id="rId6"/>
    <sheet name="14.20" sheetId="19" r:id="rId7"/>
    <sheet name="14.21" sheetId="20" r:id="rId8"/>
    <sheet name="14.22" sheetId="21" r:id="rId9"/>
    <sheet name="14.23" sheetId="22" r:id="rId10"/>
    <sheet name="14.24" sheetId="23" r:id="rId11"/>
    <sheet name="14.25" sheetId="15" r:id="rId12"/>
  </sheets>
  <definedNames>
    <definedName name="CB_16a4721c9e7246f2815c1521ad6320c6" localSheetId="4" hidden="1">'14.18'!$B$41</definedName>
    <definedName name="CB_3027d1604096410fa4fa7af88a9a4ce4" localSheetId="4" hidden="1">'14.18'!$B$42</definedName>
    <definedName name="CB_5944c9fd4b7140378fe354d0214a090d" localSheetId="4" hidden="1">'14.18'!$B$7</definedName>
    <definedName name="CB_6b13e98181f9499cb78aedde2e2a8c27" localSheetId="4" hidden="1">'14.18'!$B$40</definedName>
    <definedName name="CB_77f9f3003465430a920ceab48456ae83" localSheetId="4" hidden="1">'14.18'!$B$4</definedName>
    <definedName name="CB_8f82aa5a66b04af882d0013620db9c9e" localSheetId="4" hidden="1">'14.18'!$B$44</definedName>
    <definedName name="CB_b11b1a6658f54c8dbae9f3dcc8289adb" localSheetId="4" hidden="1">'14.18'!$B$43</definedName>
    <definedName name="CB_d17c20db0cd04ef085eb62a55cf47354" localSheetId="4" hidden="1">'14.18'!$B$15</definedName>
    <definedName name="CBWorkbookPriority" hidden="1">-1532333744</definedName>
    <definedName name="CBx_291bbe1ed78e4e668d6b3201569ef341" localSheetId="3" hidden="1">"'CB_DATA_'!$A$1"</definedName>
    <definedName name="CBx_2aa6001b904f4debbdbee7c22be5583c" localSheetId="3" hidden="1">"'Figures'!$A$1"</definedName>
    <definedName name="CBx_2f7d6855841f449586db4625a49b32a7" localSheetId="3" hidden="1">"'15.16'!$A$1"</definedName>
    <definedName name="CBx_Sheet_Guid" localSheetId="4" hidden="1">"'2f7d6855841f449586db4625a49b32a7"</definedName>
    <definedName name="CBx_Sheet_Guid" localSheetId="3" hidden="1">"'291bbe1ed78e4e668d6b3201569ef341"</definedName>
    <definedName name="solver_bigm" localSheetId="4" hidden="1">1000000</definedName>
    <definedName name="solver_bnd" localSheetId="4" hidden="1">1</definedName>
    <definedName name="solver_cha" localSheetId="4" hidden="1">0</definedName>
    <definedName name="solver_chn" localSheetId="4" hidden="1">4</definedName>
    <definedName name="solver_cht" localSheetId="4" hidden="1">0</definedName>
    <definedName name="solver_corr" hidden="1">1</definedName>
    <definedName name="solver_ctp1" hidden="1">0</definedName>
    <definedName name="solver_ctp2" hidden="1">0</definedName>
    <definedName name="solver_dimcalc" localSheetId="4" hidden="1">0</definedName>
    <definedName name="solver_disp" hidden="1">0</definedName>
    <definedName name="solver_eval" hidden="1">0</definedName>
    <definedName name="solver_glb" localSheetId="4" hidden="1">-1E+30</definedName>
    <definedName name="solver_gub" localSheetId="4" hidden="1">1E+30</definedName>
    <definedName name="solver_iao" localSheetId="4" hidden="1">0</definedName>
    <definedName name="solver_inc" localSheetId="4" hidden="1">0</definedName>
    <definedName name="solver_int" localSheetId="4" hidden="1">0</definedName>
    <definedName name="solver_ism" localSheetId="4" hidden="1">0</definedName>
    <definedName name="solver_lcens" hidden="1">-1E+30</definedName>
    <definedName name="solver_lcut" hidden="1">-1E+30</definedName>
    <definedName name="solver_log" localSheetId="4" hidden="1">1</definedName>
    <definedName name="solver_mda" localSheetId="4" hidden="1">4</definedName>
    <definedName name="solver_mod" localSheetId="4" hidden="1">3</definedName>
    <definedName name="solver_nopt" localSheetId="4" hidden="1">1</definedName>
    <definedName name="solver_nsim" hidden="1">1</definedName>
    <definedName name="solver_nsopt" localSheetId="4" hidden="1">-1</definedName>
    <definedName name="solver_nssim" hidden="1">-1</definedName>
    <definedName name="solver_ntr" localSheetId="4" hidden="1">0</definedName>
    <definedName name="solver_ntri" hidden="1">1000</definedName>
    <definedName name="solver_psi" localSheetId="4" hidden="1">0</definedName>
    <definedName name="solver_rgen" hidden="1">1</definedName>
    <definedName name="solver_rsmp" hidden="1">2</definedName>
    <definedName name="solver_seed" hidden="1">999</definedName>
    <definedName name="solver_slv" localSheetId="4" hidden="1">0</definedName>
    <definedName name="solver_slvu" localSheetId="4" hidden="1">0</definedName>
    <definedName name="solver_strm" hidden="1">0</definedName>
    <definedName name="solver_tree_a" localSheetId="4" hidden="1">1</definedName>
    <definedName name="solver_tree_b" localSheetId="4" hidden="1">1</definedName>
    <definedName name="solver_tree_ce" localSheetId="4" hidden="1">1</definedName>
    <definedName name="solver_tree_dn" localSheetId="4" hidden="1">1</definedName>
    <definedName name="solver_tree_rt" localSheetId="4" hidden="1">1000000000000</definedName>
    <definedName name="solver_typ" localSheetId="4" hidden="1">2</definedName>
    <definedName name="solver_ucens" hidden="1">1E+30</definedName>
    <definedName name="solver_ucut" hidden="1">1E+30</definedName>
    <definedName name="solver_umod" localSheetId="4" hidden="1">1</definedName>
    <definedName name="solver_ver" localSheetId="4" hidden="1">16</definedName>
    <definedName name="solver_vol" localSheetId="4" hidden="1">0</definedName>
    <definedName name="solveri_ISpPars_B15" localSheetId="4" hidden="1">"RiskSolver.UI.Charts.InputDlgPars:-1000001;1;1;28;23;44;50;0;90;90;0;0;0;0;1;"</definedName>
    <definedName name="solveri_ISpPars_B4" localSheetId="4" hidden="1">"RiskSolver.UI.Charts.InputDlgPars:-1000001;1;1;28;23;44;50;0;90;90;0;0;0;0;1;"</definedName>
    <definedName name="solveri_ISpPars_B7" localSheetId="4" hidden="1">"RiskSolver.UI.Charts.InputDlgPars:-1000001;1;1;28;23;44;50;0;90;90;0;0;0;0;1;"</definedName>
    <definedName name="solvero_ISpMarker1_B40" localSheetId="4" hidden="1">"RiskSolver.UI.Charts.Marker:100;3;1949.677;1;1;0;0;0;Marker 1;Mean"</definedName>
    <definedName name="solvero_ISpMarker1_B44" localSheetId="4" hidden="1">"RiskSolver.UI.Charts.Marker:100;3;51.307;1;1;0;0;0;Marker 1;Mean"</definedName>
    <definedName name="solvero_ISpMarkers_B40" localSheetId="4" hidden="1">"RiskSolver.UI.Charts.Markers:1"</definedName>
    <definedName name="solvero_ISpMarkers_B44" localSheetId="4" hidden="1">"RiskSolver.UI.Charts.Markers:1"</definedName>
  </definedNames>
  <calcPr calcId="162913" concurrentCalc="0"/>
</workbook>
</file>

<file path=xl/calcChain.xml><?xml version="1.0" encoding="utf-8"?>
<calcChain xmlns="http://schemas.openxmlformats.org/spreadsheetml/2006/main">
  <c r="B4" i="12" l="1"/>
  <c r="B15" i="12"/>
  <c r="B16" i="12"/>
  <c r="C21" i="12"/>
  <c r="C22" i="12"/>
  <c r="B7" i="12"/>
  <c r="C23" i="12"/>
  <c r="C24" i="12"/>
  <c r="C25" i="12"/>
  <c r="C26" i="12"/>
  <c r="C27" i="12"/>
  <c r="C28" i="12"/>
  <c r="C30" i="12"/>
  <c r="C33" i="12"/>
  <c r="D21" i="12"/>
  <c r="D22" i="12"/>
  <c r="D23" i="12"/>
  <c r="D24" i="12"/>
  <c r="D25" i="12"/>
  <c r="D26" i="12"/>
  <c r="D27" i="12"/>
  <c r="D28" i="12"/>
  <c r="D30" i="12"/>
  <c r="D33" i="12"/>
  <c r="E21" i="12"/>
  <c r="E22" i="12"/>
  <c r="E23" i="12"/>
  <c r="E24" i="12"/>
  <c r="E25" i="12"/>
  <c r="E26" i="12"/>
  <c r="E27" i="12"/>
  <c r="E28" i="12"/>
  <c r="E30" i="12"/>
  <c r="E33" i="12"/>
  <c r="F21" i="12"/>
  <c r="F22" i="12"/>
  <c r="F23" i="12"/>
  <c r="F24" i="12"/>
  <c r="F25" i="12"/>
  <c r="F26" i="12"/>
  <c r="F27" i="12"/>
  <c r="F28" i="12"/>
  <c r="F30" i="12"/>
  <c r="F33" i="12"/>
  <c r="G21" i="12"/>
  <c r="G22" i="12"/>
  <c r="G23" i="12"/>
  <c r="G24" i="12"/>
  <c r="G25" i="12"/>
  <c r="G26" i="12"/>
  <c r="G27" i="12"/>
  <c r="G28" i="12"/>
  <c r="G30" i="12"/>
  <c r="G33" i="12"/>
  <c r="H21" i="12"/>
  <c r="H22" i="12"/>
  <c r="H23" i="12"/>
  <c r="H24" i="12"/>
  <c r="H25" i="12"/>
  <c r="H26" i="12"/>
  <c r="H27" i="12"/>
  <c r="H28" i="12"/>
  <c r="H30" i="12"/>
  <c r="H33" i="12"/>
  <c r="I21" i="12"/>
  <c r="I22" i="12"/>
  <c r="I23" i="12"/>
  <c r="I24" i="12"/>
  <c r="I25" i="12"/>
  <c r="I26" i="12"/>
  <c r="I27" i="12"/>
  <c r="I28" i="12"/>
  <c r="I30" i="12"/>
  <c r="I33" i="12"/>
  <c r="J21" i="12"/>
  <c r="J22" i="12"/>
  <c r="J23" i="12"/>
  <c r="J24" i="12"/>
  <c r="J25" i="12"/>
  <c r="J26" i="12"/>
  <c r="J27" i="12"/>
  <c r="J28" i="12"/>
  <c r="J30" i="12"/>
  <c r="J33" i="12"/>
  <c r="K21" i="12"/>
  <c r="K22" i="12"/>
  <c r="K23" i="12"/>
  <c r="K24" i="12"/>
  <c r="K25" i="12"/>
  <c r="K26" i="12"/>
  <c r="K27" i="12"/>
  <c r="K28" i="12"/>
  <c r="K30" i="12"/>
  <c r="K33" i="12"/>
  <c r="L21" i="12"/>
  <c r="L22" i="12"/>
  <c r="L23" i="12"/>
  <c r="L24" i="12"/>
  <c r="L25" i="12"/>
  <c r="L26" i="12"/>
  <c r="L27" i="12"/>
  <c r="L28" i="12"/>
  <c r="L30" i="12"/>
  <c r="L33" i="12"/>
  <c r="B35" i="12"/>
  <c r="B34" i="12"/>
  <c r="B36" i="12"/>
  <c r="B37" i="12"/>
  <c r="B44" i="12"/>
  <c r="C47" i="12"/>
  <c r="D47" i="12"/>
  <c r="E47" i="12"/>
  <c r="F47" i="12"/>
  <c r="G47" i="12"/>
  <c r="H47" i="12"/>
  <c r="I47" i="12"/>
  <c r="J47" i="12"/>
  <c r="K47" i="12"/>
  <c r="L47" i="12"/>
  <c r="B43" i="12"/>
  <c r="C48" i="12"/>
  <c r="C49" i="12"/>
  <c r="C50" i="12"/>
  <c r="D48" i="12"/>
  <c r="D49" i="12"/>
  <c r="D50" i="12"/>
  <c r="E48" i="12"/>
  <c r="E49" i="12"/>
  <c r="E50" i="12"/>
  <c r="F48" i="12"/>
  <c r="F49" i="12"/>
  <c r="F50" i="12"/>
  <c r="G48" i="12"/>
  <c r="G49" i="12"/>
  <c r="G50" i="12"/>
  <c r="H48" i="12"/>
  <c r="H49" i="12"/>
  <c r="H50" i="12"/>
  <c r="I48" i="12"/>
  <c r="I49" i="12"/>
  <c r="I50" i="12"/>
  <c r="J48" i="12"/>
  <c r="J49" i="12"/>
  <c r="J50" i="12"/>
  <c r="K48" i="12"/>
  <c r="K49" i="12"/>
  <c r="K50" i="12"/>
  <c r="L48" i="12"/>
  <c r="L49" i="12"/>
  <c r="L50" i="12"/>
  <c r="B42" i="12"/>
  <c r="B41" i="12"/>
  <c r="B40" i="12"/>
  <c r="B26" i="12"/>
  <c r="B27" i="12"/>
  <c r="B16" i="6"/>
  <c r="B26" i="6"/>
  <c r="B27" i="6"/>
  <c r="C21" i="6"/>
  <c r="C22" i="6"/>
  <c r="D21" i="6"/>
  <c r="C25" i="6"/>
  <c r="C30" i="6"/>
  <c r="C24" i="6"/>
  <c r="C23" i="6"/>
  <c r="C26" i="6"/>
  <c r="B28" i="6"/>
  <c r="B33" i="6"/>
  <c r="B28" i="12"/>
  <c r="B33" i="12"/>
  <c r="B47" i="12"/>
  <c r="C27" i="6"/>
  <c r="C28" i="6"/>
  <c r="C33" i="6"/>
  <c r="B47" i="6"/>
  <c r="D24" i="6"/>
  <c r="D23" i="6"/>
  <c r="D30" i="6"/>
  <c r="D25" i="6"/>
  <c r="D22" i="6"/>
  <c r="D26" i="6"/>
  <c r="E21" i="6"/>
  <c r="C47" i="6"/>
  <c r="C48" i="6"/>
  <c r="D27" i="6"/>
  <c r="D28" i="6"/>
  <c r="D33" i="6"/>
  <c r="B48" i="6"/>
  <c r="E22" i="6"/>
  <c r="E23" i="6"/>
  <c r="E24" i="6"/>
  <c r="E25" i="6"/>
  <c r="E26" i="6"/>
  <c r="E30" i="6"/>
  <c r="F21" i="6"/>
  <c r="B48" i="12"/>
  <c r="F24" i="6"/>
  <c r="F22" i="6"/>
  <c r="F23" i="6"/>
  <c r="F25" i="6"/>
  <c r="F26" i="6"/>
  <c r="F30" i="6"/>
  <c r="G21" i="6"/>
  <c r="E27" i="6"/>
  <c r="E28" i="6"/>
  <c r="E33" i="6"/>
  <c r="B49" i="12"/>
  <c r="B50" i="12"/>
  <c r="C49" i="6"/>
  <c r="C50" i="6"/>
  <c r="B49" i="6"/>
  <c r="B50" i="6"/>
  <c r="D47" i="6"/>
  <c r="D48" i="6"/>
  <c r="E47" i="6"/>
  <c r="F27" i="6"/>
  <c r="F28" i="6"/>
  <c r="F33" i="6"/>
  <c r="G22" i="6"/>
  <c r="G25" i="6"/>
  <c r="H21" i="6"/>
  <c r="G30" i="6"/>
  <c r="G23" i="6"/>
  <c r="G24" i="6"/>
  <c r="G26" i="6"/>
  <c r="D49" i="6"/>
  <c r="D50" i="6"/>
  <c r="G27" i="6"/>
  <c r="G28" i="6"/>
  <c r="G33" i="6"/>
  <c r="F47" i="6"/>
  <c r="F48" i="6"/>
  <c r="H24" i="6"/>
  <c r="I21" i="6"/>
  <c r="H22" i="6"/>
  <c r="H23" i="6"/>
  <c r="H25" i="6"/>
  <c r="H26" i="6"/>
  <c r="H30" i="6"/>
  <c r="E48" i="6"/>
  <c r="H27" i="6"/>
  <c r="H28" i="6"/>
  <c r="H33" i="6"/>
  <c r="G47" i="6"/>
  <c r="H47" i="6"/>
  <c r="H48" i="6"/>
  <c r="I22" i="6"/>
  <c r="J21" i="6"/>
  <c r="I23" i="6"/>
  <c r="I24" i="6"/>
  <c r="I30" i="6"/>
  <c r="I25" i="6"/>
  <c r="I26" i="6"/>
  <c r="F49" i="6"/>
  <c r="F50" i="6"/>
  <c r="E49" i="6"/>
  <c r="E50" i="6"/>
  <c r="I27" i="6"/>
  <c r="I28" i="6"/>
  <c r="I33" i="6"/>
  <c r="I47" i="6"/>
  <c r="I48" i="6"/>
  <c r="J24" i="6"/>
  <c r="J22" i="6"/>
  <c r="K21" i="6"/>
  <c r="J23" i="6"/>
  <c r="J25" i="6"/>
  <c r="J26" i="6"/>
  <c r="J30" i="6"/>
  <c r="G48" i="6"/>
  <c r="J27" i="6"/>
  <c r="J28" i="6"/>
  <c r="J33" i="6"/>
  <c r="J47" i="6"/>
  <c r="J48" i="6"/>
  <c r="K22" i="6"/>
  <c r="K23" i="6"/>
  <c r="K24" i="6"/>
  <c r="K25" i="6"/>
  <c r="K26" i="6"/>
  <c r="K30" i="6"/>
  <c r="L21" i="6"/>
  <c r="H49" i="6"/>
  <c r="H50" i="6"/>
  <c r="G49" i="6"/>
  <c r="G50" i="6"/>
  <c r="I49" i="6"/>
  <c r="I50" i="6"/>
  <c r="J49" i="6"/>
  <c r="J50" i="6"/>
  <c r="K27" i="6"/>
  <c r="K28" i="6"/>
  <c r="K33" i="6"/>
  <c r="K47" i="6"/>
  <c r="K48" i="6"/>
  <c r="K49" i="6"/>
  <c r="K50" i="6"/>
  <c r="L24" i="6"/>
  <c r="L23" i="6"/>
  <c r="L30" i="6"/>
  <c r="L22" i="6"/>
  <c r="L25" i="6"/>
  <c r="L26" i="6"/>
  <c r="L27" i="6"/>
  <c r="L28" i="6"/>
  <c r="L33" i="6"/>
  <c r="B34" i="6"/>
  <c r="B36" i="6"/>
  <c r="L47" i="6"/>
  <c r="B35" i="6"/>
  <c r="B37" i="6"/>
  <c r="B40" i="6"/>
  <c r="B44" i="6"/>
  <c r="L48" i="6"/>
  <c r="L49" i="6"/>
  <c r="L50" i="6"/>
  <c r="B42" i="6"/>
  <c r="B43" i="6"/>
  <c r="B41" i="6"/>
</calcChain>
</file>

<file path=xl/comments1.xml><?xml version="1.0" encoding="utf-8"?>
<comments xmlns="http://schemas.openxmlformats.org/spreadsheetml/2006/main">
  <authors>
    <author>Steve.Powell</author>
  </authors>
  <commentList>
    <comment ref="B34" authorId="0" shapeId="0">
      <text>
        <r>
          <rPr>
            <b/>
            <sz val="10"/>
            <color indexed="81"/>
            <rFont val="Tahoma"/>
            <family val="2"/>
          </rPr>
          <t xml:space="preserve">
Terminal value is an estimate of the value of the firm after 2005. </t>
        </r>
      </text>
    </comment>
    <comment ref="B35" authorId="0" shapeId="0">
      <text>
        <r>
          <rPr>
            <b/>
            <sz val="10"/>
            <color indexed="81"/>
            <rFont val="Tahoma"/>
            <family val="2"/>
          </rPr>
          <t xml:space="preserve">
PV Free cash flow is the value of the firm from 1995 to 2005.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6" authorId="0" shapeId="0">
      <text>
        <r>
          <rPr>
            <b/>
            <sz val="10"/>
            <color indexed="81"/>
            <rFont val="Tahoma"/>
            <family val="2"/>
          </rPr>
          <t xml:space="preserve">
PV Terminal value is the value as of 1995 of the value after 2005.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7" authorId="0" shapeId="0">
      <text>
        <r>
          <rPr>
            <b/>
            <sz val="10"/>
            <color indexed="81"/>
            <rFont val="Tahoma"/>
            <family val="2"/>
          </rPr>
          <t xml:space="preserve">
The Total PV is the sum of the PV from 1995-2005 and the terminal value after 2005.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Ken.Baker</author>
  </authors>
  <commentList>
    <comment ref="G10" authorId="0" shapeId="0">
      <text>
        <r>
          <rPr>
            <b/>
            <sz val="8"/>
            <color indexed="81"/>
            <rFont val="Tahoma"/>
            <family val="2"/>
          </rPr>
          <t>Base Case:
  7.5% and 4%</t>
        </r>
      </text>
    </comment>
  </commentList>
</comments>
</file>

<file path=xl/comments3.xml><?xml version="1.0" encoding="utf-8"?>
<comments xmlns="http://schemas.openxmlformats.org/spreadsheetml/2006/main">
  <authors>
    <author>Powell, Stephen G.</author>
    <author>Steve.Powell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Normal distribution
Mean = 65%
Standard deviation = 5%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" authorId="1" shapeId="0">
      <text>
        <r>
          <rPr>
            <b/>
            <sz val="10"/>
            <color indexed="81"/>
            <rFont val="Tahoma"/>
            <family val="2"/>
          </rPr>
          <t xml:space="preserve">
  Triangular distribution
  Minimum = 32.00%
  Likeliest = 37.00%
  Maximum = 42.00%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B15" authorId="1" shapeId="0">
      <text>
        <r>
          <rPr>
            <b/>
            <sz val="8"/>
            <color indexed="81"/>
            <rFont val="Tahoma"/>
            <family val="2"/>
          </rPr>
          <t xml:space="preserve">
 </t>
        </r>
        <r>
          <rPr>
            <b/>
            <sz val="10"/>
            <color indexed="81"/>
            <rFont val="Tahoma"/>
            <family val="2"/>
          </rPr>
          <t xml:space="preserve"> Uniform distribution
  Minimum = 5.00%
  Maximum = 10.00%</t>
        </r>
      </text>
    </comment>
    <comment ref="B40" authorId="1" shapeId="0">
      <text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Output Distributions</t>
        </r>
      </text>
    </comment>
  </commentList>
</comments>
</file>

<file path=xl/sharedStrings.xml><?xml version="1.0" encoding="utf-8"?>
<sst xmlns="http://schemas.openxmlformats.org/spreadsheetml/2006/main" count="101" uniqueCount="51">
  <si>
    <t>Assumptions</t>
  </si>
  <si>
    <t>Revenue growth rate</t>
  </si>
  <si>
    <t>Terminal value growth rate</t>
  </si>
  <si>
    <t>Other operating expenses</t>
  </si>
  <si>
    <t>Capital expenditure</t>
  </si>
  <si>
    <t>Depreciation</t>
  </si>
  <si>
    <t>∆NWC</t>
  </si>
  <si>
    <t>Beta</t>
  </si>
  <si>
    <t>Riskless rate</t>
  </si>
  <si>
    <t>Revenues</t>
  </si>
  <si>
    <t>Cost of goods sold</t>
  </si>
  <si>
    <t>R&amp;D expenses</t>
  </si>
  <si>
    <t>Profit before taxes</t>
  </si>
  <si>
    <t>Taxes</t>
  </si>
  <si>
    <t>Net income</t>
  </si>
  <si>
    <t>Free cash flow</t>
  </si>
  <si>
    <t>1995 actual</t>
  </si>
  <si>
    <t xml:space="preserve"> </t>
  </si>
  <si>
    <t>Cost of sales (% revenues)</t>
  </si>
  <si>
    <t>Depreciation (% revenues)</t>
  </si>
  <si>
    <t>Forecast</t>
  </si>
  <si>
    <t>Tax rate</t>
  </si>
  <si>
    <t>Market risk premium</t>
  </si>
  <si>
    <t>PV Free cash flow</t>
  </si>
  <si>
    <t>Total PV</t>
  </si>
  <si>
    <t>R&amp;D (% revenues)</t>
  </si>
  <si>
    <t>Performance</t>
  </si>
  <si>
    <t>Total NPV</t>
  </si>
  <si>
    <t>Cumulative FCF</t>
  </si>
  <si>
    <t>Year FCF &gt;0</t>
  </si>
  <si>
    <t>Max loss</t>
  </si>
  <si>
    <t>Model</t>
  </si>
  <si>
    <t>Price/Share</t>
  </si>
  <si>
    <t>PV Terminal value</t>
  </si>
  <si>
    <t>Netscape Valuation Model - Deterministic Version</t>
  </si>
  <si>
    <t>Risk</t>
  </si>
  <si>
    <t>Premium</t>
  </si>
  <si>
    <t>Market</t>
  </si>
  <si>
    <t>Total NPV: Mean</t>
  </si>
  <si>
    <t>Total NPV: Min</t>
  </si>
  <si>
    <t>Total NPV: Max</t>
  </si>
  <si>
    <t>Change in net working capital</t>
  </si>
  <si>
    <t xml:space="preserve">Cost of equity </t>
  </si>
  <si>
    <t>Terminal value (2006)</t>
  </si>
  <si>
    <t>Shares outstanding</t>
  </si>
  <si>
    <t>Ratio TV/Total NPV</t>
  </si>
  <si>
    <t>Zero out negatives</t>
  </si>
  <si>
    <t>Isolate first positive</t>
  </si>
  <si>
    <t>Calculate year first positive</t>
  </si>
  <si>
    <t>Netscape Valuation Model - Simulation Version</t>
  </si>
  <si>
    <t>Sensitivity of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</si>
</sst>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&quot;$&quot;#,##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u/>
      <sz val="10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1" fontId="2" fillId="0" borderId="0" xfId="0" applyNumberFormat="1" applyFont="1" applyBorder="1"/>
    <xf numFmtId="2" fontId="4" fillId="0" borderId="0" xfId="0" applyNumberFormat="1" applyFont="1" applyFill="1"/>
    <xf numFmtId="2" fontId="3" fillId="0" borderId="0" xfId="0" applyNumberFormat="1" applyFont="1" applyFill="1"/>
    <xf numFmtId="1" fontId="2" fillId="0" borderId="0" xfId="3" applyNumberFormat="1" applyFont="1" applyFill="1" applyBorder="1"/>
    <xf numFmtId="10" fontId="3" fillId="0" borderId="0" xfId="3" applyNumberFormat="1" applyFont="1" applyFill="1" applyBorder="1"/>
    <xf numFmtId="0" fontId="3" fillId="0" borderId="0" xfId="0" applyFont="1" applyBorder="1"/>
    <xf numFmtId="0" fontId="3" fillId="0" borderId="0" xfId="0" applyFont="1" applyFill="1" applyBorder="1"/>
    <xf numFmtId="2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2" fontId="3" fillId="0" borderId="0" xfId="0" applyNumberFormat="1" applyFont="1" applyBorder="1"/>
    <xf numFmtId="164" fontId="3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166" fontId="0" fillId="0" borderId="0" xfId="2" applyNumberFormat="1" applyFont="1" applyBorder="1"/>
    <xf numFmtId="166" fontId="0" fillId="0" borderId="6" xfId="2" applyNumberFormat="1" applyFont="1" applyBorder="1"/>
    <xf numFmtId="166" fontId="0" fillId="0" borderId="7" xfId="2" applyNumberFormat="1" applyFont="1" applyBorder="1"/>
    <xf numFmtId="166" fontId="0" fillId="0" borderId="8" xfId="2" applyNumberFormat="1" applyFont="1" applyBorder="1"/>
    <xf numFmtId="9" fontId="2" fillId="0" borderId="0" xfId="3" applyFont="1" applyAlignment="1">
      <alignment horizontal="center"/>
    </xf>
    <xf numFmtId="165" fontId="2" fillId="0" borderId="0" xfId="3" applyNumberFormat="1" applyFont="1" applyAlignment="1">
      <alignment horizontal="center"/>
    </xf>
    <xf numFmtId="37" fontId="3" fillId="0" borderId="0" xfId="1" applyNumberFormat="1" applyFont="1" applyBorder="1"/>
    <xf numFmtId="37" fontId="3" fillId="0" borderId="0" xfId="0" applyNumberFormat="1" applyFont="1" applyBorder="1"/>
    <xf numFmtId="0" fontId="3" fillId="0" borderId="9" xfId="0" applyFont="1" applyFill="1" applyBorder="1"/>
    <xf numFmtId="9" fontId="3" fillId="0" borderId="10" xfId="3" applyNumberFormat="1" applyFont="1" applyFill="1" applyBorder="1"/>
    <xf numFmtId="0" fontId="3" fillId="0" borderId="10" xfId="0" applyFont="1" applyBorder="1"/>
    <xf numFmtId="0" fontId="3" fillId="0" borderId="10" xfId="0" applyFont="1" applyFill="1" applyBorder="1"/>
    <xf numFmtId="0" fontId="3" fillId="0" borderId="11" xfId="0" applyFont="1" applyBorder="1"/>
    <xf numFmtId="0" fontId="3" fillId="0" borderId="12" xfId="0" applyFont="1" applyFill="1" applyBorder="1"/>
    <xf numFmtId="0" fontId="3" fillId="0" borderId="13" xfId="0" applyFont="1" applyBorder="1"/>
    <xf numFmtId="2" fontId="3" fillId="0" borderId="13" xfId="0" applyNumberFormat="1" applyFont="1" applyFill="1" applyBorder="1"/>
    <xf numFmtId="0" fontId="3" fillId="0" borderId="14" xfId="0" applyFont="1" applyFill="1" applyBorder="1"/>
    <xf numFmtId="3" fontId="3" fillId="0" borderId="15" xfId="3" applyNumberFormat="1" applyFont="1" applyFill="1" applyBorder="1"/>
    <xf numFmtId="0" fontId="3" fillId="0" borderId="15" xfId="0" applyFont="1" applyBorder="1"/>
    <xf numFmtId="0" fontId="3" fillId="0" borderId="15" xfId="0" applyFont="1" applyFill="1" applyBorder="1"/>
    <xf numFmtId="0" fontId="3" fillId="0" borderId="16" xfId="0" applyFont="1" applyBorder="1"/>
    <xf numFmtId="0" fontId="3" fillId="0" borderId="9" xfId="0" applyFont="1" applyBorder="1"/>
    <xf numFmtId="0" fontId="2" fillId="0" borderId="10" xfId="0" applyFont="1" applyBorder="1" applyAlignment="1">
      <alignment horizontal="right"/>
    </xf>
    <xf numFmtId="0" fontId="2" fillId="0" borderId="10" xfId="0" applyFont="1" applyBorder="1"/>
    <xf numFmtId="0" fontId="2" fillId="0" borderId="11" xfId="0" applyFont="1" applyBorder="1"/>
    <xf numFmtId="0" fontId="3" fillId="0" borderId="12" xfId="0" applyFont="1" applyBorder="1"/>
    <xf numFmtId="37" fontId="3" fillId="0" borderId="13" xfId="0" applyNumberFormat="1" applyFont="1" applyBorder="1"/>
    <xf numFmtId="37" fontId="3" fillId="0" borderId="13" xfId="1" applyNumberFormat="1" applyFont="1" applyBorder="1"/>
    <xf numFmtId="0" fontId="3" fillId="0" borderId="14" xfId="0" applyFont="1" applyBorder="1"/>
    <xf numFmtId="37" fontId="2" fillId="0" borderId="15" xfId="0" applyNumberFormat="1" applyFont="1" applyBorder="1"/>
    <xf numFmtId="37" fontId="3" fillId="0" borderId="15" xfId="0" applyNumberFormat="1" applyFont="1" applyBorder="1"/>
    <xf numFmtId="37" fontId="3" fillId="0" borderId="16" xfId="0" applyNumberFormat="1" applyFont="1" applyBorder="1"/>
    <xf numFmtId="37" fontId="2" fillId="0" borderId="0" xfId="0" applyNumberFormat="1" applyFont="1" applyBorder="1"/>
    <xf numFmtId="0" fontId="2" fillId="0" borderId="0" xfId="0" applyFont="1" applyBorder="1"/>
    <xf numFmtId="3" fontId="3" fillId="0" borderId="11" xfId="0" applyNumberFormat="1" applyFont="1" applyBorder="1"/>
    <xf numFmtId="2" fontId="3" fillId="0" borderId="13" xfId="0" applyNumberFormat="1" applyFont="1" applyBorder="1"/>
    <xf numFmtId="1" fontId="3" fillId="0" borderId="13" xfId="0" applyNumberFormat="1" applyFont="1" applyBorder="1"/>
    <xf numFmtId="164" fontId="3" fillId="0" borderId="13" xfId="0" applyNumberFormat="1" applyFont="1" applyBorder="1"/>
    <xf numFmtId="2" fontId="3" fillId="0" borderId="16" xfId="0" applyNumberFormat="1" applyFont="1" applyBorder="1"/>
    <xf numFmtId="10" fontId="3" fillId="2" borderId="0" xfId="3" applyNumberFormat="1" applyFont="1" applyFill="1" applyBorder="1"/>
    <xf numFmtId="3" fontId="0" fillId="0" borderId="17" xfId="0" applyNumberFormat="1" applyBorder="1"/>
    <xf numFmtId="3" fontId="0" fillId="0" borderId="18" xfId="0" applyNumberFormat="1" applyBorder="1"/>
    <xf numFmtId="3" fontId="0" fillId="0" borderId="19" xfId="0" applyNumberFormat="1" applyBorder="1"/>
    <xf numFmtId="3" fontId="0" fillId="0" borderId="4" xfId="0" applyNumberFormat="1" applyBorder="1"/>
    <xf numFmtId="3" fontId="0" fillId="0" borderId="0" xfId="0" applyNumberFormat="1" applyBorder="1"/>
    <xf numFmtId="3" fontId="0" fillId="0" borderId="6" xfId="0" applyNumberFormat="1" applyBorder="1"/>
    <xf numFmtId="3" fontId="2" fillId="0" borderId="0" xfId="0" applyNumberFormat="1" applyFon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9" fontId="3" fillId="2" borderId="10" xfId="3" applyNumberFormat="1" applyFont="1" applyFill="1" applyBorder="1"/>
    <xf numFmtId="0" fontId="3" fillId="0" borderId="0" xfId="0" applyFont="1" applyFill="1"/>
    <xf numFmtId="3" fontId="3" fillId="3" borderId="11" xfId="0" applyNumberFormat="1" applyFont="1" applyFill="1" applyBorder="1"/>
    <xf numFmtId="2" fontId="3" fillId="3" borderId="13" xfId="0" applyNumberFormat="1" applyFont="1" applyFill="1" applyBorder="1"/>
    <xf numFmtId="1" fontId="3" fillId="3" borderId="13" xfId="0" applyNumberFormat="1" applyFont="1" applyFill="1" applyBorder="1"/>
    <xf numFmtId="164" fontId="3" fillId="3" borderId="13" xfId="0" applyNumberFormat="1" applyFont="1" applyFill="1" applyBorder="1"/>
    <xf numFmtId="2" fontId="3" fillId="3" borderId="16" xfId="0" applyNumberFormat="1" applyFont="1" applyFill="1" applyBorder="1"/>
    <xf numFmtId="0" fontId="2" fillId="0" borderId="0" xfId="0" quotePrefix="1" applyFon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21810897874926"/>
          <c:y val="6.9518716577540107E-2"/>
          <c:w val="0.74752595710530934"/>
          <c:h val="0.72994652406417115"/>
        </c:manualLayout>
      </c:layout>
      <c:scatterChart>
        <c:scatterStyle val="smoothMarker"/>
        <c:varyColors val="0"/>
        <c:ser>
          <c:idx val="0"/>
          <c:order val="0"/>
          <c:tx>
            <c:v>Mean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5"/>
              <c:layout>
                <c:manualLayout>
                  <c:x val="-0.10643585715029939"/>
                  <c:y val="-8.238045110671329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70-4ADA-82C8-68EAA0272F2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'14.25'!$A$2:$A$11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'14.25'!$B$2:$B$11</c:f>
              <c:numCache>
                <c:formatCode>"$"#,##0</c:formatCode>
                <c:ptCount val="10"/>
                <c:pt idx="0">
                  <c:v>977112.2863943727</c:v>
                </c:pt>
                <c:pt idx="1">
                  <c:v>1032933.6820769802</c:v>
                </c:pt>
                <c:pt idx="2">
                  <c:v>1096905.8982686459</c:v>
                </c:pt>
                <c:pt idx="3">
                  <c:v>1170997.9819078869</c:v>
                </c:pt>
                <c:pt idx="4">
                  <c:v>1257885.4029943829</c:v>
                </c:pt>
                <c:pt idx="5">
                  <c:v>1361307.0090358884</c:v>
                </c:pt>
                <c:pt idx="6">
                  <c:v>1486669.3028773842</c:v>
                </c:pt>
                <c:pt idx="7">
                  <c:v>1642130.5793001524</c:v>
                </c:pt>
                <c:pt idx="8">
                  <c:v>1840694.9918458511</c:v>
                </c:pt>
                <c:pt idx="9">
                  <c:v>2104671.3158013383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70-4ADA-82C8-68EAA0272F2F}"/>
            </c:ext>
          </c:extLst>
        </c:ser>
        <c:ser>
          <c:idx val="1"/>
          <c:order val="1"/>
          <c:tx>
            <c:v>Minimum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dLbls>
            <c:dLbl>
              <c:idx val="8"/>
              <c:layout>
                <c:manualLayout>
                  <c:x val="-0.2790158970322012"/>
                  <c:y val="-2.926523222030405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70-4ADA-82C8-68EAA0272F2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'14.25'!$A$2:$A$11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'14.25'!$C$2:$C$11</c:f>
              <c:numCache>
                <c:formatCode>"$"#,##0</c:formatCode>
                <c:ptCount val="10"/>
                <c:pt idx="0">
                  <c:v>198597.02393686248</c:v>
                </c:pt>
                <c:pt idx="1">
                  <c:v>209787.49400252593</c:v>
                </c:pt>
                <c:pt idx="2">
                  <c:v>222218.45184275525</c:v>
                </c:pt>
                <c:pt idx="3">
                  <c:v>236108.26694551768</c:v>
                </c:pt>
                <c:pt idx="4">
                  <c:v>251292.032730807</c:v>
                </c:pt>
                <c:pt idx="5">
                  <c:v>268126.90156876977</c:v>
                </c:pt>
                <c:pt idx="6">
                  <c:v>287294.72312880179</c:v>
                </c:pt>
                <c:pt idx="7">
                  <c:v>309316.54656238051</c:v>
                </c:pt>
                <c:pt idx="8">
                  <c:v>334881.06549314177</c:v>
                </c:pt>
                <c:pt idx="9">
                  <c:v>364917.93892621208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70-4ADA-82C8-68EAA0272F2F}"/>
            </c:ext>
          </c:extLst>
        </c:ser>
        <c:ser>
          <c:idx val="2"/>
          <c:order val="2"/>
          <c:tx>
            <c:v>Maximum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dLbls>
            <c:dLbl>
              <c:idx val="4"/>
              <c:layout>
                <c:manualLayout>
                  <c:x val="-0.18165605921619266"/>
                  <c:y val="-2.3837915982427328E-2"/>
                </c:manualLayout>
              </c:layout>
              <c:tx>
                <c:rich>
                  <a:bodyPr/>
                  <a:lstStyle/>
                  <a:p>
                    <a:pPr>
                      <a:defRPr sz="9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Maximum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70-4ADA-82C8-68EAA0272F2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'14.25'!$A$2:$A$11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xVal>
          <c:yVal>
            <c:numRef>
              <c:f>'14.25'!$D$2:$D$11</c:f>
              <c:numCache>
                <c:formatCode>"$"#,##0</c:formatCode>
                <c:ptCount val="10"/>
                <c:pt idx="0">
                  <c:v>3041411.65039211</c:v>
                </c:pt>
                <c:pt idx="1">
                  <c:v>3220139.9061521818</c:v>
                </c:pt>
                <c:pt idx="2">
                  <c:v>3425837.9171658969</c:v>
                </c:pt>
                <c:pt idx="3">
                  <c:v>3697198.0247818227</c:v>
                </c:pt>
                <c:pt idx="4">
                  <c:v>4028173.6816975712</c:v>
                </c:pt>
                <c:pt idx="5">
                  <c:v>4434076.0607656511</c:v>
                </c:pt>
                <c:pt idx="6">
                  <c:v>4943595.6824790817</c:v>
                </c:pt>
                <c:pt idx="7">
                  <c:v>5602214.2846766785</c:v>
                </c:pt>
                <c:pt idx="8">
                  <c:v>6486594.0484128762</c:v>
                </c:pt>
                <c:pt idx="9">
                  <c:v>7736824.4490165133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70-4ADA-82C8-68EAA0272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92192"/>
        <c:axId val="417202560"/>
      </c:scatterChart>
      <c:valAx>
        <c:axId val="41719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Terminal Value Growth Rate</a:t>
                </a:r>
              </a:p>
            </c:rich>
          </c:tx>
          <c:layout>
            <c:manualLayout>
              <c:xMode val="edge"/>
              <c:yMode val="edge"/>
              <c:x val="0.37128772703906093"/>
              <c:y val="0.8823529411764705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7202560"/>
        <c:crosses val="autoZero"/>
        <c:crossBetween val="midCat"/>
      </c:valAx>
      <c:valAx>
        <c:axId val="417202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NPV</a:t>
                </a:r>
              </a:p>
            </c:rich>
          </c:tx>
          <c:layout>
            <c:manualLayout>
              <c:xMode val="edge"/>
              <c:yMode val="edge"/>
              <c:x val="8.2508383786457987E-3"/>
              <c:y val="0.37967914438502676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71921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13</xdr:col>
      <xdr:colOff>18514</xdr:colOff>
      <xdr:row>29</xdr:row>
      <xdr:rowOff>113759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485775"/>
          <a:ext cx="4285714" cy="4323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256076</xdr:colOff>
      <xdr:row>30</xdr:row>
      <xdr:rowOff>94692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85775"/>
          <a:ext cx="8790476" cy="44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14</xdr:col>
      <xdr:colOff>332343</xdr:colOff>
      <xdr:row>33</xdr:row>
      <xdr:rowOff>142250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85775"/>
          <a:ext cx="8257143" cy="50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13</xdr:col>
      <xdr:colOff>160990</xdr:colOff>
      <xdr:row>31</xdr:row>
      <xdr:rowOff>75644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47700"/>
          <a:ext cx="7476190" cy="44476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13</xdr:col>
      <xdr:colOff>65752</xdr:colOff>
      <xdr:row>29</xdr:row>
      <xdr:rowOff>113759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85775"/>
          <a:ext cx="7380952" cy="4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17981</xdr:colOff>
      <xdr:row>37</xdr:row>
      <xdr:rowOff>18359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85775"/>
          <a:ext cx="8552381" cy="552380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7</xdr:col>
      <xdr:colOff>75733</xdr:colOff>
      <xdr:row>34</xdr:row>
      <xdr:rowOff>56515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85775"/>
          <a:ext cx="3733333" cy="50761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9525</xdr:rowOff>
    </xdr:from>
    <xdr:to>
      <xdr:col>5</xdr:col>
      <xdr:colOff>0</xdr:colOff>
      <xdr:row>34</xdr:row>
      <xdr:rowOff>9525</xdr:rowOff>
    </xdr:to>
    <xdr:graphicFrame macro="">
      <xdr:nvGraphicFramePr>
        <xdr:cNvPr id="10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U65534"/>
  <sheetViews>
    <sheetView zoomScale="76" zoomScaleNormal="76" workbookViewId="0">
      <selection activeCell="P56" sqref="P56"/>
    </sheetView>
  </sheetViews>
  <sheetFormatPr defaultRowHeight="12.75" x14ac:dyDescent="0.2"/>
  <cols>
    <col min="1" max="1" width="26.28515625" style="2" customWidth="1"/>
    <col min="2" max="2" width="13.7109375" style="2" customWidth="1"/>
    <col min="3" max="12" width="12.140625" style="2" customWidth="1"/>
    <col min="13" max="13" width="3.7109375" style="2" customWidth="1"/>
    <col min="14" max="14" width="13.7109375" style="2" customWidth="1"/>
    <col min="15" max="15" width="11" style="2" customWidth="1"/>
    <col min="16" max="16384" width="9.140625" style="2"/>
  </cols>
  <sheetData>
    <row r="1" spans="1:12" x14ac:dyDescent="0.2">
      <c r="A1" s="79" t="s">
        <v>34</v>
      </c>
    </row>
    <row r="2" spans="1:12" x14ac:dyDescent="0.2">
      <c r="A2" s="5"/>
      <c r="B2" s="6"/>
      <c r="C2" s="6"/>
      <c r="D2" s="6"/>
    </row>
    <row r="3" spans="1:12" ht="13.5" thickBot="1" x14ac:dyDescent="0.25">
      <c r="A3" s="1" t="s">
        <v>0</v>
      </c>
      <c r="B3" s="6"/>
      <c r="C3" s="7">
        <v>1996</v>
      </c>
      <c r="D3" s="4">
        <v>1997</v>
      </c>
      <c r="E3" s="7">
        <v>1998</v>
      </c>
      <c r="F3" s="4">
        <v>1999</v>
      </c>
      <c r="G3" s="7">
        <v>2000</v>
      </c>
      <c r="H3" s="4">
        <v>2001</v>
      </c>
      <c r="I3" s="7">
        <v>2002</v>
      </c>
      <c r="J3" s="4">
        <v>2003</v>
      </c>
      <c r="K3" s="7">
        <v>2004</v>
      </c>
      <c r="L3" s="4">
        <v>2005</v>
      </c>
    </row>
    <row r="4" spans="1:12" x14ac:dyDescent="0.2">
      <c r="A4" s="30" t="s">
        <v>1</v>
      </c>
      <c r="B4" s="31">
        <v>0.65</v>
      </c>
      <c r="C4" s="32"/>
      <c r="D4" s="33"/>
      <c r="E4" s="32"/>
      <c r="F4" s="32"/>
      <c r="G4" s="32"/>
      <c r="H4" s="32"/>
      <c r="I4" s="32"/>
      <c r="J4" s="32"/>
      <c r="K4" s="32"/>
      <c r="L4" s="34"/>
    </row>
    <row r="5" spans="1:12" x14ac:dyDescent="0.2">
      <c r="A5" s="35" t="s">
        <v>2</v>
      </c>
      <c r="B5" s="8">
        <v>0.04</v>
      </c>
      <c r="C5" s="9"/>
      <c r="D5" s="10"/>
      <c r="E5" s="9"/>
      <c r="F5" s="9"/>
      <c r="G5" s="9"/>
      <c r="H5" s="9"/>
      <c r="I5" s="9"/>
      <c r="J5" s="9"/>
      <c r="K5" s="9"/>
      <c r="L5" s="36"/>
    </row>
    <row r="6" spans="1:12" x14ac:dyDescent="0.2">
      <c r="A6" s="35" t="s">
        <v>18</v>
      </c>
      <c r="B6" s="8">
        <v>0.104</v>
      </c>
      <c r="C6" s="9"/>
      <c r="D6" s="10"/>
      <c r="E6" s="9"/>
      <c r="F6" s="9"/>
      <c r="G6" s="9"/>
      <c r="H6" s="9"/>
      <c r="I6" s="9"/>
      <c r="J6" s="9"/>
      <c r="K6" s="9"/>
      <c r="L6" s="36"/>
    </row>
    <row r="7" spans="1:12" x14ac:dyDescent="0.2">
      <c r="A7" s="35" t="s">
        <v>25</v>
      </c>
      <c r="B7" s="8">
        <v>0.36799999999999999</v>
      </c>
      <c r="C7" s="9"/>
      <c r="D7" s="10"/>
      <c r="E7" s="9"/>
      <c r="F7" s="9"/>
      <c r="G7" s="9"/>
      <c r="H7" s="9"/>
      <c r="I7" s="9"/>
      <c r="J7" s="9"/>
      <c r="K7" s="9"/>
      <c r="L7" s="36"/>
    </row>
    <row r="8" spans="1:12" x14ac:dyDescent="0.2">
      <c r="A8" s="35" t="s">
        <v>21</v>
      </c>
      <c r="B8" s="8">
        <v>0.34</v>
      </c>
      <c r="C8" s="9"/>
      <c r="D8" s="10"/>
      <c r="E8" s="9"/>
      <c r="F8" s="9"/>
      <c r="G8" s="9"/>
      <c r="H8" s="9"/>
      <c r="I8" s="9"/>
      <c r="J8" s="9"/>
      <c r="K8" s="9"/>
      <c r="L8" s="36"/>
    </row>
    <row r="9" spans="1:12" x14ac:dyDescent="0.2">
      <c r="A9" s="35" t="s">
        <v>3</v>
      </c>
      <c r="B9" s="10"/>
      <c r="C9" s="11">
        <v>0.8</v>
      </c>
      <c r="D9" s="12">
        <v>0.65</v>
      </c>
      <c r="E9" s="13">
        <v>0.55000000000000004</v>
      </c>
      <c r="F9" s="12">
        <v>0.45</v>
      </c>
      <c r="G9" s="12">
        <v>0.35</v>
      </c>
      <c r="H9" s="12">
        <v>0.25</v>
      </c>
      <c r="I9" s="12">
        <v>0.2</v>
      </c>
      <c r="J9" s="12">
        <v>0.2</v>
      </c>
      <c r="K9" s="12">
        <v>0.2</v>
      </c>
      <c r="L9" s="37">
        <v>0.2</v>
      </c>
    </row>
    <row r="10" spans="1:12" x14ac:dyDescent="0.2">
      <c r="A10" s="35" t="s">
        <v>4</v>
      </c>
      <c r="B10" s="10"/>
      <c r="C10" s="11">
        <v>0.45</v>
      </c>
      <c r="D10" s="12">
        <v>0.4</v>
      </c>
      <c r="E10" s="13">
        <v>0.3</v>
      </c>
      <c r="F10" s="12">
        <v>0.2</v>
      </c>
      <c r="G10" s="12">
        <v>0.1</v>
      </c>
      <c r="H10" s="12">
        <v>0.1</v>
      </c>
      <c r="I10" s="12">
        <v>0.1</v>
      </c>
      <c r="J10" s="12">
        <v>0.1</v>
      </c>
      <c r="K10" s="12">
        <v>0.1</v>
      </c>
      <c r="L10" s="37">
        <v>0.1</v>
      </c>
    </row>
    <row r="11" spans="1:12" x14ac:dyDescent="0.2">
      <c r="A11" s="35" t="s">
        <v>19</v>
      </c>
      <c r="B11" s="8">
        <v>5.5E-2</v>
      </c>
      <c r="C11" s="9"/>
      <c r="D11" s="10"/>
      <c r="E11" s="9"/>
      <c r="F11" s="9" t="s">
        <v>17</v>
      </c>
      <c r="G11" s="9"/>
      <c r="H11" s="9"/>
      <c r="I11" s="9"/>
      <c r="J11" s="9"/>
      <c r="K11" s="9"/>
      <c r="L11" s="36"/>
    </row>
    <row r="12" spans="1:12" x14ac:dyDescent="0.2">
      <c r="A12" s="35" t="s">
        <v>6</v>
      </c>
      <c r="B12" s="8">
        <v>0</v>
      </c>
      <c r="C12" s="9"/>
      <c r="D12" s="10"/>
      <c r="E12" s="9"/>
      <c r="F12" s="9"/>
      <c r="G12" s="9"/>
      <c r="H12" s="9"/>
      <c r="I12" s="9"/>
      <c r="J12" s="9"/>
      <c r="K12" s="9"/>
      <c r="L12" s="36"/>
    </row>
    <row r="13" spans="1:12" x14ac:dyDescent="0.2">
      <c r="A13" s="35" t="s">
        <v>7</v>
      </c>
      <c r="B13" s="12">
        <v>1.5</v>
      </c>
      <c r="C13" s="9"/>
      <c r="D13" s="10"/>
      <c r="E13" s="9"/>
      <c r="F13" s="9"/>
      <c r="G13" s="9"/>
      <c r="H13" s="9"/>
      <c r="I13" s="9"/>
      <c r="J13" s="9"/>
      <c r="K13" s="9"/>
      <c r="L13" s="36"/>
    </row>
    <row r="14" spans="1:12" x14ac:dyDescent="0.2">
      <c r="A14" s="35" t="s">
        <v>8</v>
      </c>
      <c r="B14" s="8">
        <v>6.7100000000000007E-2</v>
      </c>
      <c r="C14" s="9"/>
      <c r="D14" s="10"/>
      <c r="E14" s="9"/>
      <c r="F14" s="9"/>
      <c r="G14" s="9"/>
      <c r="H14" s="9"/>
      <c r="I14" s="9"/>
      <c r="J14" s="9"/>
      <c r="K14" s="9"/>
      <c r="L14" s="36"/>
    </row>
    <row r="15" spans="1:12" x14ac:dyDescent="0.2">
      <c r="A15" s="35" t="s">
        <v>22</v>
      </c>
      <c r="B15" s="8">
        <v>7.4999999999999997E-2</v>
      </c>
      <c r="C15" s="9"/>
      <c r="D15" s="10"/>
      <c r="E15" s="9"/>
      <c r="F15" s="9"/>
      <c r="G15" s="9"/>
      <c r="H15" s="9"/>
      <c r="I15" s="9"/>
      <c r="J15" s="9"/>
      <c r="K15" s="9"/>
      <c r="L15" s="36"/>
    </row>
    <row r="16" spans="1:12" x14ac:dyDescent="0.2">
      <c r="A16" s="35" t="s">
        <v>42</v>
      </c>
      <c r="B16" s="8">
        <f>B14+(B13*B15)</f>
        <v>0.17959999999999998</v>
      </c>
      <c r="C16" s="9"/>
      <c r="D16" s="10"/>
      <c r="E16" s="9"/>
      <c r="F16" s="9"/>
      <c r="G16" s="9"/>
      <c r="H16" s="9"/>
      <c r="I16" s="9"/>
      <c r="J16" s="9"/>
      <c r="K16" s="9"/>
      <c r="L16" s="36"/>
    </row>
    <row r="17" spans="1:12" ht="13.5" thickBot="1" x14ac:dyDescent="0.25">
      <c r="A17" s="38" t="s">
        <v>44</v>
      </c>
      <c r="B17" s="39">
        <v>38000</v>
      </c>
      <c r="C17" s="40"/>
      <c r="D17" s="41"/>
      <c r="E17" s="40"/>
      <c r="F17" s="40"/>
      <c r="G17" s="40"/>
      <c r="H17" s="40"/>
      <c r="I17" s="40"/>
      <c r="J17" s="40"/>
      <c r="K17" s="40"/>
      <c r="L17" s="42"/>
    </row>
    <row r="18" spans="1:12" x14ac:dyDescent="0.2">
      <c r="A18" s="10"/>
      <c r="B18" s="8"/>
      <c r="C18" s="9"/>
      <c r="D18" s="10"/>
      <c r="E18" s="9"/>
      <c r="F18" s="9"/>
      <c r="G18" s="9"/>
      <c r="H18" s="9"/>
      <c r="I18" s="9"/>
      <c r="J18" s="9"/>
      <c r="K18" s="9"/>
      <c r="L18" s="9"/>
    </row>
    <row r="19" spans="1:12" ht="13.5" thickBot="1" x14ac:dyDescent="0.25">
      <c r="A19" s="1" t="s">
        <v>31</v>
      </c>
      <c r="C19" s="1" t="s">
        <v>17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43"/>
      <c r="B20" s="44" t="s">
        <v>16</v>
      </c>
      <c r="C20" s="45" t="s">
        <v>20</v>
      </c>
      <c r="D20" s="45"/>
      <c r="E20" s="45"/>
      <c r="F20" s="45"/>
      <c r="G20" s="45"/>
      <c r="H20" s="45"/>
      <c r="I20" s="45"/>
      <c r="J20" s="45"/>
      <c r="K20" s="45"/>
      <c r="L20" s="46"/>
    </row>
    <row r="21" spans="1:12" x14ac:dyDescent="0.2">
      <c r="A21" s="47" t="s">
        <v>9</v>
      </c>
      <c r="B21" s="28">
        <v>33250</v>
      </c>
      <c r="C21" s="29">
        <f>B21*(1+$B$4)</f>
        <v>54862.5</v>
      </c>
      <c r="D21" s="29">
        <f t="shared" ref="D21:L21" si="0">C21*(1+$B$4)</f>
        <v>90523.125</v>
      </c>
      <c r="E21" s="29">
        <f t="shared" si="0"/>
        <v>149363.15625</v>
      </c>
      <c r="F21" s="29">
        <f t="shared" si="0"/>
        <v>246449.20781249998</v>
      </c>
      <c r="G21" s="29">
        <f t="shared" si="0"/>
        <v>406641.19289062492</v>
      </c>
      <c r="H21" s="29">
        <f t="shared" si="0"/>
        <v>670957.96826953103</v>
      </c>
      <c r="I21" s="29">
        <f t="shared" si="0"/>
        <v>1107080.6476447261</v>
      </c>
      <c r="J21" s="29">
        <f t="shared" si="0"/>
        <v>1826683.0686137979</v>
      </c>
      <c r="K21" s="29">
        <f t="shared" si="0"/>
        <v>3014027.0632127663</v>
      </c>
      <c r="L21" s="48">
        <f t="shared" si="0"/>
        <v>4973144.6543010641</v>
      </c>
    </row>
    <row r="22" spans="1:12" x14ac:dyDescent="0.2">
      <c r="A22" s="47" t="s">
        <v>10</v>
      </c>
      <c r="B22" s="28">
        <v>3472</v>
      </c>
      <c r="C22" s="29">
        <f>C21*$B$6</f>
        <v>5705.7</v>
      </c>
      <c r="D22" s="29">
        <f t="shared" ref="D22:L22" si="1">D21*$B$6</f>
        <v>9414.4049999999988</v>
      </c>
      <c r="E22" s="29">
        <f t="shared" si="1"/>
        <v>15533.768249999999</v>
      </c>
      <c r="F22" s="29">
        <f t="shared" si="1"/>
        <v>25630.717612499997</v>
      </c>
      <c r="G22" s="29">
        <f t="shared" si="1"/>
        <v>42290.68406062499</v>
      </c>
      <c r="H22" s="29">
        <f t="shared" si="1"/>
        <v>69779.62870003123</v>
      </c>
      <c r="I22" s="29">
        <f t="shared" si="1"/>
        <v>115136.38735505151</v>
      </c>
      <c r="J22" s="29">
        <f t="shared" si="1"/>
        <v>189975.03913583496</v>
      </c>
      <c r="K22" s="29">
        <f t="shared" si="1"/>
        <v>313458.81457412767</v>
      </c>
      <c r="L22" s="48">
        <f t="shared" si="1"/>
        <v>517207.04404731066</v>
      </c>
    </row>
    <row r="23" spans="1:12" x14ac:dyDescent="0.2">
      <c r="A23" s="47" t="s">
        <v>11</v>
      </c>
      <c r="B23" s="28">
        <v>12230</v>
      </c>
      <c r="C23" s="29">
        <f>C21*$B$7</f>
        <v>20189.400000000001</v>
      </c>
      <c r="D23" s="29">
        <f t="shared" ref="D23:L23" si="2">D21*$B$7</f>
        <v>33312.51</v>
      </c>
      <c r="E23" s="29">
        <f t="shared" si="2"/>
        <v>54965.641499999998</v>
      </c>
      <c r="F23" s="29">
        <f t="shared" si="2"/>
        <v>90693.308474999998</v>
      </c>
      <c r="G23" s="29">
        <f t="shared" si="2"/>
        <v>149643.95898374997</v>
      </c>
      <c r="H23" s="29">
        <f t="shared" si="2"/>
        <v>246912.53232318742</v>
      </c>
      <c r="I23" s="29">
        <f t="shared" si="2"/>
        <v>407405.67833325919</v>
      </c>
      <c r="J23" s="29">
        <f t="shared" si="2"/>
        <v>672219.36924987764</v>
      </c>
      <c r="K23" s="29">
        <f t="shared" si="2"/>
        <v>1109161.959262298</v>
      </c>
      <c r="L23" s="48">
        <f t="shared" si="2"/>
        <v>1830117.2327827916</v>
      </c>
    </row>
    <row r="24" spans="1:12" x14ac:dyDescent="0.2">
      <c r="A24" s="47" t="s">
        <v>5</v>
      </c>
      <c r="B24" s="28">
        <v>1836</v>
      </c>
      <c r="C24" s="29">
        <f>C21*$B$11</f>
        <v>3017.4375</v>
      </c>
      <c r="D24" s="29">
        <f t="shared" ref="D24:L24" si="3">D21*$B$11</f>
        <v>4978.7718750000004</v>
      </c>
      <c r="E24" s="29">
        <f t="shared" si="3"/>
        <v>8214.9735937500009</v>
      </c>
      <c r="F24" s="29">
        <f t="shared" si="3"/>
        <v>13554.7064296875</v>
      </c>
      <c r="G24" s="29">
        <f t="shared" si="3"/>
        <v>22365.265608984369</v>
      </c>
      <c r="H24" s="29">
        <f t="shared" si="3"/>
        <v>36902.688254824207</v>
      </c>
      <c r="I24" s="29">
        <f t="shared" si="3"/>
        <v>60889.435620459939</v>
      </c>
      <c r="J24" s="29">
        <f t="shared" si="3"/>
        <v>100467.56877375889</v>
      </c>
      <c r="K24" s="29">
        <f t="shared" si="3"/>
        <v>165771.48847670216</v>
      </c>
      <c r="L24" s="48">
        <f t="shared" si="3"/>
        <v>273522.95598655852</v>
      </c>
    </row>
    <row r="25" spans="1:12" x14ac:dyDescent="0.2">
      <c r="A25" s="47" t="s">
        <v>3</v>
      </c>
      <c r="B25" s="28">
        <v>26898</v>
      </c>
      <c r="C25" s="29">
        <f t="shared" ref="C25:L25" si="4">C21*C9</f>
        <v>43890</v>
      </c>
      <c r="D25" s="29">
        <f t="shared" si="4"/>
        <v>58840.03125</v>
      </c>
      <c r="E25" s="29">
        <f t="shared" si="4"/>
        <v>82149.735937500009</v>
      </c>
      <c r="F25" s="29">
        <f t="shared" si="4"/>
        <v>110902.14351562499</v>
      </c>
      <c r="G25" s="29">
        <f t="shared" si="4"/>
        <v>142324.41751171873</v>
      </c>
      <c r="H25" s="29">
        <f t="shared" si="4"/>
        <v>167739.49206738276</v>
      </c>
      <c r="I25" s="29">
        <f t="shared" si="4"/>
        <v>221416.12952894522</v>
      </c>
      <c r="J25" s="29">
        <f t="shared" si="4"/>
        <v>365336.61372275959</v>
      </c>
      <c r="K25" s="29">
        <f t="shared" si="4"/>
        <v>602805.41264255333</v>
      </c>
      <c r="L25" s="48">
        <f t="shared" si="4"/>
        <v>994628.93086021289</v>
      </c>
    </row>
    <row r="26" spans="1:12" x14ac:dyDescent="0.2">
      <c r="A26" s="47" t="s">
        <v>12</v>
      </c>
      <c r="B26" s="28">
        <f>B21-B22-B23-B24-B25</f>
        <v>-11186</v>
      </c>
      <c r="C26" s="28">
        <f t="shared" ref="C26:L26" si="5">C21-C22-C23-C24-C25</f>
        <v>-17940.037499999999</v>
      </c>
      <c r="D26" s="28">
        <f t="shared" si="5"/>
        <v>-16022.593124999999</v>
      </c>
      <c r="E26" s="28">
        <f t="shared" si="5"/>
        <v>-11500.963031250008</v>
      </c>
      <c r="F26" s="28">
        <f t="shared" si="5"/>
        <v>5668.3317796875053</v>
      </c>
      <c r="G26" s="28">
        <f t="shared" si="5"/>
        <v>50016.86672554689</v>
      </c>
      <c r="H26" s="28">
        <f t="shared" si="5"/>
        <v>149623.62692410543</v>
      </c>
      <c r="I26" s="28">
        <f t="shared" si="5"/>
        <v>302233.01680701028</v>
      </c>
      <c r="J26" s="28">
        <f t="shared" si="5"/>
        <v>498684.47773156682</v>
      </c>
      <c r="K26" s="28">
        <f t="shared" si="5"/>
        <v>822829.38825708523</v>
      </c>
      <c r="L26" s="49">
        <f t="shared" si="5"/>
        <v>1357668.4906241903</v>
      </c>
    </row>
    <row r="27" spans="1:12" x14ac:dyDescent="0.2">
      <c r="A27" s="47" t="s">
        <v>13</v>
      </c>
      <c r="B27" s="28">
        <f>B26*$B$8</f>
        <v>-3803.2400000000002</v>
      </c>
      <c r="C27" s="28">
        <f t="shared" ref="C27:L27" si="6">C26*$B$8</f>
        <v>-6099.6127500000002</v>
      </c>
      <c r="D27" s="28">
        <f t="shared" si="6"/>
        <v>-5447.6816625000001</v>
      </c>
      <c r="E27" s="28">
        <f t="shared" si="6"/>
        <v>-3910.3274306250032</v>
      </c>
      <c r="F27" s="28">
        <f t="shared" si="6"/>
        <v>1927.2328050937519</v>
      </c>
      <c r="G27" s="28">
        <f t="shared" si="6"/>
        <v>17005.734686685944</v>
      </c>
      <c r="H27" s="28">
        <f t="shared" si="6"/>
        <v>50872.033154195851</v>
      </c>
      <c r="I27" s="28">
        <f t="shared" si="6"/>
        <v>102759.2257143835</v>
      </c>
      <c r="J27" s="28">
        <f t="shared" si="6"/>
        <v>169552.72242873273</v>
      </c>
      <c r="K27" s="28">
        <f t="shared" si="6"/>
        <v>279761.99200740899</v>
      </c>
      <c r="L27" s="49">
        <f t="shared" si="6"/>
        <v>461607.28681222472</v>
      </c>
    </row>
    <row r="28" spans="1:12" x14ac:dyDescent="0.2">
      <c r="A28" s="47" t="s">
        <v>14</v>
      </c>
      <c r="B28" s="28">
        <f>B26-B27</f>
        <v>-7382.76</v>
      </c>
      <c r="C28" s="28">
        <f t="shared" ref="C28:L28" si="7">C26-C27</f>
        <v>-11840.424749999998</v>
      </c>
      <c r="D28" s="28">
        <f t="shared" si="7"/>
        <v>-10574.9114625</v>
      </c>
      <c r="E28" s="28">
        <f t="shared" si="7"/>
        <v>-7590.6356006250053</v>
      </c>
      <c r="F28" s="28">
        <f t="shared" si="7"/>
        <v>3741.0989745937532</v>
      </c>
      <c r="G28" s="28">
        <f t="shared" si="7"/>
        <v>33011.132038860946</v>
      </c>
      <c r="H28" s="28">
        <f t="shared" si="7"/>
        <v>98751.593769909581</v>
      </c>
      <c r="I28" s="28">
        <f t="shared" si="7"/>
        <v>199473.79109262678</v>
      </c>
      <c r="J28" s="28">
        <f t="shared" si="7"/>
        <v>329131.75530283409</v>
      </c>
      <c r="K28" s="28">
        <f t="shared" si="7"/>
        <v>543067.39624967624</v>
      </c>
      <c r="L28" s="49">
        <f t="shared" si="7"/>
        <v>896061.20381196565</v>
      </c>
    </row>
    <row r="29" spans="1:12" x14ac:dyDescent="0.2">
      <c r="A29" s="47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48"/>
    </row>
    <row r="30" spans="1:12" x14ac:dyDescent="0.2">
      <c r="A30" s="47" t="s">
        <v>4</v>
      </c>
      <c r="B30" s="28">
        <v>15236</v>
      </c>
      <c r="C30" s="29">
        <f t="shared" ref="C30:L30" si="8">C21*C10</f>
        <v>24688.125</v>
      </c>
      <c r="D30" s="29">
        <f t="shared" si="8"/>
        <v>36209.25</v>
      </c>
      <c r="E30" s="29">
        <f t="shared" si="8"/>
        <v>44808.946875000001</v>
      </c>
      <c r="F30" s="29">
        <f t="shared" si="8"/>
        <v>49289.841562499998</v>
      </c>
      <c r="G30" s="29">
        <f t="shared" si="8"/>
        <v>40664.119289062495</v>
      </c>
      <c r="H30" s="29">
        <f t="shared" si="8"/>
        <v>67095.796826953112</v>
      </c>
      <c r="I30" s="29">
        <f t="shared" si="8"/>
        <v>110708.06476447261</v>
      </c>
      <c r="J30" s="29">
        <f t="shared" si="8"/>
        <v>182668.3068613798</v>
      </c>
      <c r="K30" s="29">
        <f t="shared" si="8"/>
        <v>301402.70632127667</v>
      </c>
      <c r="L30" s="48">
        <f t="shared" si="8"/>
        <v>497314.46543010644</v>
      </c>
    </row>
    <row r="31" spans="1:12" x14ac:dyDescent="0.2">
      <c r="A31" s="47" t="s">
        <v>41</v>
      </c>
      <c r="B31" s="28">
        <v>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49">
        <v>0</v>
      </c>
    </row>
    <row r="32" spans="1:12" x14ac:dyDescent="0.2">
      <c r="A32" s="47"/>
      <c r="B32" s="28"/>
      <c r="C32" s="29"/>
      <c r="D32" s="29"/>
      <c r="E32" s="29"/>
      <c r="F32" s="29"/>
      <c r="G32" s="29"/>
      <c r="H32" s="29"/>
      <c r="I32" s="29"/>
      <c r="J32" s="29"/>
      <c r="K32" s="29"/>
      <c r="L32" s="48"/>
    </row>
    <row r="33" spans="1:12" x14ac:dyDescent="0.2">
      <c r="A33" s="47" t="s">
        <v>15</v>
      </c>
      <c r="B33" s="28">
        <f>B28+B24-B30-B31</f>
        <v>-20782.760000000002</v>
      </c>
      <c r="C33" s="28">
        <f t="shared" ref="C33:L33" si="9">C28+C24-C30-C31</f>
        <v>-33511.112249999998</v>
      </c>
      <c r="D33" s="28">
        <f t="shared" si="9"/>
        <v>-41805.389587500002</v>
      </c>
      <c r="E33" s="28">
        <f t="shared" si="9"/>
        <v>-44184.608881875007</v>
      </c>
      <c r="F33" s="28">
        <f t="shared" si="9"/>
        <v>-31994.036158218747</v>
      </c>
      <c r="G33" s="28">
        <f t="shared" si="9"/>
        <v>14712.278358782816</v>
      </c>
      <c r="H33" s="28">
        <f t="shared" si="9"/>
        <v>68558.485197780668</v>
      </c>
      <c r="I33" s="28">
        <f t="shared" si="9"/>
        <v>149655.16194861411</v>
      </c>
      <c r="J33" s="28">
        <f t="shared" si="9"/>
        <v>246931.01721521319</v>
      </c>
      <c r="K33" s="28">
        <f t="shared" si="9"/>
        <v>407436.1784051017</v>
      </c>
      <c r="L33" s="49">
        <f t="shared" si="9"/>
        <v>672269.69436841761</v>
      </c>
    </row>
    <row r="34" spans="1:12" x14ac:dyDescent="0.2">
      <c r="A34" s="47" t="s">
        <v>43</v>
      </c>
      <c r="B34" s="28">
        <f>(L33*(1+B5))/(B16-B5)</f>
        <v>5008312.9093349176</v>
      </c>
      <c r="C34" s="29"/>
      <c r="D34" s="29"/>
      <c r="E34" s="29"/>
      <c r="F34" s="29"/>
      <c r="G34" s="29"/>
      <c r="H34" s="29"/>
      <c r="I34" s="29"/>
      <c r="J34" s="29"/>
      <c r="K34" s="29"/>
      <c r="L34" s="48"/>
    </row>
    <row r="35" spans="1:12" x14ac:dyDescent="0.2">
      <c r="A35" s="47" t="s">
        <v>23</v>
      </c>
      <c r="B35" s="29">
        <f>B33+NPV(B16,C33:L33)</f>
        <v>243196.08293391636</v>
      </c>
      <c r="C35" s="29"/>
      <c r="D35" s="29"/>
      <c r="E35" s="29"/>
      <c r="F35" s="29"/>
      <c r="G35" s="29"/>
      <c r="H35" s="29"/>
      <c r="I35" s="29"/>
      <c r="J35" s="29"/>
      <c r="K35" s="29"/>
      <c r="L35" s="48"/>
    </row>
    <row r="36" spans="1:12" x14ac:dyDescent="0.2">
      <c r="A36" s="47" t="s">
        <v>33</v>
      </c>
      <c r="B36" s="29">
        <f>B34/(1+B16)^11</f>
        <v>813971.2249351159</v>
      </c>
      <c r="C36" s="29"/>
      <c r="D36" s="29"/>
      <c r="E36" s="29"/>
      <c r="F36" s="29"/>
      <c r="G36" s="29"/>
      <c r="H36" s="29"/>
      <c r="I36" s="29"/>
      <c r="J36" s="29"/>
      <c r="K36" s="29"/>
      <c r="L36" s="48"/>
    </row>
    <row r="37" spans="1:12" ht="13.5" thickBot="1" x14ac:dyDescent="0.25">
      <c r="A37" s="50" t="s">
        <v>24</v>
      </c>
      <c r="B37" s="51">
        <f>B35+B36</f>
        <v>1057167.3078690323</v>
      </c>
      <c r="C37" s="52"/>
      <c r="D37" s="52"/>
      <c r="E37" s="52"/>
      <c r="F37" s="52"/>
      <c r="G37" s="52"/>
      <c r="H37" s="52"/>
      <c r="I37" s="52"/>
      <c r="J37" s="52"/>
      <c r="K37" s="52"/>
      <c r="L37" s="53"/>
    </row>
    <row r="38" spans="1:12" x14ac:dyDescent="0.2">
      <c r="A38" s="9"/>
      <c r="B38" s="54"/>
      <c r="C38" s="29"/>
      <c r="D38" s="29"/>
      <c r="E38" s="29"/>
      <c r="F38" s="29"/>
      <c r="G38" s="29"/>
      <c r="H38" s="29"/>
      <c r="I38" s="29"/>
      <c r="J38" s="29"/>
      <c r="K38" s="29"/>
      <c r="L38" s="29"/>
    </row>
    <row r="39" spans="1:12" ht="13.5" thickBot="1" x14ac:dyDescent="0.25">
      <c r="A39" s="55" t="s">
        <v>26</v>
      </c>
    </row>
    <row r="40" spans="1:12" x14ac:dyDescent="0.2">
      <c r="A40" s="43" t="s">
        <v>27</v>
      </c>
      <c r="B40" s="56">
        <f>B37</f>
        <v>1057167.3078690323</v>
      </c>
    </row>
    <row r="41" spans="1:12" x14ac:dyDescent="0.2">
      <c r="A41" s="47" t="s">
        <v>45</v>
      </c>
      <c r="B41" s="57">
        <f>B36/B37</f>
        <v>0.76995497200520235</v>
      </c>
    </row>
    <row r="42" spans="1:12" x14ac:dyDescent="0.2">
      <c r="A42" s="47" t="s">
        <v>29</v>
      </c>
      <c r="B42" s="58">
        <f>SUM(B50:L50)</f>
        <v>2002</v>
      </c>
    </row>
    <row r="43" spans="1:12" x14ac:dyDescent="0.2">
      <c r="A43" s="47" t="s">
        <v>30</v>
      </c>
      <c r="B43" s="59">
        <f>MIN(B47:L47)</f>
        <v>-172277.90687759375</v>
      </c>
    </row>
    <row r="44" spans="1:12" ht="13.5" thickBot="1" x14ac:dyDescent="0.25">
      <c r="A44" s="50" t="s">
        <v>32</v>
      </c>
      <c r="B44" s="60">
        <f>B37/B17</f>
        <v>27.820192312342954</v>
      </c>
    </row>
    <row r="47" spans="1:12" x14ac:dyDescent="0.2">
      <c r="A47" s="2" t="s">
        <v>28</v>
      </c>
      <c r="B47" s="14">
        <f>B33</f>
        <v>-20782.760000000002</v>
      </c>
      <c r="C47" s="14">
        <f t="shared" ref="C47:L47" si="10">C33+B47</f>
        <v>-54293.87225</v>
      </c>
      <c r="D47" s="14">
        <f t="shared" si="10"/>
        <v>-96099.261837500002</v>
      </c>
      <c r="E47" s="14">
        <f t="shared" si="10"/>
        <v>-140283.870719375</v>
      </c>
      <c r="F47" s="14">
        <f t="shared" si="10"/>
        <v>-172277.90687759375</v>
      </c>
      <c r="G47" s="14">
        <f t="shared" si="10"/>
        <v>-157565.62851881093</v>
      </c>
      <c r="H47" s="14">
        <f t="shared" si="10"/>
        <v>-89007.143321030264</v>
      </c>
      <c r="I47" s="14">
        <f t="shared" si="10"/>
        <v>60648.01862758385</v>
      </c>
      <c r="J47" s="14">
        <f t="shared" si="10"/>
        <v>307579.03584279702</v>
      </c>
      <c r="K47" s="14">
        <f t="shared" si="10"/>
        <v>715015.21424789866</v>
      </c>
      <c r="L47" s="14">
        <f t="shared" si="10"/>
        <v>1387284.9086163163</v>
      </c>
    </row>
    <row r="48" spans="1:12" x14ac:dyDescent="0.2">
      <c r="A48" s="2" t="s">
        <v>46</v>
      </c>
      <c r="B48" s="3">
        <f>IF(B47&lt;0,0,B47)</f>
        <v>0</v>
      </c>
      <c r="C48" s="3">
        <f t="shared" ref="C48:L48" si="11">IF(C47&lt;0,0,C47)</f>
        <v>0</v>
      </c>
      <c r="D48" s="3">
        <f>IF(D47&lt;0,0,D47)</f>
        <v>0</v>
      </c>
      <c r="E48" s="3">
        <f t="shared" si="11"/>
        <v>0</v>
      </c>
      <c r="F48" s="3">
        <f t="shared" si="11"/>
        <v>0</v>
      </c>
      <c r="G48" s="3">
        <f t="shared" si="11"/>
        <v>0</v>
      </c>
      <c r="H48" s="3">
        <f t="shared" si="11"/>
        <v>0</v>
      </c>
      <c r="I48" s="3">
        <f>IF(I47&lt;0,0,I47)</f>
        <v>60648.01862758385</v>
      </c>
      <c r="J48" s="3">
        <f t="shared" si="11"/>
        <v>307579.03584279702</v>
      </c>
      <c r="K48" s="3">
        <f t="shared" si="11"/>
        <v>715015.21424789866</v>
      </c>
      <c r="L48" s="3">
        <f t="shared" si="11"/>
        <v>1387284.9086163163</v>
      </c>
    </row>
    <row r="49" spans="1:12" x14ac:dyDescent="0.2">
      <c r="A49" s="10" t="s">
        <v>47</v>
      </c>
      <c r="B49" s="3">
        <f>B48</f>
        <v>0</v>
      </c>
      <c r="C49" s="2">
        <f>IF(AND(B48=0,C48&lt;&gt;0),C48,0)</f>
        <v>0</v>
      </c>
      <c r="D49" s="2">
        <f t="shared" ref="D49:L49" si="12">IF(AND(C48=0,D48&lt;&gt;0),D48,0)</f>
        <v>0</v>
      </c>
      <c r="E49" s="2">
        <f t="shared" si="12"/>
        <v>0</v>
      </c>
      <c r="F49" s="2">
        <f t="shared" si="12"/>
        <v>0</v>
      </c>
      <c r="G49" s="2">
        <f t="shared" si="12"/>
        <v>0</v>
      </c>
      <c r="H49" s="2">
        <f t="shared" si="12"/>
        <v>0</v>
      </c>
      <c r="I49" s="3">
        <f>IF(AND(H48=0,I48&lt;&gt;0),I48,0)</f>
        <v>60648.01862758385</v>
      </c>
      <c r="J49" s="2">
        <f t="shared" si="12"/>
        <v>0</v>
      </c>
      <c r="K49" s="2">
        <f t="shared" si="12"/>
        <v>0</v>
      </c>
      <c r="L49" s="2">
        <f t="shared" si="12"/>
        <v>0</v>
      </c>
    </row>
    <row r="50" spans="1:12" x14ac:dyDescent="0.2">
      <c r="A50" s="10" t="s">
        <v>48</v>
      </c>
      <c r="B50" s="2">
        <f>IF(B49&gt;0,1995,0)</f>
        <v>0</v>
      </c>
      <c r="C50" s="2">
        <f t="shared" ref="C50:L50" si="13">IF(C49&gt;0,C3,0)</f>
        <v>0</v>
      </c>
      <c r="D50" s="2">
        <f t="shared" si="13"/>
        <v>0</v>
      </c>
      <c r="E50" s="2">
        <f t="shared" si="13"/>
        <v>0</v>
      </c>
      <c r="F50" s="2">
        <f t="shared" si="13"/>
        <v>0</v>
      </c>
      <c r="G50" s="2">
        <f t="shared" si="13"/>
        <v>0</v>
      </c>
      <c r="H50" s="2">
        <f t="shared" si="13"/>
        <v>0</v>
      </c>
      <c r="I50" s="2">
        <f t="shared" si="13"/>
        <v>2002</v>
      </c>
      <c r="J50" s="2">
        <f t="shared" si="13"/>
        <v>0</v>
      </c>
      <c r="K50" s="2">
        <f t="shared" si="13"/>
        <v>0</v>
      </c>
      <c r="L50" s="2">
        <f t="shared" si="13"/>
        <v>0</v>
      </c>
    </row>
    <row r="65534" spans="255:255" x14ac:dyDescent="0.2">
      <c r="IU65534" s="2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4" sqref="J34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1"/>
  <sheetViews>
    <sheetView workbookViewId="0">
      <selection activeCell="H39" sqref="H39"/>
    </sheetView>
  </sheetViews>
  <sheetFormatPr defaultRowHeight="12.75" x14ac:dyDescent="0.2"/>
  <cols>
    <col min="1" max="1" width="29.42578125" style="16" customWidth="1"/>
    <col min="2" max="4" width="16.5703125" customWidth="1"/>
    <col min="5" max="5" width="9.140625" customWidth="1"/>
  </cols>
  <sheetData>
    <row r="1" spans="1:4" x14ac:dyDescent="0.2">
      <c r="A1" s="17" t="s">
        <v>2</v>
      </c>
      <c r="B1" s="18" t="s">
        <v>38</v>
      </c>
      <c r="C1" s="18" t="s">
        <v>39</v>
      </c>
      <c r="D1" s="19" t="s">
        <v>40</v>
      </c>
    </row>
    <row r="2" spans="1:4" x14ac:dyDescent="0.2">
      <c r="A2" s="20">
        <v>0.01</v>
      </c>
      <c r="B2" s="22">
        <v>977112.2863943727</v>
      </c>
      <c r="C2" s="22">
        <v>198597.02393686248</v>
      </c>
      <c r="D2" s="23">
        <v>3041411.65039211</v>
      </c>
    </row>
    <row r="3" spans="1:4" x14ac:dyDescent="0.2">
      <c r="A3" s="20">
        <v>0.02</v>
      </c>
      <c r="B3" s="22">
        <v>1032933.6820769802</v>
      </c>
      <c r="C3" s="22">
        <v>209787.49400252593</v>
      </c>
      <c r="D3" s="23">
        <v>3220139.9061521818</v>
      </c>
    </row>
    <row r="4" spans="1:4" x14ac:dyDescent="0.2">
      <c r="A4" s="20">
        <v>0.03</v>
      </c>
      <c r="B4" s="22">
        <v>1096905.8982686459</v>
      </c>
      <c r="C4" s="22">
        <v>222218.45184275525</v>
      </c>
      <c r="D4" s="23">
        <v>3425837.9171658969</v>
      </c>
    </row>
    <row r="5" spans="1:4" x14ac:dyDescent="0.2">
      <c r="A5" s="20">
        <v>0.04</v>
      </c>
      <c r="B5" s="22">
        <v>1170997.9819078869</v>
      </c>
      <c r="C5" s="22">
        <v>236108.26694551768</v>
      </c>
      <c r="D5" s="23">
        <v>3697198.0247818227</v>
      </c>
    </row>
    <row r="6" spans="1:4" x14ac:dyDescent="0.2">
      <c r="A6" s="20">
        <v>0.05</v>
      </c>
      <c r="B6" s="22">
        <v>1257885.4029943829</v>
      </c>
      <c r="C6" s="22">
        <v>251292.032730807</v>
      </c>
      <c r="D6" s="23">
        <v>4028173.6816975712</v>
      </c>
    </row>
    <row r="7" spans="1:4" x14ac:dyDescent="0.2">
      <c r="A7" s="20">
        <v>0.06</v>
      </c>
      <c r="B7" s="22">
        <v>1361307.0090358884</v>
      </c>
      <c r="C7" s="22">
        <v>268126.90156876977</v>
      </c>
      <c r="D7" s="23">
        <v>4434076.0607656511</v>
      </c>
    </row>
    <row r="8" spans="1:4" x14ac:dyDescent="0.2">
      <c r="A8" s="20">
        <v>7.0000000000000007E-2</v>
      </c>
      <c r="B8" s="22">
        <v>1486669.3028773842</v>
      </c>
      <c r="C8" s="22">
        <v>287294.72312880179</v>
      </c>
      <c r="D8" s="23">
        <v>4943595.6824790817</v>
      </c>
    </row>
    <row r="9" spans="1:4" x14ac:dyDescent="0.2">
      <c r="A9" s="20">
        <v>0.08</v>
      </c>
      <c r="B9" s="22">
        <v>1642130.5793001524</v>
      </c>
      <c r="C9" s="22">
        <v>309316.54656238051</v>
      </c>
      <c r="D9" s="23">
        <v>5602214.2846766785</v>
      </c>
    </row>
    <row r="10" spans="1:4" x14ac:dyDescent="0.2">
      <c r="A10" s="20">
        <v>0.09</v>
      </c>
      <c r="B10" s="22">
        <v>1840694.9918458511</v>
      </c>
      <c r="C10" s="22">
        <v>334881.06549314177</v>
      </c>
      <c r="D10" s="23">
        <v>6486594.0484128762</v>
      </c>
    </row>
    <row r="11" spans="1:4" x14ac:dyDescent="0.2">
      <c r="A11" s="21">
        <v>0.1</v>
      </c>
      <c r="B11" s="24">
        <v>2104671.3158013383</v>
      </c>
      <c r="C11" s="24">
        <v>364917.93892621208</v>
      </c>
      <c r="D11" s="25">
        <v>7736824.4490165133</v>
      </c>
    </row>
  </sheetData>
  <phoneticPr fontId="5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15"/>
  <sheetViews>
    <sheetView workbookViewId="0">
      <selection activeCell="P23" sqref="P23"/>
    </sheetView>
  </sheetViews>
  <sheetFormatPr defaultRowHeight="12.75" x14ac:dyDescent="0.2"/>
  <cols>
    <col min="1" max="1" width="11" customWidth="1"/>
    <col min="3" max="13" width="9.28515625" customWidth="1"/>
  </cols>
  <sheetData>
    <row r="1" spans="1:13" x14ac:dyDescent="0.2">
      <c r="A1" s="1" t="s">
        <v>50</v>
      </c>
    </row>
    <row r="3" spans="1:13" x14ac:dyDescent="0.2">
      <c r="G3" s="1" t="s">
        <v>2</v>
      </c>
    </row>
    <row r="4" spans="1:13" x14ac:dyDescent="0.2">
      <c r="B4" s="1"/>
      <c r="C4" s="26">
        <v>0</v>
      </c>
      <c r="D4" s="26">
        <v>0.01</v>
      </c>
      <c r="E4" s="26">
        <v>0.02</v>
      </c>
      <c r="F4" s="26">
        <v>0.03</v>
      </c>
      <c r="G4" s="26">
        <v>0.04</v>
      </c>
      <c r="H4" s="26">
        <v>0.05</v>
      </c>
      <c r="I4" s="26">
        <v>0.06</v>
      </c>
      <c r="J4" s="26">
        <v>7.0000000000000007E-2</v>
      </c>
      <c r="K4" s="26">
        <v>0.08</v>
      </c>
      <c r="L4" s="26">
        <v>0.09</v>
      </c>
      <c r="M4" s="26">
        <v>0.1</v>
      </c>
    </row>
    <row r="5" spans="1:13" x14ac:dyDescent="0.2">
      <c r="B5" s="27">
        <v>0.05</v>
      </c>
      <c r="C5" s="62">
        <v>1096993.3858800435</v>
      </c>
      <c r="D5" s="63">
        <v>1191836.394662299</v>
      </c>
      <c r="E5" s="63">
        <v>1302214.7038183887</v>
      </c>
      <c r="F5" s="63">
        <v>1432285.8424403281</v>
      </c>
      <c r="G5" s="63">
        <v>1587836.1463163209</v>
      </c>
      <c r="H5" s="63">
        <v>1777165.0178092495</v>
      </c>
      <c r="I5" s="63">
        <v>2012615.417071467</v>
      </c>
      <c r="J5" s="63">
        <v>2313377.9936602358</v>
      </c>
      <c r="K5" s="63">
        <v>2711004.5240618116</v>
      </c>
      <c r="L5" s="63">
        <v>3261270.797419847</v>
      </c>
      <c r="M5" s="64">
        <v>4072946.2267674492</v>
      </c>
    </row>
    <row r="6" spans="1:13" x14ac:dyDescent="0.2">
      <c r="B6" s="27">
        <v>5.5E-2</v>
      </c>
      <c r="C6" s="65">
        <v>969611.22360584012</v>
      </c>
      <c r="D6" s="66">
        <v>1049458.2911314326</v>
      </c>
      <c r="E6" s="66">
        <v>1141627.4369788761</v>
      </c>
      <c r="F6" s="66">
        <v>1249209.4834697046</v>
      </c>
      <c r="G6" s="66">
        <v>1376423.2902690787</v>
      </c>
      <c r="H6" s="66">
        <v>1529182.0381928249</v>
      </c>
      <c r="I6" s="66">
        <v>1716038.7209209788</v>
      </c>
      <c r="J6" s="66">
        <v>1949844.3189074628</v>
      </c>
      <c r="K6" s="66">
        <v>2250835.433556729</v>
      </c>
      <c r="L6" s="66">
        <v>2652830.2779540722</v>
      </c>
      <c r="M6" s="67">
        <v>3216919.8176729241</v>
      </c>
    </row>
    <row r="7" spans="1:13" x14ac:dyDescent="0.2">
      <c r="B7" s="27">
        <v>0.06</v>
      </c>
      <c r="C7" s="65">
        <v>859582.40929750528</v>
      </c>
      <c r="D7" s="66">
        <v>927197.82777460536</v>
      </c>
      <c r="E7" s="66">
        <v>1004676.9105080294</v>
      </c>
      <c r="F7" s="66">
        <v>1094347.8237266501</v>
      </c>
      <c r="G7" s="66">
        <v>1199334.0082037884</v>
      </c>
      <c r="H7" s="66">
        <v>1323925.4558886087</v>
      </c>
      <c r="I7" s="66">
        <v>1474179.4056712294</v>
      </c>
      <c r="J7" s="66">
        <v>1658934.8364601925</v>
      </c>
      <c r="K7" s="66">
        <v>1891616.4490361752</v>
      </c>
      <c r="L7" s="66">
        <v>2193651.7464336138</v>
      </c>
      <c r="M7" s="67">
        <v>2601478.741693553</v>
      </c>
    </row>
    <row r="8" spans="1:13" x14ac:dyDescent="0.2">
      <c r="B8" s="27">
        <v>6.5000000000000002E-2</v>
      </c>
      <c r="C8" s="65">
        <v>764133.18281192821</v>
      </c>
      <c r="D8" s="66">
        <v>821695.24650550983</v>
      </c>
      <c r="E8" s="66">
        <v>887218.86810968362</v>
      </c>
      <c r="F8" s="66">
        <v>962478.54047227837</v>
      </c>
      <c r="G8" s="66">
        <v>1049818.4170664297</v>
      </c>
      <c r="H8" s="66">
        <v>1152400.8550208164</v>
      </c>
      <c r="I8" s="66">
        <v>1274597.5258536709</v>
      </c>
      <c r="J8" s="66">
        <v>1422628.5879831123</v>
      </c>
      <c r="K8" s="66">
        <v>1605655.1730745961</v>
      </c>
      <c r="L8" s="66">
        <v>1837750.5477348426</v>
      </c>
      <c r="M8" s="67">
        <v>2141702.0755406767</v>
      </c>
    </row>
    <row r="9" spans="1:13" x14ac:dyDescent="0.2">
      <c r="A9" s="15" t="s">
        <v>37</v>
      </c>
      <c r="B9" s="27">
        <v>7.0000000000000007E-2</v>
      </c>
      <c r="C9" s="65">
        <v>681006.62705774955</v>
      </c>
      <c r="D9" s="66">
        <v>730248.32154105534</v>
      </c>
      <c r="E9" s="66">
        <v>785964.92654156126</v>
      </c>
      <c r="F9" s="66">
        <v>849523.41824164556</v>
      </c>
      <c r="G9" s="66">
        <v>922704.69445347658</v>
      </c>
      <c r="H9" s="66">
        <v>1007873.07569591</v>
      </c>
      <c r="I9" s="66">
        <v>1108236.5294169225</v>
      </c>
      <c r="J9" s="66">
        <v>1228259.8173634026</v>
      </c>
      <c r="K9" s="66">
        <v>1374346.7943319192</v>
      </c>
      <c r="L9" s="66">
        <v>1556021.3418165182</v>
      </c>
      <c r="M9" s="67">
        <v>1788091.0481040573</v>
      </c>
    </row>
    <row r="10" spans="1:13" x14ac:dyDescent="0.2">
      <c r="A10" s="15" t="s">
        <v>35</v>
      </c>
      <c r="B10" s="27">
        <v>7.4999999999999997E-2</v>
      </c>
      <c r="C10" s="65">
        <v>608351.80208659288</v>
      </c>
      <c r="D10" s="66">
        <v>650663.81775530428</v>
      </c>
      <c r="E10" s="66">
        <v>698278.09102661104</v>
      </c>
      <c r="F10" s="66">
        <v>752257.9088529055</v>
      </c>
      <c r="G10" s="68">
        <v>813971.2249351159</v>
      </c>
      <c r="H10" s="66">
        <v>885208.2009065561</v>
      </c>
      <c r="I10" s="66">
        <v>968357.71466586308</v>
      </c>
      <c r="J10" s="66">
        <v>1066680.4973593499</v>
      </c>
      <c r="K10" s="66">
        <v>1184746.8107141794</v>
      </c>
      <c r="L10" s="66">
        <v>1329167.2118714263</v>
      </c>
      <c r="M10" s="67">
        <v>1509874.1459827553</v>
      </c>
    </row>
    <row r="11" spans="1:13" x14ac:dyDescent="0.2">
      <c r="A11" s="15" t="s">
        <v>36</v>
      </c>
      <c r="B11" s="27">
        <v>0.08</v>
      </c>
      <c r="C11" s="65">
        <v>544639.82126176252</v>
      </c>
      <c r="D11" s="66">
        <v>581146.98850173084</v>
      </c>
      <c r="E11" s="66">
        <v>622023.6551121322</v>
      </c>
      <c r="F11" s="66">
        <v>668104.22581042675</v>
      </c>
      <c r="G11" s="66">
        <v>720449.99986674916</v>
      </c>
      <c r="H11" s="66">
        <v>780431.91893493466</v>
      </c>
      <c r="I11" s="66">
        <v>849852.37758898758</v>
      </c>
      <c r="J11" s="66">
        <v>931129.44745637139</v>
      </c>
      <c r="K11" s="66">
        <v>1027584.3081486634</v>
      </c>
      <c r="L11" s="66">
        <v>1143906.2874181524</v>
      </c>
      <c r="M11" s="67">
        <v>1286938.250446422</v>
      </c>
    </row>
    <row r="12" spans="1:13" x14ac:dyDescent="0.2">
      <c r="B12" s="27">
        <v>8.5000000000000006E-2</v>
      </c>
      <c r="C12" s="65">
        <v>488599.57337746682</v>
      </c>
      <c r="D12" s="66">
        <v>520218.26516277139</v>
      </c>
      <c r="E12" s="66">
        <v>555458.80022245215</v>
      </c>
      <c r="F12" s="66">
        <v>594981.29579971265</v>
      </c>
      <c r="G12" s="66">
        <v>639616.66273237555</v>
      </c>
      <c r="H12" s="66">
        <v>690425.66271243291</v>
      </c>
      <c r="I12" s="66">
        <v>748784.29121850186</v>
      </c>
      <c r="J12" s="66">
        <v>816510.27582506358</v>
      </c>
      <c r="K12" s="66">
        <v>896055.80399297958</v>
      </c>
      <c r="L12" s="66">
        <v>990810.80217388156</v>
      </c>
      <c r="M12" s="67">
        <v>1105598.5695262216</v>
      </c>
    </row>
    <row r="13" spans="1:13" x14ac:dyDescent="0.2">
      <c r="B13" s="27">
        <v>0.09</v>
      </c>
      <c r="C13" s="65">
        <v>439167.9635862424</v>
      </c>
      <c r="D13" s="66">
        <v>466649.68191143876</v>
      </c>
      <c r="E13" s="66">
        <v>497149.71087092353</v>
      </c>
      <c r="F13" s="66">
        <v>531194.19409647281</v>
      </c>
      <c r="G13" s="66">
        <v>569439.10708458221</v>
      </c>
      <c r="H13" s="66">
        <v>612712.93696790643</v>
      </c>
      <c r="I13" s="66">
        <v>662077.38330208557</v>
      </c>
      <c r="J13" s="66">
        <v>718915.62923265842</v>
      </c>
      <c r="K13" s="66">
        <v>785063.98915677273</v>
      </c>
      <c r="L13" s="66">
        <v>863014.0190049042</v>
      </c>
      <c r="M13" s="67">
        <v>956233.39848048531</v>
      </c>
    </row>
    <row r="14" spans="1:13" x14ac:dyDescent="0.2">
      <c r="B14" s="27">
        <v>9.5000000000000001E-2</v>
      </c>
      <c r="C14" s="65">
        <v>395451.01615445106</v>
      </c>
      <c r="D14" s="66">
        <v>419415.82322561467</v>
      </c>
      <c r="E14" s="66">
        <v>445908.56353213295</v>
      </c>
      <c r="F14" s="66">
        <v>475351.49763670453</v>
      </c>
      <c r="G14" s="66">
        <v>508266.47585738136</v>
      </c>
      <c r="H14" s="66">
        <v>545306.13806561159</v>
      </c>
      <c r="I14" s="66">
        <v>587297.62677226833</v>
      </c>
      <c r="J14" s="66">
        <v>635305.08807300183</v>
      </c>
      <c r="K14" s="66">
        <v>690721.10821644135</v>
      </c>
      <c r="L14" s="66">
        <v>755404.02136045578</v>
      </c>
      <c r="M14" s="67">
        <v>831890.38580812281</v>
      </c>
    </row>
    <row r="15" spans="1:13" x14ac:dyDescent="0.2">
      <c r="B15" s="27">
        <v>0.1</v>
      </c>
      <c r="C15" s="69">
        <v>356693.19485947298</v>
      </c>
      <c r="D15" s="70">
        <v>377655.59406099224</v>
      </c>
      <c r="E15" s="70">
        <v>400745.0758806261</v>
      </c>
      <c r="F15" s="70">
        <v>426302.7011336789</v>
      </c>
      <c r="G15" s="70">
        <v>454746.56300480658</v>
      </c>
      <c r="H15" s="70">
        <v>486594.83682939049</v>
      </c>
      <c r="I15" s="70">
        <v>522497.63310140721</v>
      </c>
      <c r="J15" s="70">
        <v>563281.84287063894</v>
      </c>
      <c r="K15" s="70">
        <v>610015.60913428816</v>
      </c>
      <c r="L15" s="70">
        <v>664103.23318922741</v>
      </c>
      <c r="M15" s="71">
        <v>727428.70934577903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opLeftCell="F1" workbookViewId="0">
      <selection activeCell="G4" sqref="G4"/>
    </sheetView>
  </sheetViews>
  <sheetFormatPr defaultRowHeight="12.75" x14ac:dyDescent="0.2"/>
  <cols>
    <col min="14" max="14" width="23.5703125" bestFit="1" customWidth="1"/>
    <col min="15" max="16" width="10.5703125" bestFit="1" customWidth="1"/>
    <col min="17" max="17" width="9.5703125" bestFit="1" customWidth="1"/>
    <col min="18" max="18" width="16.140625" bestFit="1" customWidth="1"/>
    <col min="19" max="19" width="17.7109375" bestFit="1" customWidth="1"/>
    <col min="20" max="20" width="11.7109375" bestFit="1" customWidth="1"/>
    <col min="21" max="22" width="4.5703125" bestFit="1" customWidth="1"/>
  </cols>
  <sheetData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5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O50"/>
  <sheetViews>
    <sheetView tabSelected="1" zoomScale="79" zoomScaleNormal="79" workbookViewId="0">
      <selection activeCell="P56" sqref="P56"/>
    </sheetView>
  </sheetViews>
  <sheetFormatPr defaultRowHeight="12.75" x14ac:dyDescent="0.2"/>
  <cols>
    <col min="1" max="1" width="26.28515625" style="2" customWidth="1"/>
    <col min="2" max="2" width="13.7109375" style="2" customWidth="1"/>
    <col min="3" max="12" width="12.140625" style="2" customWidth="1"/>
    <col min="13" max="13" width="3.7109375" style="2" customWidth="1"/>
    <col min="14" max="14" width="13.7109375" style="2" customWidth="1"/>
    <col min="15" max="15" width="11" style="2" customWidth="1"/>
    <col min="16" max="16384" width="9.140625" style="2"/>
  </cols>
  <sheetData>
    <row r="1" spans="1:15" x14ac:dyDescent="0.2">
      <c r="A1" s="1" t="s">
        <v>49</v>
      </c>
    </row>
    <row r="2" spans="1:15" x14ac:dyDescent="0.2">
      <c r="A2" s="5"/>
      <c r="B2" s="6"/>
      <c r="C2" s="6"/>
      <c r="D2" s="6"/>
    </row>
    <row r="3" spans="1:15" ht="13.5" thickBot="1" x14ac:dyDescent="0.25">
      <c r="A3" s="1" t="s">
        <v>0</v>
      </c>
      <c r="B3" s="6"/>
      <c r="C3" s="7">
        <v>1996</v>
      </c>
      <c r="D3" s="4">
        <v>1997</v>
      </c>
      <c r="E3" s="7">
        <v>1998</v>
      </c>
      <c r="F3" s="4">
        <v>1999</v>
      </c>
      <c r="G3" s="7">
        <v>2000</v>
      </c>
      <c r="H3" s="4">
        <v>2001</v>
      </c>
      <c r="I3" s="7">
        <v>2002</v>
      </c>
      <c r="J3" s="4">
        <v>2003</v>
      </c>
      <c r="K3" s="7">
        <v>2004</v>
      </c>
      <c r="L3" s="4">
        <v>2005</v>
      </c>
    </row>
    <row r="4" spans="1:15" x14ac:dyDescent="0.2">
      <c r="A4" s="30" t="s">
        <v>1</v>
      </c>
      <c r="B4" s="72">
        <f ca="1">_xll.PsiNormal(0.65,0.05,_xll.PsiBaseCase(0.65))</f>
        <v>0.66489576145805362</v>
      </c>
      <c r="C4" s="32"/>
      <c r="D4" s="33"/>
      <c r="E4" s="32"/>
      <c r="F4" s="32"/>
      <c r="G4" s="32"/>
      <c r="H4" s="32"/>
      <c r="I4" s="32"/>
      <c r="J4" s="32"/>
      <c r="K4" s="32"/>
      <c r="L4" s="34"/>
      <c r="O4" s="73"/>
    </row>
    <row r="5" spans="1:15" x14ac:dyDescent="0.2">
      <c r="A5" s="35" t="s">
        <v>2</v>
      </c>
      <c r="B5" s="8">
        <v>0.04</v>
      </c>
      <c r="C5" s="9"/>
      <c r="D5" s="10"/>
      <c r="E5" s="9"/>
      <c r="F5" s="9"/>
      <c r="G5" s="9"/>
      <c r="H5" s="9"/>
      <c r="I5" s="9"/>
      <c r="J5" s="9"/>
      <c r="K5" s="9"/>
      <c r="L5" s="36"/>
      <c r="O5" s="73"/>
    </row>
    <row r="6" spans="1:15" x14ac:dyDescent="0.2">
      <c r="A6" s="35" t="s">
        <v>18</v>
      </c>
      <c r="B6" s="8">
        <v>0.104</v>
      </c>
      <c r="C6" s="9"/>
      <c r="D6" s="10"/>
      <c r="E6" s="9"/>
      <c r="F6" s="9"/>
      <c r="G6" s="9"/>
      <c r="H6" s="9"/>
      <c r="I6" s="9"/>
      <c r="J6" s="9"/>
      <c r="K6" s="9"/>
      <c r="L6" s="36"/>
      <c r="O6" s="73"/>
    </row>
    <row r="7" spans="1:15" x14ac:dyDescent="0.2">
      <c r="A7" s="35" t="s">
        <v>25</v>
      </c>
      <c r="B7" s="61">
        <f ca="1">_xll.PsiTriangular(0.32,0.37,0.42,_xll.PsiBaseCase(0.368))</f>
        <v>0.40123187663308774</v>
      </c>
      <c r="C7" s="9"/>
      <c r="D7" s="10"/>
      <c r="E7" s="9"/>
      <c r="F7" s="9"/>
      <c r="G7" s="9"/>
      <c r="H7" s="9"/>
      <c r="I7" s="9"/>
      <c r="J7" s="9"/>
      <c r="K7" s="9"/>
      <c r="L7" s="36"/>
      <c r="O7" s="73"/>
    </row>
    <row r="8" spans="1:15" x14ac:dyDescent="0.2">
      <c r="A8" s="35" t="s">
        <v>21</v>
      </c>
      <c r="B8" s="8">
        <v>0.34</v>
      </c>
      <c r="C8" s="9"/>
      <c r="D8" s="10"/>
      <c r="E8" s="9"/>
      <c r="F8" s="9"/>
      <c r="G8" s="9"/>
      <c r="H8" s="9"/>
      <c r="I8" s="9"/>
      <c r="J8" s="9"/>
      <c r="K8" s="9"/>
      <c r="L8" s="36"/>
      <c r="O8" s="73"/>
    </row>
    <row r="9" spans="1:15" x14ac:dyDescent="0.2">
      <c r="A9" s="35" t="s">
        <v>3</v>
      </c>
      <c r="B9" s="10"/>
      <c r="C9" s="11">
        <v>0.8</v>
      </c>
      <c r="D9" s="12">
        <v>0.65</v>
      </c>
      <c r="E9" s="13">
        <v>0.55000000000000004</v>
      </c>
      <c r="F9" s="12">
        <v>0.45</v>
      </c>
      <c r="G9" s="12">
        <v>0.35</v>
      </c>
      <c r="H9" s="12">
        <v>0.25</v>
      </c>
      <c r="I9" s="12">
        <v>0.2</v>
      </c>
      <c r="J9" s="12">
        <v>0.2</v>
      </c>
      <c r="K9" s="12">
        <v>0.2</v>
      </c>
      <c r="L9" s="37">
        <v>0.2</v>
      </c>
    </row>
    <row r="10" spans="1:15" x14ac:dyDescent="0.2">
      <c r="A10" s="35" t="s">
        <v>4</v>
      </c>
      <c r="B10" s="10"/>
      <c r="C10" s="11">
        <v>0.45</v>
      </c>
      <c r="D10" s="12">
        <v>0.4</v>
      </c>
      <c r="E10" s="13">
        <v>0.3</v>
      </c>
      <c r="F10" s="12">
        <v>0.2</v>
      </c>
      <c r="G10" s="12">
        <v>0.1</v>
      </c>
      <c r="H10" s="12">
        <v>0.1</v>
      </c>
      <c r="I10" s="12">
        <v>0.1</v>
      </c>
      <c r="J10" s="12">
        <v>0.1</v>
      </c>
      <c r="K10" s="12">
        <v>0.1</v>
      </c>
      <c r="L10" s="37">
        <v>0.1</v>
      </c>
    </row>
    <row r="11" spans="1:15" x14ac:dyDescent="0.2">
      <c r="A11" s="35" t="s">
        <v>19</v>
      </c>
      <c r="B11" s="8">
        <v>5.5E-2</v>
      </c>
      <c r="C11" s="9"/>
      <c r="D11" s="10"/>
      <c r="E11" s="9"/>
      <c r="F11" s="9" t="s">
        <v>17</v>
      </c>
      <c r="G11" s="9"/>
      <c r="H11" s="9"/>
      <c r="I11" s="9"/>
      <c r="J11" s="9"/>
      <c r="K11" s="9"/>
      <c r="L11" s="36"/>
    </row>
    <row r="12" spans="1:15" x14ac:dyDescent="0.2">
      <c r="A12" s="35" t="s">
        <v>6</v>
      </c>
      <c r="B12" s="8">
        <v>0</v>
      </c>
      <c r="C12" s="9"/>
      <c r="D12" s="10"/>
      <c r="E12" s="9"/>
      <c r="F12" s="9"/>
      <c r="G12" s="9"/>
      <c r="H12" s="9"/>
      <c r="I12" s="9"/>
      <c r="J12" s="9"/>
      <c r="K12" s="9"/>
      <c r="L12" s="36"/>
    </row>
    <row r="13" spans="1:15" x14ac:dyDescent="0.2">
      <c r="A13" s="35" t="s">
        <v>7</v>
      </c>
      <c r="B13" s="12">
        <v>1.5</v>
      </c>
      <c r="C13" s="9"/>
      <c r="D13" s="10"/>
      <c r="E13" s="9"/>
      <c r="F13" s="9"/>
      <c r="G13" s="9"/>
      <c r="H13" s="9"/>
      <c r="I13" s="9"/>
      <c r="J13" s="9"/>
      <c r="K13" s="9"/>
      <c r="L13" s="36"/>
    </row>
    <row r="14" spans="1:15" x14ac:dyDescent="0.2">
      <c r="A14" s="35" t="s">
        <v>8</v>
      </c>
      <c r="B14" s="8">
        <v>6.7100000000000007E-2</v>
      </c>
      <c r="C14" s="9"/>
      <c r="D14" s="10"/>
      <c r="E14" s="9"/>
      <c r="F14" s="9"/>
      <c r="G14" s="9"/>
      <c r="H14" s="9"/>
      <c r="I14" s="9"/>
      <c r="J14" s="9"/>
      <c r="K14" s="9"/>
      <c r="L14" s="36"/>
    </row>
    <row r="15" spans="1:15" x14ac:dyDescent="0.2">
      <c r="A15" s="35" t="s">
        <v>22</v>
      </c>
      <c r="B15" s="61">
        <f ca="1">_xll.PsiUniform(0.05,0.1,_xll.PsiBaseCase(0.075))</f>
        <v>8.4294768523730301E-2</v>
      </c>
      <c r="C15" s="9"/>
      <c r="D15" s="10"/>
      <c r="E15" s="9"/>
      <c r="F15" s="9"/>
      <c r="G15" s="9"/>
      <c r="H15" s="9"/>
      <c r="I15" s="9"/>
      <c r="J15" s="9"/>
      <c r="K15" s="9"/>
      <c r="L15" s="36"/>
    </row>
    <row r="16" spans="1:15" x14ac:dyDescent="0.2">
      <c r="A16" s="35" t="s">
        <v>42</v>
      </c>
      <c r="B16" s="8">
        <f ca="1">B14+(B13*B15)</f>
        <v>0.19354215278559544</v>
      </c>
      <c r="C16" s="9"/>
      <c r="D16" s="10"/>
      <c r="E16" s="9"/>
      <c r="F16" s="9"/>
      <c r="G16" s="9"/>
      <c r="H16" s="9"/>
      <c r="I16" s="9"/>
      <c r="J16" s="9"/>
      <c r="K16" s="9"/>
      <c r="L16" s="36"/>
    </row>
    <row r="17" spans="1:12" ht="13.5" thickBot="1" x14ac:dyDescent="0.25">
      <c r="A17" s="38" t="s">
        <v>44</v>
      </c>
      <c r="B17" s="39">
        <v>38000</v>
      </c>
      <c r="C17" s="40"/>
      <c r="D17" s="41"/>
      <c r="E17" s="40"/>
      <c r="F17" s="40"/>
      <c r="G17" s="40"/>
      <c r="H17" s="40"/>
      <c r="I17" s="40"/>
      <c r="J17" s="40"/>
      <c r="K17" s="40"/>
      <c r="L17" s="42"/>
    </row>
    <row r="18" spans="1:12" x14ac:dyDescent="0.2">
      <c r="A18" s="10"/>
      <c r="B18" s="8"/>
      <c r="C18" s="9"/>
      <c r="D18" s="10"/>
      <c r="E18" s="9"/>
      <c r="F18" s="9"/>
      <c r="G18" s="9"/>
      <c r="H18" s="9"/>
      <c r="I18" s="9"/>
      <c r="J18" s="9"/>
      <c r="K18" s="9"/>
      <c r="L18" s="9"/>
    </row>
    <row r="19" spans="1:12" ht="13.5" thickBot="1" x14ac:dyDescent="0.25">
      <c r="A19" s="1" t="s">
        <v>31</v>
      </c>
      <c r="C19" s="1" t="s">
        <v>17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43"/>
      <c r="B20" s="44" t="s">
        <v>16</v>
      </c>
      <c r="C20" s="45" t="s">
        <v>20</v>
      </c>
      <c r="D20" s="45"/>
      <c r="E20" s="45"/>
      <c r="F20" s="45"/>
      <c r="G20" s="45"/>
      <c r="H20" s="45"/>
      <c r="I20" s="45"/>
      <c r="J20" s="45"/>
      <c r="K20" s="45"/>
      <c r="L20" s="46"/>
    </row>
    <row r="21" spans="1:12" x14ac:dyDescent="0.2">
      <c r="A21" s="47" t="s">
        <v>9</v>
      </c>
      <c r="B21" s="28">
        <v>33250</v>
      </c>
      <c r="C21" s="29">
        <f ca="1">B21*(1+$B$4)</f>
        <v>55357.78406848028</v>
      </c>
      <c r="D21" s="29">
        <f t="shared" ref="D21:L21" ca="1" si="0">C21*(1+$B$4)</f>
        <v>92164.94005932298</v>
      </c>
      <c r="E21" s="29">
        <f t="shared" ca="1" si="0"/>
        <v>153445.01805980239</v>
      </c>
      <c r="F21" s="29">
        <f t="shared" ca="1" si="0"/>
        <v>255469.96018461947</v>
      </c>
      <c r="G21" s="29">
        <f t="shared" ca="1" si="0"/>
        <v>425330.85389123065</v>
      </c>
      <c r="H21" s="29">
        <f t="shared" ca="1" si="0"/>
        <v>708131.53586084454</v>
      </c>
      <c r="I21" s="29">
        <f t="shared" ca="1" si="0"/>
        <v>1178965.1926095018</v>
      </c>
      <c r="J21" s="29">
        <f t="shared" ca="1" si="0"/>
        <v>1962854.1520821371</v>
      </c>
      <c r="K21" s="29">
        <f t="shared" ca="1" si="0"/>
        <v>3267947.5581618915</v>
      </c>
      <c r="L21" s="48">
        <f t="shared" ca="1" si="0"/>
        <v>5440792.0382509287</v>
      </c>
    </row>
    <row r="22" spans="1:12" x14ac:dyDescent="0.2">
      <c r="A22" s="47" t="s">
        <v>10</v>
      </c>
      <c r="B22" s="28">
        <v>3472</v>
      </c>
      <c r="C22" s="29">
        <f ca="1">C21*$B$6</f>
        <v>5757.2095431219486</v>
      </c>
      <c r="D22" s="29">
        <f t="shared" ref="D22:L22" ca="1" si="1">D21*$B$6</f>
        <v>9585.1537661695893</v>
      </c>
      <c r="E22" s="29">
        <f t="shared" ca="1" si="1"/>
        <v>15958.281878219448</v>
      </c>
      <c r="F22" s="29">
        <f t="shared" ca="1" si="1"/>
        <v>26568.875859200423</v>
      </c>
      <c r="G22" s="29">
        <f t="shared" ca="1" si="1"/>
        <v>44234.408804687984</v>
      </c>
      <c r="H22" s="29">
        <f t="shared" ca="1" si="1"/>
        <v>73645.679729527823</v>
      </c>
      <c r="I22" s="29">
        <f t="shared" ca="1" si="1"/>
        <v>122612.38003138818</v>
      </c>
      <c r="J22" s="29">
        <f t="shared" ca="1" si="1"/>
        <v>204136.83181654225</v>
      </c>
      <c r="K22" s="29">
        <f t="shared" ca="1" si="1"/>
        <v>339866.54604883672</v>
      </c>
      <c r="L22" s="48">
        <f t="shared" ca="1" si="1"/>
        <v>565842.37197809655</v>
      </c>
    </row>
    <row r="23" spans="1:12" x14ac:dyDescent="0.2">
      <c r="A23" s="47" t="s">
        <v>11</v>
      </c>
      <c r="B23" s="28">
        <v>12230</v>
      </c>
      <c r="C23" s="29">
        <f ca="1">C21*$B$7</f>
        <v>22211.307588045591</v>
      </c>
      <c r="D23" s="29">
        <f t="shared" ref="D23:L23" ca="1" si="2">D21*$B$7</f>
        <v>36979.511859778206</v>
      </c>
      <c r="E23" s="29">
        <f t="shared" ca="1" si="2"/>
        <v>61567.032556132552</v>
      </c>
      <c r="F23" s="29">
        <f t="shared" ca="1" si="2"/>
        <v>102502.69154825507</v>
      </c>
      <c r="G23" s="29">
        <f t="shared" ca="1" si="2"/>
        <v>170656.29669673211</v>
      </c>
      <c r="H23" s="29">
        <f t="shared" ca="1" si="2"/>
        <v>284124.94503651734</v>
      </c>
      <c r="I23" s="29">
        <f t="shared" ca="1" si="2"/>
        <v>473038.41671580012</v>
      </c>
      <c r="J23" s="29">
        <f t="shared" ca="1" si="2"/>
        <v>787559.65499696403</v>
      </c>
      <c r="K23" s="29">
        <f t="shared" ca="1" si="2"/>
        <v>1311204.7314998123</v>
      </c>
      <c r="L23" s="48">
        <f t="shared" ca="1" si="2"/>
        <v>2183019.1998777827</v>
      </c>
    </row>
    <row r="24" spans="1:12" x14ac:dyDescent="0.2">
      <c r="A24" s="47" t="s">
        <v>5</v>
      </c>
      <c r="B24" s="28">
        <v>1836</v>
      </c>
      <c r="C24" s="29">
        <f ca="1">C21*$B$11</f>
        <v>3044.6781237664154</v>
      </c>
      <c r="D24" s="29">
        <f t="shared" ref="D24:L24" ca="1" si="3">D21*$B$11</f>
        <v>5069.0717032627635</v>
      </c>
      <c r="E24" s="29">
        <f t="shared" ca="1" si="3"/>
        <v>8439.475993289132</v>
      </c>
      <c r="F24" s="29">
        <f t="shared" ca="1" si="3"/>
        <v>14050.847810154071</v>
      </c>
      <c r="G24" s="29">
        <f t="shared" ca="1" si="3"/>
        <v>23393.196964017687</v>
      </c>
      <c r="H24" s="29">
        <f t="shared" ca="1" si="3"/>
        <v>38947.234472346448</v>
      </c>
      <c r="I24" s="29">
        <f t="shared" ca="1" si="3"/>
        <v>64843.085593522599</v>
      </c>
      <c r="J24" s="29">
        <f t="shared" ca="1" si="3"/>
        <v>107956.97836451753</v>
      </c>
      <c r="K24" s="29">
        <f t="shared" ca="1" si="3"/>
        <v>179737.11569890403</v>
      </c>
      <c r="L24" s="48">
        <f t="shared" ca="1" si="3"/>
        <v>299243.56210380106</v>
      </c>
    </row>
    <row r="25" spans="1:12" x14ac:dyDescent="0.2">
      <c r="A25" s="47" t="s">
        <v>3</v>
      </c>
      <c r="B25" s="28">
        <v>26898</v>
      </c>
      <c r="C25" s="29">
        <f t="shared" ref="C25:L25" ca="1" si="4">C21*C9</f>
        <v>44286.227254784229</v>
      </c>
      <c r="D25" s="29">
        <f t="shared" ca="1" si="4"/>
        <v>59907.211038559937</v>
      </c>
      <c r="E25" s="29">
        <f t="shared" ca="1" si="4"/>
        <v>84394.75993289132</v>
      </c>
      <c r="F25" s="29">
        <f t="shared" ca="1" si="4"/>
        <v>114961.48208307876</v>
      </c>
      <c r="G25" s="29">
        <f t="shared" ca="1" si="4"/>
        <v>148865.79886193073</v>
      </c>
      <c r="H25" s="29">
        <f t="shared" ca="1" si="4"/>
        <v>177032.88396521113</v>
      </c>
      <c r="I25" s="29">
        <f t="shared" ca="1" si="4"/>
        <v>235793.03852190037</v>
      </c>
      <c r="J25" s="29">
        <f t="shared" ca="1" si="4"/>
        <v>392570.83041642746</v>
      </c>
      <c r="K25" s="29">
        <f t="shared" ca="1" si="4"/>
        <v>653589.51163237833</v>
      </c>
      <c r="L25" s="48">
        <f t="shared" ca="1" si="4"/>
        <v>1088158.4076501857</v>
      </c>
    </row>
    <row r="26" spans="1:12" x14ac:dyDescent="0.2">
      <c r="A26" s="47" t="s">
        <v>12</v>
      </c>
      <c r="B26" s="28">
        <f>B21-B22-B23-B24-B25</f>
        <v>-11186</v>
      </c>
      <c r="C26" s="28">
        <f t="shared" ref="C26:L26" ca="1" si="5">C21-C22-C23-C24-C25</f>
        <v>-19941.638441237905</v>
      </c>
      <c r="D26" s="28">
        <f t="shared" ca="1" si="5"/>
        <v>-19376.008308447519</v>
      </c>
      <c r="E26" s="28">
        <f t="shared" ca="1" si="5"/>
        <v>-16914.532300730076</v>
      </c>
      <c r="F26" s="28">
        <f t="shared" ca="1" si="5"/>
        <v>-2613.9371160688606</v>
      </c>
      <c r="G26" s="28">
        <f t="shared" ca="1" si="5"/>
        <v>38181.152563862153</v>
      </c>
      <c r="H26" s="28">
        <f t="shared" ca="1" si="5"/>
        <v>134380.79265724184</v>
      </c>
      <c r="I26" s="28">
        <f t="shared" ca="1" si="5"/>
        <v>282678.2717468905</v>
      </c>
      <c r="J26" s="28">
        <f t="shared" ca="1" si="5"/>
        <v>470629.85648768581</v>
      </c>
      <c r="K26" s="28">
        <f t="shared" ca="1" si="5"/>
        <v>783549.65328196005</v>
      </c>
      <c r="L26" s="49">
        <f t="shared" ca="1" si="5"/>
        <v>1304528.4966410627</v>
      </c>
    </row>
    <row r="27" spans="1:12" x14ac:dyDescent="0.2">
      <c r="A27" s="47" t="s">
        <v>13</v>
      </c>
      <c r="B27" s="28">
        <f>B26*$B$8</f>
        <v>-3803.2400000000002</v>
      </c>
      <c r="C27" s="28">
        <f t="shared" ref="C27:L27" ca="1" si="6">C26*$B$8</f>
        <v>-6780.1570700208877</v>
      </c>
      <c r="D27" s="28">
        <f t="shared" ca="1" si="6"/>
        <v>-6587.8428248721566</v>
      </c>
      <c r="E27" s="28">
        <f t="shared" ca="1" si="6"/>
        <v>-5750.9409822482257</v>
      </c>
      <c r="F27" s="28">
        <f t="shared" ca="1" si="6"/>
        <v>-888.73861946341265</v>
      </c>
      <c r="G27" s="28">
        <f t="shared" ca="1" si="6"/>
        <v>12981.591871713134</v>
      </c>
      <c r="H27" s="28">
        <f t="shared" ca="1" si="6"/>
        <v>45689.469503462227</v>
      </c>
      <c r="I27" s="28">
        <f t="shared" ca="1" si="6"/>
        <v>96110.612393942778</v>
      </c>
      <c r="J27" s="28">
        <f t="shared" ca="1" si="6"/>
        <v>160014.15120581319</v>
      </c>
      <c r="K27" s="28">
        <f t="shared" ca="1" si="6"/>
        <v>266406.88211586647</v>
      </c>
      <c r="L27" s="49">
        <f t="shared" ca="1" si="6"/>
        <v>443539.68885796133</v>
      </c>
    </row>
    <row r="28" spans="1:12" x14ac:dyDescent="0.2">
      <c r="A28" s="47" t="s">
        <v>14</v>
      </c>
      <c r="B28" s="28">
        <f>B26-B27</f>
        <v>-7382.76</v>
      </c>
      <c r="C28" s="28">
        <f t="shared" ref="C28:L28" ca="1" si="7">C26-C27</f>
        <v>-13161.481371217018</v>
      </c>
      <c r="D28" s="28">
        <f t="shared" ca="1" si="7"/>
        <v>-12788.165483575362</v>
      </c>
      <c r="E28" s="28">
        <f t="shared" ca="1" si="7"/>
        <v>-11163.591318481849</v>
      </c>
      <c r="F28" s="28">
        <f t="shared" ca="1" si="7"/>
        <v>-1725.1984966054479</v>
      </c>
      <c r="G28" s="28">
        <f t="shared" ca="1" si="7"/>
        <v>25199.560692149018</v>
      </c>
      <c r="H28" s="28">
        <f t="shared" ca="1" si="7"/>
        <v>88691.323153779609</v>
      </c>
      <c r="I28" s="28">
        <f t="shared" ca="1" si="7"/>
        <v>186567.65935294772</v>
      </c>
      <c r="J28" s="28">
        <f t="shared" ca="1" si="7"/>
        <v>310615.70528187265</v>
      </c>
      <c r="K28" s="28">
        <f t="shared" ca="1" si="7"/>
        <v>517142.77116609359</v>
      </c>
      <c r="L28" s="49">
        <f t="shared" ca="1" si="7"/>
        <v>860988.80778310134</v>
      </c>
    </row>
    <row r="29" spans="1:12" x14ac:dyDescent="0.2">
      <c r="A29" s="47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48"/>
    </row>
    <row r="30" spans="1:12" x14ac:dyDescent="0.2">
      <c r="A30" s="47" t="s">
        <v>4</v>
      </c>
      <c r="B30" s="28">
        <v>15236</v>
      </c>
      <c r="C30" s="29">
        <f t="shared" ref="C30:L30" ca="1" si="8">C21*C10</f>
        <v>24911.002830816127</v>
      </c>
      <c r="D30" s="29">
        <f t="shared" ca="1" si="8"/>
        <v>36865.976023729192</v>
      </c>
      <c r="E30" s="29">
        <f t="shared" ca="1" si="8"/>
        <v>46033.505417940716</v>
      </c>
      <c r="F30" s="29">
        <f t="shared" ca="1" si="8"/>
        <v>51093.992036923897</v>
      </c>
      <c r="G30" s="29">
        <f t="shared" ca="1" si="8"/>
        <v>42533.085389123065</v>
      </c>
      <c r="H30" s="29">
        <f t="shared" ca="1" si="8"/>
        <v>70813.15358608446</v>
      </c>
      <c r="I30" s="29">
        <f t="shared" ca="1" si="8"/>
        <v>117896.51926095018</v>
      </c>
      <c r="J30" s="29">
        <f t="shared" ca="1" si="8"/>
        <v>196285.41520821373</v>
      </c>
      <c r="K30" s="29">
        <f t="shared" ca="1" si="8"/>
        <v>326794.75581618916</v>
      </c>
      <c r="L30" s="48">
        <f t="shared" ca="1" si="8"/>
        <v>544079.20382509287</v>
      </c>
    </row>
    <row r="31" spans="1:12" x14ac:dyDescent="0.2">
      <c r="A31" s="47" t="s">
        <v>41</v>
      </c>
      <c r="B31" s="28">
        <v>0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49">
        <v>0</v>
      </c>
    </row>
    <row r="32" spans="1:12" x14ac:dyDescent="0.2">
      <c r="A32" s="47"/>
      <c r="B32" s="28"/>
      <c r="C32" s="29"/>
      <c r="D32" s="29"/>
      <c r="E32" s="29"/>
      <c r="F32" s="29"/>
      <c r="G32" s="29"/>
      <c r="H32" s="29"/>
      <c r="I32" s="29"/>
      <c r="J32" s="29"/>
      <c r="K32" s="29"/>
      <c r="L32" s="48"/>
    </row>
    <row r="33" spans="1:12" x14ac:dyDescent="0.2">
      <c r="A33" s="47" t="s">
        <v>15</v>
      </c>
      <c r="B33" s="28">
        <f>B28+B24-B30-B31</f>
        <v>-20782.760000000002</v>
      </c>
      <c r="C33" s="28">
        <f t="shared" ref="C33:L33" ca="1" si="9">C28+C24-C30-C31</f>
        <v>-35027.806078266731</v>
      </c>
      <c r="D33" s="28">
        <f t="shared" ca="1" si="9"/>
        <v>-44585.069804041792</v>
      </c>
      <c r="E33" s="28">
        <f t="shared" ca="1" si="9"/>
        <v>-48757.620743133433</v>
      </c>
      <c r="F33" s="28">
        <f t="shared" ca="1" si="9"/>
        <v>-38768.342723375274</v>
      </c>
      <c r="G33" s="28">
        <f t="shared" ca="1" si="9"/>
        <v>6059.6722670436429</v>
      </c>
      <c r="H33" s="28">
        <f t="shared" ca="1" si="9"/>
        <v>56825.404040041598</v>
      </c>
      <c r="I33" s="28">
        <f t="shared" ca="1" si="9"/>
        <v>133514.22568552013</v>
      </c>
      <c r="J33" s="28">
        <f t="shared" ca="1" si="9"/>
        <v>222287.26843817648</v>
      </c>
      <c r="K33" s="28">
        <f t="shared" ca="1" si="9"/>
        <v>370085.13104880851</v>
      </c>
      <c r="L33" s="49">
        <f t="shared" ca="1" si="9"/>
        <v>616153.16606180952</v>
      </c>
    </row>
    <row r="34" spans="1:12" x14ac:dyDescent="0.2">
      <c r="A34" s="47" t="s">
        <v>43</v>
      </c>
      <c r="B34" s="28">
        <f ca="1">(L33*(1+B5))/(B16-B5)</f>
        <v>4173442.1530424091</v>
      </c>
      <c r="C34" s="29"/>
      <c r="D34" s="29"/>
      <c r="E34" s="29"/>
      <c r="F34" s="29"/>
      <c r="G34" s="29"/>
      <c r="H34" s="29"/>
      <c r="I34" s="29"/>
      <c r="J34" s="29"/>
      <c r="K34" s="29"/>
      <c r="L34" s="48"/>
    </row>
    <row r="35" spans="1:12" x14ac:dyDescent="0.2">
      <c r="A35" s="47" t="s">
        <v>23</v>
      </c>
      <c r="B35" s="29">
        <f ca="1">B33+NPV(B16,C33:L33)</f>
        <v>165946.55785526216</v>
      </c>
      <c r="C35" s="29"/>
      <c r="D35" s="29"/>
      <c r="E35" s="29"/>
      <c r="F35" s="29"/>
      <c r="G35" s="29"/>
      <c r="H35" s="29"/>
      <c r="I35" s="29"/>
      <c r="J35" s="29"/>
      <c r="K35" s="29"/>
      <c r="L35" s="48"/>
    </row>
    <row r="36" spans="1:12" x14ac:dyDescent="0.2">
      <c r="A36" s="47" t="s">
        <v>33</v>
      </c>
      <c r="B36" s="29">
        <f ca="1">B34/(1+B16)^11</f>
        <v>596044.95842309529</v>
      </c>
      <c r="C36" s="29"/>
      <c r="D36" s="29"/>
      <c r="E36" s="29"/>
      <c r="F36" s="29"/>
      <c r="G36" s="29"/>
      <c r="H36" s="29"/>
      <c r="I36" s="29"/>
      <c r="J36" s="29"/>
      <c r="K36" s="29"/>
      <c r="L36" s="48"/>
    </row>
    <row r="37" spans="1:12" ht="13.5" thickBot="1" x14ac:dyDescent="0.25">
      <c r="A37" s="50" t="s">
        <v>24</v>
      </c>
      <c r="B37" s="51">
        <f ca="1">B35+B36</f>
        <v>761991.51627835748</v>
      </c>
      <c r="C37" s="52"/>
      <c r="D37" s="52"/>
      <c r="E37" s="52"/>
      <c r="F37" s="52"/>
      <c r="G37" s="52"/>
      <c r="H37" s="52"/>
      <c r="I37" s="52"/>
      <c r="J37" s="52"/>
      <c r="K37" s="52"/>
      <c r="L37" s="53"/>
    </row>
    <row r="38" spans="1:12" x14ac:dyDescent="0.2">
      <c r="A38" s="9"/>
      <c r="B38" s="54"/>
      <c r="C38" s="29"/>
      <c r="D38" s="29"/>
      <c r="E38" s="29"/>
      <c r="F38" s="29"/>
      <c r="G38" s="29"/>
      <c r="H38" s="29"/>
      <c r="I38" s="29"/>
      <c r="J38" s="29"/>
      <c r="K38" s="29"/>
      <c r="L38" s="29"/>
    </row>
    <row r="39" spans="1:12" ht="13.5" thickBot="1" x14ac:dyDescent="0.25">
      <c r="A39" s="55" t="s">
        <v>26</v>
      </c>
    </row>
    <row r="40" spans="1:12" x14ac:dyDescent="0.2">
      <c r="A40" s="43" t="s">
        <v>27</v>
      </c>
      <c r="B40" s="74">
        <f ca="1">B37 + _xll.PsiOutput()</f>
        <v>761991.51627835748</v>
      </c>
    </row>
    <row r="41" spans="1:12" x14ac:dyDescent="0.2">
      <c r="A41" s="47" t="s">
        <v>45</v>
      </c>
      <c r="B41" s="75">
        <f ca="1">B36/B37 + _xll.PsiOutput()</f>
        <v>0.78221994036657816</v>
      </c>
    </row>
    <row r="42" spans="1:12" x14ac:dyDescent="0.2">
      <c r="A42" s="47" t="s">
        <v>29</v>
      </c>
      <c r="B42" s="76">
        <f ca="1">SUM(B50:L50) + _xll.PsiOutput()</f>
        <v>2002</v>
      </c>
    </row>
    <row r="43" spans="1:12" x14ac:dyDescent="0.2">
      <c r="A43" s="47" t="s">
        <v>30</v>
      </c>
      <c r="B43" s="77">
        <f ca="1">MIN(B47:L47) + _xll.PsiOutput()</f>
        <v>-187921.59934881722</v>
      </c>
    </row>
    <row r="44" spans="1:12" ht="13.5" thickBot="1" x14ac:dyDescent="0.25">
      <c r="A44" s="50" t="s">
        <v>32</v>
      </c>
      <c r="B44" s="78">
        <f ca="1">B37/B17 + _xll.PsiOutput()</f>
        <v>20.052408323114669</v>
      </c>
    </row>
    <row r="47" spans="1:12" x14ac:dyDescent="0.2">
      <c r="A47" s="2" t="s">
        <v>28</v>
      </c>
      <c r="B47" s="14">
        <f>B33</f>
        <v>-20782.760000000002</v>
      </c>
      <c r="C47" s="14">
        <f t="shared" ref="C47:L47" ca="1" si="10">C33+B47</f>
        <v>-55810.566078266733</v>
      </c>
      <c r="D47" s="14">
        <f t="shared" ca="1" si="10"/>
        <v>-100395.63588230853</v>
      </c>
      <c r="E47" s="14">
        <f t="shared" ca="1" si="10"/>
        <v>-149153.25662544195</v>
      </c>
      <c r="F47" s="14">
        <f t="shared" ca="1" si="10"/>
        <v>-187921.59934881722</v>
      </c>
      <c r="G47" s="14">
        <f t="shared" ca="1" si="10"/>
        <v>-181861.92708177358</v>
      </c>
      <c r="H47" s="14">
        <f t="shared" ca="1" si="10"/>
        <v>-125036.52304173198</v>
      </c>
      <c r="I47" s="14">
        <f t="shared" ca="1" si="10"/>
        <v>8477.7026437881432</v>
      </c>
      <c r="J47" s="14">
        <f t="shared" ca="1" si="10"/>
        <v>230764.97108196461</v>
      </c>
      <c r="K47" s="14">
        <f t="shared" ca="1" si="10"/>
        <v>600850.10213077313</v>
      </c>
      <c r="L47" s="14">
        <f t="shared" ca="1" si="10"/>
        <v>1217003.2681925828</v>
      </c>
    </row>
    <row r="48" spans="1:12" x14ac:dyDescent="0.2">
      <c r="A48" s="2" t="s">
        <v>46</v>
      </c>
      <c r="B48" s="3">
        <f>IF(B47&lt;0,0,B47)</f>
        <v>0</v>
      </c>
      <c r="C48" s="3">
        <f t="shared" ref="C48:L48" ca="1" si="11">IF(C47&lt;0,0,C47)</f>
        <v>0</v>
      </c>
      <c r="D48" s="3">
        <f ca="1">IF(D47&lt;0,0,D47)</f>
        <v>0</v>
      </c>
      <c r="E48" s="3">
        <f t="shared" ca="1" si="11"/>
        <v>0</v>
      </c>
      <c r="F48" s="3">
        <f t="shared" ca="1" si="11"/>
        <v>0</v>
      </c>
      <c r="G48" s="3">
        <f t="shared" ca="1" si="11"/>
        <v>0</v>
      </c>
      <c r="H48" s="3">
        <f t="shared" ca="1" si="11"/>
        <v>0</v>
      </c>
      <c r="I48" s="3">
        <f ca="1">IF(I47&lt;0,0,I47)</f>
        <v>8477.7026437881432</v>
      </c>
      <c r="J48" s="3">
        <f t="shared" ca="1" si="11"/>
        <v>230764.97108196461</v>
      </c>
      <c r="K48" s="3">
        <f t="shared" ca="1" si="11"/>
        <v>600850.10213077313</v>
      </c>
      <c r="L48" s="3">
        <f t="shared" ca="1" si="11"/>
        <v>1217003.2681925828</v>
      </c>
    </row>
    <row r="49" spans="1:12" x14ac:dyDescent="0.2">
      <c r="A49" s="10" t="s">
        <v>47</v>
      </c>
      <c r="B49" s="3">
        <f>B48</f>
        <v>0</v>
      </c>
      <c r="C49" s="2">
        <f ca="1">IF(AND(B48=0,C48&lt;&gt;0),C48,0)</f>
        <v>0</v>
      </c>
      <c r="D49" s="2">
        <f t="shared" ref="D49:L49" ca="1" si="12">IF(AND(C48=0,D48&lt;&gt;0),D48,0)</f>
        <v>0</v>
      </c>
      <c r="E49" s="2">
        <f t="shared" ca="1" si="12"/>
        <v>0</v>
      </c>
      <c r="F49" s="2">
        <f t="shared" ca="1" si="12"/>
        <v>0</v>
      </c>
      <c r="G49" s="2">
        <f t="shared" ca="1" si="12"/>
        <v>0</v>
      </c>
      <c r="H49" s="2">
        <f t="shared" ca="1" si="12"/>
        <v>0</v>
      </c>
      <c r="I49" s="3">
        <f ca="1">IF(AND(H48=0,I48&lt;&gt;0),I48,0)</f>
        <v>8477.7026437881432</v>
      </c>
      <c r="J49" s="2">
        <f t="shared" ca="1" si="12"/>
        <v>0</v>
      </c>
      <c r="K49" s="2">
        <f t="shared" ca="1" si="12"/>
        <v>0</v>
      </c>
      <c r="L49" s="2">
        <f t="shared" ca="1" si="12"/>
        <v>0</v>
      </c>
    </row>
    <row r="50" spans="1:12" x14ac:dyDescent="0.2">
      <c r="A50" s="10" t="s">
        <v>48</v>
      </c>
      <c r="B50" s="2">
        <f>IF(B49&gt;0,1995,0)</f>
        <v>0</v>
      </c>
      <c r="C50" s="2">
        <f t="shared" ref="C50:L50" ca="1" si="13">IF(C49&gt;0,C3,0)</f>
        <v>0</v>
      </c>
      <c r="D50" s="2">
        <f t="shared" ca="1" si="13"/>
        <v>0</v>
      </c>
      <c r="E50" s="2">
        <f t="shared" ca="1" si="13"/>
        <v>0</v>
      </c>
      <c r="F50" s="2">
        <f t="shared" ca="1" si="13"/>
        <v>0</v>
      </c>
      <c r="G50" s="2">
        <f t="shared" ca="1" si="13"/>
        <v>0</v>
      </c>
      <c r="H50" s="2">
        <f t="shared" ca="1" si="13"/>
        <v>0</v>
      </c>
      <c r="I50" s="2">
        <f t="shared" ca="1" si="13"/>
        <v>2002</v>
      </c>
      <c r="J50" s="2">
        <f t="shared" ca="1" si="13"/>
        <v>0</v>
      </c>
      <c r="K50" s="2">
        <f t="shared" ca="1" si="13"/>
        <v>0</v>
      </c>
      <c r="L50" s="2">
        <f t="shared" ca="1" si="13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7" sqref="G37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0" sqref="C40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8" sqref="F38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8" sqref="F38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14.15</vt:lpstr>
      <vt:lpstr>14.16</vt:lpstr>
      <vt:lpstr>14.17</vt:lpstr>
      <vt:lpstr>CB_DATA_</vt:lpstr>
      <vt:lpstr>14.18</vt:lpstr>
      <vt:lpstr>14.19</vt:lpstr>
      <vt:lpstr>14.20</vt:lpstr>
      <vt:lpstr>14.21</vt:lpstr>
      <vt:lpstr>14.22</vt:lpstr>
      <vt:lpstr>14.23</vt:lpstr>
      <vt:lpstr>14.24</vt:lpstr>
      <vt:lpstr>14.25</vt:lpstr>
    </vt:vector>
  </TitlesOfParts>
  <Company>Dartmouth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Steve.Powell</dc:creator>
  <cp:lastModifiedBy>Powell, Stephen G.</cp:lastModifiedBy>
  <cp:lastPrinted>2005-08-16T15:12:50Z</cp:lastPrinted>
  <dcterms:created xsi:type="dcterms:W3CDTF">2002-02-04T15:14:44Z</dcterms:created>
  <dcterms:modified xsi:type="dcterms:W3CDTF">2016-02-14T13:31:16Z</dcterms:modified>
</cp:coreProperties>
</file>