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lanc\OneDrive - Bellevue College\00_DA310\Homework\"/>
    </mc:Choice>
  </mc:AlternateContent>
  <xr:revisionPtr revIDLastSave="262" documentId="97D613579865C073C5290A2BB1450A55AD2275B2" xr6:coauthVersionLast="23" xr6:coauthVersionMax="23" xr10:uidLastSave="{7A47897E-445E-4443-86E9-54FA8F74F447}"/>
  <bookViews>
    <workbookView xWindow="0" yWindow="0" windowWidth="20490" windowHeight="7530" activeTab="7" xr2:uid="{00000000-000D-0000-FFFF-FFFF00000000}"/>
  </bookViews>
  <sheets>
    <sheet name="6.7" sheetId="10" r:id="rId1"/>
    <sheet name="6.12" sheetId="12" r:id="rId2"/>
    <sheet name="6.13" sheetId="13" r:id="rId3"/>
    <sheet name="6.18" sheetId="14" r:id="rId4"/>
    <sheet name="6.19" sheetId="5" r:id="rId5"/>
    <sheet name="6.25" sheetId="9" r:id="rId6"/>
    <sheet name="6.26" sheetId="16" r:id="rId7"/>
    <sheet name="6.27" sheetId="15" r:id="rId8"/>
  </sheets>
  <calcPr calcId="171027"/>
  <pivotCaches>
    <pivotCache cacheId="0" r:id="rId9"/>
    <pivotCache cacheId="1" r:id="rId10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9" l="1"/>
  <c r="P23" i="9"/>
  <c r="P11" i="9"/>
  <c r="L11" i="9"/>
  <c r="C1" i="16" l="1"/>
  <c r="B1" i="16"/>
  <c r="B10" i="14"/>
  <c r="F20" i="5"/>
  <c r="B8" i="13"/>
  <c r="B17" i="13"/>
  <c r="B4" i="13"/>
  <c r="B17" i="12"/>
  <c r="B16" i="12"/>
  <c r="B16" i="10"/>
  <c r="B5" i="10"/>
  <c r="B10" i="13"/>
  <c r="B18" i="13"/>
  <c r="B9" i="12"/>
  <c r="B6" i="15"/>
  <c r="B3" i="15" s="1"/>
  <c r="B5" i="15"/>
  <c r="B8" i="14"/>
  <c r="O21" i="9"/>
  <c r="O9" i="9"/>
  <c r="K21" i="9"/>
  <c r="K9" i="9"/>
  <c r="G18" i="5"/>
  <c r="F18" i="5"/>
  <c r="D4" i="14"/>
  <c r="D5" i="14"/>
  <c r="B7" i="14"/>
  <c r="D4" i="13"/>
  <c r="B7" i="13"/>
  <c r="D5" i="13"/>
  <c r="E2" i="10"/>
  <c r="D5" i="12"/>
  <c r="B4" i="12"/>
  <c r="D4" i="12"/>
  <c r="B8" i="12"/>
  <c r="B7" i="12"/>
  <c r="G16" i="5"/>
  <c r="G15" i="5"/>
  <c r="G14" i="5"/>
  <c r="F15" i="5"/>
  <c r="F14" i="5"/>
  <c r="B18" i="14"/>
  <c r="B17" i="14"/>
  <c r="G20" i="5"/>
  <c r="G22" i="5"/>
  <c r="G19" i="5"/>
  <c r="F19" i="5"/>
  <c r="B9" i="14"/>
  <c r="B11" i="14"/>
  <c r="B9" i="13"/>
  <c r="B12" i="13"/>
  <c r="B11" i="12"/>
  <c r="B8" i="10"/>
  <c r="G21" i="5"/>
  <c r="B12" i="14"/>
  <c r="B11" i="13"/>
  <c r="B10" i="12"/>
  <c r="K18" i="9"/>
  <c r="K5" i="9"/>
  <c r="O6" i="9"/>
  <c r="O19" i="9"/>
  <c r="K17" i="9"/>
  <c r="K6" i="9"/>
  <c r="O7" i="9"/>
  <c r="O5" i="9"/>
  <c r="K19" i="9"/>
  <c r="O18" i="9"/>
  <c r="K7" i="9"/>
  <c r="O17" i="9"/>
  <c r="F16" i="5"/>
  <c r="B8" i="15" l="1"/>
  <c r="B9" i="15"/>
  <c r="O26" i="9"/>
  <c r="O14" i="9"/>
  <c r="K26" i="9"/>
  <c r="K14" i="9"/>
  <c r="O23" i="9"/>
  <c r="O25" i="9" s="1"/>
  <c r="O22" i="9"/>
  <c r="P25" i="9" s="1"/>
  <c r="O11" i="9"/>
  <c r="O13" i="9" s="1"/>
  <c r="K10" i="9"/>
  <c r="L12" i="9" s="1"/>
  <c r="K23" i="9"/>
  <c r="K24" i="9" s="1"/>
  <c r="O10" i="9"/>
  <c r="P12" i="9" s="1"/>
  <c r="K11" i="9"/>
  <c r="K12" i="9" s="1"/>
  <c r="K22" i="9"/>
  <c r="L24" i="9" s="1"/>
  <c r="F21" i="5"/>
  <c r="F22" i="5"/>
  <c r="P24" i="9" l="1"/>
  <c r="O24" i="9"/>
  <c r="K25" i="9"/>
  <c r="O12" i="9"/>
  <c r="K13" i="9"/>
  <c r="P13" i="9"/>
  <c r="L13" i="9"/>
  <c r="L25" i="9"/>
</calcChain>
</file>

<file path=xl/sharedStrings.xml><?xml version="1.0" encoding="utf-8"?>
<sst xmlns="http://schemas.openxmlformats.org/spreadsheetml/2006/main" count="330" uniqueCount="126">
  <si>
    <t>N</t>
  </si>
  <si>
    <t>Y</t>
  </si>
  <si>
    <t>Princeton</t>
  </si>
  <si>
    <t xml:space="preserve"> Colleges and Universities</t>
  </si>
  <si>
    <t>School</t>
  </si>
  <si>
    <t>Type</t>
  </si>
  <si>
    <t>Median SAT</t>
  </si>
  <si>
    <t>Amherst</t>
  </si>
  <si>
    <t>Lib Arts</t>
  </si>
  <si>
    <t>Barnard</t>
  </si>
  <si>
    <t>Bates</t>
  </si>
  <si>
    <t>Bowdoin</t>
  </si>
  <si>
    <t>Bryn Mawr</t>
  </si>
  <si>
    <t>Carleton</t>
  </si>
  <si>
    <t>Claremont McKenna</t>
  </si>
  <si>
    <t>Colby</t>
  </si>
  <si>
    <t>Colgate</t>
  </si>
  <si>
    <t>Davisdson</t>
  </si>
  <si>
    <t>Grinnell</t>
  </si>
  <si>
    <t>Hamilton</t>
  </si>
  <si>
    <t>Haverford</t>
  </si>
  <si>
    <t>Middlebury</t>
  </si>
  <si>
    <t>Mount Holyoke</t>
  </si>
  <si>
    <t>Oberlin</t>
  </si>
  <si>
    <t>Occidental</t>
  </si>
  <si>
    <t>Pomona</t>
  </si>
  <si>
    <t>Smith</t>
  </si>
  <si>
    <t>Swarthnore</t>
  </si>
  <si>
    <t>Vassar</t>
  </si>
  <si>
    <t>Washinton and Lee</t>
  </si>
  <si>
    <t>Wellesley</t>
  </si>
  <si>
    <t>Wesleyan (CT)</t>
  </si>
  <si>
    <t>Williams</t>
  </si>
  <si>
    <t>Berkeley</t>
  </si>
  <si>
    <t>University</t>
  </si>
  <si>
    <t>Brown</t>
  </si>
  <si>
    <t>Cal Tech</t>
  </si>
  <si>
    <t>Carnegie Mellon</t>
  </si>
  <si>
    <t>Columbia</t>
  </si>
  <si>
    <t>Cornell</t>
  </si>
  <si>
    <t>Duke</t>
  </si>
  <si>
    <t>Georgetown</t>
  </si>
  <si>
    <t>Harvard</t>
  </si>
  <si>
    <t>Johns Hopkins</t>
  </si>
  <si>
    <t>MIT</t>
  </si>
  <si>
    <t>Northwestern</t>
  </si>
  <si>
    <t>Rice</t>
  </si>
  <si>
    <t>Stanford</t>
  </si>
  <si>
    <t>U Michigan</t>
  </si>
  <si>
    <t>U of Chicago</t>
  </si>
  <si>
    <t>U of Rochester</t>
  </si>
  <si>
    <t>U Pennsylvania</t>
  </si>
  <si>
    <t>U Va</t>
  </si>
  <si>
    <t>UCLA</t>
  </si>
  <si>
    <t>UNC</t>
  </si>
  <si>
    <t>Washington U (MO)</t>
  </si>
  <si>
    <t>Yale</t>
  </si>
  <si>
    <t>Credit Approval Decisions</t>
  </si>
  <si>
    <t>Homeowner</t>
  </si>
  <si>
    <t>Credit Score</t>
  </si>
  <si>
    <t>Revolving Balance</t>
  </si>
  <si>
    <t>Mean</t>
  </si>
  <si>
    <t>Standard Deviation</t>
  </si>
  <si>
    <t>Sample Size</t>
  </si>
  <si>
    <t xml:space="preserve">Probability </t>
  </si>
  <si>
    <t>p (x &lt; 1995)</t>
  </si>
  <si>
    <t>p ( z &gt; )</t>
  </si>
  <si>
    <t>Confidence Interval for a Proportion</t>
  </si>
  <si>
    <t>Alpha</t>
  </si>
  <si>
    <t>Sample proportion</t>
  </si>
  <si>
    <t>Sample size</t>
  </si>
  <si>
    <t>Confidence Interval</t>
  </si>
  <si>
    <t>z-value</t>
  </si>
  <si>
    <t>Standard error</t>
  </si>
  <si>
    <t>Lower</t>
  </si>
  <si>
    <t>Upper</t>
  </si>
  <si>
    <t>p =</t>
  </si>
  <si>
    <t>would vote for candidate</t>
  </si>
  <si>
    <t>woud not vote for candidate</t>
  </si>
  <si>
    <t>Sample Standard Deviation</t>
  </si>
  <si>
    <t>Point of interest (x)</t>
  </si>
  <si>
    <t>1 - p =</t>
  </si>
  <si>
    <t>The company cannot reasonably conclude that they have a 20% market share.</t>
  </si>
  <si>
    <t>The company reasonably conclude that they have a 18% market share.</t>
  </si>
  <si>
    <t>Row Labels</t>
  </si>
  <si>
    <t>Grand Total</t>
  </si>
  <si>
    <t>StdDev of Median SAT</t>
  </si>
  <si>
    <t>Average of Median SAT2</t>
  </si>
  <si>
    <t>Confidence Interval for Population Mean, Standard Deviation Unknown</t>
  </si>
  <si>
    <t>Sample standard deviation</t>
  </si>
  <si>
    <t>Sample average</t>
  </si>
  <si>
    <t>t-value</t>
  </si>
  <si>
    <t>Error</t>
  </si>
  <si>
    <t>Count of Type</t>
  </si>
  <si>
    <t>Count of Homeowner</t>
  </si>
  <si>
    <t>StdDev of Credit Score2</t>
  </si>
  <si>
    <t>Average of Credit Score</t>
  </si>
  <si>
    <t>Average of Revolving Balance2</t>
  </si>
  <si>
    <t>StdDev of Revolving Balance</t>
  </si>
  <si>
    <t>milliliter</t>
  </si>
  <si>
    <t>Check</t>
  </si>
  <si>
    <t>The mean of 2002.307 will cause overfill 10% of the time for a sample of 100 bottles.</t>
  </si>
  <si>
    <t xml:space="preserve">The 95% confidence interval for the proportion of voters that would vote for the candidate is [0.505, 0.572]. </t>
  </si>
  <si>
    <t>This suggests that the population proportion of voters who would vote for the candidate is highly likely to exceed 50%, so it is safe to predict the winner.</t>
  </si>
  <si>
    <t xml:space="preserve">The 99% confidence interval for the proportion of voters that would vote for the candidate is [0.536,0.713]. </t>
  </si>
  <si>
    <t>The 95% confidence interval for the proportion is 0.16 +/- 0.016   or [0.128, 0.192]</t>
  </si>
  <si>
    <t>The 95% confidence interval for population mean for Median SAT for liberal arts colleges is 1256.65 +/- 18.03   or [1236.81, 1302.85]</t>
  </si>
  <si>
    <t>The 95% confidence interval for population mean for Median SAT for research universities  is 1269.83 +/- 33.02   or [1236.81, 1302.85]</t>
  </si>
  <si>
    <t>The confidence interval for research university is wider than the confidence interval for liberal arts.</t>
  </si>
  <si>
    <t>The 95% confidence interval for mean credit score for the population of applicants that own a home is 659.48 +/- 35.50   or [623.97, 694.99]</t>
  </si>
  <si>
    <t>The 95% confidence interval for mean credit score for the population of applicants that do not own a home is 643.82 +/- 39.61   or [604.21, 683.44]</t>
  </si>
  <si>
    <t>The 95% confidence interval for mean revolving balance for the population of applicants that own a home is $14,967.41 +/- 3741.52  or [11225.89, 18708.93]</t>
  </si>
  <si>
    <t>The 95% confidence interval for mean revolving balance for the population of applicants that do not own a home is $12,732.61 +/- 3675.67  or [9056.94, 16408.28]</t>
  </si>
  <si>
    <t>n</t>
  </si>
  <si>
    <t>sampling error</t>
  </si>
  <si>
    <t>std dev</t>
  </si>
  <si>
    <t>The probability that the mean is less than 1995 milliliters is 0.002737 for a sample of 100 bottles.</t>
  </si>
  <si>
    <t>This suggests that the population proportion of voters who would vote for the candidate is highly likely to exceed 50%, so it is safe to predict his as the winner.</t>
  </si>
  <si>
    <r>
      <t xml:space="preserve">Average </t>
    </r>
    <r>
      <rPr>
        <sz val="11"/>
        <color rgb="FFFF0000"/>
        <rFont val="Calibri"/>
        <family val="2"/>
        <scheme val="minor"/>
      </rPr>
      <t>Credit Score</t>
    </r>
    <r>
      <rPr>
        <sz val="11"/>
        <color theme="1"/>
        <rFont val="Calibri"/>
        <family val="2"/>
        <scheme val="minor"/>
      </rPr>
      <t xml:space="preserve"> Interval for </t>
    </r>
    <r>
      <rPr>
        <sz val="11"/>
        <color theme="9"/>
        <rFont val="Calibri"/>
        <family val="2"/>
        <scheme val="minor"/>
      </rPr>
      <t>homeowner</t>
    </r>
  </si>
  <si>
    <r>
      <t xml:space="preserve">Average </t>
    </r>
    <r>
      <rPr>
        <sz val="11"/>
        <color rgb="FFFF0000"/>
        <rFont val="Calibri"/>
        <family val="2"/>
        <scheme val="minor"/>
      </rPr>
      <t>Credit Score</t>
    </r>
    <r>
      <rPr>
        <sz val="11"/>
        <color theme="1"/>
        <rFont val="Calibri"/>
        <family val="2"/>
        <scheme val="minor"/>
      </rPr>
      <t xml:space="preserve"> Interval for </t>
    </r>
    <r>
      <rPr>
        <sz val="11"/>
        <color theme="8"/>
        <rFont val="Calibri"/>
        <family val="2"/>
        <scheme val="minor"/>
      </rPr>
      <t>non-homeowner</t>
    </r>
  </si>
  <si>
    <r>
      <t xml:space="preserve">Average </t>
    </r>
    <r>
      <rPr>
        <sz val="11"/>
        <color rgb="FF7030A0"/>
        <rFont val="Calibri"/>
        <family val="2"/>
        <scheme val="minor"/>
      </rPr>
      <t>Revolving Balance</t>
    </r>
    <r>
      <rPr>
        <sz val="11"/>
        <color theme="1"/>
        <rFont val="Calibri"/>
        <family val="2"/>
        <scheme val="minor"/>
      </rPr>
      <t xml:space="preserve"> Interval for </t>
    </r>
    <r>
      <rPr>
        <sz val="11"/>
        <color theme="9"/>
        <rFont val="Calibri"/>
        <family val="2"/>
        <scheme val="minor"/>
      </rPr>
      <t>homeowner</t>
    </r>
  </si>
  <si>
    <r>
      <t xml:space="preserve">Average </t>
    </r>
    <r>
      <rPr>
        <sz val="11"/>
        <color rgb="FF7030A0"/>
        <rFont val="Calibri"/>
        <family val="2"/>
        <scheme val="minor"/>
      </rPr>
      <t>Revolving Balance</t>
    </r>
    <r>
      <rPr>
        <sz val="11"/>
        <color theme="1"/>
        <rFont val="Calibri"/>
        <family val="2"/>
        <scheme val="minor"/>
      </rPr>
      <t xml:space="preserve"> Interval for </t>
    </r>
    <r>
      <rPr>
        <sz val="11"/>
        <color theme="8"/>
        <rFont val="Calibri"/>
        <family val="2"/>
        <scheme val="minor"/>
      </rPr>
      <t>non-homeowner</t>
    </r>
  </si>
  <si>
    <t>Prediction Interval</t>
  </si>
  <si>
    <t>Formula Check</t>
  </si>
  <si>
    <t>Sample size = 2401</t>
  </si>
  <si>
    <t>Sample Size = 55320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</si>
</sst>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"/>
    <numFmt numFmtId="166" formatCode="0.000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5" fillId="2" borderId="1" xfId="0" applyFont="1" applyFill="1" applyBorder="1"/>
    <xf numFmtId="0" fontId="6" fillId="2" borderId="0" xfId="0" applyFont="1" applyFill="1" applyBorder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164" fontId="6" fillId="2" borderId="0" xfId="11" applyNumberFormat="1" applyFont="1" applyFill="1" applyAlignment="1">
      <alignment horizontal="center"/>
    </xf>
    <xf numFmtId="0" fontId="8" fillId="0" borderId="0" xfId="0" applyFont="1"/>
    <xf numFmtId="0" fontId="4" fillId="0" borderId="0" xfId="0" applyFont="1"/>
    <xf numFmtId="0" fontId="8" fillId="3" borderId="2" xfId="0" applyFont="1" applyFill="1" applyBorder="1"/>
    <xf numFmtId="9" fontId="4" fillId="3" borderId="3" xfId="12" applyFont="1" applyFill="1" applyBorder="1"/>
    <xf numFmtId="0" fontId="8" fillId="3" borderId="4" xfId="0" applyFont="1" applyFill="1" applyBorder="1" applyAlignment="1">
      <alignment horizontal="right"/>
    </xf>
    <xf numFmtId="2" fontId="4" fillId="3" borderId="5" xfId="12" applyNumberFormat="1" applyFont="1" applyFill="1" applyBorder="1"/>
    <xf numFmtId="0" fontId="4" fillId="3" borderId="5" xfId="0" applyFont="1" applyFill="1" applyBorder="1"/>
    <xf numFmtId="0" fontId="8" fillId="3" borderId="6" xfId="0" applyFont="1" applyFill="1" applyBorder="1" applyAlignment="1">
      <alignment horizontal="right"/>
    </xf>
    <xf numFmtId="0" fontId="4" fillId="3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4" fillId="3" borderId="5" xfId="12" applyNumberFormat="1" applyFont="1" applyFill="1" applyBorder="1"/>
    <xf numFmtId="0" fontId="0" fillId="4" borderId="0" xfId="0" applyFill="1"/>
    <xf numFmtId="166" fontId="4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left" vertical="top" wrapText="1"/>
    </xf>
    <xf numFmtId="0" fontId="0" fillId="5" borderId="0" xfId="0" applyFill="1"/>
    <xf numFmtId="0" fontId="10" fillId="6" borderId="0" xfId="0" applyFon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2" fontId="4" fillId="0" borderId="0" xfId="0" applyNumberFormat="1" applyFont="1"/>
    <xf numFmtId="2" fontId="0" fillId="8" borderId="0" xfId="0" applyNumberFormat="1" applyFill="1"/>
    <xf numFmtId="2" fontId="0" fillId="7" borderId="0" xfId="0" applyNumberFormat="1" applyFill="1"/>
    <xf numFmtId="0" fontId="0" fillId="9" borderId="4" xfId="0" applyFill="1" applyBorder="1"/>
    <xf numFmtId="9" fontId="4" fillId="9" borderId="0" xfId="12" applyFont="1" applyFill="1" applyBorder="1"/>
    <xf numFmtId="0" fontId="0" fillId="9" borderId="5" xfId="0" applyFill="1" applyBorder="1"/>
    <xf numFmtId="0" fontId="8" fillId="9" borderId="4" xfId="0" applyFont="1" applyFill="1" applyBorder="1" applyAlignment="1">
      <alignment horizontal="right"/>
    </xf>
    <xf numFmtId="165" fontId="4" fillId="9" borderId="0" xfId="12" applyNumberFormat="1" applyFont="1" applyFill="1" applyBorder="1"/>
    <xf numFmtId="165" fontId="4" fillId="9" borderId="5" xfId="12" applyNumberFormat="1" applyFont="1" applyFill="1" applyBorder="1"/>
    <xf numFmtId="0" fontId="8" fillId="9" borderId="6" xfId="0" applyFont="1" applyFill="1" applyBorder="1" applyAlignment="1">
      <alignment horizontal="right"/>
    </xf>
    <xf numFmtId="0" fontId="4" fillId="9" borderId="2" xfId="0" applyFont="1" applyFill="1" applyBorder="1" applyAlignment="1">
      <alignment vertical="top"/>
    </xf>
    <xf numFmtId="0" fontId="8" fillId="9" borderId="8" xfId="0" applyFont="1" applyFill="1" applyBorder="1" applyAlignment="1">
      <alignment vertical="top"/>
    </xf>
    <xf numFmtId="9" fontId="8" fillId="9" borderId="3" xfId="12" applyFont="1" applyFill="1" applyBorder="1" applyAlignment="1">
      <alignment vertical="top"/>
    </xf>
    <xf numFmtId="167" fontId="0" fillId="0" borderId="0" xfId="0" applyNumberFormat="1"/>
    <xf numFmtId="165" fontId="0" fillId="0" borderId="0" xfId="0" applyNumberFormat="1"/>
    <xf numFmtId="2" fontId="0" fillId="9" borderId="0" xfId="0" applyNumberFormat="1" applyFill="1"/>
    <xf numFmtId="0" fontId="0" fillId="9" borderId="0" xfId="0" applyFill="1"/>
    <xf numFmtId="0" fontId="8" fillId="9" borderId="0" xfId="0" applyFont="1" applyFill="1" applyBorder="1" applyAlignment="1">
      <alignment horizontal="right"/>
    </xf>
    <xf numFmtId="0" fontId="8" fillId="9" borderId="8" xfId="0" applyFont="1" applyFill="1" applyBorder="1" applyAlignment="1">
      <alignment horizontal="right"/>
    </xf>
    <xf numFmtId="167" fontId="4" fillId="9" borderId="0" xfId="0" applyNumberFormat="1" applyFont="1" applyFill="1" applyBorder="1"/>
    <xf numFmtId="167" fontId="4" fillId="9" borderId="9" xfId="0" applyNumberFormat="1" applyFont="1" applyFill="1" applyBorder="1"/>
    <xf numFmtId="167" fontId="4" fillId="9" borderId="5" xfId="0" applyNumberFormat="1" applyFont="1" applyFill="1" applyBorder="1"/>
    <xf numFmtId="167" fontId="4" fillId="9" borderId="7" xfId="0" applyNumberFormat="1" applyFont="1" applyFill="1" applyBorder="1"/>
    <xf numFmtId="0" fontId="4" fillId="9" borderId="0" xfId="0" applyFont="1" applyFill="1"/>
  </cellXfs>
  <cellStyles count="13">
    <cellStyle name="Comma 2" xfId="4" xr:uid="{00000000-0005-0000-0000-000000000000}"/>
    <cellStyle name="Comma 3" xfId="6" xr:uid="{00000000-0005-0000-0000-000001000000}"/>
    <cellStyle name="Currency" xfId="11" builtinId="4"/>
    <cellStyle name="Currency 2" xfId="3" xr:uid="{00000000-0005-0000-0000-000003000000}"/>
    <cellStyle name="Currency 2 2" xfId="10" xr:uid="{00000000-0005-0000-0000-000004000000}"/>
    <cellStyle name="Currency 3" xfId="7" xr:uid="{00000000-0005-0000-0000-000005000000}"/>
    <cellStyle name="Normal" xfId="0" builtinId="0"/>
    <cellStyle name="Normal 2" xfId="2" xr:uid="{00000000-0005-0000-0000-000007000000}"/>
    <cellStyle name="Normal 2 2" xfId="9" xr:uid="{00000000-0005-0000-0000-000008000000}"/>
    <cellStyle name="Normal 3" xfId="1" xr:uid="{00000000-0005-0000-0000-000009000000}"/>
    <cellStyle name="Percent" xfId="12" builtinId="5"/>
    <cellStyle name="Percent 2" xfId="5" xr:uid="{00000000-0005-0000-0000-00000A000000}"/>
    <cellStyle name="Percent 3" xfId="8" xr:uid="{00000000-0005-0000-0000-00000B000000}"/>
  </cellStyles>
  <dxfs count="12"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7" formatCode="0.0000"/>
    </dxf>
    <dxf>
      <numFmt numFmtId="169" formatCode="0.00000"/>
    </dxf>
    <dxf>
      <numFmt numFmtId="166" formatCode="0.000000"/>
    </dxf>
    <dxf>
      <numFmt numFmtId="170" formatCode="0.0000000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rie Blanco" refreshedDate="43017.601173958334" createdVersion="6" refreshedVersion="6" minRefreshableVersion="3" recordCount="49" xr:uid="{BDEDF1F4-4A27-4DDB-83A7-FF5BEFD90106}">
  <cacheSource type="worksheet">
    <worksheetSource ref="A3:C52" sheet="6.19"/>
  </cacheSource>
  <cacheFields count="3">
    <cacheField name="School" numFmtId="0">
      <sharedItems/>
    </cacheField>
    <cacheField name="Type" numFmtId="0">
      <sharedItems count="2">
        <s v="Lib Arts"/>
        <s v="University"/>
      </sharedItems>
    </cacheField>
    <cacheField name="Median SAT" numFmtId="0">
      <sharedItems containsSemiMixedTypes="0" containsString="0" containsNumber="1" containsInteger="1" minValue="1109" maxValue="1400" count="38">
        <n v="1315"/>
        <n v="1220"/>
        <n v="1240"/>
        <n v="1300"/>
        <n v="1255"/>
        <n v="1260"/>
        <n v="1200"/>
        <n v="1258"/>
        <n v="1230"/>
        <n v="1244"/>
        <n v="1215"/>
        <n v="1285"/>
        <n v="1247"/>
        <n v="1170"/>
        <n v="1320"/>
        <n v="1195"/>
        <n v="1310"/>
        <n v="1287"/>
        <n v="1234"/>
        <n v="1250"/>
        <n v="1290"/>
        <n v="1336"/>
        <n v="1176"/>
        <n v="1281"/>
        <n v="1400"/>
        <n v="1225"/>
        <n v="1268"/>
        <n v="1280"/>
        <n v="1278"/>
        <n v="1370"/>
        <n v="1357"/>
        <n v="1340"/>
        <n v="1327"/>
        <n v="1155"/>
        <n v="1218"/>
        <n v="1142"/>
        <n v="1109"/>
        <n v="13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rie Blanco" refreshedDate="43017.62862372685" createdVersion="6" refreshedVersion="6" minRefreshableVersion="3" recordCount="50" xr:uid="{AEBB5253-72C4-49D5-A80A-AD39791B8F1B}">
  <cacheSource type="worksheet">
    <worksheetSource ref="A3:C53" sheet="6.25"/>
  </cacheSource>
  <cacheFields count="3">
    <cacheField name="Homeowner" numFmtId="0">
      <sharedItems count="2">
        <s v="N"/>
        <s v="Y"/>
      </sharedItems>
    </cacheField>
    <cacheField name="Credit Score" numFmtId="0">
      <sharedItems containsSemiMixedTypes="0" containsString="0" containsNumber="1" containsInteger="1" minValue="485" maxValue="811"/>
    </cacheField>
    <cacheField name="Revolving Balance" numFmtId="164">
      <sharedItems containsSemiMixedTypes="0" containsString="0" containsNumber="1" containsInteger="1" minValue="1000" maxValue="37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mherst"/>
    <x v="0"/>
    <x v="0"/>
  </r>
  <r>
    <s v="Barnard"/>
    <x v="0"/>
    <x v="1"/>
  </r>
  <r>
    <s v="Bates"/>
    <x v="0"/>
    <x v="2"/>
  </r>
  <r>
    <s v="Bowdoin"/>
    <x v="0"/>
    <x v="3"/>
  </r>
  <r>
    <s v="Bryn Mawr"/>
    <x v="0"/>
    <x v="4"/>
  </r>
  <r>
    <s v="Carleton"/>
    <x v="0"/>
    <x v="3"/>
  </r>
  <r>
    <s v="Claremont McKenna"/>
    <x v="0"/>
    <x v="5"/>
  </r>
  <r>
    <s v="Colby"/>
    <x v="0"/>
    <x v="6"/>
  </r>
  <r>
    <s v="Colgate"/>
    <x v="0"/>
    <x v="7"/>
  </r>
  <r>
    <s v="Davisdson"/>
    <x v="0"/>
    <x v="8"/>
  </r>
  <r>
    <s v="Grinnell"/>
    <x v="0"/>
    <x v="9"/>
  </r>
  <r>
    <s v="Hamilton"/>
    <x v="0"/>
    <x v="10"/>
  </r>
  <r>
    <s v="Haverford"/>
    <x v="0"/>
    <x v="11"/>
  </r>
  <r>
    <s v="Middlebury"/>
    <x v="0"/>
    <x v="4"/>
  </r>
  <r>
    <s v="Mount Holyoke"/>
    <x v="0"/>
    <x v="6"/>
  </r>
  <r>
    <s v="Oberlin"/>
    <x v="0"/>
    <x v="12"/>
  </r>
  <r>
    <s v="Occidental"/>
    <x v="0"/>
    <x v="13"/>
  </r>
  <r>
    <s v="Pomona"/>
    <x v="0"/>
    <x v="14"/>
  </r>
  <r>
    <s v="Smith"/>
    <x v="0"/>
    <x v="15"/>
  </r>
  <r>
    <s v="Swarthnore"/>
    <x v="0"/>
    <x v="16"/>
  </r>
  <r>
    <s v="Vassar"/>
    <x v="0"/>
    <x v="17"/>
  </r>
  <r>
    <s v="Washinton and Lee"/>
    <x v="0"/>
    <x v="18"/>
  </r>
  <r>
    <s v="Wellesley"/>
    <x v="0"/>
    <x v="19"/>
  </r>
  <r>
    <s v="Wesleyan (CT)"/>
    <x v="0"/>
    <x v="20"/>
  </r>
  <r>
    <s v="Williams"/>
    <x v="0"/>
    <x v="21"/>
  </r>
  <r>
    <s v="Berkeley"/>
    <x v="1"/>
    <x v="22"/>
  </r>
  <r>
    <s v="Brown"/>
    <x v="1"/>
    <x v="23"/>
  </r>
  <r>
    <s v="Cal Tech"/>
    <x v="1"/>
    <x v="24"/>
  </r>
  <r>
    <s v="Carnegie Mellon"/>
    <x v="1"/>
    <x v="25"/>
  </r>
  <r>
    <s v="Columbia"/>
    <x v="1"/>
    <x v="26"/>
  </r>
  <r>
    <s v="Cornell"/>
    <x v="1"/>
    <x v="27"/>
  </r>
  <r>
    <s v="Duke"/>
    <x v="1"/>
    <x v="16"/>
  </r>
  <r>
    <s v="Georgetown"/>
    <x v="1"/>
    <x v="28"/>
  </r>
  <r>
    <s v="Harvard"/>
    <x v="1"/>
    <x v="29"/>
  </r>
  <r>
    <s v="Johns Hopkins"/>
    <x v="1"/>
    <x v="20"/>
  </r>
  <r>
    <s v="MIT"/>
    <x v="1"/>
    <x v="30"/>
  </r>
  <r>
    <s v="Northwestern"/>
    <x v="1"/>
    <x v="8"/>
  </r>
  <r>
    <s v="Princeton"/>
    <x v="1"/>
    <x v="31"/>
  </r>
  <r>
    <s v="Rice"/>
    <x v="1"/>
    <x v="32"/>
  </r>
  <r>
    <s v="Stanford"/>
    <x v="1"/>
    <x v="29"/>
  </r>
  <r>
    <s v="U Michigan"/>
    <x v="1"/>
    <x v="15"/>
  </r>
  <r>
    <s v="U of Chicago"/>
    <x v="1"/>
    <x v="3"/>
  </r>
  <r>
    <s v="U of Rochester"/>
    <x v="1"/>
    <x v="33"/>
  </r>
  <r>
    <s v="U Pennsylvania"/>
    <x v="1"/>
    <x v="27"/>
  </r>
  <r>
    <s v="U Va"/>
    <x v="1"/>
    <x v="34"/>
  </r>
  <r>
    <s v="UCLA"/>
    <x v="1"/>
    <x v="35"/>
  </r>
  <r>
    <s v="UNC"/>
    <x v="1"/>
    <x v="36"/>
  </r>
  <r>
    <s v="Washington U (MO)"/>
    <x v="1"/>
    <x v="25"/>
  </r>
  <r>
    <s v="Yale"/>
    <x v="1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20"/>
    <n v="22800"/>
  </r>
  <r>
    <x v="0"/>
    <n v="591"/>
    <n v="16500"/>
  </r>
  <r>
    <x v="0"/>
    <n v="660"/>
    <n v="9200"/>
  </r>
  <r>
    <x v="0"/>
    <n v="763"/>
    <n v="11200"/>
  </r>
  <r>
    <x v="0"/>
    <n v="695"/>
    <n v="20300"/>
  </r>
  <r>
    <x v="0"/>
    <n v="701"/>
    <n v="11700"/>
  </r>
  <r>
    <x v="0"/>
    <n v="507"/>
    <n v="2000"/>
  </r>
  <r>
    <x v="0"/>
    <n v="677"/>
    <n v="7600"/>
  </r>
  <r>
    <x v="0"/>
    <n v="485"/>
    <n v="1000"/>
  </r>
  <r>
    <x v="0"/>
    <n v="582"/>
    <n v="8500"/>
  </r>
  <r>
    <x v="0"/>
    <n v="703"/>
    <n v="10000"/>
  </r>
  <r>
    <x v="0"/>
    <n v="585"/>
    <n v="31000"/>
  </r>
  <r>
    <x v="0"/>
    <n v="620"/>
    <n v="16200"/>
  </r>
  <r>
    <x v="0"/>
    <n v="774"/>
    <n v="6100"/>
  </r>
  <r>
    <x v="0"/>
    <n v="802"/>
    <n v="10500"/>
  </r>
  <r>
    <x v="0"/>
    <n v="536"/>
    <n v="27000"/>
  </r>
  <r>
    <x v="0"/>
    <n v="760"/>
    <n v="11200"/>
  </r>
  <r>
    <x v="0"/>
    <n v="567"/>
    <n v="2200"/>
  </r>
  <r>
    <x v="0"/>
    <n v="600"/>
    <n v="12050"/>
  </r>
  <r>
    <x v="0"/>
    <n v="702"/>
    <n v="11700"/>
  </r>
  <r>
    <x v="0"/>
    <n v="636"/>
    <n v="29100"/>
  </r>
  <r>
    <x v="0"/>
    <n v="509"/>
    <n v="2000"/>
  </r>
  <r>
    <x v="0"/>
    <n v="733"/>
    <n v="13000"/>
  </r>
  <r>
    <x v="1"/>
    <n v="725"/>
    <n v="11320"/>
  </r>
  <r>
    <x v="1"/>
    <n v="573"/>
    <n v="7200"/>
  </r>
  <r>
    <x v="1"/>
    <n v="677"/>
    <n v="20000"/>
  </r>
  <r>
    <x v="1"/>
    <n v="625"/>
    <n v="12800"/>
  </r>
  <r>
    <x v="1"/>
    <n v="527"/>
    <n v="5700"/>
  </r>
  <r>
    <x v="1"/>
    <n v="795"/>
    <n v="9000"/>
  </r>
  <r>
    <x v="1"/>
    <n v="733"/>
    <n v="35200"/>
  </r>
  <r>
    <x v="1"/>
    <n v="700"/>
    <n v="22000"/>
  </r>
  <r>
    <x v="1"/>
    <n v="500"/>
    <n v="12500"/>
  </r>
  <r>
    <x v="1"/>
    <n v="565"/>
    <n v="7700"/>
  </r>
  <r>
    <x v="1"/>
    <n v="620"/>
    <n v="37400"/>
  </r>
  <r>
    <x v="1"/>
    <n v="774"/>
    <n v="6100"/>
  </r>
  <r>
    <x v="1"/>
    <n v="802"/>
    <n v="10500"/>
  </r>
  <r>
    <x v="1"/>
    <n v="640"/>
    <n v="17300"/>
  </r>
  <r>
    <x v="1"/>
    <n v="523"/>
    <n v="27000"/>
  </r>
  <r>
    <x v="1"/>
    <n v="811"/>
    <n v="13400"/>
  </r>
  <r>
    <x v="1"/>
    <n v="555"/>
    <n v="2500"/>
  </r>
  <r>
    <x v="1"/>
    <n v="617"/>
    <n v="8400"/>
  </r>
  <r>
    <x v="1"/>
    <n v="642"/>
    <n v="16000"/>
  </r>
  <r>
    <x v="1"/>
    <n v="688"/>
    <n v="3300"/>
  </r>
  <r>
    <x v="1"/>
    <n v="649"/>
    <n v="7500"/>
  </r>
  <r>
    <x v="1"/>
    <n v="635"/>
    <n v="29100"/>
  </r>
  <r>
    <x v="1"/>
    <n v="699"/>
    <n v="12800"/>
  </r>
  <r>
    <x v="1"/>
    <n v="695"/>
    <n v="9700"/>
  </r>
  <r>
    <x v="1"/>
    <n v="640"/>
    <n v="17300"/>
  </r>
  <r>
    <x v="1"/>
    <n v="801"/>
    <n v="13400"/>
  </r>
  <r>
    <x v="1"/>
    <n v="595"/>
    <n v="2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E8C3C-7391-4A4D-ABCC-2B5B86E5981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H6" firstHeaderRow="0" firstDataRow="1" firstDataCol="1"/>
  <pivotFields count="3">
    <pivotField subtotalTop="0" showAll="0"/>
    <pivotField axis="axisRow" dataField="1" subtotalTop="0" showAll="0">
      <items count="3">
        <item x="0"/>
        <item x="1"/>
        <item t="default"/>
      </items>
    </pivotField>
    <pivotField dataField="1" subtotalTop="0" showAll="0">
      <items count="39">
        <item x="36"/>
        <item x="35"/>
        <item x="33"/>
        <item x="13"/>
        <item x="22"/>
        <item x="15"/>
        <item x="6"/>
        <item x="10"/>
        <item x="34"/>
        <item x="1"/>
        <item x="25"/>
        <item x="8"/>
        <item x="18"/>
        <item x="2"/>
        <item x="9"/>
        <item x="12"/>
        <item x="19"/>
        <item x="4"/>
        <item x="7"/>
        <item x="5"/>
        <item x="26"/>
        <item x="28"/>
        <item x="27"/>
        <item x="23"/>
        <item x="11"/>
        <item x="17"/>
        <item x="20"/>
        <item x="3"/>
        <item x="16"/>
        <item x="0"/>
        <item x="14"/>
        <item x="32"/>
        <item x="21"/>
        <item x="31"/>
        <item x="37"/>
        <item x="30"/>
        <item x="29"/>
        <item x="2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dDev of Median SAT" fld="2" subtotal="stdDev" baseField="1" baseItem="0"/>
    <dataField name="Average of Median SAT2" fld="2" subtotal="average" baseField="1" baseItem="0"/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3A0F0-66D7-44E1-9776-5EFA217C12AF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omeowner">
  <location ref="E4:H7" firstHeaderRow="0" firstDataRow="1" firstDataCol="1"/>
  <pivotFields count="3">
    <pivotField axis="axisRow" dataField="1" subtotalTop="0" showAll="0">
      <items count="3">
        <item x="0"/>
        <item x="1"/>
        <item t="default"/>
      </items>
    </pivotField>
    <pivotField dataField="1" subtotalTop="0" showAll="0"/>
    <pivotField numFmtId="164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redit Score" fld="1" subtotal="average" baseField="0" baseItem="0"/>
    <dataField name="StdDev of Credit Score2" fld="1" subtotal="stdDev" baseField="0" baseItem="0"/>
    <dataField name="Count of Homeowner" fld="0" subtotal="count" baseField="0" baseItem="0"/>
  </dataFields>
  <formats count="8">
    <format dxfId="11">
      <pivotArea dataOnly="0" fieldPosition="0">
        <references count="1">
          <reference field="0" count="1">
            <x v="1"/>
          </reference>
        </references>
      </pivotArea>
    </format>
    <format dxfId="8">
      <pivotArea dataOnly="0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E52D1-B689-486A-82E7-DA85A4C5BEB2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omeowner">
  <location ref="E10:H13" firstHeaderRow="0" firstDataRow="1" firstDataCol="1"/>
  <pivotFields count="3">
    <pivotField axis="axisRow" dataField="1" subtotalTop="0" showAll="0">
      <items count="3">
        <item x="0"/>
        <item x="1"/>
        <item t="default"/>
      </items>
    </pivotField>
    <pivotField subtotalTop="0" showAll="0"/>
    <pivotField dataField="1" numFmtId="164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volving Balance2" fld="2" subtotal="average" baseField="0" baseItem="0"/>
    <dataField name="StdDev of Revolving Balance" fld="2" subtotal="stdDev" baseField="0" baseItem="0"/>
    <dataField name="Count of Homeowner" fld="0" subtotal="count" baseField="0" baseItem="0"/>
  </dataFields>
  <formats count="4">
    <format dxfId="10">
      <pivotArea dataOnly="0" fieldPosition="0">
        <references count="1">
          <reference field="0" count="1">
            <x v="1"/>
          </reference>
        </references>
      </pivotArea>
    </format>
    <format dxfId="9">
      <pivotArea dataOnly="0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F2DB-A2AB-4FEB-BDA1-FDFE0C533BB4}">
  <dimension ref="A1:E16"/>
  <sheetViews>
    <sheetView workbookViewId="0">
      <selection activeCell="B9" sqref="B9"/>
    </sheetView>
  </sheetViews>
  <sheetFormatPr defaultRowHeight="15" x14ac:dyDescent="0.25"/>
  <cols>
    <col min="1" max="1" width="18.140625" bestFit="1" customWidth="1"/>
    <col min="3" max="4" width="25.28515625" bestFit="1" customWidth="1"/>
  </cols>
  <sheetData>
    <row r="1" spans="1:5" x14ac:dyDescent="0.25">
      <c r="A1" t="s">
        <v>61</v>
      </c>
      <c r="B1">
        <v>2000</v>
      </c>
      <c r="C1" t="s">
        <v>99</v>
      </c>
    </row>
    <row r="2" spans="1:5" x14ac:dyDescent="0.25">
      <c r="A2" t="s">
        <v>62</v>
      </c>
      <c r="B2">
        <v>18</v>
      </c>
      <c r="C2" t="s">
        <v>99</v>
      </c>
      <c r="D2" t="s">
        <v>79</v>
      </c>
      <c r="E2">
        <f>B2/SQRT(B3)</f>
        <v>1.8</v>
      </c>
    </row>
    <row r="3" spans="1:5" x14ac:dyDescent="0.25">
      <c r="A3" t="s">
        <v>63</v>
      </c>
      <c r="B3">
        <v>100</v>
      </c>
    </row>
    <row r="4" spans="1:5" x14ac:dyDescent="0.25">
      <c r="A4" t="s">
        <v>80</v>
      </c>
      <c r="B4">
        <v>1995</v>
      </c>
    </row>
    <row r="5" spans="1:5" x14ac:dyDescent="0.25">
      <c r="A5" t="s">
        <v>64</v>
      </c>
      <c r="B5">
        <f>_xlfn.NORM.DIST(B4,B1,B2/SQRT(B3),TRUE)</f>
        <v>2.7366017862441431E-3</v>
      </c>
    </row>
    <row r="6" spans="1:5" x14ac:dyDescent="0.25">
      <c r="A6" t="s">
        <v>65</v>
      </c>
      <c r="B6" s="25" t="s">
        <v>116</v>
      </c>
    </row>
    <row r="8" spans="1:5" x14ac:dyDescent="0.25">
      <c r="A8" t="s">
        <v>66</v>
      </c>
      <c r="B8">
        <f>_xlfn.NORM.INV(0.9,B1,B2/SQRT(B3))</f>
        <v>2002.3067928179803</v>
      </c>
    </row>
    <row r="9" spans="1:5" x14ac:dyDescent="0.25">
      <c r="B9" s="25" t="s">
        <v>101</v>
      </c>
    </row>
    <row r="11" spans="1:5" x14ac:dyDescent="0.25">
      <c r="A11" t="s">
        <v>100</v>
      </c>
    </row>
    <row r="12" spans="1:5" x14ac:dyDescent="0.25">
      <c r="A12" t="s">
        <v>61</v>
      </c>
      <c r="B12">
        <v>2000</v>
      </c>
    </row>
    <row r="13" spans="1:5" x14ac:dyDescent="0.25">
      <c r="A13" t="s">
        <v>62</v>
      </c>
      <c r="B13">
        <v>18</v>
      </c>
    </row>
    <row r="14" spans="1:5" x14ac:dyDescent="0.25">
      <c r="A14" t="s">
        <v>63</v>
      </c>
      <c r="B14">
        <v>100</v>
      </c>
    </row>
    <row r="15" spans="1:5" x14ac:dyDescent="0.25">
      <c r="A15" t="s">
        <v>80</v>
      </c>
      <c r="B15">
        <v>2002.307</v>
      </c>
    </row>
    <row r="16" spans="1:5" x14ac:dyDescent="0.25">
      <c r="A16" t="s">
        <v>64</v>
      </c>
      <c r="B16">
        <f>_xlfn.NORM.DIST(B15,B12,B13/SQRT(B14),TRUE)</f>
        <v>0.90002019856512139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6678-E32D-4537-A714-647DD1449FE8}">
  <dimension ref="A1:E17"/>
  <sheetViews>
    <sheetView workbookViewId="0">
      <selection activeCell="A15" sqref="A15"/>
    </sheetView>
  </sheetViews>
  <sheetFormatPr defaultColWidth="9.140625" defaultRowHeight="12.75" x14ac:dyDescent="0.2"/>
  <cols>
    <col min="1" max="1" width="26.28515625" style="13" customWidth="1"/>
    <col min="2" max="16384" width="9.140625" style="13"/>
  </cols>
  <sheetData>
    <row r="1" spans="1:5" x14ac:dyDescent="0.2">
      <c r="A1" s="12" t="s">
        <v>67</v>
      </c>
    </row>
    <row r="3" spans="1:5" x14ac:dyDescent="0.2">
      <c r="A3" s="12" t="s">
        <v>68</v>
      </c>
      <c r="B3" s="13">
        <v>0.05</v>
      </c>
    </row>
    <row r="4" spans="1:5" x14ac:dyDescent="0.2">
      <c r="A4" s="12" t="s">
        <v>69</v>
      </c>
      <c r="B4" s="13">
        <f>458/850</f>
        <v>0.5388235294117647</v>
      </c>
      <c r="C4" s="13" t="s">
        <v>76</v>
      </c>
      <c r="D4" s="13">
        <f>458/850</f>
        <v>0.5388235294117647</v>
      </c>
      <c r="E4" s="13" t="s">
        <v>77</v>
      </c>
    </row>
    <row r="5" spans="1:5" x14ac:dyDescent="0.2">
      <c r="A5" s="12" t="s">
        <v>70</v>
      </c>
      <c r="B5" s="13">
        <v>850</v>
      </c>
      <c r="C5" s="13" t="s">
        <v>81</v>
      </c>
      <c r="D5" s="13">
        <f>1-D4</f>
        <v>0.4611764705882353</v>
      </c>
      <c r="E5" s="13" t="s">
        <v>78</v>
      </c>
    </row>
    <row r="7" spans="1:5" x14ac:dyDescent="0.2">
      <c r="A7" s="14" t="s">
        <v>71</v>
      </c>
      <c r="B7" s="15">
        <f>1-B3</f>
        <v>0.95</v>
      </c>
    </row>
    <row r="8" spans="1:5" x14ac:dyDescent="0.2">
      <c r="A8" s="16" t="s">
        <v>72</v>
      </c>
      <c r="B8" s="17">
        <f>_xlfn.NORM.S.INV(1-B3/2)</f>
        <v>1.9599639845400536</v>
      </c>
    </row>
    <row r="9" spans="1:5" x14ac:dyDescent="0.2">
      <c r="A9" s="16" t="s">
        <v>73</v>
      </c>
      <c r="B9" s="18">
        <f>SQRT(B4*(1-B4)/B5)</f>
        <v>1.7098081542332506E-2</v>
      </c>
    </row>
    <row r="10" spans="1:5" x14ac:dyDescent="0.2">
      <c r="A10" s="16" t="s">
        <v>74</v>
      </c>
      <c r="B10" s="18">
        <f>B4-B9*B8</f>
        <v>0.5053119053840639</v>
      </c>
    </row>
    <row r="11" spans="1:5" x14ac:dyDescent="0.2">
      <c r="A11" s="19" t="s">
        <v>75</v>
      </c>
      <c r="B11" s="20">
        <f>B4+B9*B8</f>
        <v>0.5723351534394655</v>
      </c>
    </row>
    <row r="13" spans="1:5" x14ac:dyDescent="0.2">
      <c r="A13" s="13" t="s">
        <v>102</v>
      </c>
    </row>
    <row r="14" spans="1:5" x14ac:dyDescent="0.2">
      <c r="A14" s="13" t="s">
        <v>117</v>
      </c>
    </row>
    <row r="16" spans="1:5" x14ac:dyDescent="0.2">
      <c r="A16" s="13" t="s">
        <v>74</v>
      </c>
      <c r="B16" s="13">
        <f>B4-(B8*SQRT(B4*(1-B4)/B5))</f>
        <v>0.5053119053840639</v>
      </c>
    </row>
    <row r="17" spans="1:2" x14ac:dyDescent="0.2">
      <c r="A17" s="13" t="s">
        <v>75</v>
      </c>
      <c r="B17" s="13">
        <f>B4+(B8*SQRT(B4*(1-B4)/B5))</f>
        <v>0.5723351534394655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464B-A0D2-4E05-8609-4F91569FFA15}">
  <dimension ref="A1:E18"/>
  <sheetViews>
    <sheetView workbookViewId="0">
      <selection activeCell="B4" sqref="B4"/>
    </sheetView>
  </sheetViews>
  <sheetFormatPr defaultColWidth="9.140625" defaultRowHeight="12.75" x14ac:dyDescent="0.2"/>
  <cols>
    <col min="1" max="1" width="26.28515625" style="13" customWidth="1"/>
    <col min="2" max="16384" width="9.140625" style="13"/>
  </cols>
  <sheetData>
    <row r="1" spans="1:5" x14ac:dyDescent="0.2">
      <c r="A1" s="12" t="s">
        <v>67</v>
      </c>
    </row>
    <row r="3" spans="1:5" x14ac:dyDescent="0.2">
      <c r="A3" s="12" t="s">
        <v>68</v>
      </c>
      <c r="B3" s="13">
        <v>0.01</v>
      </c>
    </row>
    <row r="4" spans="1:5" x14ac:dyDescent="0.2">
      <c r="A4" s="12" t="s">
        <v>69</v>
      </c>
      <c r="B4" s="13">
        <f>125/B5</f>
        <v>0.625</v>
      </c>
      <c r="C4" s="13" t="s">
        <v>76</v>
      </c>
      <c r="D4" s="13">
        <f>125/B5</f>
        <v>0.625</v>
      </c>
      <c r="E4" s="13" t="s">
        <v>77</v>
      </c>
    </row>
    <row r="5" spans="1:5" x14ac:dyDescent="0.2">
      <c r="A5" s="12" t="s">
        <v>70</v>
      </c>
      <c r="B5" s="13">
        <v>200</v>
      </c>
      <c r="C5" s="13" t="s">
        <v>81</v>
      </c>
      <c r="D5" s="13">
        <f>1-D4</f>
        <v>0.375</v>
      </c>
      <c r="E5" s="13" t="s">
        <v>78</v>
      </c>
    </row>
    <row r="7" spans="1:5" x14ac:dyDescent="0.2">
      <c r="A7" s="14" t="s">
        <v>71</v>
      </c>
      <c r="B7" s="15">
        <f>1-B3</f>
        <v>0.99</v>
      </c>
    </row>
    <row r="8" spans="1:5" x14ac:dyDescent="0.2">
      <c r="A8" s="16" t="s">
        <v>72</v>
      </c>
      <c r="B8" s="17">
        <f>_xlfn.NORM.S.INV(1-B3/2)</f>
        <v>2.5758293035488999</v>
      </c>
    </row>
    <row r="9" spans="1:5" x14ac:dyDescent="0.2">
      <c r="A9" s="16" t="s">
        <v>73</v>
      </c>
      <c r="B9" s="18">
        <f>SQRT(B4*(1-B4)/B5)</f>
        <v>3.423265984407288E-2</v>
      </c>
    </row>
    <row r="10" spans="1:5" x14ac:dyDescent="0.2">
      <c r="A10" s="16" t="s">
        <v>92</v>
      </c>
      <c r="B10" s="17">
        <f>(B8*SQRT(B4*(1-B4)/B5))</f>
        <v>8.8177488364784645E-2</v>
      </c>
      <c r="C10" s="26"/>
    </row>
    <row r="11" spans="1:5" x14ac:dyDescent="0.2">
      <c r="A11" s="16" t="s">
        <v>74</v>
      </c>
      <c r="B11" s="18">
        <f>B4-B9*B8</f>
        <v>0.53682251163521533</v>
      </c>
    </row>
    <row r="12" spans="1:5" x14ac:dyDescent="0.2">
      <c r="A12" s="19" t="s">
        <v>75</v>
      </c>
      <c r="B12" s="20">
        <f>B4+B9*B8</f>
        <v>0.71317748836478467</v>
      </c>
    </row>
    <row r="14" spans="1:5" x14ac:dyDescent="0.2">
      <c r="A14" s="13" t="s">
        <v>104</v>
      </c>
    </row>
    <row r="15" spans="1:5" x14ac:dyDescent="0.2">
      <c r="A15" s="13" t="s">
        <v>103</v>
      </c>
    </row>
    <row r="17" spans="1:2" x14ac:dyDescent="0.2">
      <c r="A17" s="13" t="s">
        <v>74</v>
      </c>
      <c r="B17" s="13">
        <f>B4-(B8*SQRT(B4*(1-B4)/B5))</f>
        <v>0.53682251163521533</v>
      </c>
    </row>
    <row r="18" spans="1:2" x14ac:dyDescent="0.2">
      <c r="A18" s="13" t="s">
        <v>75</v>
      </c>
      <c r="B18" s="13">
        <f>B4+(B8*SQRT(B4*(1-B4)/B5))</f>
        <v>0.71317748836478467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DFD3-35E8-43B7-B2CE-4763D3EA95EA}">
  <dimension ref="A1:D18"/>
  <sheetViews>
    <sheetView workbookViewId="0">
      <selection activeCell="B4" sqref="B4"/>
    </sheetView>
  </sheetViews>
  <sheetFormatPr defaultColWidth="9.140625" defaultRowHeight="12.75" x14ac:dyDescent="0.2"/>
  <cols>
    <col min="1" max="1" width="26.28515625" style="13" customWidth="1"/>
    <col min="2" max="16384" width="9.140625" style="13"/>
  </cols>
  <sheetData>
    <row r="1" spans="1:4" x14ac:dyDescent="0.2">
      <c r="A1" s="12" t="s">
        <v>67</v>
      </c>
    </row>
    <row r="3" spans="1:4" x14ac:dyDescent="0.2">
      <c r="A3" s="12" t="s">
        <v>68</v>
      </c>
      <c r="B3" s="13">
        <v>0.05</v>
      </c>
    </row>
    <row r="4" spans="1:4" x14ac:dyDescent="0.2">
      <c r="A4" s="12" t="s">
        <v>69</v>
      </c>
      <c r="B4" s="13">
        <v>0.16</v>
      </c>
      <c r="C4" s="13" t="s">
        <v>76</v>
      </c>
      <c r="D4" s="13">
        <f>80/B5</f>
        <v>0.16</v>
      </c>
    </row>
    <row r="5" spans="1:4" x14ac:dyDescent="0.2">
      <c r="A5" s="12" t="s">
        <v>70</v>
      </c>
      <c r="B5" s="13">
        <v>500</v>
      </c>
      <c r="C5" s="13" t="s">
        <v>81</v>
      </c>
      <c r="D5" s="13">
        <f>1-D4</f>
        <v>0.84</v>
      </c>
    </row>
    <row r="7" spans="1:4" x14ac:dyDescent="0.2">
      <c r="A7" s="14" t="s">
        <v>71</v>
      </c>
      <c r="B7" s="15">
        <f>1-B3</f>
        <v>0.95</v>
      </c>
    </row>
    <row r="8" spans="1:4" x14ac:dyDescent="0.2">
      <c r="A8" s="16" t="s">
        <v>72</v>
      </c>
      <c r="B8" s="17">
        <f>_xlfn.NORM.S.INV(1-B3/2)</f>
        <v>1.9599639845400536</v>
      </c>
    </row>
    <row r="9" spans="1:4" x14ac:dyDescent="0.2">
      <c r="A9" s="16" t="s">
        <v>73</v>
      </c>
      <c r="B9" s="18">
        <f>SQRT(B4*(1-B4)/B5)</f>
        <v>1.6395121225535356E-2</v>
      </c>
    </row>
    <row r="10" spans="1:4" x14ac:dyDescent="0.2">
      <c r="A10" s="16" t="s">
        <v>92</v>
      </c>
      <c r="B10" s="17">
        <f>(B8*SQRT(B4*(1-B4)/B5))</f>
        <v>3.2133847124217484E-2</v>
      </c>
    </row>
    <row r="11" spans="1:4" x14ac:dyDescent="0.2">
      <c r="A11" s="16" t="s">
        <v>74</v>
      </c>
      <c r="B11" s="18">
        <f>B4-B9*B8</f>
        <v>0.12786615287578251</v>
      </c>
    </row>
    <row r="12" spans="1:4" x14ac:dyDescent="0.2">
      <c r="A12" s="19" t="s">
        <v>75</v>
      </c>
      <c r="B12" s="20">
        <f>B4+B9*B8</f>
        <v>0.19213384712421749</v>
      </c>
    </row>
    <row r="14" spans="1:4" x14ac:dyDescent="0.2">
      <c r="A14" s="13" t="s">
        <v>105</v>
      </c>
    </row>
    <row r="15" spans="1:4" x14ac:dyDescent="0.2">
      <c r="A15" s="13" t="s">
        <v>82</v>
      </c>
    </row>
    <row r="16" spans="1:4" x14ac:dyDescent="0.2">
      <c r="A16" s="13" t="s">
        <v>83</v>
      </c>
    </row>
    <row r="17" spans="1:2" x14ac:dyDescent="0.2">
      <c r="A17" s="13" t="s">
        <v>74</v>
      </c>
      <c r="B17" s="13">
        <f>B4-(B8*SQRT(B4*(1-B4)/B5))</f>
        <v>0.12786615287578251</v>
      </c>
    </row>
    <row r="18" spans="1:2" x14ac:dyDescent="0.2">
      <c r="A18" s="13" t="s">
        <v>75</v>
      </c>
      <c r="B18" s="13">
        <f>B4+(B8*SQRT(B4*(1-B4)/B5))</f>
        <v>0.19213384712421749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6" workbookViewId="0">
      <selection activeCell="G32" sqref="G32"/>
    </sheetView>
  </sheetViews>
  <sheetFormatPr defaultRowHeight="15" x14ac:dyDescent="0.25"/>
  <cols>
    <col min="1" max="1" width="28.28515625" bestFit="1" customWidth="1"/>
    <col min="3" max="3" width="19.42578125" bestFit="1" customWidth="1"/>
    <col min="5" max="5" width="13.140625" bestFit="1" customWidth="1"/>
    <col min="6" max="6" width="20.85546875" bestFit="1" customWidth="1"/>
    <col min="7" max="7" width="23" bestFit="1" customWidth="1"/>
    <col min="8" max="8" width="13.42578125" bestFit="1" customWidth="1"/>
    <col min="9" max="43" width="5" bestFit="1" customWidth="1"/>
    <col min="44" max="44" width="11.28515625" bestFit="1" customWidth="1"/>
  </cols>
  <sheetData>
    <row r="1" spans="1:8" x14ac:dyDescent="0.25">
      <c r="A1" s="2" t="s">
        <v>3</v>
      </c>
      <c r="B1" s="3"/>
      <c r="C1" s="3"/>
      <c r="D1" s="1"/>
    </row>
    <row r="2" spans="1:8" x14ac:dyDescent="0.25">
      <c r="A2" s="3"/>
      <c r="B2" s="3"/>
      <c r="C2" s="3"/>
      <c r="D2" s="1"/>
    </row>
    <row r="3" spans="1:8" ht="15.75" thickBot="1" x14ac:dyDescent="0.3">
      <c r="A3" s="4" t="s">
        <v>4</v>
      </c>
      <c r="B3" s="4" t="s">
        <v>5</v>
      </c>
      <c r="C3" s="4" t="s">
        <v>6</v>
      </c>
      <c r="D3" s="1"/>
      <c r="E3" s="21" t="s">
        <v>84</v>
      </c>
      <c r="F3" t="s">
        <v>86</v>
      </c>
      <c r="G3" t="s">
        <v>87</v>
      </c>
      <c r="H3" t="s">
        <v>93</v>
      </c>
    </row>
    <row r="4" spans="1:8" ht="15.75" thickTop="1" x14ac:dyDescent="0.25">
      <c r="A4" s="5" t="s">
        <v>7</v>
      </c>
      <c r="B4" s="5" t="s">
        <v>8</v>
      </c>
      <c r="C4" s="5">
        <v>1315</v>
      </c>
      <c r="D4" s="1"/>
      <c r="E4" s="22" t="s">
        <v>8</v>
      </c>
      <c r="F4" s="23">
        <v>43.673867090819648</v>
      </c>
      <c r="G4" s="23">
        <v>1256.6400000000001</v>
      </c>
      <c r="H4" s="23">
        <v>25</v>
      </c>
    </row>
    <row r="5" spans="1:8" x14ac:dyDescent="0.25">
      <c r="A5" s="5" t="s">
        <v>9</v>
      </c>
      <c r="B5" s="5" t="s">
        <v>8</v>
      </c>
      <c r="C5" s="5">
        <v>1220</v>
      </c>
      <c r="D5" s="1"/>
      <c r="E5" s="22" t="s">
        <v>34</v>
      </c>
      <c r="F5" s="23">
        <v>78.200226101456693</v>
      </c>
      <c r="G5" s="23">
        <v>1269.8333333333333</v>
      </c>
      <c r="H5" s="23">
        <v>24</v>
      </c>
    </row>
    <row r="6" spans="1:8" x14ac:dyDescent="0.25">
      <c r="A6" s="5" t="s">
        <v>10</v>
      </c>
      <c r="B6" s="5" t="s">
        <v>8</v>
      </c>
      <c r="C6" s="5">
        <v>1240</v>
      </c>
      <c r="D6" s="1"/>
      <c r="E6" s="22" t="s">
        <v>85</v>
      </c>
      <c r="F6" s="23">
        <v>62.676499083907579</v>
      </c>
      <c r="G6" s="23">
        <v>1263.1020408163265</v>
      </c>
      <c r="H6" s="23">
        <v>49</v>
      </c>
    </row>
    <row r="7" spans="1:8" x14ac:dyDescent="0.25">
      <c r="A7" s="5" t="s">
        <v>11</v>
      </c>
      <c r="B7" s="5" t="s">
        <v>8</v>
      </c>
      <c r="C7" s="5">
        <v>1300</v>
      </c>
      <c r="D7" s="1"/>
    </row>
    <row r="8" spans="1:8" x14ac:dyDescent="0.25">
      <c r="A8" s="5" t="s">
        <v>12</v>
      </c>
      <c r="B8" s="5" t="s">
        <v>8</v>
      </c>
      <c r="C8" s="5">
        <v>1255</v>
      </c>
      <c r="D8" s="1"/>
    </row>
    <row r="9" spans="1:8" x14ac:dyDescent="0.25">
      <c r="A9" s="5" t="s">
        <v>13</v>
      </c>
      <c r="B9" s="5" t="s">
        <v>8</v>
      </c>
      <c r="C9" s="5">
        <v>1300</v>
      </c>
      <c r="D9" s="1"/>
    </row>
    <row r="10" spans="1:8" x14ac:dyDescent="0.25">
      <c r="A10" s="5" t="s">
        <v>14</v>
      </c>
      <c r="B10" s="5" t="s">
        <v>8</v>
      </c>
      <c r="C10" s="5">
        <v>1260</v>
      </c>
      <c r="D10" s="1"/>
    </row>
    <row r="11" spans="1:8" x14ac:dyDescent="0.25">
      <c r="A11" s="5" t="s">
        <v>15</v>
      </c>
      <c r="B11" s="5" t="s">
        <v>8</v>
      </c>
      <c r="C11" s="5">
        <v>1200</v>
      </c>
      <c r="D11" s="1"/>
      <c r="E11" s="12" t="s">
        <v>88</v>
      </c>
      <c r="F11" s="13"/>
    </row>
    <row r="12" spans="1:8" x14ac:dyDescent="0.25">
      <c r="A12" s="5" t="s">
        <v>16</v>
      </c>
      <c r="B12" s="5" t="s">
        <v>8</v>
      </c>
      <c r="C12" s="5">
        <v>1258</v>
      </c>
      <c r="D12" s="1"/>
      <c r="E12" s="13"/>
      <c r="F12" s="13" t="s">
        <v>8</v>
      </c>
      <c r="G12" t="s">
        <v>34</v>
      </c>
    </row>
    <row r="13" spans="1:8" x14ac:dyDescent="0.25">
      <c r="A13" s="5" t="s">
        <v>17</v>
      </c>
      <c r="B13" s="5" t="s">
        <v>8</v>
      </c>
      <c r="C13" s="5">
        <v>1230</v>
      </c>
      <c r="D13" s="1"/>
      <c r="E13" s="12" t="s">
        <v>68</v>
      </c>
      <c r="F13" s="13">
        <v>0.05</v>
      </c>
      <c r="G13" s="13">
        <v>0.05</v>
      </c>
    </row>
    <row r="14" spans="1:8" x14ac:dyDescent="0.25">
      <c r="A14" s="5" t="s">
        <v>18</v>
      </c>
      <c r="B14" s="5" t="s">
        <v>8</v>
      </c>
      <c r="C14" s="5">
        <v>1244</v>
      </c>
      <c r="D14" s="1"/>
      <c r="E14" s="12" t="s">
        <v>89</v>
      </c>
      <c r="F14" s="13">
        <f>GETPIVOTDATA("StdDev of Median SAT",$E$3,"Type","Lib Arts")</f>
        <v>43.673867090819648</v>
      </c>
      <c r="G14" s="13">
        <f>GETPIVOTDATA("StdDev of Median SAT",$E$3,"Type","University")</f>
        <v>78.200226101456693</v>
      </c>
    </row>
    <row r="15" spans="1:8" x14ac:dyDescent="0.25">
      <c r="A15" s="5" t="s">
        <v>19</v>
      </c>
      <c r="B15" s="5" t="s">
        <v>8</v>
      </c>
      <c r="C15" s="5">
        <v>1215</v>
      </c>
      <c r="D15" s="1"/>
      <c r="E15" s="12" t="s">
        <v>70</v>
      </c>
      <c r="F15" s="13">
        <f>GETPIVOTDATA("Count of Type",$E$3,"Type","Lib Arts")</f>
        <v>25</v>
      </c>
      <c r="G15" s="13">
        <f>GETPIVOTDATA("Count of Type",$E$3,"Type","University")</f>
        <v>24</v>
      </c>
    </row>
    <row r="16" spans="1:8" x14ac:dyDescent="0.25">
      <c r="A16" s="5" t="s">
        <v>20</v>
      </c>
      <c r="B16" s="5" t="s">
        <v>8</v>
      </c>
      <c r="C16" s="5">
        <v>1285</v>
      </c>
      <c r="D16" s="1"/>
      <c r="E16" s="12" t="s">
        <v>90</v>
      </c>
      <c r="F16" s="13">
        <f>GETPIVOTDATA("Average of Median SAT2",$E$3,"Type","Lib Arts")</f>
        <v>1256.6400000000001</v>
      </c>
      <c r="G16" s="13">
        <f>GETPIVOTDATA("Average of Median SAT2",$E$3,"Type","University")</f>
        <v>1269.8333333333333</v>
      </c>
    </row>
    <row r="17" spans="1:7" x14ac:dyDescent="0.25">
      <c r="A17" s="5" t="s">
        <v>21</v>
      </c>
      <c r="B17" s="5" t="s">
        <v>8</v>
      </c>
      <c r="C17" s="5">
        <v>1255</v>
      </c>
      <c r="D17" s="1"/>
      <c r="E17" s="13"/>
      <c r="F17" s="13"/>
      <c r="G17" s="13"/>
    </row>
    <row r="18" spans="1:7" x14ac:dyDescent="0.25">
      <c r="A18" s="5" t="s">
        <v>22</v>
      </c>
      <c r="B18" s="5" t="s">
        <v>8</v>
      </c>
      <c r="C18" s="5">
        <v>1200</v>
      </c>
      <c r="D18" s="1"/>
      <c r="E18" s="14" t="s">
        <v>71</v>
      </c>
      <c r="F18" s="15">
        <f>1-F13</f>
        <v>0.95</v>
      </c>
      <c r="G18" s="15">
        <f>1-G13</f>
        <v>0.95</v>
      </c>
    </row>
    <row r="19" spans="1:7" x14ac:dyDescent="0.25">
      <c r="A19" s="5" t="s">
        <v>23</v>
      </c>
      <c r="B19" s="5" t="s">
        <v>8</v>
      </c>
      <c r="C19" s="5">
        <v>1247</v>
      </c>
      <c r="D19" s="1"/>
      <c r="E19" s="16" t="s">
        <v>91</v>
      </c>
      <c r="F19" s="24">
        <f>_xlfn.T.INV(1-F13/2,F15-1)</f>
        <v>2.0638985616280254</v>
      </c>
      <c r="G19" s="24">
        <f>_xlfn.T.INV(1-G13/2,G15-1)</f>
        <v>2.0686576104190477</v>
      </c>
    </row>
    <row r="20" spans="1:7" x14ac:dyDescent="0.25">
      <c r="A20" s="5" t="s">
        <v>24</v>
      </c>
      <c r="B20" s="5" t="s">
        <v>8</v>
      </c>
      <c r="C20" s="5">
        <v>1170</v>
      </c>
      <c r="D20" s="1"/>
      <c r="E20" s="16" t="s">
        <v>92</v>
      </c>
      <c r="F20" s="18">
        <f>_xlfn.CONFIDENCE.T(F13,F14,F15)</f>
        <v>18.027686293895243</v>
      </c>
      <c r="G20" s="18">
        <f>_xlfn.CONFIDENCE.T(G13,G14,G15)</f>
        <v>33.021059454909533</v>
      </c>
    </row>
    <row r="21" spans="1:7" x14ac:dyDescent="0.25">
      <c r="A21" s="5" t="s">
        <v>25</v>
      </c>
      <c r="B21" s="5" t="s">
        <v>8</v>
      </c>
      <c r="C21" s="5">
        <v>1320</v>
      </c>
      <c r="D21" s="1"/>
      <c r="E21" s="16" t="s">
        <v>74</v>
      </c>
      <c r="F21" s="18">
        <f>F16-F20</f>
        <v>1238.6123137061049</v>
      </c>
      <c r="G21" s="18">
        <f>G16-G20</f>
        <v>1236.8122738784236</v>
      </c>
    </row>
    <row r="22" spans="1:7" x14ac:dyDescent="0.25">
      <c r="A22" s="5" t="s">
        <v>26</v>
      </c>
      <c r="B22" s="5" t="s">
        <v>8</v>
      </c>
      <c r="C22" s="5">
        <v>1195</v>
      </c>
      <c r="D22" s="1"/>
      <c r="E22" s="19" t="s">
        <v>75</v>
      </c>
      <c r="F22" s="20">
        <f>F16+F20</f>
        <v>1274.6676862938953</v>
      </c>
      <c r="G22" s="20">
        <f>G16+G20</f>
        <v>1302.8543927882429</v>
      </c>
    </row>
    <row r="23" spans="1:7" x14ac:dyDescent="0.25">
      <c r="A23" s="5" t="s">
        <v>27</v>
      </c>
      <c r="B23" s="5" t="s">
        <v>8</v>
      </c>
      <c r="C23" s="5">
        <v>1310</v>
      </c>
      <c r="D23" s="1"/>
    </row>
    <row r="24" spans="1:7" x14ac:dyDescent="0.25">
      <c r="A24" s="5" t="s">
        <v>28</v>
      </c>
      <c r="B24" s="5" t="s">
        <v>8</v>
      </c>
      <c r="C24" s="5">
        <v>1287</v>
      </c>
      <c r="D24" s="1"/>
    </row>
    <row r="25" spans="1:7" x14ac:dyDescent="0.25">
      <c r="A25" s="5" t="s">
        <v>29</v>
      </c>
      <c r="B25" s="5" t="s">
        <v>8</v>
      </c>
      <c r="C25" s="5">
        <v>1234</v>
      </c>
      <c r="D25" s="1"/>
    </row>
    <row r="26" spans="1:7" x14ac:dyDescent="0.25">
      <c r="A26" s="5" t="s">
        <v>30</v>
      </c>
      <c r="B26" s="5" t="s">
        <v>8</v>
      </c>
      <c r="C26" s="5">
        <v>1250</v>
      </c>
      <c r="D26" s="1"/>
      <c r="E26" s="27" t="s">
        <v>106</v>
      </c>
    </row>
    <row r="27" spans="1:7" x14ac:dyDescent="0.25">
      <c r="A27" s="5" t="s">
        <v>31</v>
      </c>
      <c r="B27" s="5" t="s">
        <v>8</v>
      </c>
      <c r="C27" s="5">
        <v>1290</v>
      </c>
      <c r="D27" s="1"/>
      <c r="E27" s="27" t="s">
        <v>107</v>
      </c>
    </row>
    <row r="28" spans="1:7" x14ac:dyDescent="0.25">
      <c r="A28" s="5" t="s">
        <v>32</v>
      </c>
      <c r="B28" s="5" t="s">
        <v>8</v>
      </c>
      <c r="C28" s="5">
        <v>1336</v>
      </c>
      <c r="D28" s="1"/>
    </row>
    <row r="29" spans="1:7" x14ac:dyDescent="0.25">
      <c r="A29" s="5" t="s">
        <v>33</v>
      </c>
      <c r="B29" s="5" t="s">
        <v>34</v>
      </c>
      <c r="C29" s="5">
        <v>1176</v>
      </c>
      <c r="D29" s="1"/>
      <c r="E29" s="25" t="s">
        <v>108</v>
      </c>
    </row>
    <row r="30" spans="1:7" x14ac:dyDescent="0.25">
      <c r="A30" s="5" t="s">
        <v>35</v>
      </c>
      <c r="B30" s="5" t="s">
        <v>34</v>
      </c>
      <c r="C30" s="5">
        <v>1281</v>
      </c>
    </row>
    <row r="31" spans="1:7" x14ac:dyDescent="0.25">
      <c r="A31" s="5" t="s">
        <v>36</v>
      </c>
      <c r="B31" s="5" t="s">
        <v>34</v>
      </c>
      <c r="C31" s="5">
        <v>1400</v>
      </c>
    </row>
    <row r="32" spans="1:7" x14ac:dyDescent="0.25">
      <c r="A32" s="5" t="s">
        <v>37</v>
      </c>
      <c r="B32" s="5" t="s">
        <v>34</v>
      </c>
      <c r="C32" s="5">
        <v>1225</v>
      </c>
    </row>
    <row r="33" spans="1:3" x14ac:dyDescent="0.25">
      <c r="A33" s="5" t="s">
        <v>38</v>
      </c>
      <c r="B33" s="5" t="s">
        <v>34</v>
      </c>
      <c r="C33" s="5">
        <v>1268</v>
      </c>
    </row>
    <row r="34" spans="1:3" x14ac:dyDescent="0.25">
      <c r="A34" s="5" t="s">
        <v>39</v>
      </c>
      <c r="B34" s="5" t="s">
        <v>34</v>
      </c>
      <c r="C34" s="5">
        <v>1280</v>
      </c>
    </row>
    <row r="35" spans="1:3" x14ac:dyDescent="0.25">
      <c r="A35" s="5" t="s">
        <v>40</v>
      </c>
      <c r="B35" s="5" t="s">
        <v>34</v>
      </c>
      <c r="C35" s="5">
        <v>1310</v>
      </c>
    </row>
    <row r="36" spans="1:3" x14ac:dyDescent="0.25">
      <c r="A36" s="5" t="s">
        <v>41</v>
      </c>
      <c r="B36" s="5" t="s">
        <v>34</v>
      </c>
      <c r="C36" s="5">
        <v>1278</v>
      </c>
    </row>
    <row r="37" spans="1:3" x14ac:dyDescent="0.25">
      <c r="A37" s="5" t="s">
        <v>42</v>
      </c>
      <c r="B37" s="5" t="s">
        <v>34</v>
      </c>
      <c r="C37" s="5">
        <v>1370</v>
      </c>
    </row>
    <row r="38" spans="1:3" x14ac:dyDescent="0.25">
      <c r="A38" s="5" t="s">
        <v>43</v>
      </c>
      <c r="B38" s="5" t="s">
        <v>34</v>
      </c>
      <c r="C38" s="5">
        <v>1290</v>
      </c>
    </row>
    <row r="39" spans="1:3" x14ac:dyDescent="0.25">
      <c r="A39" s="5" t="s">
        <v>44</v>
      </c>
      <c r="B39" s="5" t="s">
        <v>34</v>
      </c>
      <c r="C39" s="5">
        <v>1357</v>
      </c>
    </row>
    <row r="40" spans="1:3" x14ac:dyDescent="0.25">
      <c r="A40" s="5" t="s">
        <v>45</v>
      </c>
      <c r="B40" s="5" t="s">
        <v>34</v>
      </c>
      <c r="C40" s="5">
        <v>1230</v>
      </c>
    </row>
    <row r="41" spans="1:3" x14ac:dyDescent="0.25">
      <c r="A41" s="5" t="s">
        <v>2</v>
      </c>
      <c r="B41" s="5" t="s">
        <v>34</v>
      </c>
      <c r="C41" s="5">
        <v>1340</v>
      </c>
    </row>
    <row r="42" spans="1:3" x14ac:dyDescent="0.25">
      <c r="A42" s="5" t="s">
        <v>46</v>
      </c>
      <c r="B42" s="5" t="s">
        <v>34</v>
      </c>
      <c r="C42" s="5">
        <v>1327</v>
      </c>
    </row>
    <row r="43" spans="1:3" x14ac:dyDescent="0.25">
      <c r="A43" s="5" t="s">
        <v>47</v>
      </c>
      <c r="B43" s="5" t="s">
        <v>34</v>
      </c>
      <c r="C43" s="5">
        <v>1370</v>
      </c>
    </row>
    <row r="44" spans="1:3" x14ac:dyDescent="0.25">
      <c r="A44" s="5" t="s">
        <v>48</v>
      </c>
      <c r="B44" s="5" t="s">
        <v>34</v>
      </c>
      <c r="C44" s="5">
        <v>1195</v>
      </c>
    </row>
    <row r="45" spans="1:3" x14ac:dyDescent="0.25">
      <c r="A45" s="5" t="s">
        <v>49</v>
      </c>
      <c r="B45" s="5" t="s">
        <v>34</v>
      </c>
      <c r="C45" s="5">
        <v>1300</v>
      </c>
    </row>
    <row r="46" spans="1:3" x14ac:dyDescent="0.25">
      <c r="A46" s="5" t="s">
        <v>50</v>
      </c>
      <c r="B46" s="5" t="s">
        <v>34</v>
      </c>
      <c r="C46" s="5">
        <v>1155</v>
      </c>
    </row>
    <row r="47" spans="1:3" x14ac:dyDescent="0.25">
      <c r="A47" s="5" t="s">
        <v>51</v>
      </c>
      <c r="B47" s="5" t="s">
        <v>34</v>
      </c>
      <c r="C47" s="5">
        <v>1280</v>
      </c>
    </row>
    <row r="48" spans="1:3" x14ac:dyDescent="0.25">
      <c r="A48" s="5" t="s">
        <v>52</v>
      </c>
      <c r="B48" s="5" t="s">
        <v>34</v>
      </c>
      <c r="C48" s="5">
        <v>1218</v>
      </c>
    </row>
    <row r="49" spans="1:3" x14ac:dyDescent="0.25">
      <c r="A49" s="5" t="s">
        <v>53</v>
      </c>
      <c r="B49" s="5" t="s">
        <v>34</v>
      </c>
      <c r="C49" s="5">
        <v>1142</v>
      </c>
    </row>
    <row r="50" spans="1:3" x14ac:dyDescent="0.25">
      <c r="A50" s="5" t="s">
        <v>54</v>
      </c>
      <c r="B50" s="5" t="s">
        <v>34</v>
      </c>
      <c r="C50" s="5">
        <v>1109</v>
      </c>
    </row>
    <row r="51" spans="1:3" x14ac:dyDescent="0.25">
      <c r="A51" s="5" t="s">
        <v>55</v>
      </c>
      <c r="B51" s="5" t="s">
        <v>34</v>
      </c>
      <c r="C51" s="5">
        <v>1225</v>
      </c>
    </row>
    <row r="52" spans="1:3" x14ac:dyDescent="0.25">
      <c r="A52" s="5" t="s">
        <v>56</v>
      </c>
      <c r="B52" s="5" t="s">
        <v>34</v>
      </c>
      <c r="C52" s="5">
        <v>1350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topLeftCell="H1" zoomScale="70" zoomScaleNormal="70" workbookViewId="0">
      <selection activeCell="R20" sqref="R20:R23"/>
    </sheetView>
  </sheetViews>
  <sheetFormatPr defaultRowHeight="15" x14ac:dyDescent="0.25"/>
  <cols>
    <col min="1" max="1" width="14.85546875" customWidth="1"/>
    <col min="2" max="2" width="8.5703125" customWidth="1"/>
    <col min="3" max="3" width="12.85546875" bestFit="1" customWidth="1"/>
    <col min="5" max="5" width="13.28515625" bestFit="1" customWidth="1"/>
    <col min="6" max="6" width="38.140625" bestFit="1" customWidth="1"/>
    <col min="7" max="7" width="35.28515625" bestFit="1" customWidth="1"/>
    <col min="8" max="8" width="20.28515625" bestFit="1" customWidth="1"/>
    <col min="10" max="10" width="26.42578125" bestFit="1" customWidth="1"/>
    <col min="11" max="11" width="22.42578125" bestFit="1" customWidth="1"/>
    <col min="12" max="12" width="21.140625" bestFit="1" customWidth="1"/>
    <col min="14" max="14" width="26.42578125" bestFit="1" customWidth="1"/>
    <col min="15" max="15" width="22.42578125" bestFit="1" customWidth="1"/>
    <col min="16" max="16" width="21.140625" bestFit="1" customWidth="1"/>
    <col min="18" max="18" width="10.5703125" bestFit="1" customWidth="1"/>
  </cols>
  <sheetData>
    <row r="1" spans="1:16" x14ac:dyDescent="0.25">
      <c r="A1" s="6" t="s">
        <v>57</v>
      </c>
      <c r="B1" s="7"/>
      <c r="C1" s="7"/>
    </row>
    <row r="2" spans="1:16" x14ac:dyDescent="0.25">
      <c r="A2" s="7"/>
      <c r="B2" s="7"/>
      <c r="C2" s="7"/>
    </row>
    <row r="3" spans="1:16" ht="30" x14ac:dyDescent="0.25">
      <c r="A3" s="8" t="s">
        <v>58</v>
      </c>
      <c r="B3" s="8" t="s">
        <v>59</v>
      </c>
      <c r="C3" s="9" t="s">
        <v>60</v>
      </c>
      <c r="F3" s="30" t="s">
        <v>59</v>
      </c>
      <c r="J3" t="s">
        <v>118</v>
      </c>
      <c r="N3" t="s">
        <v>120</v>
      </c>
    </row>
    <row r="4" spans="1:16" x14ac:dyDescent="0.25">
      <c r="A4" s="10" t="s">
        <v>0</v>
      </c>
      <c r="B4" s="10">
        <v>620</v>
      </c>
      <c r="C4" s="11">
        <v>22800</v>
      </c>
      <c r="E4" s="21" t="s">
        <v>58</v>
      </c>
      <c r="F4" t="s">
        <v>96</v>
      </c>
      <c r="G4" t="s">
        <v>95</v>
      </c>
      <c r="H4" t="s">
        <v>94</v>
      </c>
      <c r="J4" s="12" t="s">
        <v>68</v>
      </c>
      <c r="K4" s="13">
        <v>0.05</v>
      </c>
      <c r="L4" s="13"/>
      <c r="N4" s="12" t="s">
        <v>68</v>
      </c>
      <c r="O4" s="13">
        <v>0.05</v>
      </c>
    </row>
    <row r="5" spans="1:16" x14ac:dyDescent="0.25">
      <c r="A5" s="10" t="s">
        <v>0</v>
      </c>
      <c r="B5" s="10">
        <v>591</v>
      </c>
      <c r="C5" s="11">
        <v>16500</v>
      </c>
      <c r="E5" s="33" t="s">
        <v>0</v>
      </c>
      <c r="F5" s="36">
        <v>643.82608695652175</v>
      </c>
      <c r="G5" s="36">
        <v>91.60074045647184</v>
      </c>
      <c r="H5" s="34">
        <v>23</v>
      </c>
      <c r="J5" s="12" t="s">
        <v>89</v>
      </c>
      <c r="K5" s="35">
        <f>GETPIVOTDATA("StdDev of Credit Score2",$E$4,"Homeowner","Y")</f>
        <v>89.760094941319224</v>
      </c>
      <c r="L5" s="13"/>
      <c r="N5" s="12" t="s">
        <v>89</v>
      </c>
      <c r="O5" s="35">
        <f>GETPIVOTDATA("StdDev of Revolving Balance",$E$10,"Homeowner","Y")</f>
        <v>9458.1542322739424</v>
      </c>
    </row>
    <row r="6" spans="1:16" x14ac:dyDescent="0.25">
      <c r="A6" s="10" t="s">
        <v>0</v>
      </c>
      <c r="B6" s="10">
        <v>660</v>
      </c>
      <c r="C6" s="11">
        <v>9200</v>
      </c>
      <c r="E6" s="31" t="s">
        <v>1</v>
      </c>
      <c r="F6" s="37">
        <v>659.48148148148152</v>
      </c>
      <c r="G6" s="37">
        <v>89.760094941319224</v>
      </c>
      <c r="H6" s="32">
        <v>27</v>
      </c>
      <c r="J6" s="12" t="s">
        <v>70</v>
      </c>
      <c r="K6" s="13">
        <f>GETPIVOTDATA("Count of Homeowner",$E$4,"Homeowner","Y")</f>
        <v>27</v>
      </c>
      <c r="L6" s="13"/>
      <c r="N6" s="12" t="s">
        <v>70</v>
      </c>
      <c r="O6" s="13">
        <f>GETPIVOTDATA("Count of Homeowner",$E$10,"Homeowner","Y")</f>
        <v>27</v>
      </c>
    </row>
    <row r="7" spans="1:16" x14ac:dyDescent="0.25">
      <c r="A7" s="10" t="s">
        <v>0</v>
      </c>
      <c r="B7" s="10">
        <v>763</v>
      </c>
      <c r="C7" s="11">
        <v>11200</v>
      </c>
      <c r="E7" s="22" t="s">
        <v>85</v>
      </c>
      <c r="F7" s="23">
        <v>652.28</v>
      </c>
      <c r="G7" s="23">
        <v>90.024722228090553</v>
      </c>
      <c r="H7" s="23">
        <v>50</v>
      </c>
      <c r="J7" s="12" t="s">
        <v>90</v>
      </c>
      <c r="K7" s="35">
        <f>GETPIVOTDATA("Average of Credit Score",$E$4,"Homeowner","Y")</f>
        <v>659.48148148148152</v>
      </c>
      <c r="L7" s="13"/>
      <c r="N7" s="12" t="s">
        <v>90</v>
      </c>
      <c r="O7" s="13">
        <f>GETPIVOTDATA("Average of Revolving Balance2",$E$10,"Homeowner","Y")</f>
        <v>14967.407407407407</v>
      </c>
    </row>
    <row r="8" spans="1:16" x14ac:dyDescent="0.25">
      <c r="A8" s="10" t="s">
        <v>0</v>
      </c>
      <c r="B8" s="10">
        <v>695</v>
      </c>
      <c r="C8" s="11">
        <v>20300</v>
      </c>
      <c r="J8" s="45"/>
      <c r="K8" s="46" t="s">
        <v>71</v>
      </c>
      <c r="L8" s="47" t="s">
        <v>122</v>
      </c>
      <c r="N8" s="45"/>
      <c r="O8" s="46" t="s">
        <v>71</v>
      </c>
      <c r="P8" s="47" t="s">
        <v>122</v>
      </c>
    </row>
    <row r="9" spans="1:16" x14ac:dyDescent="0.25">
      <c r="A9" s="10" t="s">
        <v>0</v>
      </c>
      <c r="B9" s="10">
        <v>701</v>
      </c>
      <c r="C9" s="11">
        <v>11700</v>
      </c>
      <c r="F9" s="29" t="s">
        <v>60</v>
      </c>
      <c r="J9" s="38"/>
      <c r="K9" s="39">
        <f>1-K4</f>
        <v>0.95</v>
      </c>
      <c r="L9" s="40"/>
      <c r="N9" s="38"/>
      <c r="O9" s="39">
        <f>1-O4</f>
        <v>0.95</v>
      </c>
      <c r="P9" s="40"/>
    </row>
    <row r="10" spans="1:16" x14ac:dyDescent="0.25">
      <c r="A10" s="10" t="s">
        <v>0</v>
      </c>
      <c r="B10" s="10">
        <v>507</v>
      </c>
      <c r="C10" s="11">
        <v>2000</v>
      </c>
      <c r="E10" s="21" t="s">
        <v>58</v>
      </c>
      <c r="F10" t="s">
        <v>97</v>
      </c>
      <c r="G10" t="s">
        <v>98</v>
      </c>
      <c r="H10" t="s">
        <v>94</v>
      </c>
      <c r="J10" s="41" t="s">
        <v>91</v>
      </c>
      <c r="K10" s="42">
        <f>_xlfn.T.INV(1-K4/2,K6-1)</f>
        <v>2.0555294386428731</v>
      </c>
      <c r="L10" s="43">
        <v>2.056</v>
      </c>
      <c r="N10" s="41" t="s">
        <v>91</v>
      </c>
      <c r="O10" s="42">
        <f>_xlfn.T.INV(1-O4/2,O6-1)</f>
        <v>2.0555294386428731</v>
      </c>
      <c r="P10" s="43">
        <v>2.056</v>
      </c>
    </row>
    <row r="11" spans="1:16" x14ac:dyDescent="0.25">
      <c r="A11" s="10" t="s">
        <v>0</v>
      </c>
      <c r="B11" s="10">
        <v>677</v>
      </c>
      <c r="C11" s="11">
        <v>7600</v>
      </c>
      <c r="E11" s="33" t="s">
        <v>0</v>
      </c>
      <c r="F11" s="36">
        <v>12732.608695652174</v>
      </c>
      <c r="G11" s="36">
        <v>8499.994768656843</v>
      </c>
      <c r="H11" s="34">
        <v>23</v>
      </c>
      <c r="J11" s="41" t="s">
        <v>92</v>
      </c>
      <c r="K11" s="54">
        <f>_xlfn.CONFIDENCE.T(K4,K5,K6)</f>
        <v>35.507910961386706</v>
      </c>
      <c r="L11" s="56">
        <f>L10*K5*SQRT(1+(1/K6))</f>
        <v>187.93321665767053</v>
      </c>
      <c r="N11" s="41" t="s">
        <v>92</v>
      </c>
      <c r="O11" s="54">
        <f>_xlfn.CONFIDENCE.T(O4,O5,O6)</f>
        <v>3741.52120224696</v>
      </c>
      <c r="P11" s="56">
        <f>P10*O5*SQRT(1+(1/O6))</f>
        <v>19802.801564299214</v>
      </c>
    </row>
    <row r="12" spans="1:16" x14ac:dyDescent="0.25">
      <c r="A12" s="10" t="s">
        <v>0</v>
      </c>
      <c r="B12" s="10">
        <v>485</v>
      </c>
      <c r="C12" s="11">
        <v>1000</v>
      </c>
      <c r="E12" s="31" t="s">
        <v>1</v>
      </c>
      <c r="F12" s="37">
        <v>14967.407407407407</v>
      </c>
      <c r="G12" s="37">
        <v>9458.1542322739424</v>
      </c>
      <c r="H12" s="32">
        <v>27</v>
      </c>
      <c r="J12" s="41" t="s">
        <v>74</v>
      </c>
      <c r="K12" s="54">
        <f>K7-K11</f>
        <v>623.97357052009477</v>
      </c>
      <c r="L12" s="56">
        <f>K7-L11</f>
        <v>471.548264823811</v>
      </c>
      <c r="N12" s="41" t="s">
        <v>74</v>
      </c>
      <c r="O12" s="54">
        <f>O7-O11</f>
        <v>11225.886205160446</v>
      </c>
      <c r="P12" s="56">
        <f>O7-P11</f>
        <v>-4835.3941568918071</v>
      </c>
    </row>
    <row r="13" spans="1:16" x14ac:dyDescent="0.25">
      <c r="A13" s="10" t="s">
        <v>0</v>
      </c>
      <c r="B13" s="10">
        <v>582</v>
      </c>
      <c r="C13" s="11">
        <v>8500</v>
      </c>
      <c r="E13" s="22" t="s">
        <v>85</v>
      </c>
      <c r="F13" s="23">
        <v>13939.4</v>
      </c>
      <c r="G13" s="23">
        <v>9009.5202277753888</v>
      </c>
      <c r="H13" s="23">
        <v>50</v>
      </c>
      <c r="J13" s="41" t="s">
        <v>75</v>
      </c>
      <c r="K13" s="55">
        <f>K7+K11</f>
        <v>694.98939244286828</v>
      </c>
      <c r="L13" s="57">
        <f>K7+L11</f>
        <v>847.41469813915205</v>
      </c>
      <c r="N13" s="44" t="s">
        <v>75</v>
      </c>
      <c r="O13" s="55">
        <f>O7+O11</f>
        <v>18708.928609654366</v>
      </c>
      <c r="P13" s="57">
        <f>O7+P11</f>
        <v>34770.208971706619</v>
      </c>
    </row>
    <row r="14" spans="1:16" x14ac:dyDescent="0.25">
      <c r="A14" s="10" t="s">
        <v>0</v>
      </c>
      <c r="B14" s="10">
        <v>703</v>
      </c>
      <c r="C14" s="11">
        <v>10000</v>
      </c>
      <c r="J14" s="53" t="s">
        <v>123</v>
      </c>
      <c r="K14" s="50">
        <f>_xlfn.CONFIDENCE.T(K4,K5,K6)</f>
        <v>35.507910961386706</v>
      </c>
      <c r="L14" s="51"/>
      <c r="N14" s="53" t="s">
        <v>123</v>
      </c>
      <c r="O14" s="50">
        <f>_xlfn.CONFIDENCE.T(O4,O5,O6)</f>
        <v>3741.52120224696</v>
      </c>
      <c r="P14" s="51"/>
    </row>
    <row r="15" spans="1:16" x14ac:dyDescent="0.25">
      <c r="A15" s="10" t="s">
        <v>0</v>
      </c>
      <c r="B15" s="10">
        <v>585</v>
      </c>
      <c r="C15" s="11">
        <v>31000</v>
      </c>
      <c r="J15" t="s">
        <v>119</v>
      </c>
      <c r="N15" t="s">
        <v>121</v>
      </c>
    </row>
    <row r="16" spans="1:16" ht="30" customHeight="1" x14ac:dyDescent="0.25">
      <c r="A16" s="10" t="s">
        <v>0</v>
      </c>
      <c r="B16" s="10">
        <v>620</v>
      </c>
      <c r="C16" s="11">
        <v>16200</v>
      </c>
      <c r="E16" s="28" t="s">
        <v>109</v>
      </c>
      <c r="F16" s="28"/>
      <c r="G16" s="28"/>
      <c r="H16" s="28"/>
      <c r="J16" s="12" t="s">
        <v>68</v>
      </c>
      <c r="K16" s="13">
        <v>0.05</v>
      </c>
      <c r="L16" s="13"/>
      <c r="N16" s="12" t="s">
        <v>68</v>
      </c>
      <c r="O16" s="13">
        <v>0.05</v>
      </c>
    </row>
    <row r="17" spans="1:18" ht="30.75" customHeight="1" x14ac:dyDescent="0.25">
      <c r="A17" s="10" t="s">
        <v>0</v>
      </c>
      <c r="B17" s="10">
        <v>774</v>
      </c>
      <c r="C17" s="11">
        <v>6100</v>
      </c>
      <c r="E17" s="28" t="s">
        <v>110</v>
      </c>
      <c r="F17" s="28"/>
      <c r="G17" s="28"/>
      <c r="H17" s="28"/>
      <c r="J17" s="12" t="s">
        <v>89</v>
      </c>
      <c r="K17" s="35">
        <f>GETPIVOTDATA("StdDev of Credit Score2",$E$4,"Homeowner","N")</f>
        <v>91.60074045647184</v>
      </c>
      <c r="L17" s="13"/>
      <c r="N17" s="12" t="s">
        <v>89</v>
      </c>
      <c r="O17" s="35">
        <f>GETPIVOTDATA("StdDev of Revolving Balance",$E$10,"Homeowner","N")</f>
        <v>8499.994768656843</v>
      </c>
    </row>
    <row r="18" spans="1:18" x14ac:dyDescent="0.25">
      <c r="A18" s="10" t="s">
        <v>0</v>
      </c>
      <c r="B18" s="10">
        <v>802</v>
      </c>
      <c r="C18" s="11">
        <v>10500</v>
      </c>
      <c r="E18" s="25"/>
      <c r="F18" s="25"/>
      <c r="G18" s="25"/>
      <c r="H18" s="25"/>
      <c r="J18" s="12" t="s">
        <v>70</v>
      </c>
      <c r="K18" s="13">
        <f>GETPIVOTDATA("Count of Homeowner",$E$4,"Homeowner","N")</f>
        <v>23</v>
      </c>
      <c r="L18" s="13"/>
      <c r="N18" s="12" t="s">
        <v>70</v>
      </c>
      <c r="O18" s="13">
        <f>GETPIVOTDATA("Count of Homeowner",$E$10,"Homeowner","N")</f>
        <v>23</v>
      </c>
    </row>
    <row r="19" spans="1:18" ht="31.5" customHeight="1" x14ac:dyDescent="0.25">
      <c r="A19" s="10" t="s">
        <v>0</v>
      </c>
      <c r="B19" s="10">
        <v>536</v>
      </c>
      <c r="C19" s="11">
        <v>27000</v>
      </c>
      <c r="E19" s="28" t="s">
        <v>111</v>
      </c>
      <c r="F19" s="28"/>
      <c r="G19" s="28"/>
      <c r="H19" s="28"/>
      <c r="J19" s="12" t="s">
        <v>90</v>
      </c>
      <c r="K19" s="35">
        <f>GETPIVOTDATA("Average of Credit Score",$E$4,"Homeowner","N")</f>
        <v>643.82608695652175</v>
      </c>
      <c r="L19" s="13"/>
      <c r="N19" s="12" t="s">
        <v>90</v>
      </c>
      <c r="O19" s="13">
        <f>GETPIVOTDATA("Average of Revolving Balance2",$E$10,"Homeowner","N")</f>
        <v>12732.608695652174</v>
      </c>
    </row>
    <row r="20" spans="1:18" ht="29.25" customHeight="1" x14ac:dyDescent="0.25">
      <c r="A20" s="10" t="s">
        <v>0</v>
      </c>
      <c r="B20" s="10">
        <v>760</v>
      </c>
      <c r="C20" s="11">
        <v>11200</v>
      </c>
      <c r="E20" s="28" t="s">
        <v>112</v>
      </c>
      <c r="F20" s="28"/>
      <c r="G20" s="28"/>
      <c r="H20" s="28"/>
      <c r="J20" s="45"/>
      <c r="K20" s="46" t="s">
        <v>71</v>
      </c>
      <c r="L20" s="47" t="s">
        <v>122</v>
      </c>
      <c r="N20" s="45"/>
      <c r="O20" s="46" t="s">
        <v>71</v>
      </c>
      <c r="P20" s="47" t="s">
        <v>122</v>
      </c>
      <c r="R20" s="49"/>
    </row>
    <row r="21" spans="1:18" x14ac:dyDescent="0.25">
      <c r="A21" s="10" t="s">
        <v>0</v>
      </c>
      <c r="B21" s="10">
        <v>567</v>
      </c>
      <c r="C21" s="11">
        <v>2200</v>
      </c>
      <c r="J21" s="38"/>
      <c r="K21" s="39">
        <f>1-K16</f>
        <v>0.95</v>
      </c>
      <c r="L21" s="40"/>
      <c r="N21" s="38"/>
      <c r="O21" s="39">
        <f>1-O16</f>
        <v>0.95</v>
      </c>
      <c r="P21" s="40"/>
      <c r="R21" s="48"/>
    </row>
    <row r="22" spans="1:18" x14ac:dyDescent="0.25">
      <c r="A22" s="10" t="s">
        <v>0</v>
      </c>
      <c r="B22" s="10">
        <v>600</v>
      </c>
      <c r="C22" s="11">
        <v>12050</v>
      </c>
      <c r="J22" s="41" t="s">
        <v>91</v>
      </c>
      <c r="K22" s="42">
        <f>_xlfn.T.INV(1-K16/2,K18-1)</f>
        <v>2.0738730679040249</v>
      </c>
      <c r="L22" s="43">
        <v>2.0739999999999998</v>
      </c>
      <c r="N22" s="41" t="s">
        <v>91</v>
      </c>
      <c r="O22" s="42">
        <f>_xlfn.T.INV(1-O16/2,O18-1)</f>
        <v>2.0738730679040249</v>
      </c>
      <c r="P22" s="43">
        <v>2.0739999999999998</v>
      </c>
      <c r="R22" s="48"/>
    </row>
    <row r="23" spans="1:18" x14ac:dyDescent="0.25">
      <c r="A23" s="10" t="s">
        <v>0</v>
      </c>
      <c r="B23" s="10">
        <v>702</v>
      </c>
      <c r="C23" s="11">
        <v>11700</v>
      </c>
      <c r="J23" s="41" t="s">
        <v>92</v>
      </c>
      <c r="K23" s="54">
        <f>_xlfn.CONFIDENCE.T(K16,K17,K18)</f>
        <v>39.611130563970086</v>
      </c>
      <c r="L23" s="56">
        <f>L22*K17*SQRT(1+(1/K18))</f>
        <v>194.06599318016976</v>
      </c>
      <c r="N23" s="41" t="s">
        <v>92</v>
      </c>
      <c r="O23" s="54">
        <f>_xlfn.CONFIDENCE.T(O16,O17,O18)</f>
        <v>3675.6733722510048</v>
      </c>
      <c r="P23" s="56">
        <f>P22*O17*SQRT(1+(1/O18))</f>
        <v>18008.150573733616</v>
      </c>
      <c r="R23" s="48"/>
    </row>
    <row r="24" spans="1:18" x14ac:dyDescent="0.25">
      <c r="A24" s="10" t="s">
        <v>0</v>
      </c>
      <c r="B24" s="10">
        <v>636</v>
      </c>
      <c r="C24" s="11">
        <v>29100</v>
      </c>
      <c r="J24" s="41" t="s">
        <v>74</v>
      </c>
      <c r="K24" s="54">
        <f>K19-K23</f>
        <v>604.2149563925517</v>
      </c>
      <c r="L24" s="56">
        <f>K19-L23</f>
        <v>449.76009377635199</v>
      </c>
      <c r="N24" s="41" t="s">
        <v>74</v>
      </c>
      <c r="O24" s="54">
        <f>O19-O23</f>
        <v>9056.9353234011687</v>
      </c>
      <c r="P24" s="56">
        <f>O19-P23</f>
        <v>-5275.5418780814416</v>
      </c>
    </row>
    <row r="25" spans="1:18" x14ac:dyDescent="0.25">
      <c r="A25" s="10" t="s">
        <v>0</v>
      </c>
      <c r="B25" s="10">
        <v>509</v>
      </c>
      <c r="C25" s="11">
        <v>2000</v>
      </c>
      <c r="J25" s="44" t="s">
        <v>75</v>
      </c>
      <c r="K25" s="55">
        <f>K19+K23</f>
        <v>683.4372175204918</v>
      </c>
      <c r="L25" s="57">
        <f>K19+L23</f>
        <v>837.89208013669145</v>
      </c>
      <c r="N25" s="44" t="s">
        <v>75</v>
      </c>
      <c r="O25" s="55">
        <f>O19+O23</f>
        <v>16408.282067903179</v>
      </c>
      <c r="P25" s="57">
        <f>O19+P23</f>
        <v>30740.759269385788</v>
      </c>
    </row>
    <row r="26" spans="1:18" x14ac:dyDescent="0.25">
      <c r="A26" s="10" t="s">
        <v>0</v>
      </c>
      <c r="B26" s="10">
        <v>733</v>
      </c>
      <c r="C26" s="11">
        <v>13000</v>
      </c>
      <c r="J26" s="53" t="s">
        <v>123</v>
      </c>
      <c r="K26" s="50">
        <f>_xlfn.CONFIDENCE.T(K16,K17,K18)</f>
        <v>39.611130563970086</v>
      </c>
      <c r="L26" s="51"/>
      <c r="N26" s="53" t="s">
        <v>123</v>
      </c>
      <c r="O26" s="50">
        <f>_xlfn.CONFIDENCE.T(O16,O17,O18)</f>
        <v>3675.6733722510048</v>
      </c>
      <c r="P26" s="51"/>
    </row>
    <row r="27" spans="1:18" x14ac:dyDescent="0.25">
      <c r="A27" s="10" t="s">
        <v>1</v>
      </c>
      <c r="B27" s="10">
        <v>725</v>
      </c>
      <c r="C27" s="11">
        <v>11320</v>
      </c>
    </row>
    <row r="28" spans="1:18" x14ac:dyDescent="0.25">
      <c r="A28" s="10" t="s">
        <v>1</v>
      </c>
      <c r="B28" s="10">
        <v>573</v>
      </c>
      <c r="C28" s="11">
        <v>7200</v>
      </c>
    </row>
    <row r="29" spans="1:18" x14ac:dyDescent="0.25">
      <c r="A29" s="10" t="s">
        <v>1</v>
      </c>
      <c r="B29" s="10">
        <v>677</v>
      </c>
      <c r="C29" s="11">
        <v>20000</v>
      </c>
    </row>
    <row r="30" spans="1:18" x14ac:dyDescent="0.25">
      <c r="A30" s="10" t="s">
        <v>1</v>
      </c>
      <c r="B30" s="10">
        <v>625</v>
      </c>
      <c r="C30" s="11">
        <v>12800</v>
      </c>
    </row>
    <row r="31" spans="1:18" x14ac:dyDescent="0.25">
      <c r="A31" s="10" t="s">
        <v>1</v>
      </c>
      <c r="B31" s="10">
        <v>527</v>
      </c>
      <c r="C31" s="11">
        <v>5700</v>
      </c>
    </row>
    <row r="32" spans="1:18" x14ac:dyDescent="0.25">
      <c r="A32" s="10" t="s">
        <v>1</v>
      </c>
      <c r="B32" s="10">
        <v>795</v>
      </c>
      <c r="C32" s="11">
        <v>9000</v>
      </c>
    </row>
    <row r="33" spans="1:3" x14ac:dyDescent="0.25">
      <c r="A33" s="10" t="s">
        <v>1</v>
      </c>
      <c r="B33" s="10">
        <v>733</v>
      </c>
      <c r="C33" s="11">
        <v>35200</v>
      </c>
    </row>
    <row r="34" spans="1:3" x14ac:dyDescent="0.25">
      <c r="A34" s="10" t="s">
        <v>1</v>
      </c>
      <c r="B34" s="10">
        <v>700</v>
      </c>
      <c r="C34" s="11">
        <v>22000</v>
      </c>
    </row>
    <row r="35" spans="1:3" x14ac:dyDescent="0.25">
      <c r="A35" s="10" t="s">
        <v>1</v>
      </c>
      <c r="B35" s="10">
        <v>500</v>
      </c>
      <c r="C35" s="11">
        <v>12500</v>
      </c>
    </row>
    <row r="36" spans="1:3" x14ac:dyDescent="0.25">
      <c r="A36" s="10" t="s">
        <v>1</v>
      </c>
      <c r="B36" s="10">
        <v>565</v>
      </c>
      <c r="C36" s="11">
        <v>7700</v>
      </c>
    </row>
    <row r="37" spans="1:3" x14ac:dyDescent="0.25">
      <c r="A37" s="10" t="s">
        <v>1</v>
      </c>
      <c r="B37" s="10">
        <v>620</v>
      </c>
      <c r="C37" s="11">
        <v>37400</v>
      </c>
    </row>
    <row r="38" spans="1:3" x14ac:dyDescent="0.25">
      <c r="A38" s="10" t="s">
        <v>1</v>
      </c>
      <c r="B38" s="10">
        <v>774</v>
      </c>
      <c r="C38" s="11">
        <v>6100</v>
      </c>
    </row>
    <row r="39" spans="1:3" x14ac:dyDescent="0.25">
      <c r="A39" s="10" t="s">
        <v>1</v>
      </c>
      <c r="B39" s="10">
        <v>802</v>
      </c>
      <c r="C39" s="11">
        <v>10500</v>
      </c>
    </row>
    <row r="40" spans="1:3" x14ac:dyDescent="0.25">
      <c r="A40" s="10" t="s">
        <v>1</v>
      </c>
      <c r="B40" s="10">
        <v>640</v>
      </c>
      <c r="C40" s="11">
        <v>17300</v>
      </c>
    </row>
    <row r="41" spans="1:3" x14ac:dyDescent="0.25">
      <c r="A41" s="10" t="s">
        <v>1</v>
      </c>
      <c r="B41" s="10">
        <v>523</v>
      </c>
      <c r="C41" s="11">
        <v>27000</v>
      </c>
    </row>
    <row r="42" spans="1:3" x14ac:dyDescent="0.25">
      <c r="A42" s="10" t="s">
        <v>1</v>
      </c>
      <c r="B42" s="10">
        <v>811</v>
      </c>
      <c r="C42" s="11">
        <v>13400</v>
      </c>
    </row>
    <row r="43" spans="1:3" x14ac:dyDescent="0.25">
      <c r="A43" s="10" t="s">
        <v>1</v>
      </c>
      <c r="B43" s="10">
        <v>555</v>
      </c>
      <c r="C43" s="11">
        <v>2500</v>
      </c>
    </row>
    <row r="44" spans="1:3" x14ac:dyDescent="0.25">
      <c r="A44" s="10" t="s">
        <v>1</v>
      </c>
      <c r="B44" s="10">
        <v>617</v>
      </c>
      <c r="C44" s="11">
        <v>8400</v>
      </c>
    </row>
    <row r="45" spans="1:3" x14ac:dyDescent="0.25">
      <c r="A45" s="10" t="s">
        <v>1</v>
      </c>
      <c r="B45" s="10">
        <v>642</v>
      </c>
      <c r="C45" s="11">
        <v>16000</v>
      </c>
    </row>
    <row r="46" spans="1:3" x14ac:dyDescent="0.25">
      <c r="A46" s="10" t="s">
        <v>1</v>
      </c>
      <c r="B46" s="10">
        <v>688</v>
      </c>
      <c r="C46" s="11">
        <v>3300</v>
      </c>
    </row>
    <row r="47" spans="1:3" x14ac:dyDescent="0.25">
      <c r="A47" s="10" t="s">
        <v>1</v>
      </c>
      <c r="B47" s="10">
        <v>649</v>
      </c>
      <c r="C47" s="11">
        <v>7500</v>
      </c>
    </row>
    <row r="48" spans="1:3" x14ac:dyDescent="0.25">
      <c r="A48" s="10" t="s">
        <v>1</v>
      </c>
      <c r="B48" s="10">
        <v>635</v>
      </c>
      <c r="C48" s="11">
        <v>29100</v>
      </c>
    </row>
    <row r="49" spans="1:3" x14ac:dyDescent="0.25">
      <c r="A49" s="10" t="s">
        <v>1</v>
      </c>
      <c r="B49" s="10">
        <v>699</v>
      </c>
      <c r="C49" s="11">
        <v>12800</v>
      </c>
    </row>
    <row r="50" spans="1:3" x14ac:dyDescent="0.25">
      <c r="A50" s="10" t="s">
        <v>1</v>
      </c>
      <c r="B50" s="10">
        <v>695</v>
      </c>
      <c r="C50" s="11">
        <v>9700</v>
      </c>
    </row>
    <row r="51" spans="1:3" x14ac:dyDescent="0.25">
      <c r="A51" s="10" t="s">
        <v>1</v>
      </c>
      <c r="B51" s="10">
        <v>640</v>
      </c>
      <c r="C51" s="11">
        <v>17300</v>
      </c>
    </row>
    <row r="52" spans="1:3" x14ac:dyDescent="0.25">
      <c r="A52" s="10" t="s">
        <v>1</v>
      </c>
      <c r="B52" s="10">
        <v>801</v>
      </c>
      <c r="C52" s="11">
        <v>13400</v>
      </c>
    </row>
    <row r="53" spans="1:3" x14ac:dyDescent="0.25">
      <c r="A53" s="10" t="s">
        <v>1</v>
      </c>
      <c r="B53" s="10">
        <v>595</v>
      </c>
      <c r="C53" s="11">
        <v>29000</v>
      </c>
    </row>
  </sheetData>
  <mergeCells count="4">
    <mergeCell ref="E16:H16"/>
    <mergeCell ref="E17:H17"/>
    <mergeCell ref="E19:H19"/>
    <mergeCell ref="E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9F73-A563-4331-9952-9CF1A14FDD6B}">
  <dimension ref="A1:C6"/>
  <sheetViews>
    <sheetView workbookViewId="0">
      <selection activeCell="E10" sqref="E10"/>
    </sheetView>
  </sheetViews>
  <sheetFormatPr defaultRowHeight="15" x14ac:dyDescent="0.25"/>
  <cols>
    <col min="1" max="1" width="18.7109375" bestFit="1" customWidth="1"/>
  </cols>
  <sheetData>
    <row r="1" spans="1:3" x14ac:dyDescent="0.25">
      <c r="A1" t="s">
        <v>113</v>
      </c>
      <c r="B1">
        <f>POWER(B4,2)*POWER(B2,2)/POWER(B3,2)</f>
        <v>55319.039999999986</v>
      </c>
      <c r="C1">
        <f>CEILING(B1,1)</f>
        <v>55320</v>
      </c>
    </row>
    <row r="2" spans="1:3" x14ac:dyDescent="0.25">
      <c r="A2" t="s">
        <v>115</v>
      </c>
      <c r="B2">
        <v>6</v>
      </c>
    </row>
    <row r="3" spans="1:3" x14ac:dyDescent="0.25">
      <c r="A3" t="s">
        <v>114</v>
      </c>
      <c r="B3">
        <v>0.05</v>
      </c>
    </row>
    <row r="4" spans="1:3" x14ac:dyDescent="0.25">
      <c r="A4" t="s">
        <v>72</v>
      </c>
      <c r="B4">
        <v>1.96</v>
      </c>
    </row>
    <row r="6" spans="1:3" x14ac:dyDescent="0.25">
      <c r="A6" s="51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93FE-5103-41F6-ADEC-FA994159F9CB}">
  <dimension ref="A1:B12"/>
  <sheetViews>
    <sheetView tabSelected="1" workbookViewId="0">
      <selection activeCell="G10" sqref="G10"/>
    </sheetView>
  </sheetViews>
  <sheetFormatPr defaultRowHeight="15" x14ac:dyDescent="0.25"/>
  <cols>
    <col min="1" max="1" width="19" bestFit="1" customWidth="1"/>
  </cols>
  <sheetData>
    <row r="1" spans="1:2" x14ac:dyDescent="0.25">
      <c r="A1" s="12" t="s">
        <v>68</v>
      </c>
      <c r="B1" s="13">
        <v>0.05</v>
      </c>
    </row>
    <row r="2" spans="1:2" x14ac:dyDescent="0.25">
      <c r="A2" s="12" t="s">
        <v>69</v>
      </c>
      <c r="B2" s="13">
        <v>0.5</v>
      </c>
    </row>
    <row r="3" spans="1:2" x14ac:dyDescent="0.25">
      <c r="A3" s="12" t="s">
        <v>70</v>
      </c>
      <c r="B3" s="58">
        <f>POWER(B6,2) * (B2*(1-B2))/POWER(B7,2)</f>
        <v>2400.911762933827</v>
      </c>
    </row>
    <row r="4" spans="1:2" x14ac:dyDescent="0.25">
      <c r="A4" s="13"/>
      <c r="B4" s="13"/>
    </row>
    <row r="5" spans="1:2" x14ac:dyDescent="0.25">
      <c r="A5" s="14" t="s">
        <v>71</v>
      </c>
      <c r="B5" s="15">
        <f>1-B1</f>
        <v>0.95</v>
      </c>
    </row>
    <row r="6" spans="1:2" x14ac:dyDescent="0.25">
      <c r="A6" s="16" t="s">
        <v>72</v>
      </c>
      <c r="B6" s="17">
        <f>_xlfn.NORM.S.INV(1-B1/2)</f>
        <v>1.9599639845400536</v>
      </c>
    </row>
    <row r="7" spans="1:2" x14ac:dyDescent="0.25">
      <c r="A7" s="16" t="s">
        <v>73</v>
      </c>
      <c r="B7" s="18">
        <v>0.02</v>
      </c>
    </row>
    <row r="8" spans="1:2" x14ac:dyDescent="0.25">
      <c r="A8" s="16" t="s">
        <v>74</v>
      </c>
      <c r="B8" s="18">
        <f>B2-B7*B6</f>
        <v>0.46080072030919894</v>
      </c>
    </row>
    <row r="9" spans="1:2" x14ac:dyDescent="0.25">
      <c r="A9" s="19" t="s">
        <v>75</v>
      </c>
      <c r="B9" s="20">
        <f>B2+B7*B6</f>
        <v>0.53919927969080106</v>
      </c>
    </row>
    <row r="12" spans="1:2" x14ac:dyDescent="0.25">
      <c r="A12" s="5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6.7</vt:lpstr>
      <vt:lpstr>6.12</vt:lpstr>
      <vt:lpstr>6.13</vt:lpstr>
      <vt:lpstr>6.18</vt:lpstr>
      <vt:lpstr>6.19</vt:lpstr>
      <vt:lpstr>6.25</vt:lpstr>
      <vt:lpstr>6.26</vt:lpstr>
      <vt:lpstr>6.27</vt:lpstr>
    </vt:vector>
  </TitlesOfParts>
  <Company>Bellevue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Li</dc:creator>
  <cp:lastModifiedBy>Marjorie Blanco</cp:lastModifiedBy>
  <dcterms:created xsi:type="dcterms:W3CDTF">2015-01-11T07:40:26Z</dcterms:created>
  <dcterms:modified xsi:type="dcterms:W3CDTF">2017-10-18T02:09:01Z</dcterms:modified>
</cp:coreProperties>
</file>