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528"/>
  <workbookPr hidePivotFieldList="1"/>
  <mc:AlternateContent xmlns:mc="http://schemas.openxmlformats.org/markup-compatibility/2006">
    <mc:Choice Requires="x15">
      <x15ac:absPath xmlns:x15ac="http://schemas.microsoft.com/office/spreadsheetml/2010/11/ac" url="C:\Users\blanc\OneDrive - Bellevue College\00_DA310\Homework\"/>
    </mc:Choice>
  </mc:AlternateContent>
  <xr:revisionPtr revIDLastSave="436" documentId="9855659868AA2271F8EB86EBB36CFD90638793C7" xr6:coauthVersionLast="23" xr6:coauthVersionMax="23" xr10:uidLastSave="{05EA6B36-F235-4026-BA25-CD13CD7DF4C7}"/>
  <bookViews>
    <workbookView xWindow="0" yWindow="0" windowWidth="20490" windowHeight="7755" activeTab="4" xr2:uid="{00000000-000D-0000-FFFF-FFFF00000000}"/>
  </bookViews>
  <sheets>
    <sheet name="7.11" sheetId="1" r:id="rId1"/>
    <sheet name="7.12" sheetId="5" r:id="rId2"/>
    <sheet name="7.13" sheetId="6" r:id="rId3"/>
    <sheet name="7.15" sheetId="7" r:id="rId4"/>
    <sheet name="7.16" sheetId="9" r:id="rId5"/>
  </sheets>
  <calcPr calcId="171027"/>
  <pivotCaches>
    <pivotCache cacheId="0" r:id="rId6"/>
    <pivotCache cacheId="1" r:id="rId7"/>
    <pivotCache cacheId="2" r:id="rId8"/>
    <pivotCache cacheId="3"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 i="7" l="1"/>
  <c r="R6" i="9" l="1"/>
  <c r="P9" i="9"/>
  <c r="R20" i="9" l="1"/>
  <c r="R18" i="9" l="1"/>
  <c r="R17" i="9"/>
  <c r="R14" i="9"/>
  <c r="R8" i="9"/>
  <c r="R9" i="9"/>
  <c r="P17" i="9"/>
  <c r="P6" i="9"/>
  <c r="P16" i="9" s="1"/>
  <c r="T46" i="5"/>
  <c r="T43" i="5"/>
  <c r="T47" i="5" s="1"/>
  <c r="T37" i="5"/>
  <c r="L46" i="5"/>
  <c r="L43" i="5"/>
  <c r="L47" i="5" s="1"/>
  <c r="L37" i="5"/>
  <c r="X46" i="5"/>
  <c r="X43" i="5"/>
  <c r="X47" i="5" s="1"/>
  <c r="X37" i="5"/>
  <c r="P46" i="5"/>
  <c r="P43" i="5"/>
  <c r="P47" i="5" s="1"/>
  <c r="P37" i="5"/>
  <c r="M19" i="1"/>
  <c r="Q19" i="1"/>
  <c r="P19" i="1"/>
  <c r="O19" i="1"/>
  <c r="N19" i="1"/>
  <c r="L19" i="1"/>
  <c r="Q18" i="1"/>
  <c r="P18" i="1"/>
  <c r="O18" i="1"/>
  <c r="N18" i="1"/>
  <c r="M18" i="1"/>
  <c r="Q17" i="1"/>
  <c r="P17" i="1"/>
  <c r="O17" i="1"/>
  <c r="N17" i="1"/>
  <c r="M17" i="1"/>
  <c r="L17" i="1"/>
  <c r="L18" i="1"/>
  <c r="P14" i="9" l="1"/>
  <c r="N9" i="1"/>
  <c r="O9" i="1"/>
  <c r="P9" i="1"/>
  <c r="Q9" i="1"/>
  <c r="N8" i="1"/>
  <c r="O8" i="1"/>
  <c r="P8" i="1"/>
  <c r="Q8" i="1"/>
  <c r="Q14" i="1"/>
  <c r="M14" i="1"/>
  <c r="M20" i="1" s="1"/>
  <c r="L20" i="1"/>
  <c r="L12" i="1"/>
  <c r="M11" i="1"/>
  <c r="N11" i="1"/>
  <c r="O11" i="1"/>
  <c r="P11" i="1"/>
  <c r="Q11" i="1"/>
  <c r="L11" i="1"/>
  <c r="L9" i="1"/>
  <c r="L8" i="1"/>
  <c r="M9" i="1"/>
  <c r="M8" i="1"/>
  <c r="J20" i="6"/>
  <c r="N6" i="9"/>
  <c r="N16" i="9" s="1"/>
  <c r="L6" i="9"/>
  <c r="L16" i="9" s="1"/>
  <c r="K18" i="7"/>
  <c r="X18" i="5"/>
  <c r="T18" i="5"/>
  <c r="P18" i="5"/>
  <c r="L18" i="5"/>
  <c r="L9" i="5"/>
  <c r="J19" i="6"/>
  <c r="J10" i="6"/>
  <c r="J16" i="6" s="1"/>
  <c r="J14" i="6"/>
  <c r="J9" i="6"/>
  <c r="J20" i="9"/>
  <c r="F11" i="9"/>
  <c r="N12" i="9" s="1"/>
  <c r="K19" i="7"/>
  <c r="X15" i="5"/>
  <c r="X19" i="5" s="1"/>
  <c r="T15" i="5"/>
  <c r="T19" i="5" s="1"/>
  <c r="X9" i="5"/>
  <c r="T9" i="5"/>
  <c r="P15" i="5"/>
  <c r="P19" i="5" s="1"/>
  <c r="P9" i="5"/>
  <c r="L15" i="5"/>
  <c r="L19" i="5" s="1"/>
  <c r="Q12" i="1"/>
  <c r="P12" i="1"/>
  <c r="O12" i="1"/>
  <c r="N12" i="1"/>
  <c r="M12" i="1"/>
  <c r="K8" i="7"/>
  <c r="N9" i="9"/>
  <c r="L8" i="9"/>
  <c r="N8" i="9"/>
  <c r="L9" i="9"/>
  <c r="N18" i="9" l="1"/>
  <c r="N17" i="9"/>
  <c r="L12" i="9"/>
  <c r="L17" i="9" s="1"/>
  <c r="P21" i="9"/>
  <c r="P20" i="9"/>
  <c r="P14" i="1"/>
  <c r="P20" i="1" s="1"/>
  <c r="O14" i="1"/>
  <c r="O20" i="1" s="1"/>
  <c r="N14" i="1"/>
  <c r="N20" i="1" s="1"/>
  <c r="Q20" i="1"/>
  <c r="L14" i="1"/>
  <c r="N14" i="9"/>
  <c r="K15" i="7"/>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N20" i="9" l="1"/>
  <c r="N21" i="9"/>
  <c r="L14" i="9"/>
  <c r="L21" i="9" l="1"/>
  <c r="L20" i="9"/>
</calcChain>
</file>

<file path=xl/sharedStrings.xml><?xml version="1.0" encoding="utf-8"?>
<sst xmlns="http://schemas.openxmlformats.org/spreadsheetml/2006/main" count="736" uniqueCount="260">
  <si>
    <t>Gender</t>
  </si>
  <si>
    <t>M</t>
  </si>
  <si>
    <t>F</t>
  </si>
  <si>
    <t>Married</t>
  </si>
  <si>
    <t>N</t>
  </si>
  <si>
    <t>Y</t>
  </si>
  <si>
    <t xml:space="preserve">Ohio Education Performance Results Year 2000 </t>
  </si>
  <si>
    <t>School District</t>
  </si>
  <si>
    <t>Writing</t>
  </si>
  <si>
    <t>Reading</t>
  </si>
  <si>
    <t>Math</t>
  </si>
  <si>
    <t>Citizenship</t>
  </si>
  <si>
    <t>Science</t>
  </si>
  <si>
    <t>All</t>
  </si>
  <si>
    <t>Indian Hill</t>
  </si>
  <si>
    <t>Wyoming</t>
  </si>
  <si>
    <t>Mason City</t>
  </si>
  <si>
    <t>Madiera</t>
  </si>
  <si>
    <t>Mariemont</t>
  </si>
  <si>
    <t>Sycamore</t>
  </si>
  <si>
    <t>Forest Hills</t>
  </si>
  <si>
    <t>Kings Local</t>
  </si>
  <si>
    <t>Lakota</t>
  </si>
  <si>
    <t>Loveland</t>
  </si>
  <si>
    <t>Southwest</t>
  </si>
  <si>
    <t>Fairf ield</t>
  </si>
  <si>
    <t>Oak Hills</t>
  </si>
  <si>
    <t>Three Rivers</t>
  </si>
  <si>
    <t>Milford</t>
  </si>
  <si>
    <t>Ross</t>
  </si>
  <si>
    <t>West Clermont</t>
  </si>
  <si>
    <t>Princeton</t>
  </si>
  <si>
    <t>Finneytown</t>
  </si>
  <si>
    <t>Norwood</t>
  </si>
  <si>
    <t>Lockland</t>
  </si>
  <si>
    <t>Franklin City</t>
  </si>
  <si>
    <t>Winton Woods</t>
  </si>
  <si>
    <t>Northwest</t>
  </si>
  <si>
    <t>North College Hill</t>
  </si>
  <si>
    <t>Mount Healthy</t>
  </si>
  <si>
    <t>Felicity Franklin</t>
  </si>
  <si>
    <t>St. Bernard</t>
  </si>
  <si>
    <t>Deer Park</t>
  </si>
  <si>
    <t>Cincinnati Public</t>
  </si>
  <si>
    <t>State Averages</t>
  </si>
  <si>
    <t xml:space="preserve"> Colleges and Universities</t>
  </si>
  <si>
    <t xml:space="preserve"> </t>
  </si>
  <si>
    <t>School</t>
  </si>
  <si>
    <t>Type</t>
  </si>
  <si>
    <t>Median SAT</t>
  </si>
  <si>
    <t>Acceptance Rate</t>
  </si>
  <si>
    <t>Expenditures/Student</t>
  </si>
  <si>
    <t>Top 10% HS</t>
  </si>
  <si>
    <t>Graduation %</t>
  </si>
  <si>
    <t>Amherst</t>
  </si>
  <si>
    <t>Lib Arts</t>
  </si>
  <si>
    <t>Barnard</t>
  </si>
  <si>
    <t>Bates</t>
  </si>
  <si>
    <t>Bowdoin</t>
  </si>
  <si>
    <t>Bryn Mawr</t>
  </si>
  <si>
    <t>Carleton</t>
  </si>
  <si>
    <t>Claremont McKenna</t>
  </si>
  <si>
    <t>Colby</t>
  </si>
  <si>
    <t>Colgate</t>
  </si>
  <si>
    <t>Davisdson</t>
  </si>
  <si>
    <t>Grinnell</t>
  </si>
  <si>
    <t>Hamilton</t>
  </si>
  <si>
    <t>Haverford</t>
  </si>
  <si>
    <t>Middlebury</t>
  </si>
  <si>
    <t>Mount Holyoke</t>
  </si>
  <si>
    <t>Oberlin</t>
  </si>
  <si>
    <t>Occidental</t>
  </si>
  <si>
    <t>Pomona</t>
  </si>
  <si>
    <t>Smith</t>
  </si>
  <si>
    <t>Swarthnore</t>
  </si>
  <si>
    <t>Vassar</t>
  </si>
  <si>
    <t>Washinton and Lee</t>
  </si>
  <si>
    <t>Wellesley</t>
  </si>
  <si>
    <t>Wesleyan (CT)</t>
  </si>
  <si>
    <t>Williams</t>
  </si>
  <si>
    <t>Berkeley</t>
  </si>
  <si>
    <t>University</t>
  </si>
  <si>
    <t>Brown</t>
  </si>
  <si>
    <t>Cal Tech</t>
  </si>
  <si>
    <t>Carnegie Mellon</t>
  </si>
  <si>
    <t>Columbia</t>
  </si>
  <si>
    <t>Cornell</t>
  </si>
  <si>
    <t>Duke</t>
  </si>
  <si>
    <t>Georgetown</t>
  </si>
  <si>
    <t>Harvard</t>
  </si>
  <si>
    <t>Johns Hopkins</t>
  </si>
  <si>
    <t>MIT</t>
  </si>
  <si>
    <t>Northwestern</t>
  </si>
  <si>
    <t>Rice</t>
  </si>
  <si>
    <t>Stanford</t>
  </si>
  <si>
    <t>U Michigan</t>
  </si>
  <si>
    <t>U of Chicago</t>
  </si>
  <si>
    <t>U of Rochester</t>
  </si>
  <si>
    <t>U Pennsylvania</t>
  </si>
  <si>
    <t>U Va</t>
  </si>
  <si>
    <t>UCLA</t>
  </si>
  <si>
    <t>UNC</t>
  </si>
  <si>
    <t>Washington U (MO)</t>
  </si>
  <si>
    <t>Yale</t>
  </si>
  <si>
    <t>Sales Data</t>
  </si>
  <si>
    <t>Customer</t>
  </si>
  <si>
    <t xml:space="preserve"> Percent Gross Profit</t>
  </si>
  <si>
    <t>Gross Sales</t>
  </si>
  <si>
    <t>Gross Profit</t>
  </si>
  <si>
    <t>Industry Code</t>
  </si>
  <si>
    <t>Competitive Rating*</t>
  </si>
  <si>
    <t>Insurance Survey</t>
  </si>
  <si>
    <t>Age</t>
  </si>
  <si>
    <t>Education</t>
  </si>
  <si>
    <t>Marital Status</t>
  </si>
  <si>
    <t>Years Employed</t>
  </si>
  <si>
    <t xml:space="preserve">Satisfaction* </t>
  </si>
  <si>
    <t>Premium/Deductible**</t>
  </si>
  <si>
    <t>Some college</t>
  </si>
  <si>
    <t>Divorced</t>
  </si>
  <si>
    <t>Graduate degree</t>
  </si>
  <si>
    <t>Widowed</t>
  </si>
  <si>
    <t>College graduate</t>
  </si>
  <si>
    <t>Single</t>
  </si>
  <si>
    <t>*Measured from 1-5 with 5 being highly satisfied.</t>
  </si>
  <si>
    <t xml:space="preserve">**Would you be willing to pay a lower premium for a higher deductible? </t>
  </si>
  <si>
    <t>Consumer Transportation Survey</t>
  </si>
  <si>
    <t>Vehicle Driven</t>
  </si>
  <si>
    <t>Satisfaction with vehicle</t>
  </si>
  <si>
    <t># of hours per week in vehicle</t>
  </si>
  <si>
    <t>Miles driven per week</t>
  </si>
  <si>
    <t xml:space="preserve">Number of Children </t>
  </si>
  <si>
    <t>Average number of riders</t>
  </si>
  <si>
    <t>Miles from work</t>
  </si>
  <si>
    <t>Truck</t>
  </si>
  <si>
    <t>Domestic</t>
  </si>
  <si>
    <t>Yes</t>
  </si>
  <si>
    <t>Male</t>
  </si>
  <si>
    <t>Foreign</t>
  </si>
  <si>
    <t>No</t>
  </si>
  <si>
    <t>SUV</t>
  </si>
  <si>
    <t>Female</t>
  </si>
  <si>
    <t>Mini Van</t>
  </si>
  <si>
    <t>Car</t>
  </si>
  <si>
    <t>H0:</t>
  </si>
  <si>
    <t>H1:</t>
  </si>
  <si>
    <t>X_bar</t>
  </si>
  <si>
    <t>S.D.</t>
  </si>
  <si>
    <t>Mean</t>
  </si>
  <si>
    <t>Hypothesized value</t>
  </si>
  <si>
    <t>n</t>
  </si>
  <si>
    <t>Decision</t>
  </si>
  <si>
    <t>a.</t>
  </si>
  <si>
    <t>b.</t>
  </si>
  <si>
    <t>Liberal Arts</t>
  </si>
  <si>
    <t>Reasearch Universities</t>
  </si>
  <si>
    <t>Alpha</t>
  </si>
  <si>
    <t>Conclusion/</t>
  </si>
  <si>
    <t>Interpretation</t>
  </si>
  <si>
    <t>Critical Value</t>
  </si>
  <si>
    <t>Test Statistic</t>
  </si>
  <si>
    <t>β</t>
  </si>
  <si>
    <t>α</t>
  </si>
  <si>
    <t xml:space="preserve">p &gt; 0.9 </t>
  </si>
  <si>
    <t xml:space="preserve">p  &lt;= 0 .9  </t>
  </si>
  <si>
    <t>Right Tail Test</t>
  </si>
  <si>
    <t>Fail to reject</t>
  </si>
  <si>
    <t>p  &lt;= 0 .9</t>
  </si>
  <si>
    <t>average profit per customer &lt;= 4500</t>
  </si>
  <si>
    <t>average profit per customer &gt; 4500</t>
  </si>
  <si>
    <t>p &gt; 0.3</t>
  </si>
  <si>
    <t>p  &lt;= 0 .3</t>
  </si>
  <si>
    <t>Count of Premium/Deductible**</t>
  </si>
  <si>
    <t>Row Labels</t>
  </si>
  <si>
    <t>Grand Total</t>
  </si>
  <si>
    <t>p-value</t>
  </si>
  <si>
    <t>Values</t>
  </si>
  <si>
    <t>Average of Age</t>
  </si>
  <si>
    <t>StdDev of Age2</t>
  </si>
  <si>
    <t>Count of Age</t>
  </si>
  <si>
    <t>Average of # of hours per week in vehicle</t>
  </si>
  <si>
    <t>StdDev of # of hours per week in vehicle</t>
  </si>
  <si>
    <t>Average of Miles driven per week</t>
  </si>
  <si>
    <t>StdDev of Miles driven per week2</t>
  </si>
  <si>
    <t>Count of Satisfaction with vehicle</t>
  </si>
  <si>
    <t>H0: average age of SUV drivers &lt;= 35</t>
  </si>
  <si>
    <t>H1: average age of SUV drivers &gt; 35</t>
  </si>
  <si>
    <t>H0: individual spend an average number of hours per week in car &gt;= 8 hrs</t>
  </si>
  <si>
    <t>H1: individual spend an average number of hours per week in car &lt; 8 hrs</t>
  </si>
  <si>
    <t>H0: proportion of individuals satisfied with their vehicles  &gt;= .8</t>
  </si>
  <si>
    <t>H1: proportion of individuals satisfied with their vehicles &lt; .8</t>
  </si>
  <si>
    <t>Average of Graduation %</t>
  </si>
  <si>
    <t>Count of Graduation %</t>
  </si>
  <si>
    <t>Two Tail</t>
  </si>
  <si>
    <t>Left Tail</t>
  </si>
  <si>
    <t>u = 79</t>
  </si>
  <si>
    <t>u ≠ 79</t>
  </si>
  <si>
    <t>u = 60</t>
  </si>
  <si>
    <t>u ≠ 60</t>
  </si>
  <si>
    <t>u = 72</t>
  </si>
  <si>
    <t>u ≠ 72</t>
  </si>
  <si>
    <t>u = 68</t>
  </si>
  <si>
    <t>u ≠ 68</t>
  </si>
  <si>
    <t>u = 46</t>
  </si>
  <si>
    <t>u ≠ 46</t>
  </si>
  <si>
    <t>`</t>
  </si>
  <si>
    <t>p &gt; 0.85</t>
  </si>
  <si>
    <t>p  &lt;= 0 .85</t>
  </si>
  <si>
    <t>Reject</t>
  </si>
  <si>
    <t>Two tail test</t>
  </si>
  <si>
    <t>u &lt;= 4500</t>
  </si>
  <si>
    <t>u &gt; 4500</t>
  </si>
  <si>
    <t xml:space="preserve">Reject H0: µ = 79 in favor if H1: µ  ≠ 79 </t>
  </si>
  <si>
    <t xml:space="preserve">Fail to reject H0: µ = 79 in favor if H1: µ  ≠ 79 </t>
  </si>
  <si>
    <t xml:space="preserve">Fail to reject H0: µ = 60 in favor if H1: µ  ≠ 60 </t>
  </si>
  <si>
    <t xml:space="preserve">Fail to reject H0: µ = 72 in favor if H1: µ  ≠ 72 </t>
  </si>
  <si>
    <t xml:space="preserve">Fail to reject H0: µ = 68 in favor if H1: µ  ≠ 68 </t>
  </si>
  <si>
    <t xml:space="preserve">Fail to reject H0: µ = 46 in favor if H1: µ  ≠ 46 </t>
  </si>
  <si>
    <t>Since p = .0024 is LESS than α = 0.05, we Reject Ho.</t>
  </si>
  <si>
    <t>The test statistic is in the rejection region.  Therefore, we reject H0 and conclude that the average score in writting is not equal 79.  We have very strong evidence to conclude that the average score in writting is not equal to 79 at 0.05 level of significance.</t>
  </si>
  <si>
    <t>The test statistic is not in the rejection region.  Therefore, we cannot reject H0 and cannot conclude that the average score in reading is not equal to 79.</t>
  </si>
  <si>
    <t>The test statistic is not in the rejection region.  Therefore, we cannot reject H0 and cannot conclude that the average score in math is not equal to 60.</t>
  </si>
  <si>
    <t>The test statistic is not in the rejection region.  Therefore, we cannot reject H0 and cannot conclude that the average score in citizenship is not equal to 72.</t>
  </si>
  <si>
    <t>The test statistic is not in the rejection region.  Therefore, we cannot reject H0 and cannot conclude that the average score in science is not equal to 68.</t>
  </si>
  <si>
    <t>The test statistic is not in the rejection region.  Therefore, we cannot reject H0 and cannot conclude that the all average score is not equal to 49.</t>
  </si>
  <si>
    <t>The test statistic is not in the rejection region.  Therefore, we cannot reject H0 and cannot conclude that the graduation rate for liberal arts colleges exceeds 90%  at 0.01 level of significance.</t>
  </si>
  <si>
    <t>The test statistic is not in the rejection region.  Therefore, we cannot reject H0 and cannot conclude that the graduation rate for liberal arts colleges exceeds 85%  at 0.01 level of significance.</t>
  </si>
  <si>
    <t>The test statistic is not in the rejection region.  Therefore, we cannot reject H0 and cannot conclude that the graduation rate for research universities exceeds 90%  at 0.01 level of significance.</t>
  </si>
  <si>
    <t>The test statistic is not in the rejection region.  Therefore, we cannot reject H0 and cannot conclude that the graduation rate for research universities exceeds 85%  at 0.01 level of significance.</t>
  </si>
  <si>
    <t>The test statistic is not in the rejection region.  Therefore, we cannot reject H0 and cannot conclude that the graduation rate for liberal arts colleges exceeds 90%  at 0.05 level of significance.</t>
  </si>
  <si>
    <t>The test statistic is not in the rejection region.  Therefore, we cannot reject H0 and cannot conclude that the graduation rate for research universities exceeds 90%  at 0.05 level of significance.</t>
  </si>
  <si>
    <t>The test statistic is not in the rejection region.  Therefore, we cannot reject H0 and cannot conclude that the graduation rate for liberal arts colleges exceeds 85%  at 0.05 level of significance.</t>
  </si>
  <si>
    <t>The test statistic is not in the rejection region.  Therefore, we cannot reject H0 and cannot conclude that the graduation rate for research universities exceeds 85%  at 0.05 level of significance.</t>
  </si>
  <si>
    <t>The test statistic does not fall bellow the critical value  and is not in the rejection region.  Therefore, we cannot reject H0 and cannot conclude that the average profit per customer is more than $4,500 at 0.05 level of significance.</t>
  </si>
  <si>
    <t>u ≥ 8</t>
  </si>
  <si>
    <t>u &lt; 8</t>
  </si>
  <si>
    <t>u ≤ 35</t>
  </si>
  <si>
    <t>u &gt; 35</t>
  </si>
  <si>
    <t>Right Tail</t>
  </si>
  <si>
    <t>Since p = .62 is MORE than α = 0.05, we Fail to Reject Ho.</t>
  </si>
  <si>
    <t>Since p = .7 is MORE than α = 0.05, we Fail to Reject Ho.</t>
  </si>
  <si>
    <t>Since p = .58 is MORE than α = 0.05, we Fail to Reject Ho.</t>
  </si>
  <si>
    <t>Since p = .021 is LESS than α = 0.05, we Reject Ho.</t>
  </si>
  <si>
    <t>Since p = .03 is LESS than α = 0.05, we Reject Ho.</t>
  </si>
  <si>
    <t>Since p = .2295 is MORE than α = 0.05, we Fail to Reject Ho.</t>
  </si>
  <si>
    <t>Since p = .1321 is MORE than α = 0.05, we Fail to Reject Ho.</t>
  </si>
  <si>
    <t>Since p = .1424 is MORE than α = 0.05, we Fail to Reject Ho.</t>
  </si>
  <si>
    <t>Since p = .1259 is MORE than α = 0.05, we Fail to Reject Ho.</t>
  </si>
  <si>
    <t>Since p = .0867 is MORE than α = 0.05, we Fail to Reject Ho.</t>
  </si>
  <si>
    <t>u = 600</t>
  </si>
  <si>
    <t>u ≠ 600</t>
  </si>
  <si>
    <t>p ≥ .8</t>
  </si>
  <si>
    <t>p &lt; .8</t>
  </si>
  <si>
    <t>H0:  average number of miles a week a driver drives = 600 miles per week</t>
  </si>
  <si>
    <t>H1:  average number of miles a week a driver drives ≠ 600 miles per week</t>
  </si>
  <si>
    <t>The test statistic is not in the rejection region.  Therefore, we cannot reject H0 and cannot conclude that at least 30% of the customers will be willing to pay a lower premium for  a higher deductible. There is no sufficient evidence to suggest that at least 30% of the customers will be willing to pay a lower premium for a higher deductible at 0.05 level of significance.</t>
  </si>
  <si>
    <r>
      <t xml:space="preserve">The test statistic is in the rejection region.  Therefore, we reject H0 and conclude that </t>
    </r>
    <r>
      <rPr>
        <sz val="11"/>
        <color rgb="FFFF0000"/>
        <rFont val="Calibri"/>
        <family val="2"/>
        <scheme val="minor"/>
      </rPr>
      <t>less than</t>
    </r>
    <r>
      <rPr>
        <sz val="11"/>
        <color theme="1"/>
        <rFont val="Calibri"/>
        <family val="2"/>
        <scheme val="minor"/>
      </rPr>
      <t xml:space="preserve"> 80% of individuals are satified with their vehicles.</t>
    </r>
  </si>
  <si>
    <r>
      <t xml:space="preserve">The test statistic is not in the rejection region.  Therefore, we cannot reject H0 and cannot conclude that individuals spend </t>
    </r>
    <r>
      <rPr>
        <sz val="11"/>
        <color rgb="FFFF0000"/>
        <rFont val="Calibri"/>
        <family val="2"/>
        <scheme val="minor"/>
      </rPr>
      <t>less than</t>
    </r>
    <r>
      <rPr>
        <sz val="11"/>
        <color theme="1"/>
        <rFont val="Calibri"/>
        <family val="2"/>
        <scheme val="minor"/>
      </rPr>
      <t xml:space="preserve"> 8 hours per week in their vehicles.
</t>
    </r>
  </si>
  <si>
    <r>
      <t xml:space="preserve">The test statistic is in the rejection region.  Therefore, we reject H0 and conclude that individuals </t>
    </r>
    <r>
      <rPr>
        <sz val="11"/>
        <color rgb="FFFF0000"/>
        <rFont val="Calibri"/>
        <family val="2"/>
        <scheme val="minor"/>
      </rPr>
      <t>do not</t>
    </r>
    <r>
      <rPr>
        <sz val="11"/>
        <color theme="1"/>
        <rFont val="Calibri"/>
        <family val="2"/>
        <scheme val="minor"/>
      </rPr>
      <t xml:space="preserve"> drive an average of 600 miles per week.</t>
    </r>
  </si>
  <si>
    <r>
      <t xml:space="preserve">The test statistic is in the rejection region.  Therefore, we reject H0 and conclude that average age of SUV drivers is </t>
    </r>
    <r>
      <rPr>
        <sz val="11"/>
        <color rgb="FFFF0000"/>
        <rFont val="Calibri"/>
        <family val="2"/>
        <scheme val="minor"/>
      </rPr>
      <t>greater than</t>
    </r>
    <r>
      <rPr>
        <sz val="11"/>
        <color theme="1"/>
        <rFont val="Calibri"/>
        <family val="2"/>
        <scheme val="minor"/>
      </rPr>
      <t xml:space="preserve"> 35.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</si>
</sst>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
    <numFmt numFmtId="166" formatCode="_(* #,##0.000_);_(* \(#,##0.000\);_(* &quot;-&quot;??_);_(@_)"/>
    <numFmt numFmtId="167" formatCode="_(* #,##0.0000_);_(* \(#,##0.0000\);_(* &quot;-&quot;??_);_(@_)"/>
    <numFmt numFmtId="168" formatCode="_(* #,##0.00000_);_(* \(#,##0.00000\);_(* &quot;-&quot;??_);_(@_)"/>
    <numFmt numFmtId="169" formatCode="0.000"/>
    <numFmt numFmtId="170" formatCode="0.0000"/>
  </numFmts>
  <fonts count="12" x14ac:knownFonts="1">
    <font>
      <sz val="11"/>
      <color theme="1"/>
      <name val="Calibri"/>
      <family val="2"/>
      <scheme val="minor"/>
    </font>
    <font>
      <sz val="11"/>
      <color theme="1"/>
      <name val="Calibri"/>
      <family val="2"/>
      <scheme val="minor"/>
    </font>
    <font>
      <sz val="12"/>
      <color theme="1"/>
      <name val="Calibri"/>
      <family val="2"/>
      <scheme val="minor"/>
    </font>
    <font>
      <sz val="10"/>
      <name val="Arial"/>
      <family val="2"/>
    </font>
    <font>
      <b/>
      <sz val="11"/>
      <name val="Arial"/>
      <family val="2"/>
    </font>
    <font>
      <sz val="11"/>
      <name val="Arial"/>
      <family val="2"/>
    </font>
    <font>
      <sz val="11"/>
      <color theme="1"/>
      <name val="Arial"/>
      <family val="2"/>
    </font>
    <font>
      <b/>
      <sz val="11"/>
      <color theme="1"/>
      <name val="Calibri"/>
      <family val="2"/>
      <scheme val="minor"/>
    </font>
    <font>
      <b/>
      <sz val="11"/>
      <color theme="1"/>
      <name val="Arial"/>
      <family val="2"/>
    </font>
    <font>
      <b/>
      <sz val="10"/>
      <name val="Arial"/>
      <family val="2"/>
    </font>
    <font>
      <sz val="11"/>
      <color theme="1"/>
      <name val="Calibri"/>
      <family val="2"/>
    </font>
    <font>
      <sz val="11"/>
      <color rgb="FFFF000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9"/>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right/>
      <top/>
      <bottom style="double">
        <color auto="1"/>
      </bottom>
      <diagonal/>
    </border>
  </borders>
  <cellStyleXfs count="14">
    <xf numFmtId="0" fontId="0" fillId="0" borderId="0"/>
    <xf numFmtId="0" fontId="1" fillId="0" borderId="0"/>
    <xf numFmtId="0" fontId="2"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3" fillId="0" borderId="0"/>
    <xf numFmtId="44" fontId="2"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82">
    <xf numFmtId="0" fontId="0" fillId="0" borderId="0" xfId="0"/>
    <xf numFmtId="0" fontId="4" fillId="0" borderId="0" xfId="0" applyFont="1"/>
    <xf numFmtId="0" fontId="4" fillId="0" borderId="1" xfId="0" applyNumberFormat="1" applyFont="1" applyBorder="1" applyAlignment="1">
      <alignment horizontal="left"/>
    </xf>
    <xf numFmtId="0" fontId="4" fillId="0" borderId="0" xfId="0" applyNumberFormat="1" applyFont="1" applyAlignment="1">
      <alignment horizontal="left"/>
    </xf>
    <xf numFmtId="0" fontId="5" fillId="0" borderId="0" xfId="0" applyNumberFormat="1" applyFont="1" applyAlignment="1">
      <alignment horizontal="right"/>
    </xf>
    <xf numFmtId="0" fontId="5" fillId="0" borderId="0" xfId="0" applyFont="1"/>
    <xf numFmtId="0" fontId="4" fillId="0" borderId="0" xfId="0" applyFont="1" applyFill="1" applyBorder="1"/>
    <xf numFmtId="0" fontId="6" fillId="0" borderId="0" xfId="0" applyFont="1" applyFill="1" applyBorder="1"/>
    <xf numFmtId="0" fontId="4" fillId="0" borderId="1" xfId="0" applyFont="1" applyFill="1" applyBorder="1"/>
    <xf numFmtId="9" fontId="6" fillId="0" borderId="0" xfId="11" applyFont="1" applyFill="1" applyBorder="1"/>
    <xf numFmtId="164" fontId="6" fillId="0" borderId="0" xfId="12" applyNumberFormat="1" applyFont="1" applyFill="1" applyBorder="1"/>
    <xf numFmtId="0" fontId="6" fillId="0" borderId="0" xfId="0" applyFont="1"/>
    <xf numFmtId="0" fontId="4" fillId="0" borderId="0" xfId="0" applyFont="1" applyAlignment="1"/>
    <xf numFmtId="0" fontId="6" fillId="0" borderId="0" xfId="0" applyFont="1" applyAlignment="1"/>
    <xf numFmtId="0" fontId="4" fillId="0" borderId="1" xfId="0" applyFont="1" applyBorder="1" applyAlignment="1"/>
    <xf numFmtId="0" fontId="6" fillId="0" borderId="0" xfId="0" applyFont="1" applyAlignment="1">
      <alignment horizontal="center"/>
    </xf>
    <xf numFmtId="165" fontId="6" fillId="0" borderId="0" xfId="11" applyNumberFormat="1" applyFont="1" applyAlignment="1">
      <alignment horizontal="center"/>
    </xf>
    <xf numFmtId="8" fontId="6" fillId="0" borderId="0" xfId="0" applyNumberFormat="1" applyFont="1" applyAlignment="1">
      <alignment horizontal="center"/>
    </xf>
    <xf numFmtId="0" fontId="4" fillId="0" borderId="1" xfId="0" applyFont="1" applyBorder="1" applyAlignment="1">
      <alignment horizontal="center"/>
    </xf>
    <xf numFmtId="0" fontId="5" fillId="0" borderId="0" xfId="0" applyFont="1" applyAlignment="1">
      <alignment horizontal="center"/>
    </xf>
    <xf numFmtId="0" fontId="7" fillId="0" borderId="0" xfId="0" applyFont="1"/>
    <xf numFmtId="0" fontId="0" fillId="0" borderId="0" xfId="0" applyAlignment="1">
      <alignment horizontal="right"/>
    </xf>
    <xf numFmtId="0" fontId="4" fillId="0" borderId="0" xfId="0" applyFont="1" applyAlignment="1">
      <alignment horizontal="right"/>
    </xf>
    <xf numFmtId="0" fontId="6" fillId="0" borderId="0" xfId="0" applyFont="1" applyAlignment="1">
      <alignment horizontal="right"/>
    </xf>
    <xf numFmtId="0" fontId="8" fillId="0" borderId="0" xfId="0" applyFont="1" applyAlignment="1">
      <alignment horizontal="right"/>
    </xf>
    <xf numFmtId="0" fontId="8" fillId="0" borderId="0" xfId="0" applyFont="1"/>
    <xf numFmtId="0" fontId="6" fillId="0" borderId="0" xfId="0" applyFont="1" applyBorder="1"/>
    <xf numFmtId="43" fontId="6" fillId="0" borderId="0" xfId="13" applyFont="1" applyBorder="1"/>
    <xf numFmtId="44" fontId="6" fillId="0" borderId="0" xfId="12" applyFont="1" applyBorder="1"/>
    <xf numFmtId="37" fontId="6" fillId="0" borderId="0" xfId="13" applyNumberFormat="1" applyFont="1" applyBorder="1"/>
    <xf numFmtId="0" fontId="4" fillId="0" borderId="0" xfId="0" applyNumberFormat="1" applyFont="1" applyFill="1" applyBorder="1" applyAlignment="1">
      <alignment horizontal="left"/>
    </xf>
    <xf numFmtId="166" fontId="6" fillId="0" borderId="0" xfId="13" applyNumberFormat="1" applyFont="1" applyBorder="1"/>
    <xf numFmtId="0" fontId="0" fillId="0" borderId="0" xfId="0" applyNumberFormat="1"/>
    <xf numFmtId="0" fontId="0" fillId="0" borderId="0" xfId="0" pivotButton="1"/>
    <xf numFmtId="0" fontId="0" fillId="0" borderId="0" xfId="0" applyAlignment="1">
      <alignment horizontal="left"/>
    </xf>
    <xf numFmtId="0" fontId="9" fillId="0" borderId="0" xfId="0" applyFont="1" applyAlignment="1">
      <alignment horizontal="left"/>
    </xf>
    <xf numFmtId="0" fontId="3" fillId="0" borderId="0" xfId="0" applyFont="1" applyAlignment="1">
      <alignment horizontal="center"/>
    </xf>
    <xf numFmtId="1" fontId="3" fillId="0" borderId="0" xfId="0" applyNumberFormat="1" applyFont="1" applyAlignment="1">
      <alignment horizontal="center"/>
    </xf>
    <xf numFmtId="0" fontId="3" fillId="0" borderId="0" xfId="0" applyFont="1"/>
    <xf numFmtId="0" fontId="9" fillId="0" borderId="0" xfId="0" applyFont="1" applyAlignment="1">
      <alignment horizontal="center"/>
    </xf>
    <xf numFmtId="0" fontId="9" fillId="0" borderId="1" xfId="0" applyFont="1" applyBorder="1" applyAlignment="1">
      <alignment horizontal="center" vertical="top" wrapText="1"/>
    </xf>
    <xf numFmtId="1" fontId="9" fillId="0" borderId="1" xfId="0" applyNumberFormat="1" applyFont="1" applyBorder="1" applyAlignment="1">
      <alignment horizontal="center" vertical="top" wrapText="1"/>
    </xf>
    <xf numFmtId="0" fontId="9" fillId="0" borderId="0" xfId="0" applyFont="1" applyAlignment="1">
      <alignment horizontal="center" vertical="top" wrapText="1"/>
    </xf>
    <xf numFmtId="0" fontId="9" fillId="0" borderId="0" xfId="0" applyFont="1" applyAlignment="1">
      <alignment vertical="top" wrapText="1"/>
    </xf>
    <xf numFmtId="0" fontId="10" fillId="0" borderId="0" xfId="0" applyFont="1"/>
    <xf numFmtId="0" fontId="3" fillId="0" borderId="0" xfId="0" applyFont="1" applyFill="1" applyAlignment="1">
      <alignment horizontal="center"/>
    </xf>
    <xf numFmtId="0" fontId="8" fillId="0" borderId="0" xfId="0" applyNumberFormat="1" applyFont="1" applyFill="1" applyBorder="1" applyAlignment="1">
      <alignment horizontal="left"/>
    </xf>
    <xf numFmtId="0" fontId="0" fillId="0" borderId="0" xfId="0" applyFont="1"/>
    <xf numFmtId="0" fontId="0" fillId="0" borderId="0" xfId="0" applyFont="1" applyFill="1" applyBorder="1"/>
    <xf numFmtId="0" fontId="0" fillId="0" borderId="0" xfId="0" applyFill="1"/>
    <xf numFmtId="0" fontId="0" fillId="2" borderId="0" xfId="0" applyFill="1"/>
    <xf numFmtId="0" fontId="8" fillId="0" borderId="0" xfId="0" applyFont="1" applyFill="1"/>
    <xf numFmtId="166" fontId="6" fillId="0" borderId="0" xfId="13" applyNumberFormat="1" applyFont="1" applyFill="1" applyBorder="1"/>
    <xf numFmtId="43" fontId="6" fillId="0" borderId="0" xfId="13" applyFont="1" applyFill="1" applyBorder="1"/>
    <xf numFmtId="44" fontId="6" fillId="0" borderId="0" xfId="12" applyFont="1" applyFill="1" applyBorder="1"/>
    <xf numFmtId="37" fontId="6" fillId="0" borderId="0" xfId="13" applyNumberFormat="1" applyFont="1" applyFill="1" applyBorder="1"/>
    <xf numFmtId="166" fontId="6" fillId="0" borderId="0" xfId="0" applyNumberFormat="1" applyFont="1" applyFill="1" applyBorder="1"/>
    <xf numFmtId="43" fontId="0" fillId="0" borderId="0" xfId="0" applyNumberFormat="1" applyFill="1"/>
    <xf numFmtId="0" fontId="6" fillId="0" borderId="0" xfId="0" applyFont="1" applyFill="1"/>
    <xf numFmtId="0" fontId="0" fillId="4" borderId="0" xfId="0" applyFill="1"/>
    <xf numFmtId="170" fontId="0" fillId="0" borderId="0" xfId="0" applyNumberFormat="1" applyFill="1"/>
    <xf numFmtId="0" fontId="6" fillId="2" borderId="0" xfId="0" applyFont="1" applyFill="1" applyBorder="1"/>
    <xf numFmtId="170" fontId="0" fillId="0" borderId="0" xfId="0" applyNumberFormat="1"/>
    <xf numFmtId="0" fontId="0" fillId="3" borderId="0" xfId="0" applyFont="1" applyFill="1"/>
    <xf numFmtId="0" fontId="0" fillId="0" borderId="0" xfId="0" applyFont="1" applyFill="1"/>
    <xf numFmtId="169" fontId="0" fillId="0" borderId="0" xfId="0" applyNumberFormat="1" applyFont="1" applyFill="1"/>
    <xf numFmtId="0" fontId="0" fillId="2" borderId="0" xfId="0" applyFont="1" applyFill="1"/>
    <xf numFmtId="170" fontId="0" fillId="5" borderId="0" xfId="0" applyNumberFormat="1" applyFill="1"/>
    <xf numFmtId="169" fontId="0" fillId="5" borderId="0" xfId="0" applyNumberFormat="1" applyFill="1"/>
    <xf numFmtId="0" fontId="0" fillId="5" borderId="0" xfId="0" applyFill="1" applyAlignment="1">
      <alignment horizontal="left" vertical="top" wrapText="1"/>
    </xf>
    <xf numFmtId="0" fontId="0" fillId="5" borderId="0" xfId="0" applyFill="1"/>
    <xf numFmtId="166" fontId="6" fillId="5" borderId="0" xfId="0" applyNumberFormat="1" applyFont="1" applyFill="1" applyBorder="1"/>
    <xf numFmtId="168" fontId="0" fillId="5" borderId="0" xfId="0" applyNumberFormat="1" applyFill="1" applyAlignment="1">
      <alignment horizontal="left" indent="1"/>
    </xf>
    <xf numFmtId="168" fontId="0" fillId="5" borderId="0" xfId="0" applyNumberFormat="1" applyFill="1"/>
    <xf numFmtId="166" fontId="0" fillId="5" borderId="0" xfId="0" applyNumberFormat="1" applyFill="1"/>
    <xf numFmtId="167" fontId="0" fillId="5" borderId="0" xfId="0" applyNumberFormat="1" applyFill="1"/>
    <xf numFmtId="43" fontId="0" fillId="5" borderId="0" xfId="0" applyNumberFormat="1" applyFill="1"/>
    <xf numFmtId="0" fontId="0" fillId="5" borderId="0" xfId="0" applyFill="1" applyAlignment="1">
      <alignment horizontal="left"/>
    </xf>
    <xf numFmtId="0" fontId="0" fillId="5" borderId="0" xfId="0" applyFill="1" applyAlignment="1">
      <alignment horizontal="left" vertical="top"/>
    </xf>
    <xf numFmtId="0" fontId="0" fillId="5" borderId="0" xfId="0" applyFont="1" applyFill="1"/>
    <xf numFmtId="167" fontId="0" fillId="5" borderId="0" xfId="0" applyNumberFormat="1" applyFont="1" applyFill="1"/>
    <xf numFmtId="0" fontId="0" fillId="5" borderId="0" xfId="0" applyFill="1" applyAlignment="1">
      <alignment vertical="top" wrapText="1"/>
    </xf>
  </cellXfs>
  <cellStyles count="14">
    <cellStyle name="Comma" xfId="13" builtinId="3"/>
    <cellStyle name="Comma 2" xfId="4" xr:uid="{00000000-0005-0000-0000-000001000000}"/>
    <cellStyle name="Comma 3" xfId="6" xr:uid="{00000000-0005-0000-0000-000002000000}"/>
    <cellStyle name="Currency" xfId="12" builtinId="4"/>
    <cellStyle name="Currency 2" xfId="3" xr:uid="{00000000-0005-0000-0000-000004000000}"/>
    <cellStyle name="Currency 2 2" xfId="10" xr:uid="{00000000-0005-0000-0000-000005000000}"/>
    <cellStyle name="Currency 3" xfId="7" xr:uid="{00000000-0005-0000-0000-000006000000}"/>
    <cellStyle name="Normal" xfId="0" builtinId="0"/>
    <cellStyle name="Normal 2" xfId="2" xr:uid="{00000000-0005-0000-0000-000008000000}"/>
    <cellStyle name="Normal 2 2" xfId="9" xr:uid="{00000000-0005-0000-0000-000009000000}"/>
    <cellStyle name="Normal 3" xfId="1" xr:uid="{00000000-0005-0000-0000-00000A000000}"/>
    <cellStyle name="Percent" xfId="11" builtinId="5"/>
    <cellStyle name="Percent 2" xfId="5" xr:uid="{00000000-0005-0000-0000-00000C000000}"/>
    <cellStyle name="Percent 3" xfId="8" xr:uid="{00000000-0005-0000-0000-00000D000000}"/>
  </cellStyles>
  <dxfs count="20">
    <dxf>
      <font>
        <b val="0"/>
        <i val="0"/>
        <strike val="0"/>
        <condense val="0"/>
        <extend val="0"/>
        <outline val="0"/>
        <shadow val="0"/>
        <u val="none"/>
        <vertAlign val="baseline"/>
        <sz val="11"/>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center" vertical="bottom" textRotation="0" wrapText="0" indent="0" justifyLastLine="0" shrinkToFit="0" readingOrder="0"/>
    </dxf>
    <dxf>
      <border outline="0">
        <bottom style="double">
          <color auto="1"/>
        </bottom>
      </border>
    </dxf>
    <dxf>
      <font>
        <b/>
        <i val="0"/>
        <strike val="0"/>
        <condense val="0"/>
        <extend val="0"/>
        <outline val="0"/>
        <shadow val="0"/>
        <u val="none"/>
        <vertAlign val="baseline"/>
        <sz val="11"/>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numFmt numFmtId="164" formatCode="_(&quot;$&quot;* #,##0_);_(&quot;$&quot;* \(#,##0\);_(&quot;$&quot;* &quot;-&quot;??_);_(@_)"/>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border outline="0">
        <bottom style="double">
          <color auto="1"/>
        </bottom>
      </border>
    </dxf>
    <dxf>
      <font>
        <b/>
        <i val="0"/>
        <strike val="0"/>
        <condense val="0"/>
        <extend val="0"/>
        <outline val="0"/>
        <shadow val="0"/>
        <u val="none"/>
        <vertAlign val="baseline"/>
        <sz val="11"/>
        <color auto="1"/>
        <name val="Arial"/>
        <family val="2"/>
        <scheme val="none"/>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jorie Blanco" refreshedDate="43029.764255787035" createdVersion="6" refreshedVersion="6" minRefreshableVersion="3" recordCount="24" xr:uid="{46D18864-45CB-4E49-94A8-22AF4985C585}">
  <cacheSource type="worksheet">
    <worksheetSource name="Table1"/>
  </cacheSource>
  <cacheFields count="7">
    <cacheField name="Age" numFmtId="0">
      <sharedItems containsSemiMixedTypes="0" containsString="0" containsNumber="1" containsInteger="1" minValue="27" maxValue="65"/>
    </cacheField>
    <cacheField name="Gender" numFmtId="0">
      <sharedItems/>
    </cacheField>
    <cacheField name="Education" numFmtId="0">
      <sharedItems/>
    </cacheField>
    <cacheField name="Marital Status" numFmtId="0">
      <sharedItems/>
    </cacheField>
    <cacheField name="Years Employed" numFmtId="0">
      <sharedItems containsSemiMixedTypes="0" containsString="0" containsNumber="1" containsInteger="1" minValue="1" maxValue="26"/>
    </cacheField>
    <cacheField name="Satisfaction* " numFmtId="0">
      <sharedItems containsSemiMixedTypes="0" containsString="0" containsNumber="1" containsInteger="1" minValue="1" maxValue="5"/>
    </cacheField>
    <cacheField name="Premium/Deductible**" numFmtId="0">
      <sharedItems count="2">
        <s v="N"/>
        <s v="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jorie Blanco" refreshedDate="43028.97799259259" createdVersion="6" refreshedVersion="6" minRefreshableVersion="3" recordCount="50" xr:uid="{15A2D929-027E-4773-A8E9-533D6EA45D1C}">
  <cacheSource type="worksheet">
    <worksheetSource ref="A3:J53" sheet="7.16"/>
  </cacheSource>
  <cacheFields count="10">
    <cacheField name="Vehicle Driven" numFmtId="0">
      <sharedItems count="4">
        <s v="Truck"/>
        <s v="SUV"/>
        <s v="Mini Van"/>
        <s v="Car"/>
      </sharedItems>
    </cacheField>
    <cacheField name="Type" numFmtId="0">
      <sharedItems/>
    </cacheField>
    <cacheField name="Satisfaction with vehicle" numFmtId="0">
      <sharedItems count="2">
        <s v="Yes"/>
        <s v="No"/>
      </sharedItems>
    </cacheField>
    <cacheField name="Gender" numFmtId="0">
      <sharedItems/>
    </cacheField>
    <cacheField name="Age" numFmtId="0">
      <sharedItems containsSemiMixedTypes="0" containsString="0" containsNumber="1" containsInteger="1" minValue="18" maxValue="62"/>
    </cacheField>
    <cacheField name="# of hours per week in vehicle" numFmtId="1">
      <sharedItems containsSemiMixedTypes="0" containsString="0" containsNumber="1" containsInteger="1" minValue="2" maxValue="30"/>
    </cacheField>
    <cacheField name="Miles driven per week" numFmtId="0">
      <sharedItems containsSemiMixedTypes="0" containsString="0" containsNumber="1" containsInteger="1" minValue="150" maxValue="1500"/>
    </cacheField>
    <cacheField name="Number of Children " numFmtId="0">
      <sharedItems containsSemiMixedTypes="0" containsString="0" containsNumber="1" containsInteger="1" minValue="0" maxValue="4"/>
    </cacheField>
    <cacheField name="Average number of riders" numFmtId="0">
      <sharedItems containsSemiMixedTypes="0" containsString="0" containsNumber="1" containsInteger="1" minValue="1" maxValue="5"/>
    </cacheField>
    <cacheField name="Miles from work" numFmtId="0">
      <sharedItems containsSemiMixedTypes="0" containsString="0" containsNumber="1" containsInteger="1" minValue="0" maxValue="5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jorie Blanco" refreshedDate="43028.975209837961" createdVersion="6" refreshedVersion="6" minRefreshableVersion="3" recordCount="50" xr:uid="{C86D2DDD-8ADE-47E2-A94E-1CED480C80FA}">
  <cacheSource type="worksheet">
    <worksheetSource ref="B3:J53" sheet="7.16"/>
  </cacheSource>
  <cacheFields count="9">
    <cacheField name="Type" numFmtId="0">
      <sharedItems/>
    </cacheField>
    <cacheField name="Satisfaction with vehicle" numFmtId="0">
      <sharedItems/>
    </cacheField>
    <cacheField name="Gender" numFmtId="0">
      <sharedItems/>
    </cacheField>
    <cacheField name="Age" numFmtId="0">
      <sharedItems containsSemiMixedTypes="0" containsString="0" containsNumber="1" containsInteger="1" minValue="18" maxValue="62"/>
    </cacheField>
    <cacheField name="# of hours per week in vehicle" numFmtId="1">
      <sharedItems containsSemiMixedTypes="0" containsString="0" containsNumber="1" containsInteger="1" minValue="2" maxValue="30"/>
    </cacheField>
    <cacheField name="Miles driven per week" numFmtId="0">
      <sharedItems containsSemiMixedTypes="0" containsString="0" containsNumber="1" containsInteger="1" minValue="150" maxValue="1500"/>
    </cacheField>
    <cacheField name="Number of Children " numFmtId="0">
      <sharedItems containsSemiMixedTypes="0" containsString="0" containsNumber="1" containsInteger="1" minValue="0" maxValue="4"/>
    </cacheField>
    <cacheField name="Average number of riders" numFmtId="0">
      <sharedItems containsSemiMixedTypes="0" containsString="0" containsNumber="1" containsInteger="1" minValue="1" maxValue="5"/>
    </cacheField>
    <cacheField name="Miles from work" numFmtId="0">
      <sharedItems containsSemiMixedTypes="0" containsString="0" containsNumber="1" containsInteger="1" minValue="0" maxValue="5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jorie Blanco" refreshedDate="43029.942695138889" createdVersion="6" refreshedVersion="6" minRefreshableVersion="3" recordCount="49" xr:uid="{A071CB2E-E2AE-4536-B2DE-19C48A31A56C}">
  <cacheSource type="worksheet">
    <worksheetSource name="Table2"/>
  </cacheSource>
  <cacheFields count="7">
    <cacheField name="School" numFmtId="0">
      <sharedItems count="49">
        <s v="Amherst"/>
        <s v="Barnard"/>
        <s v="Bates"/>
        <s v="Bowdoin"/>
        <s v="Bryn Mawr"/>
        <s v="Carleton"/>
        <s v="Claremont McKenna"/>
        <s v="Colby"/>
        <s v="Colgate"/>
        <s v="Davisdson"/>
        <s v="Grinnell"/>
        <s v="Hamilton"/>
        <s v="Haverford"/>
        <s v="Middlebury"/>
        <s v="Mount Holyoke"/>
        <s v="Oberlin"/>
        <s v="Occidental"/>
        <s v="Pomona"/>
        <s v="Smith"/>
        <s v="Swarthnore"/>
        <s v="Vassar"/>
        <s v="Washinton and Lee"/>
        <s v="Wellesley"/>
        <s v="Wesleyan (CT)"/>
        <s v="Williams"/>
        <s v="Berkeley"/>
        <s v="Brown"/>
        <s v="Cal Tech"/>
        <s v="Carnegie Mellon"/>
        <s v="Columbia"/>
        <s v="Cornell"/>
        <s v="Duke"/>
        <s v="Georgetown"/>
        <s v="Harvard"/>
        <s v="Johns Hopkins"/>
        <s v="MIT"/>
        <s v="Northwestern"/>
        <s v="Princeton"/>
        <s v="Rice"/>
        <s v="Stanford"/>
        <s v="U Michigan"/>
        <s v="U of Chicago"/>
        <s v="U of Rochester"/>
        <s v="U Pennsylvania"/>
        <s v="U Va"/>
        <s v="UCLA"/>
        <s v="UNC"/>
        <s v="Washington U (MO)"/>
        <s v="Yale"/>
      </sharedItems>
    </cacheField>
    <cacheField name="Type" numFmtId="0">
      <sharedItems count="2">
        <s v="Lib Arts"/>
        <s v="University"/>
      </sharedItems>
    </cacheField>
    <cacheField name="Median SAT" numFmtId="0">
      <sharedItems containsSemiMixedTypes="0" containsString="0" containsNumber="1" containsInteger="1" minValue="1109" maxValue="1400"/>
    </cacheField>
    <cacheField name="Acceptance Rate" numFmtId="9">
      <sharedItems containsSemiMixedTypes="0" containsString="0" containsNumber="1" minValue="0.17" maxValue="0.67"/>
    </cacheField>
    <cacheField name="Expenditures/Student" numFmtId="164">
      <sharedItems containsSemiMixedTypes="0" containsString="0" containsNumber="1" containsInteger="1" minValue="15904" maxValue="102262"/>
    </cacheField>
    <cacheField name="Top 10% HS" numFmtId="0">
      <sharedItems containsSemiMixedTypes="0" containsString="0" containsNumber="1" containsInteger="1" minValue="47" maxValue="98"/>
    </cacheField>
    <cacheField name="Graduation %" numFmtId="0">
      <sharedItems containsSemiMixedTypes="0" containsString="0" containsNumber="1" containsInteger="1" minValue="61" maxValue="93" count="22">
        <n v="93"/>
        <n v="80"/>
        <n v="88"/>
        <n v="90"/>
        <n v="84"/>
        <n v="74"/>
        <n v="85"/>
        <n v="89"/>
        <n v="73"/>
        <n v="87"/>
        <n v="92"/>
        <n v="83"/>
        <n v="77"/>
        <n v="72"/>
        <n v="78"/>
        <n v="86"/>
        <n v="91"/>
        <n v="68"/>
        <n v="75"/>
        <n v="82"/>
        <n v="61"/>
        <n v="7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n v="36"/>
    <s v="F"/>
    <s v="Some college"/>
    <s v="Divorced"/>
    <n v="4"/>
    <n v="4"/>
    <x v="0"/>
  </r>
  <r>
    <n v="55"/>
    <s v="F"/>
    <s v="Some college"/>
    <s v="Divorced"/>
    <n v="2"/>
    <n v="1"/>
    <x v="0"/>
  </r>
  <r>
    <n v="61"/>
    <s v="M"/>
    <s v="Graduate degree"/>
    <s v="Widowed"/>
    <n v="26"/>
    <n v="3"/>
    <x v="0"/>
  </r>
  <r>
    <n v="65"/>
    <s v="F"/>
    <s v="Some college"/>
    <s v="Married"/>
    <n v="9"/>
    <n v="4"/>
    <x v="0"/>
  </r>
  <r>
    <n v="53"/>
    <s v="F"/>
    <s v="Graduate degree"/>
    <s v="Married"/>
    <n v="6"/>
    <n v="4"/>
    <x v="0"/>
  </r>
  <r>
    <n v="50"/>
    <s v="F"/>
    <s v="Graduate degree"/>
    <s v="Married"/>
    <n v="10"/>
    <n v="5"/>
    <x v="0"/>
  </r>
  <r>
    <n v="28"/>
    <s v="F"/>
    <s v="College graduate"/>
    <s v="Married"/>
    <n v="4"/>
    <n v="5"/>
    <x v="0"/>
  </r>
  <r>
    <n v="62"/>
    <s v="F"/>
    <s v="College graduate"/>
    <s v="Divorced"/>
    <n v="9"/>
    <n v="3"/>
    <x v="0"/>
  </r>
  <r>
    <n v="48"/>
    <s v="M"/>
    <s v="Graduate degree"/>
    <s v="Married"/>
    <n v="6"/>
    <n v="5"/>
    <x v="0"/>
  </r>
  <r>
    <n v="31"/>
    <s v="M"/>
    <s v="Graduate degree"/>
    <s v="Married"/>
    <n v="1"/>
    <n v="5"/>
    <x v="0"/>
  </r>
  <r>
    <n v="57"/>
    <s v="F"/>
    <s v="College graduate"/>
    <s v="Married"/>
    <n v="4"/>
    <n v="5"/>
    <x v="0"/>
  </r>
  <r>
    <n v="44"/>
    <s v="M"/>
    <s v="College graduate"/>
    <s v="Married"/>
    <n v="2"/>
    <n v="3"/>
    <x v="0"/>
  </r>
  <r>
    <n v="38"/>
    <s v="M"/>
    <s v="Some college"/>
    <s v="Married"/>
    <n v="3"/>
    <n v="2"/>
    <x v="0"/>
  </r>
  <r>
    <n v="27"/>
    <s v="M"/>
    <s v="Some college"/>
    <s v="Married"/>
    <n v="2"/>
    <n v="3"/>
    <x v="0"/>
  </r>
  <r>
    <n v="56"/>
    <s v="M"/>
    <s v="Graduate degree"/>
    <s v="Married"/>
    <n v="4"/>
    <n v="4"/>
    <x v="1"/>
  </r>
  <r>
    <n v="43"/>
    <s v="F"/>
    <s v="College graduate"/>
    <s v="Married"/>
    <n v="5"/>
    <n v="3"/>
    <x v="1"/>
  </r>
  <r>
    <n v="45"/>
    <s v="M"/>
    <s v="College graduate"/>
    <s v="Married"/>
    <n v="15"/>
    <n v="3"/>
    <x v="1"/>
  </r>
  <r>
    <n v="42"/>
    <s v="F"/>
    <s v="College graduate"/>
    <s v="Married"/>
    <n v="12"/>
    <n v="3"/>
    <x v="1"/>
  </r>
  <r>
    <n v="29"/>
    <s v="M"/>
    <s v="Graduate degree"/>
    <s v="Single"/>
    <n v="10"/>
    <n v="5"/>
    <x v="0"/>
  </r>
  <r>
    <n v="28"/>
    <s v="F"/>
    <s v="Some college"/>
    <s v="Married"/>
    <n v="3"/>
    <n v="4"/>
    <x v="1"/>
  </r>
  <r>
    <n v="36"/>
    <s v="M"/>
    <s v="Some college"/>
    <s v="Divorced"/>
    <n v="15"/>
    <n v="4"/>
    <x v="1"/>
  </r>
  <r>
    <n v="49"/>
    <s v="F"/>
    <s v="Graduate degree"/>
    <s v="Married"/>
    <n v="2"/>
    <n v="5"/>
    <x v="0"/>
  </r>
  <r>
    <n v="46"/>
    <s v="F"/>
    <s v="College graduate"/>
    <s v="Divorced"/>
    <n v="20"/>
    <n v="4"/>
    <x v="0"/>
  </r>
  <r>
    <n v="52"/>
    <s v="F"/>
    <s v="College graduate"/>
    <s v="Married"/>
    <n v="18"/>
    <n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Domestic"/>
    <x v="0"/>
    <s v="Male"/>
    <n v="31"/>
    <n v="10"/>
    <n v="450"/>
    <n v="0"/>
    <n v="1"/>
    <n v="30"/>
  </r>
  <r>
    <x v="0"/>
    <s v="Domestic"/>
    <x v="0"/>
    <s v="Male"/>
    <n v="29"/>
    <n v="5"/>
    <n v="370"/>
    <n v="1"/>
    <n v="1"/>
    <n v="22"/>
  </r>
  <r>
    <x v="0"/>
    <s v="Foreign"/>
    <x v="1"/>
    <s v="Male"/>
    <n v="26"/>
    <n v="12"/>
    <n v="580"/>
    <n v="0"/>
    <n v="1"/>
    <n v="15"/>
  </r>
  <r>
    <x v="0"/>
    <s v="Domestic"/>
    <x v="1"/>
    <s v="Male"/>
    <n v="18"/>
    <n v="6"/>
    <n v="300"/>
    <n v="0"/>
    <n v="1"/>
    <n v="20"/>
  </r>
  <r>
    <x v="1"/>
    <s v="Domestic"/>
    <x v="0"/>
    <s v="Male"/>
    <n v="49"/>
    <n v="21"/>
    <n v="1000"/>
    <n v="0"/>
    <n v="1"/>
    <n v="22"/>
  </r>
  <r>
    <x v="1"/>
    <s v="Foreign"/>
    <x v="0"/>
    <s v="Male"/>
    <n v="50"/>
    <n v="16"/>
    <n v="840"/>
    <n v="2"/>
    <n v="1"/>
    <n v="45"/>
  </r>
  <r>
    <x v="1"/>
    <s v="Domestic"/>
    <x v="0"/>
    <s v="Male"/>
    <n v="48"/>
    <n v="15"/>
    <n v="1400"/>
    <n v="3"/>
    <n v="4"/>
    <n v="25"/>
  </r>
  <r>
    <x v="1"/>
    <s v="Foreign"/>
    <x v="0"/>
    <s v="Male"/>
    <n v="45"/>
    <n v="5"/>
    <n v="300"/>
    <n v="2"/>
    <n v="2"/>
    <n v="20"/>
  </r>
  <r>
    <x v="1"/>
    <s v="Domestic"/>
    <x v="0"/>
    <s v="Male"/>
    <n v="45"/>
    <n v="15"/>
    <n v="850"/>
    <n v="0"/>
    <n v="1"/>
    <n v="25"/>
  </r>
  <r>
    <x v="1"/>
    <s v="Domestic"/>
    <x v="0"/>
    <s v="Male"/>
    <n v="44"/>
    <n v="10"/>
    <n v="700"/>
    <n v="2"/>
    <n v="1"/>
    <n v="40"/>
  </r>
  <r>
    <x v="1"/>
    <s v="Foreign"/>
    <x v="0"/>
    <s v="Male"/>
    <n v="41"/>
    <n v="5"/>
    <n v="350"/>
    <n v="1"/>
    <n v="1"/>
    <n v="20"/>
  </r>
  <r>
    <x v="1"/>
    <s v="Domestic"/>
    <x v="0"/>
    <s v="Male"/>
    <n v="41"/>
    <n v="30"/>
    <n v="1500"/>
    <n v="4"/>
    <n v="3"/>
    <n v="15"/>
  </r>
  <r>
    <x v="1"/>
    <s v="Foreign"/>
    <x v="1"/>
    <s v="Female"/>
    <n v="39"/>
    <n v="6"/>
    <n v="280"/>
    <n v="1"/>
    <n v="1"/>
    <n v="17"/>
  </r>
  <r>
    <x v="1"/>
    <s v="Foreign"/>
    <x v="0"/>
    <s v="Female"/>
    <n v="36"/>
    <n v="4"/>
    <n v="400"/>
    <n v="0"/>
    <n v="1"/>
    <n v="20"/>
  </r>
  <r>
    <x v="1"/>
    <s v="Foreign"/>
    <x v="0"/>
    <s v="Female"/>
    <n v="33"/>
    <n v="3"/>
    <n v="420"/>
    <n v="0"/>
    <n v="1"/>
    <n v="25"/>
  </r>
  <r>
    <x v="1"/>
    <s v="Domestic"/>
    <x v="0"/>
    <s v="Male"/>
    <n v="31"/>
    <n v="10"/>
    <n v="675"/>
    <n v="0"/>
    <n v="1"/>
    <n v="35"/>
  </r>
  <r>
    <x v="1"/>
    <s v="Domestic"/>
    <x v="1"/>
    <s v="Female"/>
    <n v="31"/>
    <n v="15"/>
    <n v="800"/>
    <n v="1"/>
    <n v="1"/>
    <n v="50"/>
  </r>
  <r>
    <x v="1"/>
    <s v="Domestic"/>
    <x v="1"/>
    <s v="Female"/>
    <n v="29"/>
    <n v="4"/>
    <n v="300"/>
    <n v="1"/>
    <n v="1"/>
    <n v="20"/>
  </r>
  <r>
    <x v="1"/>
    <s v="Domestic"/>
    <x v="0"/>
    <s v="Male"/>
    <n v="28"/>
    <n v="3"/>
    <n v="400"/>
    <n v="1"/>
    <n v="1"/>
    <n v="15"/>
  </r>
  <r>
    <x v="2"/>
    <s v="Domestic"/>
    <x v="0"/>
    <s v="Female"/>
    <n v="55"/>
    <n v="8"/>
    <n v="400"/>
    <n v="0"/>
    <n v="2"/>
    <n v="0"/>
  </r>
  <r>
    <x v="2"/>
    <s v="Domestic"/>
    <x v="1"/>
    <s v="Female"/>
    <n v="43"/>
    <n v="10"/>
    <n v="700"/>
    <n v="2"/>
    <n v="3"/>
    <n v="0"/>
  </r>
  <r>
    <x v="2"/>
    <s v="Domestic"/>
    <x v="0"/>
    <s v="Female"/>
    <n v="41"/>
    <n v="10"/>
    <n v="720"/>
    <n v="1"/>
    <n v="2"/>
    <n v="15"/>
  </r>
  <r>
    <x v="2"/>
    <s v="Foreign"/>
    <x v="0"/>
    <s v="Female"/>
    <n v="38"/>
    <n v="10"/>
    <n v="450"/>
    <n v="4"/>
    <n v="5"/>
    <n v="0"/>
  </r>
  <r>
    <x v="2"/>
    <s v="Foreign"/>
    <x v="0"/>
    <s v="Female"/>
    <n v="39"/>
    <n v="15"/>
    <n v="1000"/>
    <n v="1"/>
    <n v="2"/>
    <n v="0"/>
  </r>
  <r>
    <x v="2"/>
    <s v="Domestic"/>
    <x v="1"/>
    <s v="Male"/>
    <n v="35"/>
    <n v="5"/>
    <n v="350"/>
    <n v="2"/>
    <n v="2"/>
    <n v="0"/>
  </r>
  <r>
    <x v="2"/>
    <s v="Domestic"/>
    <x v="0"/>
    <s v="Female"/>
    <n v="33"/>
    <n v="10"/>
    <n v="800"/>
    <n v="2"/>
    <n v="3"/>
    <n v="0"/>
  </r>
  <r>
    <x v="2"/>
    <s v="Foreign"/>
    <x v="0"/>
    <s v="Female"/>
    <n v="32"/>
    <n v="2"/>
    <n v="200"/>
    <n v="4"/>
    <n v="5"/>
    <n v="5"/>
  </r>
  <r>
    <x v="2"/>
    <s v="Foreign"/>
    <x v="0"/>
    <s v="Female"/>
    <n v="28"/>
    <n v="8"/>
    <n v="350"/>
    <n v="3"/>
    <n v="4"/>
    <n v="0"/>
  </r>
  <r>
    <x v="3"/>
    <s v="Domestic"/>
    <x v="0"/>
    <s v="Female"/>
    <n v="21"/>
    <n v="4"/>
    <n v="150"/>
    <n v="0"/>
    <n v="1"/>
    <n v="0"/>
  </r>
  <r>
    <x v="3"/>
    <s v="Domestic"/>
    <x v="1"/>
    <s v="Female"/>
    <n v="62"/>
    <n v="5"/>
    <n v="175"/>
    <n v="0"/>
    <n v="2"/>
    <n v="0"/>
  </r>
  <r>
    <x v="3"/>
    <s v="Domestic"/>
    <x v="0"/>
    <s v="Female"/>
    <n v="61"/>
    <n v="5"/>
    <n v="355"/>
    <n v="0"/>
    <n v="1"/>
    <n v="15"/>
  </r>
  <r>
    <x v="3"/>
    <s v="Foreign"/>
    <x v="0"/>
    <s v="Male"/>
    <n v="60"/>
    <n v="5"/>
    <n v="150"/>
    <n v="0"/>
    <n v="1"/>
    <n v="10"/>
  </r>
  <r>
    <x v="3"/>
    <s v="Domestic"/>
    <x v="1"/>
    <s v="Male"/>
    <n v="58"/>
    <n v="10"/>
    <n v="600"/>
    <n v="0"/>
    <n v="1"/>
    <n v="35"/>
  </r>
  <r>
    <x v="3"/>
    <s v="Domestic"/>
    <x v="0"/>
    <s v="Female"/>
    <n v="51"/>
    <n v="11"/>
    <n v="600"/>
    <n v="0"/>
    <n v="1"/>
    <n v="40"/>
  </r>
  <r>
    <x v="3"/>
    <s v="Domestic"/>
    <x v="0"/>
    <s v="Female"/>
    <n v="47"/>
    <n v="4"/>
    <n v="300"/>
    <n v="0"/>
    <n v="1"/>
    <n v="21"/>
  </r>
  <r>
    <x v="3"/>
    <s v="Domestic"/>
    <x v="1"/>
    <s v="Male"/>
    <n v="46"/>
    <n v="4"/>
    <n v="275"/>
    <n v="0"/>
    <n v="1"/>
    <n v="18"/>
  </r>
  <r>
    <x v="3"/>
    <s v="Domestic"/>
    <x v="1"/>
    <s v="Male"/>
    <n v="44"/>
    <n v="6"/>
    <n v="285"/>
    <n v="2"/>
    <n v="3"/>
    <n v="16"/>
  </r>
  <r>
    <x v="3"/>
    <s v="Foreign"/>
    <x v="1"/>
    <s v="Female"/>
    <n v="42"/>
    <n v="5"/>
    <n v="400"/>
    <n v="2"/>
    <n v="3"/>
    <n v="22"/>
  </r>
  <r>
    <x v="3"/>
    <s v="Foreign"/>
    <x v="0"/>
    <s v="Female"/>
    <n v="41"/>
    <n v="5"/>
    <n v="350"/>
    <n v="2"/>
    <n v="2"/>
    <n v="23"/>
  </r>
  <r>
    <x v="3"/>
    <s v="Domestic"/>
    <x v="1"/>
    <s v="Female"/>
    <n v="41"/>
    <n v="10"/>
    <n v="600"/>
    <n v="1"/>
    <n v="2"/>
    <n v="34"/>
  </r>
  <r>
    <x v="3"/>
    <s v="Domestic"/>
    <x v="0"/>
    <s v="Female"/>
    <n v="39"/>
    <n v="10"/>
    <n v="700"/>
    <n v="1"/>
    <n v="2"/>
    <n v="45"/>
  </r>
  <r>
    <x v="3"/>
    <s v="Foreign"/>
    <x v="0"/>
    <s v="Female"/>
    <n v="34"/>
    <n v="10"/>
    <n v="600"/>
    <n v="1"/>
    <n v="2"/>
    <n v="16"/>
  </r>
  <r>
    <x v="3"/>
    <s v="Foreign"/>
    <x v="0"/>
    <s v="Male"/>
    <n v="33"/>
    <n v="5"/>
    <n v="400"/>
    <n v="1"/>
    <n v="2"/>
    <n v="22"/>
  </r>
  <r>
    <x v="3"/>
    <s v="Foreign"/>
    <x v="0"/>
    <s v="Male"/>
    <n v="30"/>
    <n v="5"/>
    <n v="350"/>
    <n v="1"/>
    <n v="2"/>
    <n v="18"/>
  </r>
  <r>
    <x v="3"/>
    <s v="Domestic"/>
    <x v="0"/>
    <s v="Female"/>
    <n v="29"/>
    <n v="5"/>
    <n v="250"/>
    <n v="0"/>
    <n v="1"/>
    <n v="19"/>
  </r>
  <r>
    <x v="3"/>
    <s v="Foreign"/>
    <x v="0"/>
    <s v="Female"/>
    <n v="27"/>
    <n v="6"/>
    <n v="355"/>
    <n v="0"/>
    <n v="2"/>
    <n v="23"/>
  </r>
  <r>
    <x v="3"/>
    <s v="Foreign"/>
    <x v="0"/>
    <s v="Female"/>
    <n v="26"/>
    <n v="5"/>
    <n v="175"/>
    <n v="0"/>
    <n v="1"/>
    <n v="11"/>
  </r>
  <r>
    <x v="3"/>
    <s v="Domestic"/>
    <x v="1"/>
    <s v="Female"/>
    <n v="24"/>
    <n v="5"/>
    <n v="300"/>
    <n v="0"/>
    <n v="1"/>
    <n v="4"/>
  </r>
  <r>
    <x v="3"/>
    <s v="Domestic"/>
    <x v="0"/>
    <s v="Female"/>
    <n v="22"/>
    <n v="5"/>
    <n v="350"/>
    <n v="0"/>
    <n v="1"/>
    <n v="3"/>
  </r>
  <r>
    <x v="3"/>
    <s v="Foreign"/>
    <x v="1"/>
    <s v="Female"/>
    <n v="19"/>
    <n v="5"/>
    <n v="500"/>
    <n v="0"/>
    <n v="2"/>
    <n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Domestic"/>
    <s v="Yes"/>
    <s v="Male"/>
    <n v="31"/>
    <n v="10"/>
    <n v="450"/>
    <n v="0"/>
    <n v="1"/>
    <n v="30"/>
  </r>
  <r>
    <s v="Domestic"/>
    <s v="Yes"/>
    <s v="Male"/>
    <n v="29"/>
    <n v="5"/>
    <n v="370"/>
    <n v="1"/>
    <n v="1"/>
    <n v="22"/>
  </r>
  <r>
    <s v="Foreign"/>
    <s v="No"/>
    <s v="Male"/>
    <n v="26"/>
    <n v="12"/>
    <n v="580"/>
    <n v="0"/>
    <n v="1"/>
    <n v="15"/>
  </r>
  <r>
    <s v="Domestic"/>
    <s v="No"/>
    <s v="Male"/>
    <n v="18"/>
    <n v="6"/>
    <n v="300"/>
    <n v="0"/>
    <n v="1"/>
    <n v="20"/>
  </r>
  <r>
    <s v="Domestic"/>
    <s v="Yes"/>
    <s v="Male"/>
    <n v="49"/>
    <n v="21"/>
    <n v="1000"/>
    <n v="0"/>
    <n v="1"/>
    <n v="22"/>
  </r>
  <r>
    <s v="Foreign"/>
    <s v="Yes"/>
    <s v="Male"/>
    <n v="50"/>
    <n v="16"/>
    <n v="840"/>
    <n v="2"/>
    <n v="1"/>
    <n v="45"/>
  </r>
  <r>
    <s v="Domestic"/>
    <s v="Yes"/>
    <s v="Male"/>
    <n v="48"/>
    <n v="15"/>
    <n v="1400"/>
    <n v="3"/>
    <n v="4"/>
    <n v="25"/>
  </r>
  <r>
    <s v="Foreign"/>
    <s v="Yes"/>
    <s v="Male"/>
    <n v="45"/>
    <n v="5"/>
    <n v="300"/>
    <n v="2"/>
    <n v="2"/>
    <n v="20"/>
  </r>
  <r>
    <s v="Domestic"/>
    <s v="Yes"/>
    <s v="Male"/>
    <n v="45"/>
    <n v="15"/>
    <n v="850"/>
    <n v="0"/>
    <n v="1"/>
    <n v="25"/>
  </r>
  <r>
    <s v="Domestic"/>
    <s v="Yes"/>
    <s v="Male"/>
    <n v="44"/>
    <n v="10"/>
    <n v="700"/>
    <n v="2"/>
    <n v="1"/>
    <n v="40"/>
  </r>
  <r>
    <s v="Foreign"/>
    <s v="Yes"/>
    <s v="Male"/>
    <n v="41"/>
    <n v="5"/>
    <n v="350"/>
    <n v="1"/>
    <n v="1"/>
    <n v="20"/>
  </r>
  <r>
    <s v="Domestic"/>
    <s v="Yes"/>
    <s v="Male"/>
    <n v="41"/>
    <n v="30"/>
    <n v="1500"/>
    <n v="4"/>
    <n v="3"/>
    <n v="15"/>
  </r>
  <r>
    <s v="Foreign"/>
    <s v="No"/>
    <s v="Female"/>
    <n v="39"/>
    <n v="6"/>
    <n v="280"/>
    <n v="1"/>
    <n v="1"/>
    <n v="17"/>
  </r>
  <r>
    <s v="Foreign"/>
    <s v="Yes"/>
    <s v="Female"/>
    <n v="36"/>
    <n v="4"/>
    <n v="400"/>
    <n v="0"/>
    <n v="1"/>
    <n v="20"/>
  </r>
  <r>
    <s v="Foreign"/>
    <s v="Yes"/>
    <s v="Female"/>
    <n v="33"/>
    <n v="3"/>
    <n v="420"/>
    <n v="0"/>
    <n v="1"/>
    <n v="25"/>
  </r>
  <r>
    <s v="Domestic"/>
    <s v="Yes"/>
    <s v="Male"/>
    <n v="31"/>
    <n v="10"/>
    <n v="675"/>
    <n v="0"/>
    <n v="1"/>
    <n v="35"/>
  </r>
  <r>
    <s v="Domestic"/>
    <s v="No"/>
    <s v="Female"/>
    <n v="31"/>
    <n v="15"/>
    <n v="800"/>
    <n v="1"/>
    <n v="1"/>
    <n v="50"/>
  </r>
  <r>
    <s v="Domestic"/>
    <s v="No"/>
    <s v="Female"/>
    <n v="29"/>
    <n v="4"/>
    <n v="300"/>
    <n v="1"/>
    <n v="1"/>
    <n v="20"/>
  </r>
  <r>
    <s v="Domestic"/>
    <s v="Yes"/>
    <s v="Male"/>
    <n v="28"/>
    <n v="3"/>
    <n v="400"/>
    <n v="1"/>
    <n v="1"/>
    <n v="15"/>
  </r>
  <r>
    <s v="Domestic"/>
    <s v="Yes"/>
    <s v="Female"/>
    <n v="55"/>
    <n v="8"/>
    <n v="400"/>
    <n v="0"/>
    <n v="2"/>
    <n v="0"/>
  </r>
  <r>
    <s v="Domestic"/>
    <s v="No"/>
    <s v="Female"/>
    <n v="43"/>
    <n v="10"/>
    <n v="700"/>
    <n v="2"/>
    <n v="3"/>
    <n v="0"/>
  </r>
  <r>
    <s v="Domestic"/>
    <s v="Yes"/>
    <s v="Female"/>
    <n v="41"/>
    <n v="10"/>
    <n v="720"/>
    <n v="1"/>
    <n v="2"/>
    <n v="15"/>
  </r>
  <r>
    <s v="Foreign"/>
    <s v="Yes"/>
    <s v="Female"/>
    <n v="38"/>
    <n v="10"/>
    <n v="450"/>
    <n v="4"/>
    <n v="5"/>
    <n v="0"/>
  </r>
  <r>
    <s v="Foreign"/>
    <s v="Yes"/>
    <s v="Female"/>
    <n v="39"/>
    <n v="15"/>
    <n v="1000"/>
    <n v="1"/>
    <n v="2"/>
    <n v="0"/>
  </r>
  <r>
    <s v="Domestic"/>
    <s v="No"/>
    <s v="Male"/>
    <n v="35"/>
    <n v="5"/>
    <n v="350"/>
    <n v="2"/>
    <n v="2"/>
    <n v="0"/>
  </r>
  <r>
    <s v="Domestic"/>
    <s v="Yes"/>
    <s v="Female"/>
    <n v="33"/>
    <n v="10"/>
    <n v="800"/>
    <n v="2"/>
    <n v="3"/>
    <n v="0"/>
  </r>
  <r>
    <s v="Foreign"/>
    <s v="Yes"/>
    <s v="Female"/>
    <n v="32"/>
    <n v="2"/>
    <n v="200"/>
    <n v="4"/>
    <n v="5"/>
    <n v="5"/>
  </r>
  <r>
    <s v="Foreign"/>
    <s v="Yes"/>
    <s v="Female"/>
    <n v="28"/>
    <n v="8"/>
    <n v="350"/>
    <n v="3"/>
    <n v="4"/>
    <n v="0"/>
  </r>
  <r>
    <s v="Domestic"/>
    <s v="Yes"/>
    <s v="Female"/>
    <n v="21"/>
    <n v="4"/>
    <n v="150"/>
    <n v="0"/>
    <n v="1"/>
    <n v="0"/>
  </r>
  <r>
    <s v="Domestic"/>
    <s v="No"/>
    <s v="Female"/>
    <n v="62"/>
    <n v="5"/>
    <n v="175"/>
    <n v="0"/>
    <n v="2"/>
    <n v="0"/>
  </r>
  <r>
    <s v="Domestic"/>
    <s v="Yes"/>
    <s v="Female"/>
    <n v="61"/>
    <n v="5"/>
    <n v="355"/>
    <n v="0"/>
    <n v="1"/>
    <n v="15"/>
  </r>
  <r>
    <s v="Foreign"/>
    <s v="Yes"/>
    <s v="Male"/>
    <n v="60"/>
    <n v="5"/>
    <n v="150"/>
    <n v="0"/>
    <n v="1"/>
    <n v="10"/>
  </r>
  <r>
    <s v="Domestic"/>
    <s v="No"/>
    <s v="Male"/>
    <n v="58"/>
    <n v="10"/>
    <n v="600"/>
    <n v="0"/>
    <n v="1"/>
    <n v="35"/>
  </r>
  <r>
    <s v="Domestic"/>
    <s v="Yes"/>
    <s v="Female"/>
    <n v="51"/>
    <n v="11"/>
    <n v="600"/>
    <n v="0"/>
    <n v="1"/>
    <n v="40"/>
  </r>
  <r>
    <s v="Domestic"/>
    <s v="Yes"/>
    <s v="Female"/>
    <n v="47"/>
    <n v="4"/>
    <n v="300"/>
    <n v="0"/>
    <n v="1"/>
    <n v="21"/>
  </r>
  <r>
    <s v="Domestic"/>
    <s v="No"/>
    <s v="Male"/>
    <n v="46"/>
    <n v="4"/>
    <n v="275"/>
    <n v="0"/>
    <n v="1"/>
    <n v="18"/>
  </r>
  <r>
    <s v="Domestic"/>
    <s v="No"/>
    <s v="Male"/>
    <n v="44"/>
    <n v="6"/>
    <n v="285"/>
    <n v="2"/>
    <n v="3"/>
    <n v="16"/>
  </r>
  <r>
    <s v="Foreign"/>
    <s v="No"/>
    <s v="Female"/>
    <n v="42"/>
    <n v="5"/>
    <n v="400"/>
    <n v="2"/>
    <n v="3"/>
    <n v="22"/>
  </r>
  <r>
    <s v="Foreign"/>
    <s v="Yes"/>
    <s v="Female"/>
    <n v="41"/>
    <n v="5"/>
    <n v="350"/>
    <n v="2"/>
    <n v="2"/>
    <n v="23"/>
  </r>
  <r>
    <s v="Domestic"/>
    <s v="No"/>
    <s v="Female"/>
    <n v="41"/>
    <n v="10"/>
    <n v="600"/>
    <n v="1"/>
    <n v="2"/>
    <n v="34"/>
  </r>
  <r>
    <s v="Domestic"/>
    <s v="Yes"/>
    <s v="Female"/>
    <n v="39"/>
    <n v="10"/>
    <n v="700"/>
    <n v="1"/>
    <n v="2"/>
    <n v="45"/>
  </r>
  <r>
    <s v="Foreign"/>
    <s v="Yes"/>
    <s v="Female"/>
    <n v="34"/>
    <n v="10"/>
    <n v="600"/>
    <n v="1"/>
    <n v="2"/>
    <n v="16"/>
  </r>
  <r>
    <s v="Foreign"/>
    <s v="Yes"/>
    <s v="Male"/>
    <n v="33"/>
    <n v="5"/>
    <n v="400"/>
    <n v="1"/>
    <n v="2"/>
    <n v="22"/>
  </r>
  <r>
    <s v="Foreign"/>
    <s v="Yes"/>
    <s v="Male"/>
    <n v="30"/>
    <n v="5"/>
    <n v="350"/>
    <n v="1"/>
    <n v="2"/>
    <n v="18"/>
  </r>
  <r>
    <s v="Domestic"/>
    <s v="Yes"/>
    <s v="Female"/>
    <n v="29"/>
    <n v="5"/>
    <n v="250"/>
    <n v="0"/>
    <n v="1"/>
    <n v="19"/>
  </r>
  <r>
    <s v="Foreign"/>
    <s v="Yes"/>
    <s v="Female"/>
    <n v="27"/>
    <n v="6"/>
    <n v="355"/>
    <n v="0"/>
    <n v="2"/>
    <n v="23"/>
  </r>
  <r>
    <s v="Foreign"/>
    <s v="Yes"/>
    <s v="Female"/>
    <n v="26"/>
    <n v="5"/>
    <n v="175"/>
    <n v="0"/>
    <n v="1"/>
    <n v="11"/>
  </r>
  <r>
    <s v="Domestic"/>
    <s v="No"/>
    <s v="Female"/>
    <n v="24"/>
    <n v="5"/>
    <n v="300"/>
    <n v="0"/>
    <n v="1"/>
    <n v="4"/>
  </r>
  <r>
    <s v="Domestic"/>
    <s v="Yes"/>
    <s v="Female"/>
    <n v="22"/>
    <n v="5"/>
    <n v="350"/>
    <n v="0"/>
    <n v="1"/>
    <n v="3"/>
  </r>
  <r>
    <s v="Foreign"/>
    <s v="No"/>
    <s v="Female"/>
    <n v="19"/>
    <n v="5"/>
    <n v="500"/>
    <n v="0"/>
    <n v="2"/>
    <n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1315"/>
    <n v="0.22"/>
    <n v="26636"/>
    <n v="85"/>
    <x v="0"/>
  </r>
  <r>
    <x v="1"/>
    <x v="0"/>
    <n v="1220"/>
    <n v="0.53"/>
    <n v="17653"/>
    <n v="69"/>
    <x v="1"/>
  </r>
  <r>
    <x v="2"/>
    <x v="0"/>
    <n v="1240"/>
    <n v="0.36"/>
    <n v="17554"/>
    <n v="58"/>
    <x v="2"/>
  </r>
  <r>
    <x v="3"/>
    <x v="0"/>
    <n v="1300"/>
    <n v="0.24"/>
    <n v="25703"/>
    <n v="78"/>
    <x v="3"/>
  </r>
  <r>
    <x v="4"/>
    <x v="0"/>
    <n v="1255"/>
    <n v="0.56000000000000005"/>
    <n v="18847"/>
    <n v="70"/>
    <x v="4"/>
  </r>
  <r>
    <x v="5"/>
    <x v="0"/>
    <n v="1300"/>
    <n v="0.4"/>
    <n v="15904"/>
    <n v="75"/>
    <x v="1"/>
  </r>
  <r>
    <x v="6"/>
    <x v="0"/>
    <n v="1260"/>
    <n v="0.36"/>
    <n v="20377"/>
    <n v="68"/>
    <x v="5"/>
  </r>
  <r>
    <x v="7"/>
    <x v="0"/>
    <n v="1200"/>
    <n v="0.46"/>
    <n v="18872"/>
    <n v="52"/>
    <x v="4"/>
  </r>
  <r>
    <x v="8"/>
    <x v="0"/>
    <n v="1258"/>
    <n v="0.38"/>
    <n v="17520"/>
    <n v="61"/>
    <x v="6"/>
  </r>
  <r>
    <x v="9"/>
    <x v="0"/>
    <n v="1230"/>
    <n v="0.36"/>
    <n v="17721"/>
    <n v="77"/>
    <x v="7"/>
  </r>
  <r>
    <x v="10"/>
    <x v="0"/>
    <n v="1244"/>
    <n v="0.67"/>
    <n v="22301"/>
    <n v="65"/>
    <x v="8"/>
  </r>
  <r>
    <x v="11"/>
    <x v="0"/>
    <n v="1215"/>
    <n v="0.38"/>
    <n v="20722"/>
    <n v="51"/>
    <x v="6"/>
  </r>
  <r>
    <x v="12"/>
    <x v="0"/>
    <n v="1285"/>
    <n v="0.35"/>
    <n v="19418"/>
    <n v="71"/>
    <x v="9"/>
  </r>
  <r>
    <x v="13"/>
    <x v="0"/>
    <n v="1255"/>
    <n v="0.25"/>
    <n v="24718"/>
    <n v="65"/>
    <x v="10"/>
  </r>
  <r>
    <x v="14"/>
    <x v="0"/>
    <n v="1200"/>
    <n v="0.61"/>
    <n v="23358"/>
    <n v="47"/>
    <x v="11"/>
  </r>
  <r>
    <x v="15"/>
    <x v="0"/>
    <n v="1247"/>
    <n v="0.54"/>
    <n v="23591"/>
    <n v="64"/>
    <x v="12"/>
  </r>
  <r>
    <x v="16"/>
    <x v="0"/>
    <n v="1170"/>
    <n v="0.49"/>
    <n v="20192"/>
    <n v="54"/>
    <x v="13"/>
  </r>
  <r>
    <x v="17"/>
    <x v="0"/>
    <n v="1320"/>
    <n v="0.33"/>
    <n v="26668"/>
    <n v="79"/>
    <x v="1"/>
  </r>
  <r>
    <x v="18"/>
    <x v="0"/>
    <n v="1195"/>
    <n v="0.56999999999999995"/>
    <n v="25271"/>
    <n v="65"/>
    <x v="9"/>
  </r>
  <r>
    <x v="19"/>
    <x v="0"/>
    <n v="1310"/>
    <n v="0.24"/>
    <n v="27487"/>
    <n v="78"/>
    <x v="2"/>
  </r>
  <r>
    <x v="20"/>
    <x v="0"/>
    <n v="1287"/>
    <n v="0.43"/>
    <n v="20179"/>
    <n v="53"/>
    <x v="4"/>
  </r>
  <r>
    <x v="21"/>
    <x v="0"/>
    <n v="1234"/>
    <n v="0.28999999999999998"/>
    <n v="17998"/>
    <n v="61"/>
    <x v="14"/>
  </r>
  <r>
    <x v="22"/>
    <x v="0"/>
    <n v="1250"/>
    <n v="0.49"/>
    <n v="27879"/>
    <n v="76"/>
    <x v="15"/>
  </r>
  <r>
    <x v="23"/>
    <x v="0"/>
    <n v="1290"/>
    <n v="0.35"/>
    <n v="19948"/>
    <n v="73"/>
    <x v="16"/>
  </r>
  <r>
    <x v="24"/>
    <x v="0"/>
    <n v="1336"/>
    <n v="0.28000000000000003"/>
    <n v="23772"/>
    <n v="86"/>
    <x v="0"/>
  </r>
  <r>
    <x v="25"/>
    <x v="1"/>
    <n v="1176"/>
    <n v="0.37"/>
    <n v="23665"/>
    <n v="95"/>
    <x v="17"/>
  </r>
  <r>
    <x v="26"/>
    <x v="1"/>
    <n v="1281"/>
    <n v="0.24"/>
    <n v="24201"/>
    <n v="80"/>
    <x v="3"/>
  </r>
  <r>
    <x v="27"/>
    <x v="1"/>
    <n v="1400"/>
    <n v="0.31"/>
    <n v="102262"/>
    <n v="98"/>
    <x v="18"/>
  </r>
  <r>
    <x v="28"/>
    <x v="1"/>
    <n v="1225"/>
    <n v="0.64"/>
    <n v="33607"/>
    <n v="52"/>
    <x v="12"/>
  </r>
  <r>
    <x v="29"/>
    <x v="1"/>
    <n v="1268"/>
    <n v="0.28999999999999998"/>
    <n v="45879"/>
    <n v="78"/>
    <x v="3"/>
  </r>
  <r>
    <x v="30"/>
    <x v="1"/>
    <n v="1280"/>
    <n v="0.3"/>
    <n v="37137"/>
    <n v="85"/>
    <x v="11"/>
  </r>
  <r>
    <x v="31"/>
    <x v="1"/>
    <n v="1310"/>
    <n v="0.25"/>
    <n v="39504"/>
    <n v="91"/>
    <x v="16"/>
  </r>
  <r>
    <x v="32"/>
    <x v="1"/>
    <n v="1278"/>
    <n v="0.24"/>
    <n v="23115"/>
    <n v="79"/>
    <x v="7"/>
  </r>
  <r>
    <x v="33"/>
    <x v="1"/>
    <n v="1370"/>
    <n v="0.18"/>
    <n v="46918"/>
    <n v="90"/>
    <x v="3"/>
  </r>
  <r>
    <x v="34"/>
    <x v="1"/>
    <n v="1290"/>
    <n v="0.48"/>
    <n v="45460"/>
    <n v="69"/>
    <x v="15"/>
  </r>
  <r>
    <x v="35"/>
    <x v="1"/>
    <n v="1357"/>
    <n v="0.3"/>
    <n v="56766"/>
    <n v="95"/>
    <x v="15"/>
  </r>
  <r>
    <x v="36"/>
    <x v="1"/>
    <n v="1230"/>
    <n v="0.47"/>
    <n v="28851"/>
    <n v="77"/>
    <x v="19"/>
  </r>
  <r>
    <x v="37"/>
    <x v="1"/>
    <n v="1340"/>
    <n v="0.17"/>
    <n v="48123"/>
    <n v="89"/>
    <x v="0"/>
  </r>
  <r>
    <x v="38"/>
    <x v="1"/>
    <n v="1327"/>
    <n v="0.24"/>
    <n v="26730"/>
    <n v="85"/>
    <x v="2"/>
  </r>
  <r>
    <x v="39"/>
    <x v="1"/>
    <n v="1370"/>
    <n v="0.18"/>
    <n v="61921"/>
    <n v="92"/>
    <x v="2"/>
  </r>
  <r>
    <x v="40"/>
    <x v="1"/>
    <n v="1195"/>
    <n v="0.6"/>
    <n v="21853"/>
    <n v="71"/>
    <x v="12"/>
  </r>
  <r>
    <x v="41"/>
    <x v="1"/>
    <n v="1300"/>
    <n v="0.45"/>
    <n v="38937"/>
    <n v="74"/>
    <x v="8"/>
  </r>
  <r>
    <x v="42"/>
    <x v="1"/>
    <n v="1155"/>
    <n v="0.56000000000000005"/>
    <n v="38597"/>
    <n v="52"/>
    <x v="8"/>
  </r>
  <r>
    <x v="43"/>
    <x v="1"/>
    <n v="1280"/>
    <n v="0.41"/>
    <n v="30882"/>
    <n v="87"/>
    <x v="15"/>
  </r>
  <r>
    <x v="44"/>
    <x v="1"/>
    <n v="1218"/>
    <n v="0.37"/>
    <n v="19365"/>
    <n v="77"/>
    <x v="2"/>
  </r>
  <r>
    <x v="45"/>
    <x v="1"/>
    <n v="1142"/>
    <n v="0.43"/>
    <n v="26859"/>
    <n v="96"/>
    <x v="20"/>
  </r>
  <r>
    <x v="46"/>
    <x v="1"/>
    <n v="1109"/>
    <n v="0.32"/>
    <n v="19684"/>
    <n v="82"/>
    <x v="8"/>
  </r>
  <r>
    <x v="47"/>
    <x v="1"/>
    <n v="1225"/>
    <n v="0.54"/>
    <n v="39883"/>
    <n v="71"/>
    <x v="21"/>
  </r>
  <r>
    <x v="48"/>
    <x v="1"/>
    <n v="1350"/>
    <n v="0.19"/>
    <n v="52468"/>
    <n v="9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7BDC62-79E7-49C2-8FB2-7F1CF81F6429}" name="PivotTable11" cacheId="3"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location ref="AA4:AC7" firstHeaderRow="0" firstDataRow="1" firstDataCol="1"/>
  <pivotFields count="7">
    <pivotField subtotalTop="0" showAll="0">
      <items count="50">
        <item x="0"/>
        <item x="1"/>
        <item x="2"/>
        <item x="25"/>
        <item x="3"/>
        <item x="26"/>
        <item x="4"/>
        <item x="27"/>
        <item x="5"/>
        <item x="28"/>
        <item x="6"/>
        <item x="7"/>
        <item x="8"/>
        <item x="29"/>
        <item x="30"/>
        <item x="9"/>
        <item x="31"/>
        <item x="32"/>
        <item x="10"/>
        <item x="11"/>
        <item x="33"/>
        <item x="12"/>
        <item x="34"/>
        <item x="13"/>
        <item x="35"/>
        <item x="14"/>
        <item x="36"/>
        <item x="15"/>
        <item x="16"/>
        <item x="17"/>
        <item x="37"/>
        <item x="38"/>
        <item x="18"/>
        <item x="39"/>
        <item x="19"/>
        <item x="40"/>
        <item x="41"/>
        <item x="42"/>
        <item x="43"/>
        <item x="44"/>
        <item x="45"/>
        <item x="46"/>
        <item x="20"/>
        <item x="47"/>
        <item x="21"/>
        <item x="22"/>
        <item x="23"/>
        <item x="24"/>
        <item x="48"/>
        <item t="default"/>
      </items>
    </pivotField>
    <pivotField axis="axisRow" subtotalTop="0" showAll="0">
      <items count="3">
        <item x="0"/>
        <item x="1"/>
        <item t="default"/>
      </items>
    </pivotField>
    <pivotField subtotalTop="0" showAll="0"/>
    <pivotField numFmtId="9" subtotalTop="0" showAll="0"/>
    <pivotField numFmtId="164" subtotalTop="0" showAll="0"/>
    <pivotField subtotalTop="0" showAll="0"/>
    <pivotField dataField="1" subtotalTop="0" showAll="0">
      <items count="23">
        <item x="20"/>
        <item x="17"/>
        <item x="13"/>
        <item x="8"/>
        <item x="5"/>
        <item x="18"/>
        <item x="21"/>
        <item x="12"/>
        <item x="14"/>
        <item x="1"/>
        <item x="19"/>
        <item x="11"/>
        <item x="4"/>
        <item x="6"/>
        <item x="15"/>
        <item x="9"/>
        <item x="2"/>
        <item x="7"/>
        <item x="3"/>
        <item x="16"/>
        <item x="10"/>
        <item x="0"/>
        <item t="default"/>
      </items>
    </pivotField>
  </pivotFields>
  <rowFields count="1">
    <field x="1"/>
  </rowFields>
  <rowItems count="3">
    <i>
      <x/>
    </i>
    <i>
      <x v="1"/>
    </i>
    <i t="grand">
      <x/>
    </i>
  </rowItems>
  <colFields count="1">
    <field x="-2"/>
  </colFields>
  <colItems count="2">
    <i>
      <x/>
    </i>
    <i i="1">
      <x v="1"/>
    </i>
  </colItems>
  <dataFields count="2">
    <dataField name="Average of Graduation %" fld="6" subtotal="average" baseField="0" baseItem="0"/>
    <dataField name="Count of Graduation %"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22AF36-C013-49CC-9248-0ECA99D3870A}"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2:P5" firstHeaderRow="1" firstDataRow="1" firstDataCol="1"/>
  <pivotFields count="7">
    <pivotField subtotalTop="0" showAll="0"/>
    <pivotField subtotalTop="0" showAll="0"/>
    <pivotField subtotalTop="0" showAll="0"/>
    <pivotField subtotalTop="0" showAll="0"/>
    <pivotField subtotalTop="0" showAll="0"/>
    <pivotField subtotalTop="0" showAll="0"/>
    <pivotField axis="axisRow" dataField="1" subtotalTop="0" showAll="0">
      <items count="3">
        <item x="0"/>
        <item x="1"/>
        <item t="default"/>
      </items>
    </pivotField>
  </pivotFields>
  <rowFields count="1">
    <field x="6"/>
  </rowFields>
  <rowItems count="3">
    <i>
      <x/>
    </i>
    <i>
      <x v="1"/>
    </i>
    <i t="grand">
      <x/>
    </i>
  </rowItems>
  <colItems count="1">
    <i/>
  </colItems>
  <dataFields count="1">
    <dataField name="Count of Premium/Deductibl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70912E-7109-4730-97AF-C81DD6254589}" name="PivotTable3" cacheId="2"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T3:U7" firstHeaderRow="1" firstDataRow="1" firstDataCol="1"/>
  <pivotFields count="9">
    <pivotField subtotalTop="0" showAll="0"/>
    <pivotField subtotalTop="0" showAll="0"/>
    <pivotField subtotalTop="0" showAll="0"/>
    <pivotField subtotalTop="0" showAll="0"/>
    <pivotField dataField="1" numFmtId="1" subtotalTop="0" showAll="0"/>
    <pivotField dataField="1" subtotalTop="0" showAll="0"/>
    <pivotField subtotalTop="0" showAll="0"/>
    <pivotField subtotalTop="0" showAll="0"/>
    <pivotField subtotalTop="0" showAll="0"/>
  </pivotFields>
  <rowFields count="1">
    <field x="-2"/>
  </rowFields>
  <rowItems count="4">
    <i>
      <x/>
    </i>
    <i i="1">
      <x v="1"/>
    </i>
    <i i="2">
      <x v="2"/>
    </i>
    <i i="3">
      <x v="3"/>
    </i>
  </rowItems>
  <colItems count="1">
    <i/>
  </colItems>
  <dataFields count="4">
    <dataField name="Average of # of hours per week in vehicle" fld="4" subtotal="average" baseField="0" baseItem="649183312"/>
    <dataField name="StdDev of # of hours per week in vehicle" fld="4" subtotal="stdDev" baseField="0" baseItem="1"/>
    <dataField name="Average of Miles driven per week" fld="5" subtotal="average" baseField="0" baseItem="1"/>
    <dataField name="StdDev of Miles driven per week2" fld="5" subtotal="stdDev"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7B6D1A-6B08-4814-A056-EF908CACF93E}"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W3:Y4" firstHeaderRow="0" firstDataRow="1" firstDataCol="0" rowPageCount="1" colPageCount="1"/>
  <pivotFields count="10">
    <pivotField axis="axisPage" subtotalTop="0" showAll="0">
      <items count="5">
        <item x="3"/>
        <item x="2"/>
        <item x="1"/>
        <item x="0"/>
        <item t="default"/>
      </items>
    </pivotField>
    <pivotField subtotalTop="0" showAll="0"/>
    <pivotField subtotalTop="0" showAll="0"/>
    <pivotField subtotalTop="0" showAll="0"/>
    <pivotField dataField="1" subtotalTop="0" showAll="0"/>
    <pivotField numFmtId="1" subtotalTop="0" showAll="0"/>
    <pivotField subtotalTop="0" showAll="0"/>
    <pivotField subtotalTop="0" showAll="0"/>
    <pivotField subtotalTop="0" showAll="0"/>
    <pivotField subtotalTop="0" showAll="0"/>
  </pivotFields>
  <rowItems count="1">
    <i/>
  </rowItems>
  <colFields count="1">
    <field x="-2"/>
  </colFields>
  <colItems count="3">
    <i>
      <x/>
    </i>
    <i i="1">
      <x v="1"/>
    </i>
    <i i="2">
      <x v="2"/>
    </i>
  </colItems>
  <pageFields count="1">
    <pageField fld="0" item="2" hier="-1"/>
  </pageFields>
  <dataFields count="3">
    <dataField name="Average of Age" fld="4" subtotal="average" baseField="0" baseItem="1"/>
    <dataField name="StdDev of Age2" fld="4" subtotal="stdDev" baseField="0" baseItem="1"/>
    <dataField name="Count of Age" fld="4"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365292-A7A8-4FB3-9ADD-A442DB47FA17}"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W7:X10" firstHeaderRow="1" firstDataRow="1" firstDataCol="1"/>
  <pivotFields count="10">
    <pivotField subtotalTop="0" showAll="0"/>
    <pivotField subtotalTop="0" showAll="0"/>
    <pivotField axis="axisRow" dataField="1" subtotalTop="0" showAll="0">
      <items count="3">
        <item x="1"/>
        <item x="0"/>
        <item t="default"/>
      </items>
    </pivotField>
    <pivotField subtotalTop="0" showAll="0"/>
    <pivotField subtotalTop="0" showAll="0"/>
    <pivotField numFmtId="1" subtotalTop="0" showAll="0"/>
    <pivotField subtotalTop="0" showAll="0"/>
    <pivotField subtotalTop="0" showAll="0"/>
    <pivotField subtotalTop="0" showAll="0"/>
    <pivotField subtotalTop="0" showAll="0"/>
  </pivotFields>
  <rowFields count="1">
    <field x="2"/>
  </rowFields>
  <rowItems count="3">
    <i>
      <x/>
    </i>
    <i>
      <x v="1"/>
    </i>
    <i t="grand">
      <x/>
    </i>
  </rowItems>
  <colItems count="1">
    <i/>
  </colItems>
  <dataFields count="1">
    <dataField name="Count of Satisfaction with vehicle" fld="2"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022543-7D2E-44BF-A88C-63280AEFEB57}" name="Table2" displayName="Table2" ref="A3:G52" totalsRowShown="0" headerRowDxfId="19" dataDxfId="17" headerRowBorderDxfId="18">
  <autoFilter ref="A3:G52" xr:uid="{DBEFAA17-2FA8-4C70-A10C-34A2B045B5DC}"/>
  <tableColumns count="7">
    <tableColumn id="1" xr3:uid="{6829C7D5-FEBC-466B-B5E7-B531C5574759}" name="School" dataDxfId="16"/>
    <tableColumn id="2" xr3:uid="{A501D694-B417-49D4-9875-EB9F5C3FA39F}" name="Type" dataDxfId="15"/>
    <tableColumn id="3" xr3:uid="{E62FF5CA-2841-4EC4-AA73-CA1548E3A8DB}" name="Median SAT" dataDxfId="14"/>
    <tableColumn id="4" xr3:uid="{055D14EC-1090-4C27-9577-F61818B9BA4F}" name="Acceptance Rate" dataDxfId="13" dataCellStyle="Percent"/>
    <tableColumn id="5" xr3:uid="{1AE9D833-1D46-4A0B-9B5D-168C96E2BEB5}" name="Expenditures/Student" dataDxfId="12" dataCellStyle="Currency"/>
    <tableColumn id="6" xr3:uid="{CCCE43F1-A39A-4746-BDC6-F1F732B97A83}" name="Top 10% HS" dataDxfId="11"/>
    <tableColumn id="7" xr3:uid="{D025841E-2ECB-4132-B1EA-F3535C10FE6C}" name="Graduation %"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887BEA-38DC-44EC-A9E7-E6905E4B9062}" name="Table1" displayName="Table1" ref="A3:G27" totalsRowShown="0" headerRowDxfId="9" dataDxfId="7" headerRowBorderDxfId="8">
  <autoFilter ref="A3:G27" xr:uid="{6A6A2C84-EBD5-4558-88D0-BE34327CDAC5}"/>
  <tableColumns count="7">
    <tableColumn id="1" xr3:uid="{A30628BC-151B-4A23-911E-8EE8B3AC53BF}" name="Age" dataDxfId="6"/>
    <tableColumn id="2" xr3:uid="{2731AAB8-5675-4F87-A541-5D77CC5C6FF3}" name="Gender" dataDxfId="5"/>
    <tableColumn id="3" xr3:uid="{093FAFD2-EDE7-4D6C-BEDA-2D8A11D0E500}" name="Education" dataDxfId="4"/>
    <tableColumn id="4" xr3:uid="{5A7DF7FB-E877-4FC9-8B40-057ED76909D9}" name="Marital Status" dataDxfId="3"/>
    <tableColumn id="5" xr3:uid="{A173BF6B-EBAA-415E-8F1D-4447470F241B}" name="Years Employed" dataDxfId="2"/>
    <tableColumn id="6" xr3:uid="{B7BD978F-BEC5-43B9-B3B1-3E8C2DECA0D5}" name="Satisfaction* " dataDxfId="1"/>
    <tableColumn id="7" xr3:uid="{CA07AACB-0E82-4865-8DC6-39338E758993}" name="Premium/Deductibl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8"/>
  <sheetViews>
    <sheetView topLeftCell="E25" workbookViewId="0">
      <selection activeCell="K31" sqref="K31:U36"/>
    </sheetView>
  </sheetViews>
  <sheetFormatPr defaultRowHeight="15" x14ac:dyDescent="0.25"/>
  <cols>
    <col min="1" max="1" width="20.28515625" style="5" customWidth="1"/>
    <col min="2" max="7" width="8.85546875" style="5"/>
  </cols>
  <sheetData>
    <row r="1" spans="1:17" x14ac:dyDescent="0.25">
      <c r="A1" s="1" t="s">
        <v>6</v>
      </c>
      <c r="B1" s="1"/>
      <c r="C1" s="1"/>
      <c r="D1" s="1"/>
      <c r="E1" s="1"/>
      <c r="F1" s="1"/>
      <c r="G1" s="1"/>
      <c r="L1" t="s">
        <v>209</v>
      </c>
    </row>
    <row r="2" spans="1:17" x14ac:dyDescent="0.25">
      <c r="A2" s="1"/>
      <c r="B2" s="1"/>
      <c r="C2" s="1"/>
      <c r="D2" s="1"/>
      <c r="E2" s="1"/>
      <c r="F2" s="1"/>
      <c r="G2" s="1"/>
    </row>
    <row r="3" spans="1:17" ht="15.75" thickBot="1" x14ac:dyDescent="0.3">
      <c r="A3" s="2" t="s">
        <v>7</v>
      </c>
      <c r="B3" s="2" t="s">
        <v>8</v>
      </c>
      <c r="C3" s="2" t="s">
        <v>9</v>
      </c>
      <c r="D3" s="2" t="s">
        <v>10</v>
      </c>
      <c r="E3" s="2" t="s">
        <v>11</v>
      </c>
      <c r="F3" s="2" t="s">
        <v>12</v>
      </c>
      <c r="G3" s="2" t="s">
        <v>13</v>
      </c>
    </row>
    <row r="4" spans="1:17" ht="15.75" thickTop="1" x14ac:dyDescent="0.25">
      <c r="A4" s="3" t="s">
        <v>14</v>
      </c>
      <c r="B4" s="4">
        <v>95</v>
      </c>
      <c r="C4" s="4">
        <v>98</v>
      </c>
      <c r="D4" s="4">
        <v>89</v>
      </c>
      <c r="E4" s="4">
        <v>95</v>
      </c>
      <c r="F4" s="4">
        <v>91</v>
      </c>
      <c r="G4" s="4">
        <v>83</v>
      </c>
      <c r="K4" s="20" t="s">
        <v>144</v>
      </c>
      <c r="L4" s="30" t="s">
        <v>195</v>
      </c>
      <c r="M4" s="30" t="s">
        <v>195</v>
      </c>
      <c r="N4" s="30" t="s">
        <v>197</v>
      </c>
      <c r="O4" s="30" t="s">
        <v>199</v>
      </c>
      <c r="P4" s="30" t="s">
        <v>201</v>
      </c>
      <c r="Q4" s="30" t="s">
        <v>203</v>
      </c>
    </row>
    <row r="5" spans="1:17" x14ac:dyDescent="0.25">
      <c r="A5" s="3" t="s">
        <v>15</v>
      </c>
      <c r="B5" s="4">
        <v>98</v>
      </c>
      <c r="C5" s="4">
        <v>96</v>
      </c>
      <c r="D5" s="4">
        <v>86</v>
      </c>
      <c r="E5" s="4">
        <v>93</v>
      </c>
      <c r="F5" s="4">
        <v>87</v>
      </c>
      <c r="G5" s="4">
        <v>81</v>
      </c>
      <c r="K5" s="20" t="s">
        <v>145</v>
      </c>
      <c r="L5" s="30" t="s">
        <v>196</v>
      </c>
      <c r="M5" s="30" t="s">
        <v>196</v>
      </c>
      <c r="N5" s="30" t="s">
        <v>198</v>
      </c>
      <c r="O5" s="30" t="s">
        <v>200</v>
      </c>
      <c r="P5" s="30" t="s">
        <v>202</v>
      </c>
      <c r="Q5" s="30" t="s">
        <v>204</v>
      </c>
    </row>
    <row r="6" spans="1:17" x14ac:dyDescent="0.25">
      <c r="A6" s="3" t="s">
        <v>16</v>
      </c>
      <c r="B6" s="4">
        <v>96</v>
      </c>
      <c r="C6" s="4">
        <v>92</v>
      </c>
      <c r="D6" s="4">
        <v>85</v>
      </c>
      <c r="E6" s="4">
        <v>94</v>
      </c>
      <c r="F6" s="4">
        <v>86</v>
      </c>
      <c r="G6" s="4">
        <v>72</v>
      </c>
    </row>
    <row r="7" spans="1:17" ht="15.75" thickBot="1" x14ac:dyDescent="0.3">
      <c r="A7" s="3" t="s">
        <v>17</v>
      </c>
      <c r="B7" s="4">
        <v>94</v>
      </c>
      <c r="C7" s="4">
        <v>95</v>
      </c>
      <c r="D7" s="4">
        <v>88</v>
      </c>
      <c r="E7" s="4">
        <v>82</v>
      </c>
      <c r="F7" s="4">
        <v>88</v>
      </c>
      <c r="G7" s="4">
        <v>69</v>
      </c>
      <c r="L7" s="2" t="s">
        <v>8</v>
      </c>
      <c r="M7" s="2" t="s">
        <v>9</v>
      </c>
      <c r="N7" s="2" t="s">
        <v>10</v>
      </c>
      <c r="O7" s="2" t="s">
        <v>11</v>
      </c>
      <c r="P7" s="2" t="s">
        <v>12</v>
      </c>
      <c r="Q7" s="2" t="s">
        <v>13</v>
      </c>
    </row>
    <row r="8" spans="1:17" ht="15.75" thickTop="1" x14ac:dyDescent="0.25">
      <c r="A8" s="3" t="s">
        <v>18</v>
      </c>
      <c r="B8" s="4">
        <v>99</v>
      </c>
      <c r="C8" s="4">
        <v>92</v>
      </c>
      <c r="D8" s="4">
        <v>74</v>
      </c>
      <c r="E8" s="4">
        <v>89</v>
      </c>
      <c r="F8" s="4">
        <v>88</v>
      </c>
      <c r="G8" s="4">
        <v>68</v>
      </c>
      <c r="K8" s="22" t="s">
        <v>146</v>
      </c>
      <c r="L8" s="60">
        <f>AVERAGE(B4:B34)</f>
        <v>84.935483870967744</v>
      </c>
      <c r="M8" s="60">
        <f>AVERAGE(C4:C34)</f>
        <v>81.290322580645167</v>
      </c>
      <c r="N8" s="60">
        <f t="shared" ref="N8:Q8" si="0">AVERAGE(D4:D34)</f>
        <v>64.193548387096769</v>
      </c>
      <c r="O8" s="60">
        <f t="shared" si="0"/>
        <v>75.677419354838705</v>
      </c>
      <c r="P8" s="60">
        <f t="shared" si="0"/>
        <v>71.709677419354833</v>
      </c>
      <c r="Q8" s="60">
        <f t="shared" si="0"/>
        <v>51.193548387096776</v>
      </c>
    </row>
    <row r="9" spans="1:17" x14ac:dyDescent="0.25">
      <c r="A9" s="3" t="s">
        <v>19</v>
      </c>
      <c r="B9" s="4">
        <v>85</v>
      </c>
      <c r="C9" s="4">
        <v>88</v>
      </c>
      <c r="D9" s="4">
        <v>80</v>
      </c>
      <c r="E9" s="4">
        <v>87</v>
      </c>
      <c r="F9" s="4">
        <v>84</v>
      </c>
      <c r="G9" s="4">
        <v>68</v>
      </c>
      <c r="K9" s="22" t="s">
        <v>147</v>
      </c>
      <c r="L9" s="60">
        <f>_xlfn.STDEV.S(B4:B34)</f>
        <v>9.9864424225078583</v>
      </c>
      <c r="M9" s="60">
        <f>_xlfn.STDEV.S(C4:C34)</f>
        <v>10.396132448775013</v>
      </c>
      <c r="N9" s="60">
        <f t="shared" ref="N9:Q9" si="1">_xlfn.STDEV.S(D4:D34)</f>
        <v>15.082924903874385</v>
      </c>
      <c r="O9" s="60">
        <f t="shared" si="1"/>
        <v>13.59016089375986</v>
      </c>
      <c r="P9" s="60">
        <f t="shared" si="1"/>
        <v>13.120451080627502</v>
      </c>
      <c r="Q9" s="60">
        <f t="shared" si="1"/>
        <v>16.326704821322053</v>
      </c>
    </row>
    <row r="10" spans="1:17" x14ac:dyDescent="0.25">
      <c r="A10" s="3" t="s">
        <v>20</v>
      </c>
      <c r="B10" s="4">
        <v>93</v>
      </c>
      <c r="C10" s="4">
        <v>91</v>
      </c>
      <c r="D10" s="4">
        <v>73</v>
      </c>
      <c r="E10" s="4">
        <v>85</v>
      </c>
      <c r="F10" s="4">
        <v>88</v>
      </c>
      <c r="G10" s="4">
        <v>67</v>
      </c>
      <c r="K10" s="22"/>
      <c r="L10" s="49"/>
      <c r="M10" s="49"/>
      <c r="N10" s="49"/>
      <c r="O10" s="49"/>
      <c r="P10" s="49"/>
      <c r="Q10" s="49"/>
    </row>
    <row r="11" spans="1:17" x14ac:dyDescent="0.25">
      <c r="A11" s="3" t="s">
        <v>21</v>
      </c>
      <c r="B11" s="4">
        <v>92</v>
      </c>
      <c r="C11" s="4">
        <v>86</v>
      </c>
      <c r="D11" s="4">
        <v>78</v>
      </c>
      <c r="E11" s="4">
        <v>82</v>
      </c>
      <c r="F11" s="4">
        <v>78</v>
      </c>
      <c r="G11" s="4">
        <v>64</v>
      </c>
      <c r="K11" s="22" t="s">
        <v>149</v>
      </c>
      <c r="L11" s="49">
        <f>B36</f>
        <v>79</v>
      </c>
      <c r="M11" s="49">
        <f t="shared" ref="M11:Q11" si="2">C36</f>
        <v>79</v>
      </c>
      <c r="N11" s="49">
        <f t="shared" si="2"/>
        <v>60</v>
      </c>
      <c r="O11" s="49">
        <f t="shared" si="2"/>
        <v>72</v>
      </c>
      <c r="P11" s="49">
        <f t="shared" si="2"/>
        <v>68</v>
      </c>
      <c r="Q11" s="49">
        <f t="shared" si="2"/>
        <v>46</v>
      </c>
    </row>
    <row r="12" spans="1:17" x14ac:dyDescent="0.25">
      <c r="A12" s="3" t="s">
        <v>22</v>
      </c>
      <c r="B12" s="4">
        <v>90</v>
      </c>
      <c r="C12" s="4">
        <v>88</v>
      </c>
      <c r="D12" s="4">
        <v>73</v>
      </c>
      <c r="E12" s="4">
        <v>85</v>
      </c>
      <c r="F12" s="4">
        <v>81</v>
      </c>
      <c r="G12" s="4">
        <v>64</v>
      </c>
      <c r="K12" s="22" t="s">
        <v>150</v>
      </c>
      <c r="L12" s="49">
        <f t="shared" ref="L12:Q12" si="3">COUNT(B4:B34)</f>
        <v>31</v>
      </c>
      <c r="M12" s="49">
        <f t="shared" si="3"/>
        <v>31</v>
      </c>
      <c r="N12" s="49">
        <f t="shared" si="3"/>
        <v>31</v>
      </c>
      <c r="O12" s="49">
        <f t="shared" si="3"/>
        <v>31</v>
      </c>
      <c r="P12" s="49">
        <f t="shared" si="3"/>
        <v>31</v>
      </c>
      <c r="Q12" s="49">
        <f t="shared" si="3"/>
        <v>31</v>
      </c>
    </row>
    <row r="13" spans="1:17" x14ac:dyDescent="0.25">
      <c r="A13" s="3" t="s">
        <v>23</v>
      </c>
      <c r="B13" s="4">
        <v>85</v>
      </c>
      <c r="C13" s="4">
        <v>93</v>
      </c>
      <c r="D13" s="4">
        <v>72</v>
      </c>
      <c r="E13" s="4">
        <v>86</v>
      </c>
      <c r="F13" s="4">
        <v>86</v>
      </c>
      <c r="G13" s="4">
        <v>61</v>
      </c>
      <c r="K13" s="22"/>
      <c r="L13" s="49"/>
      <c r="M13" s="49"/>
      <c r="N13" s="49"/>
      <c r="O13" s="49"/>
      <c r="P13" s="49"/>
      <c r="Q13" s="49"/>
    </row>
    <row r="14" spans="1:17" x14ac:dyDescent="0.25">
      <c r="A14" s="3" t="s">
        <v>24</v>
      </c>
      <c r="B14" s="4">
        <v>92</v>
      </c>
      <c r="C14" s="4">
        <v>82</v>
      </c>
      <c r="D14" s="4">
        <v>73</v>
      </c>
      <c r="E14" s="4">
        <v>78</v>
      </c>
      <c r="F14" s="4">
        <v>73</v>
      </c>
      <c r="G14" s="4">
        <v>58</v>
      </c>
      <c r="K14" s="22" t="s">
        <v>160</v>
      </c>
      <c r="L14" s="67">
        <f t="shared" ref="L14:Q14" si="4">(L8-L11)/(L9/SQRT(L12))</f>
        <v>3.3092240634605816</v>
      </c>
      <c r="M14" s="67">
        <f t="shared" si="4"/>
        <v>1.2266077319362767</v>
      </c>
      <c r="N14" s="67">
        <f t="shared" si="4"/>
        <v>1.5480213163086871</v>
      </c>
      <c r="O14" s="67">
        <f t="shared" si="4"/>
        <v>1.5066050057180511</v>
      </c>
      <c r="P14" s="67">
        <f t="shared" si="4"/>
        <v>1.5742301546000848</v>
      </c>
      <c r="Q14" s="67">
        <f t="shared" si="4"/>
        <v>1.7711138862844498</v>
      </c>
    </row>
    <row r="15" spans="1:17" x14ac:dyDescent="0.25">
      <c r="A15" s="3" t="s">
        <v>25</v>
      </c>
      <c r="B15" s="4">
        <v>90</v>
      </c>
      <c r="C15" s="4">
        <v>86</v>
      </c>
      <c r="D15" s="4">
        <v>71</v>
      </c>
      <c r="E15" s="4">
        <v>83</v>
      </c>
      <c r="F15" s="4">
        <v>77</v>
      </c>
      <c r="G15" s="4">
        <v>57</v>
      </c>
      <c r="K15" s="5"/>
      <c r="L15" s="49"/>
    </row>
    <row r="16" spans="1:17" x14ac:dyDescent="0.25">
      <c r="A16" s="3" t="s">
        <v>26</v>
      </c>
      <c r="B16" s="4">
        <v>88</v>
      </c>
      <c r="C16" s="4">
        <v>86</v>
      </c>
      <c r="D16" s="4">
        <v>75</v>
      </c>
      <c r="E16" s="4">
        <v>77</v>
      </c>
      <c r="F16" s="4">
        <v>79</v>
      </c>
      <c r="G16" s="4">
        <v>57</v>
      </c>
      <c r="K16" s="22" t="s">
        <v>156</v>
      </c>
      <c r="L16">
        <v>0.05</v>
      </c>
      <c r="M16">
        <v>0.05</v>
      </c>
      <c r="N16">
        <v>0.05</v>
      </c>
      <c r="O16">
        <v>0.05</v>
      </c>
      <c r="P16">
        <v>0.05</v>
      </c>
      <c r="Q16">
        <v>0.05</v>
      </c>
    </row>
    <row r="17" spans="1:21" x14ac:dyDescent="0.25">
      <c r="A17" s="3" t="s">
        <v>27</v>
      </c>
      <c r="B17" s="4">
        <v>87</v>
      </c>
      <c r="C17" s="4">
        <v>85</v>
      </c>
      <c r="D17" s="4">
        <v>66</v>
      </c>
      <c r="E17" s="4">
        <v>84</v>
      </c>
      <c r="F17" s="4">
        <v>77</v>
      </c>
      <c r="G17" s="4">
        <v>56</v>
      </c>
      <c r="K17" s="22" t="s">
        <v>159</v>
      </c>
      <c r="L17" s="68">
        <f>-_xlfn.T.INV.2T(L16,L12-1)</f>
        <v>-2.0422724563012378</v>
      </c>
      <c r="M17" s="68">
        <f t="shared" ref="M17:Q17" si="5">-_xlfn.T.INV.2T(M16,M12-1)</f>
        <v>-2.0422724563012378</v>
      </c>
      <c r="N17" s="68">
        <f t="shared" si="5"/>
        <v>-2.0422724563012378</v>
      </c>
      <c r="O17" s="68">
        <f t="shared" si="5"/>
        <v>-2.0422724563012378</v>
      </c>
      <c r="P17" s="68">
        <f t="shared" si="5"/>
        <v>-2.0422724563012378</v>
      </c>
      <c r="Q17" s="68">
        <f t="shared" si="5"/>
        <v>-2.0422724563012378</v>
      </c>
    </row>
    <row r="18" spans="1:21" x14ac:dyDescent="0.25">
      <c r="A18" s="3" t="s">
        <v>28</v>
      </c>
      <c r="B18" s="4">
        <v>82</v>
      </c>
      <c r="C18" s="4">
        <v>86</v>
      </c>
      <c r="D18" s="4">
        <v>72</v>
      </c>
      <c r="E18" s="4">
        <v>82</v>
      </c>
      <c r="F18" s="4">
        <v>76</v>
      </c>
      <c r="G18" s="4">
        <v>53</v>
      </c>
      <c r="L18" s="68">
        <f>_xlfn.T.INV.2T(L16,L12-1)</f>
        <v>2.0422724563012378</v>
      </c>
      <c r="M18" s="68">
        <f t="shared" ref="M18:Q18" si="6">_xlfn.T.INV.2T(M16,M12-1)</f>
        <v>2.0422724563012378</v>
      </c>
      <c r="N18" s="68">
        <f t="shared" si="6"/>
        <v>2.0422724563012378</v>
      </c>
      <c r="O18" s="68">
        <f t="shared" si="6"/>
        <v>2.0422724563012378</v>
      </c>
      <c r="P18" s="68">
        <f t="shared" si="6"/>
        <v>2.0422724563012378</v>
      </c>
      <c r="Q18" s="68">
        <f t="shared" si="6"/>
        <v>2.0422724563012378</v>
      </c>
    </row>
    <row r="19" spans="1:21" x14ac:dyDescent="0.25">
      <c r="A19" s="3" t="s">
        <v>29</v>
      </c>
      <c r="B19" s="4">
        <v>84</v>
      </c>
      <c r="C19" s="4">
        <v>85</v>
      </c>
      <c r="D19" s="4">
        <v>66</v>
      </c>
      <c r="E19" s="4">
        <v>75</v>
      </c>
      <c r="F19" s="4">
        <v>78</v>
      </c>
      <c r="G19" s="4">
        <v>52</v>
      </c>
      <c r="K19" s="22" t="s">
        <v>151</v>
      </c>
      <c r="L19" s="59" t="str">
        <f>IF(L14&gt;L18,"Reject","Fail to reject")</f>
        <v>Reject</v>
      </c>
      <c r="M19" s="50" t="str">
        <f>IF(M14&gt;M18,"Reject","Fail to reject")</f>
        <v>Fail to reject</v>
      </c>
      <c r="N19" s="50" t="str">
        <f t="shared" ref="N19:Q19" si="7">IF(N14&gt;N18,"Reject","Fail to reject")</f>
        <v>Fail to reject</v>
      </c>
      <c r="O19" s="50" t="str">
        <f t="shared" si="7"/>
        <v>Fail to reject</v>
      </c>
      <c r="P19" s="50" t="str">
        <f t="shared" si="7"/>
        <v>Fail to reject</v>
      </c>
      <c r="Q19" s="50" t="str">
        <f t="shared" si="7"/>
        <v>Fail to reject</v>
      </c>
    </row>
    <row r="20" spans="1:21" x14ac:dyDescent="0.25">
      <c r="A20" s="3" t="s">
        <v>30</v>
      </c>
      <c r="B20" s="4">
        <v>88</v>
      </c>
      <c r="C20" s="4">
        <v>83</v>
      </c>
      <c r="D20" s="4">
        <v>63</v>
      </c>
      <c r="E20" s="4">
        <v>73</v>
      </c>
      <c r="F20" s="4">
        <v>70</v>
      </c>
      <c r="G20" s="4">
        <v>48</v>
      </c>
      <c r="K20" s="22" t="s">
        <v>175</v>
      </c>
      <c r="L20" s="67">
        <f>IF(L14&lt;0,_xlfn.T.DIST.2T(-L14,L12-1),_xlfn.T.DIST.2T(L14,L12-1))</f>
        <v>2.43993915883952E-3</v>
      </c>
      <c r="M20" s="67">
        <f t="shared" ref="M20:Q20" si="8">IF(M14&lt;0,_xlfn.T.DIST.2T(-M14,M12-1),_xlfn.T.DIST.2T(M14,M12-1))</f>
        <v>0.22951039676067211</v>
      </c>
      <c r="N20" s="67">
        <f t="shared" si="8"/>
        <v>0.13210291095625504</v>
      </c>
      <c r="O20" s="67">
        <f t="shared" si="8"/>
        <v>0.14237044141111388</v>
      </c>
      <c r="P20" s="67">
        <f t="shared" si="8"/>
        <v>0.12592257216085009</v>
      </c>
      <c r="Q20" s="67">
        <f t="shared" si="8"/>
        <v>8.6702238578733964E-2</v>
      </c>
    </row>
    <row r="21" spans="1:21" x14ac:dyDescent="0.25">
      <c r="A21" s="3" t="s">
        <v>9</v>
      </c>
      <c r="B21" s="4">
        <v>88</v>
      </c>
      <c r="C21" s="4">
        <v>80</v>
      </c>
      <c r="D21" s="4">
        <v>58</v>
      </c>
      <c r="E21" s="4">
        <v>76</v>
      </c>
      <c r="F21" s="4">
        <v>75</v>
      </c>
      <c r="G21" s="4">
        <v>46</v>
      </c>
      <c r="K21" s="24" t="s">
        <v>157</v>
      </c>
    </row>
    <row r="22" spans="1:21" x14ac:dyDescent="0.25">
      <c r="A22" s="3" t="s">
        <v>31</v>
      </c>
      <c r="B22" s="4">
        <v>83</v>
      </c>
      <c r="C22" s="4">
        <v>75</v>
      </c>
      <c r="D22" s="4">
        <v>59</v>
      </c>
      <c r="E22" s="4">
        <v>76</v>
      </c>
      <c r="F22" s="4">
        <v>63</v>
      </c>
      <c r="G22" s="4">
        <v>46</v>
      </c>
      <c r="K22" s="24" t="s">
        <v>158</v>
      </c>
    </row>
    <row r="23" spans="1:21" x14ac:dyDescent="0.25">
      <c r="A23" s="3" t="s">
        <v>32</v>
      </c>
      <c r="B23" s="4">
        <v>79</v>
      </c>
      <c r="C23" s="4">
        <v>71</v>
      </c>
      <c r="D23" s="4">
        <v>61</v>
      </c>
      <c r="E23" s="4">
        <v>67</v>
      </c>
      <c r="F23" s="4">
        <v>62</v>
      </c>
      <c r="G23" s="4">
        <v>45</v>
      </c>
    </row>
    <row r="24" spans="1:21" ht="59.25" customHeight="1" x14ac:dyDescent="0.25">
      <c r="A24" s="3" t="s">
        <v>33</v>
      </c>
      <c r="B24" s="4">
        <v>86</v>
      </c>
      <c r="C24" s="4">
        <v>77</v>
      </c>
      <c r="D24" s="4">
        <v>64</v>
      </c>
      <c r="E24" s="4">
        <v>75</v>
      </c>
      <c r="F24" s="4">
        <v>67</v>
      </c>
      <c r="G24" s="4">
        <v>44</v>
      </c>
      <c r="J24" s="24" t="s">
        <v>8</v>
      </c>
      <c r="K24" s="69" t="s">
        <v>219</v>
      </c>
      <c r="L24" s="69"/>
      <c r="M24" s="69"/>
      <c r="N24" s="69"/>
      <c r="O24" s="69"/>
      <c r="P24" s="69"/>
      <c r="Q24" s="69"/>
      <c r="R24" s="69"/>
    </row>
    <row r="25" spans="1:21" ht="30" customHeight="1" x14ac:dyDescent="0.25">
      <c r="A25" s="3" t="s">
        <v>34</v>
      </c>
      <c r="B25" s="4">
        <v>88</v>
      </c>
      <c r="C25" s="4">
        <v>79</v>
      </c>
      <c r="D25" s="4">
        <v>52</v>
      </c>
      <c r="E25" s="4">
        <v>82</v>
      </c>
      <c r="F25" s="4">
        <v>64</v>
      </c>
      <c r="G25" s="4">
        <v>41</v>
      </c>
      <c r="J25" s="24" t="s">
        <v>9</v>
      </c>
      <c r="K25" s="69" t="s">
        <v>220</v>
      </c>
      <c r="L25" s="69"/>
      <c r="M25" s="69"/>
      <c r="N25" s="69"/>
      <c r="O25" s="69"/>
      <c r="P25" s="69"/>
      <c r="Q25" s="69"/>
      <c r="R25" s="69"/>
    </row>
    <row r="26" spans="1:21" ht="30" customHeight="1" x14ac:dyDescent="0.25">
      <c r="A26" s="3" t="s">
        <v>35</v>
      </c>
      <c r="B26" s="4">
        <v>85</v>
      </c>
      <c r="C26" s="4">
        <v>79</v>
      </c>
      <c r="D26" s="4">
        <v>49</v>
      </c>
      <c r="E26" s="4">
        <v>70</v>
      </c>
      <c r="F26" s="4">
        <v>67</v>
      </c>
      <c r="G26" s="4">
        <v>40</v>
      </c>
      <c r="J26" s="24" t="s">
        <v>10</v>
      </c>
      <c r="K26" s="69" t="s">
        <v>221</v>
      </c>
      <c r="L26" s="69"/>
      <c r="M26" s="69"/>
      <c r="N26" s="69"/>
      <c r="O26" s="69"/>
      <c r="P26" s="69"/>
      <c r="Q26" s="69"/>
      <c r="R26" s="69"/>
    </row>
    <row r="27" spans="1:21" ht="30" customHeight="1" x14ac:dyDescent="0.25">
      <c r="A27" s="3" t="s">
        <v>36</v>
      </c>
      <c r="B27" s="4">
        <v>82</v>
      </c>
      <c r="C27" s="4">
        <v>77</v>
      </c>
      <c r="D27" s="4">
        <v>55</v>
      </c>
      <c r="E27" s="4">
        <v>65</v>
      </c>
      <c r="F27" s="4">
        <v>59</v>
      </c>
      <c r="G27" s="4">
        <v>40</v>
      </c>
      <c r="J27" s="24" t="s">
        <v>11</v>
      </c>
      <c r="K27" s="69" t="s">
        <v>222</v>
      </c>
      <c r="L27" s="69"/>
      <c r="M27" s="69"/>
      <c r="N27" s="69"/>
      <c r="O27" s="69"/>
      <c r="P27" s="69"/>
      <c r="Q27" s="69"/>
      <c r="R27" s="69"/>
    </row>
    <row r="28" spans="1:21" ht="30" customHeight="1" x14ac:dyDescent="0.25">
      <c r="A28" s="3" t="s">
        <v>37</v>
      </c>
      <c r="B28" s="4">
        <v>75</v>
      </c>
      <c r="C28" s="4">
        <v>74</v>
      </c>
      <c r="D28" s="4">
        <v>51</v>
      </c>
      <c r="E28" s="4">
        <v>62</v>
      </c>
      <c r="F28" s="4">
        <v>61</v>
      </c>
      <c r="G28" s="4">
        <v>38</v>
      </c>
      <c r="J28" s="24" t="s">
        <v>12</v>
      </c>
      <c r="K28" s="69" t="s">
        <v>223</v>
      </c>
      <c r="L28" s="69"/>
      <c r="M28" s="69"/>
      <c r="N28" s="69"/>
      <c r="O28" s="69"/>
      <c r="P28" s="69"/>
      <c r="Q28" s="69"/>
      <c r="R28" s="69"/>
    </row>
    <row r="29" spans="1:21" ht="30" customHeight="1" x14ac:dyDescent="0.25">
      <c r="A29" s="3" t="s">
        <v>38</v>
      </c>
      <c r="B29" s="4">
        <v>77</v>
      </c>
      <c r="C29" s="4">
        <v>76</v>
      </c>
      <c r="D29" s="4">
        <v>50</v>
      </c>
      <c r="E29" s="4">
        <v>66</v>
      </c>
      <c r="F29" s="4">
        <v>57</v>
      </c>
      <c r="G29" s="4">
        <v>35</v>
      </c>
      <c r="J29" s="24" t="s">
        <v>13</v>
      </c>
      <c r="K29" s="69" t="s">
        <v>224</v>
      </c>
      <c r="L29" s="69"/>
      <c r="M29" s="69"/>
      <c r="N29" s="69"/>
      <c r="O29" s="69"/>
      <c r="P29" s="69"/>
      <c r="Q29" s="69"/>
      <c r="R29" s="69"/>
    </row>
    <row r="30" spans="1:21" x14ac:dyDescent="0.25">
      <c r="A30" s="3" t="s">
        <v>39</v>
      </c>
      <c r="B30" s="4">
        <v>87</v>
      </c>
      <c r="C30" s="4">
        <v>72</v>
      </c>
      <c r="D30" s="4">
        <v>40</v>
      </c>
      <c r="E30" s="4">
        <v>62</v>
      </c>
      <c r="F30" s="4">
        <v>53</v>
      </c>
      <c r="G30" s="4">
        <v>32</v>
      </c>
    </row>
    <row r="31" spans="1:21" x14ac:dyDescent="0.25">
      <c r="A31" s="3" t="s">
        <v>40</v>
      </c>
      <c r="B31" s="4">
        <v>52</v>
      </c>
      <c r="C31" s="4">
        <v>64</v>
      </c>
      <c r="D31" s="4">
        <v>52</v>
      </c>
      <c r="E31" s="4">
        <v>81</v>
      </c>
      <c r="F31" s="4">
        <v>64</v>
      </c>
      <c r="G31" s="4">
        <v>28</v>
      </c>
      <c r="J31" s="24" t="s">
        <v>8</v>
      </c>
      <c r="K31" s="70" t="s">
        <v>212</v>
      </c>
      <c r="L31" s="70"/>
      <c r="M31" s="70"/>
      <c r="N31" s="70"/>
      <c r="O31" s="70"/>
      <c r="P31" s="70" t="s">
        <v>218</v>
      </c>
      <c r="Q31" s="70"/>
      <c r="R31" s="70"/>
      <c r="S31" s="70"/>
      <c r="T31" s="70"/>
      <c r="U31" s="70"/>
    </row>
    <row r="32" spans="1:21" x14ac:dyDescent="0.25">
      <c r="A32" s="3" t="s">
        <v>41</v>
      </c>
      <c r="B32" s="4">
        <v>81</v>
      </c>
      <c r="C32" s="4">
        <v>59</v>
      </c>
      <c r="D32" s="4">
        <v>40</v>
      </c>
      <c r="E32" s="4">
        <v>41</v>
      </c>
      <c r="F32" s="4">
        <v>48</v>
      </c>
      <c r="G32" s="4">
        <v>26</v>
      </c>
      <c r="J32" s="24" t="s">
        <v>9</v>
      </c>
      <c r="K32" s="70" t="s">
        <v>213</v>
      </c>
      <c r="L32" s="70"/>
      <c r="M32" s="70"/>
      <c r="N32" s="70"/>
      <c r="O32" s="70"/>
      <c r="P32" s="70" t="s">
        <v>244</v>
      </c>
      <c r="Q32" s="70"/>
      <c r="R32" s="70"/>
      <c r="S32" s="70"/>
      <c r="T32" s="70"/>
      <c r="U32" s="70"/>
    </row>
    <row r="33" spans="1:21" x14ac:dyDescent="0.25">
      <c r="A33" s="3" t="s">
        <v>42</v>
      </c>
      <c r="B33" s="4">
        <v>69</v>
      </c>
      <c r="C33" s="4">
        <v>66</v>
      </c>
      <c r="D33" s="4">
        <v>40</v>
      </c>
      <c r="E33" s="4">
        <v>43</v>
      </c>
      <c r="F33" s="4">
        <v>52</v>
      </c>
      <c r="G33" s="4">
        <v>25</v>
      </c>
      <c r="J33" s="24" t="s">
        <v>10</v>
      </c>
      <c r="K33" s="70" t="s">
        <v>214</v>
      </c>
      <c r="L33" s="70"/>
      <c r="M33" s="70"/>
      <c r="N33" s="70"/>
      <c r="O33" s="70"/>
      <c r="P33" s="70" t="s">
        <v>245</v>
      </c>
      <c r="Q33" s="70"/>
      <c r="R33" s="70"/>
      <c r="S33" s="70"/>
      <c r="T33" s="70"/>
      <c r="U33" s="70"/>
    </row>
    <row r="34" spans="1:21" x14ac:dyDescent="0.25">
      <c r="A34" s="3" t="s">
        <v>43</v>
      </c>
      <c r="B34" s="4">
        <v>63</v>
      </c>
      <c r="C34" s="4">
        <v>59</v>
      </c>
      <c r="D34" s="4">
        <v>35</v>
      </c>
      <c r="E34" s="4">
        <v>50</v>
      </c>
      <c r="F34" s="4">
        <v>44</v>
      </c>
      <c r="G34" s="4">
        <v>23</v>
      </c>
      <c r="J34" s="24" t="s">
        <v>11</v>
      </c>
      <c r="K34" s="70" t="s">
        <v>215</v>
      </c>
      <c r="L34" s="70"/>
      <c r="M34" s="70"/>
      <c r="N34" s="70"/>
      <c r="O34" s="70"/>
      <c r="P34" s="70" t="s">
        <v>246</v>
      </c>
      <c r="Q34" s="70"/>
      <c r="R34" s="70"/>
      <c r="S34" s="70"/>
      <c r="T34" s="70"/>
      <c r="U34" s="70"/>
    </row>
    <row r="35" spans="1:21" x14ac:dyDescent="0.25">
      <c r="A35" s="1"/>
      <c r="J35" s="24" t="s">
        <v>12</v>
      </c>
      <c r="K35" s="70" t="s">
        <v>216</v>
      </c>
      <c r="L35" s="70"/>
      <c r="M35" s="70"/>
      <c r="N35" s="70"/>
      <c r="O35" s="70"/>
      <c r="P35" s="70" t="s">
        <v>247</v>
      </c>
      <c r="Q35" s="70"/>
      <c r="R35" s="70"/>
      <c r="S35" s="70"/>
      <c r="T35" s="70"/>
      <c r="U35" s="70"/>
    </row>
    <row r="36" spans="1:21" x14ac:dyDescent="0.25">
      <c r="A36" s="3" t="s">
        <v>44</v>
      </c>
      <c r="B36" s="4">
        <v>79</v>
      </c>
      <c r="C36" s="4">
        <v>79</v>
      </c>
      <c r="D36" s="4">
        <v>60</v>
      </c>
      <c r="E36" s="4">
        <v>72</v>
      </c>
      <c r="F36" s="4">
        <v>68</v>
      </c>
      <c r="G36" s="4">
        <v>46</v>
      </c>
      <c r="J36" s="24" t="s">
        <v>13</v>
      </c>
      <c r="K36" s="70" t="s">
        <v>217</v>
      </c>
      <c r="L36" s="70"/>
      <c r="M36" s="70"/>
      <c r="N36" s="70"/>
      <c r="O36" s="70"/>
      <c r="P36" s="70" t="s">
        <v>248</v>
      </c>
      <c r="Q36" s="70"/>
      <c r="R36" s="70"/>
      <c r="S36" s="70"/>
      <c r="T36" s="70"/>
      <c r="U36" s="70"/>
    </row>
    <row r="38" spans="1:21" x14ac:dyDescent="0.25">
      <c r="L38" s="62"/>
      <c r="M38" s="62"/>
      <c r="N38" s="62"/>
      <c r="O38" s="62"/>
      <c r="P38" s="62"/>
    </row>
  </sheetData>
  <mergeCells count="6">
    <mergeCell ref="K29:R29"/>
    <mergeCell ref="K24:R24"/>
    <mergeCell ref="K25:R25"/>
    <mergeCell ref="K26:R26"/>
    <mergeCell ref="K27:R27"/>
    <mergeCell ref="K28:R28"/>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55"/>
  <sheetViews>
    <sheetView topLeftCell="L16" workbookViewId="0">
      <selection activeCell="L22" sqref="L22:AA27"/>
    </sheetView>
  </sheetViews>
  <sheetFormatPr defaultRowHeight="15" x14ac:dyDescent="0.25"/>
  <cols>
    <col min="1" max="2" width="12.7109375" style="11" customWidth="1"/>
    <col min="3" max="3" width="15.28515625" style="11" customWidth="1"/>
    <col min="4" max="4" width="20.140625" style="11" customWidth="1"/>
    <col min="5" max="5" width="25.28515625" style="11" customWidth="1"/>
    <col min="6" max="6" width="15.42578125" style="11" customWidth="1"/>
    <col min="7" max="7" width="16.85546875" style="11" customWidth="1"/>
    <col min="12" max="12" width="10.28515625" bestFit="1" customWidth="1"/>
    <col min="20" max="20" width="9.42578125" bestFit="1" customWidth="1"/>
    <col min="27" max="27" width="11.28515625" bestFit="1" customWidth="1"/>
    <col min="28" max="28" width="23.42578125" bestFit="1" customWidth="1"/>
    <col min="29" max="29" width="21.42578125" bestFit="1" customWidth="1"/>
  </cols>
  <sheetData>
    <row r="1" spans="1:29" x14ac:dyDescent="0.25">
      <c r="A1" s="6" t="s">
        <v>45</v>
      </c>
      <c r="B1" s="7"/>
      <c r="C1" s="7"/>
      <c r="D1" s="7"/>
      <c r="E1" s="7"/>
      <c r="F1" s="7" t="s">
        <v>46</v>
      </c>
      <c r="G1" s="7"/>
    </row>
    <row r="2" spans="1:29" x14ac:dyDescent="0.25">
      <c r="A2" s="7"/>
      <c r="B2" s="7"/>
      <c r="C2" s="7"/>
      <c r="D2" s="7"/>
      <c r="E2" s="7"/>
      <c r="F2" s="7"/>
      <c r="G2" s="7"/>
      <c r="K2" t="s">
        <v>165</v>
      </c>
      <c r="S2" t="s">
        <v>165</v>
      </c>
    </row>
    <row r="3" spans="1:29" ht="15.75" thickBot="1" x14ac:dyDescent="0.3">
      <c r="A3" s="8" t="s">
        <v>47</v>
      </c>
      <c r="B3" s="8" t="s">
        <v>48</v>
      </c>
      <c r="C3" s="8" t="s">
        <v>49</v>
      </c>
      <c r="D3" s="8" t="s">
        <v>50</v>
      </c>
      <c r="E3" s="8" t="s">
        <v>51</v>
      </c>
      <c r="F3" s="8" t="s">
        <v>52</v>
      </c>
      <c r="G3" s="8" t="s">
        <v>53</v>
      </c>
      <c r="J3" s="23" t="s">
        <v>152</v>
      </c>
      <c r="K3" s="1" t="s">
        <v>144</v>
      </c>
      <c r="L3" s="30" t="s">
        <v>164</v>
      </c>
      <c r="M3" s="11" t="s">
        <v>205</v>
      </c>
      <c r="N3" s="23" t="s">
        <v>153</v>
      </c>
      <c r="O3" s="1" t="s">
        <v>144</v>
      </c>
      <c r="P3" s="30" t="s">
        <v>167</v>
      </c>
      <c r="Q3" s="11"/>
      <c r="R3" s="23" t="s">
        <v>152</v>
      </c>
      <c r="S3" s="1" t="s">
        <v>144</v>
      </c>
      <c r="T3" s="30" t="s">
        <v>207</v>
      </c>
      <c r="U3" s="11"/>
      <c r="V3" s="23" t="s">
        <v>153</v>
      </c>
      <c r="W3" s="1" t="s">
        <v>144</v>
      </c>
      <c r="X3" s="30" t="s">
        <v>207</v>
      </c>
    </row>
    <row r="4" spans="1:29" ht="15.75" thickTop="1" x14ac:dyDescent="0.25">
      <c r="A4" s="7" t="s">
        <v>54</v>
      </c>
      <c r="B4" s="7" t="s">
        <v>55</v>
      </c>
      <c r="C4" s="7">
        <v>1315</v>
      </c>
      <c r="D4" s="9">
        <v>0.22</v>
      </c>
      <c r="E4" s="10">
        <v>26636</v>
      </c>
      <c r="F4" s="7">
        <v>85</v>
      </c>
      <c r="G4" s="7">
        <v>93</v>
      </c>
      <c r="J4" s="11"/>
      <c r="K4" s="1" t="s">
        <v>145</v>
      </c>
      <c r="L4" s="30" t="s">
        <v>163</v>
      </c>
      <c r="M4" s="11"/>
      <c r="N4" s="11"/>
      <c r="O4" s="1" t="s">
        <v>145</v>
      </c>
      <c r="P4" s="30" t="s">
        <v>163</v>
      </c>
      <c r="Q4" s="11"/>
      <c r="R4" s="11"/>
      <c r="S4" s="1" t="s">
        <v>145</v>
      </c>
      <c r="T4" s="30" t="s">
        <v>206</v>
      </c>
      <c r="U4" s="11"/>
      <c r="V4" s="11"/>
      <c r="W4" s="1" t="s">
        <v>145</v>
      </c>
      <c r="X4" s="30" t="s">
        <v>206</v>
      </c>
      <c r="AB4" t="s">
        <v>191</v>
      </c>
      <c r="AC4" t="s">
        <v>192</v>
      </c>
    </row>
    <row r="5" spans="1:29" x14ac:dyDescent="0.25">
      <c r="A5" s="7" t="s">
        <v>56</v>
      </c>
      <c r="B5" s="7" t="s">
        <v>55</v>
      </c>
      <c r="C5" s="7">
        <v>1220</v>
      </c>
      <c r="D5" s="9">
        <v>0.53</v>
      </c>
      <c r="E5" s="10">
        <v>17653</v>
      </c>
      <c r="F5" s="7">
        <v>69</v>
      </c>
      <c r="G5" s="7">
        <v>80</v>
      </c>
      <c r="J5" s="11" t="s">
        <v>46</v>
      </c>
      <c r="N5" s="11"/>
      <c r="O5" s="11"/>
      <c r="P5" s="11"/>
      <c r="Q5" s="11"/>
      <c r="R5" s="11"/>
      <c r="V5" s="11"/>
      <c r="W5" s="11"/>
      <c r="X5" s="11"/>
      <c r="AA5" s="34" t="s">
        <v>55</v>
      </c>
      <c r="AB5" s="32">
        <v>84.12</v>
      </c>
      <c r="AC5" s="32">
        <v>25</v>
      </c>
    </row>
    <row r="6" spans="1:29" x14ac:dyDescent="0.25">
      <c r="A6" s="7" t="s">
        <v>57</v>
      </c>
      <c r="B6" s="7" t="s">
        <v>55</v>
      </c>
      <c r="C6" s="7">
        <v>1240</v>
      </c>
      <c r="D6" s="9">
        <v>0.36</v>
      </c>
      <c r="E6" s="10">
        <v>17554</v>
      </c>
      <c r="F6" s="7">
        <v>58</v>
      </c>
      <c r="G6" s="7">
        <v>88</v>
      </c>
      <c r="J6" s="11"/>
      <c r="K6" s="11"/>
      <c r="L6" s="25" t="s">
        <v>154</v>
      </c>
      <c r="M6" s="11"/>
      <c r="N6" s="11"/>
      <c r="O6" s="11"/>
      <c r="P6" s="25" t="s">
        <v>155</v>
      </c>
      <c r="Q6" s="11"/>
      <c r="R6" s="11"/>
      <c r="S6" s="11"/>
      <c r="T6" s="25" t="s">
        <v>154</v>
      </c>
      <c r="U6" s="11"/>
      <c r="V6" s="11"/>
      <c r="W6" s="11"/>
      <c r="X6" s="25" t="s">
        <v>155</v>
      </c>
      <c r="AA6" s="34" t="s">
        <v>81</v>
      </c>
      <c r="AB6" s="32">
        <v>82.333333333333329</v>
      </c>
      <c r="AC6" s="32">
        <v>24</v>
      </c>
    </row>
    <row r="7" spans="1:29" x14ac:dyDescent="0.25">
      <c r="A7" s="7" t="s">
        <v>58</v>
      </c>
      <c r="B7" s="7" t="s">
        <v>55</v>
      </c>
      <c r="C7" s="7">
        <v>1300</v>
      </c>
      <c r="D7" s="9">
        <v>0.24</v>
      </c>
      <c r="E7" s="10">
        <v>25703</v>
      </c>
      <c r="F7" s="7">
        <v>78</v>
      </c>
      <c r="G7" s="7">
        <v>90</v>
      </c>
      <c r="J7" s="11"/>
      <c r="K7" s="24"/>
      <c r="L7" s="26"/>
      <c r="M7" s="26"/>
      <c r="N7" s="11"/>
      <c r="O7" s="24"/>
      <c r="P7" s="26"/>
      <c r="Q7" s="26"/>
      <c r="R7" s="26"/>
      <c r="S7" s="24"/>
      <c r="T7" s="26"/>
      <c r="U7" s="26"/>
      <c r="V7" s="11"/>
      <c r="W7" s="24"/>
      <c r="X7" s="26"/>
      <c r="AA7" s="34" t="s">
        <v>174</v>
      </c>
      <c r="AB7" s="32">
        <v>83.244897959183675</v>
      </c>
      <c r="AC7" s="32">
        <v>49</v>
      </c>
    </row>
    <row r="8" spans="1:29" x14ac:dyDescent="0.25">
      <c r="A8" s="7" t="s">
        <v>59</v>
      </c>
      <c r="B8" s="7" t="s">
        <v>55</v>
      </c>
      <c r="C8" s="7">
        <v>1255</v>
      </c>
      <c r="D8" s="9">
        <v>0.56000000000000005</v>
      </c>
      <c r="E8" s="10">
        <v>18847</v>
      </c>
      <c r="F8" s="7">
        <v>70</v>
      </c>
      <c r="G8" s="7">
        <v>84</v>
      </c>
      <c r="J8" s="11"/>
      <c r="K8" s="24" t="s">
        <v>146</v>
      </c>
      <c r="L8" s="31">
        <v>0.84119999999999995</v>
      </c>
      <c r="M8" s="27"/>
      <c r="N8" s="11"/>
      <c r="O8" s="24"/>
      <c r="P8" s="31">
        <v>0.82333000000000001</v>
      </c>
      <c r="Q8" s="27"/>
      <c r="R8" s="27"/>
      <c r="S8" s="24" t="s">
        <v>146</v>
      </c>
      <c r="T8" s="31">
        <v>0.84119999999999995</v>
      </c>
      <c r="U8" s="27"/>
      <c r="V8" s="11"/>
      <c r="W8" s="24"/>
      <c r="X8" s="31">
        <v>0.82333000000000001</v>
      </c>
    </row>
    <row r="9" spans="1:29" x14ac:dyDescent="0.25">
      <c r="A9" s="7" t="s">
        <v>60</v>
      </c>
      <c r="B9" s="7" t="s">
        <v>55</v>
      </c>
      <c r="C9" s="7">
        <v>1300</v>
      </c>
      <c r="D9" s="9">
        <v>0.4</v>
      </c>
      <c r="E9" s="10">
        <v>15904</v>
      </c>
      <c r="F9" s="7">
        <v>75</v>
      </c>
      <c r="G9" s="7">
        <v>80</v>
      </c>
      <c r="J9" s="11"/>
      <c r="K9" s="24" t="s">
        <v>147</v>
      </c>
      <c r="L9" s="27">
        <f>SQRT((L11*(1-L11))/L13)</f>
        <v>0.06</v>
      </c>
      <c r="M9" s="27"/>
      <c r="N9" s="11"/>
      <c r="O9" s="24"/>
      <c r="P9" s="27">
        <f>SQRT((P11*(1-P11))/P13)</f>
        <v>6.123724356957945E-2</v>
      </c>
      <c r="Q9" s="27"/>
      <c r="R9" s="27"/>
      <c r="S9" s="24" t="s">
        <v>147</v>
      </c>
      <c r="T9" s="27">
        <f>SQRT((T11*(1-T11))/T13)</f>
        <v>7.1414284285428509E-2</v>
      </c>
      <c r="U9" s="27"/>
      <c r="V9" s="11"/>
      <c r="W9" s="24"/>
      <c r="X9" s="27">
        <f>SQRT((X11*(1-X11))/X13)</f>
        <v>7.2886898685566262E-2</v>
      </c>
    </row>
    <row r="10" spans="1:29" x14ac:dyDescent="0.25">
      <c r="A10" s="7" t="s">
        <v>61</v>
      </c>
      <c r="B10" s="7" t="s">
        <v>55</v>
      </c>
      <c r="C10" s="7">
        <v>1260</v>
      </c>
      <c r="D10" s="9">
        <v>0.36</v>
      </c>
      <c r="E10" s="10">
        <v>20377</v>
      </c>
      <c r="F10" s="7">
        <v>68</v>
      </c>
      <c r="G10" s="7">
        <v>74</v>
      </c>
      <c r="J10" s="11"/>
      <c r="K10" s="24"/>
      <c r="L10" s="28"/>
      <c r="M10" s="28"/>
      <c r="N10" s="11"/>
      <c r="O10" s="24"/>
      <c r="P10" s="28"/>
      <c r="Q10" s="28"/>
      <c r="R10" s="28"/>
      <c r="S10" s="24"/>
      <c r="T10" s="28"/>
      <c r="U10" s="28"/>
      <c r="V10" s="11"/>
      <c r="W10" s="24"/>
      <c r="X10" s="28"/>
    </row>
    <row r="11" spans="1:29" x14ac:dyDescent="0.25">
      <c r="A11" s="7" t="s">
        <v>62</v>
      </c>
      <c r="B11" s="7" t="s">
        <v>55</v>
      </c>
      <c r="C11" s="7">
        <v>1200</v>
      </c>
      <c r="D11" s="9">
        <v>0.46</v>
      </c>
      <c r="E11" s="10">
        <v>18872</v>
      </c>
      <c r="F11" s="7">
        <v>52</v>
      </c>
      <c r="G11" s="7">
        <v>84</v>
      </c>
      <c r="J11" s="11"/>
      <c r="K11" s="24" t="s">
        <v>148</v>
      </c>
      <c r="L11" s="27">
        <v>0.9</v>
      </c>
      <c r="M11" s="27"/>
      <c r="N11" s="11"/>
      <c r="O11" s="24"/>
      <c r="P11" s="27">
        <v>0.9</v>
      </c>
      <c r="Q11" s="27"/>
      <c r="R11" s="27"/>
      <c r="S11" s="24" t="s">
        <v>148</v>
      </c>
      <c r="T11" s="27">
        <v>0.85</v>
      </c>
      <c r="U11" s="27"/>
      <c r="V11" s="11"/>
      <c r="W11" s="24"/>
      <c r="X11" s="27">
        <v>0.85</v>
      </c>
    </row>
    <row r="12" spans="1:29" x14ac:dyDescent="0.25">
      <c r="A12" s="7" t="s">
        <v>63</v>
      </c>
      <c r="B12" s="7" t="s">
        <v>55</v>
      </c>
      <c r="C12" s="7">
        <v>1258</v>
      </c>
      <c r="D12" s="9">
        <v>0.38</v>
      </c>
      <c r="E12" s="10">
        <v>17520</v>
      </c>
      <c r="F12" s="7">
        <v>61</v>
      </c>
      <c r="G12" s="7">
        <v>85</v>
      </c>
      <c r="J12" s="11"/>
      <c r="K12" s="24"/>
      <c r="L12" s="26"/>
      <c r="M12" s="26"/>
      <c r="N12" s="11"/>
      <c r="O12" s="24"/>
      <c r="P12" s="26"/>
      <c r="Q12" s="26"/>
      <c r="R12" s="26"/>
      <c r="S12" s="24"/>
      <c r="T12" s="26"/>
      <c r="U12" s="26"/>
      <c r="V12" s="11"/>
      <c r="W12" s="24"/>
      <c r="X12" s="26"/>
    </row>
    <row r="13" spans="1:29" x14ac:dyDescent="0.25">
      <c r="A13" s="7" t="s">
        <v>64</v>
      </c>
      <c r="B13" s="7" t="s">
        <v>55</v>
      </c>
      <c r="C13" s="7">
        <v>1230</v>
      </c>
      <c r="D13" s="9">
        <v>0.36</v>
      </c>
      <c r="E13" s="10">
        <v>17721</v>
      </c>
      <c r="F13" s="7">
        <v>77</v>
      </c>
      <c r="G13" s="7">
        <v>89</v>
      </c>
      <c r="J13" s="11"/>
      <c r="K13" s="24" t="s">
        <v>150</v>
      </c>
      <c r="L13" s="29">
        <v>25</v>
      </c>
      <c r="M13" s="29"/>
      <c r="N13" s="11" t="s">
        <v>46</v>
      </c>
      <c r="O13" s="24"/>
      <c r="P13" s="29">
        <v>24</v>
      </c>
      <c r="Q13" s="29"/>
      <c r="R13" s="29"/>
      <c r="S13" s="24" t="s">
        <v>150</v>
      </c>
      <c r="T13" s="29">
        <v>25</v>
      </c>
      <c r="U13" s="29"/>
      <c r="V13" s="11" t="s">
        <v>46</v>
      </c>
      <c r="W13" s="24"/>
      <c r="X13" s="29">
        <v>24</v>
      </c>
    </row>
    <row r="14" spans="1:29" x14ac:dyDescent="0.25">
      <c r="A14" s="7" t="s">
        <v>65</v>
      </c>
      <c r="B14" s="7" t="s">
        <v>55</v>
      </c>
      <c r="C14" s="7">
        <v>1244</v>
      </c>
      <c r="D14" s="9">
        <v>0.67</v>
      </c>
      <c r="E14" s="10">
        <v>22301</v>
      </c>
      <c r="F14" s="7">
        <v>65</v>
      </c>
      <c r="G14" s="7">
        <v>73</v>
      </c>
      <c r="J14" s="11"/>
      <c r="K14" s="24"/>
      <c r="L14" s="26"/>
      <c r="M14" s="26"/>
      <c r="N14" s="11"/>
      <c r="O14" s="24"/>
      <c r="P14" s="26"/>
      <c r="Q14" s="26"/>
      <c r="R14" s="26"/>
      <c r="S14" s="24"/>
      <c r="T14" s="26"/>
      <c r="U14" s="26"/>
      <c r="V14" s="11"/>
      <c r="W14" s="24"/>
      <c r="X14" s="26"/>
    </row>
    <row r="15" spans="1:29" x14ac:dyDescent="0.25">
      <c r="A15" s="7" t="s">
        <v>66</v>
      </c>
      <c r="B15" s="7" t="s">
        <v>55</v>
      </c>
      <c r="C15" s="7">
        <v>1215</v>
      </c>
      <c r="D15" s="9">
        <v>0.38</v>
      </c>
      <c r="E15" s="10">
        <v>20722</v>
      </c>
      <c r="F15" s="7">
        <v>51</v>
      </c>
      <c r="G15" s="7">
        <v>85</v>
      </c>
      <c r="J15" s="11"/>
      <c r="K15" s="22" t="s">
        <v>160</v>
      </c>
      <c r="L15" s="71">
        <f>(L8-L11)/SQRT((L11*(1-L11))/L13)</f>
        <v>-0.98000000000000131</v>
      </c>
      <c r="M15" s="26"/>
      <c r="N15" s="11"/>
      <c r="O15" s="24"/>
      <c r="P15" s="71">
        <f>(P8-P11)/SQRT((P11*(1-P11))/P13)</f>
        <v>-1.2520158571945754</v>
      </c>
      <c r="Q15" s="26"/>
      <c r="R15" s="26"/>
      <c r="S15" s="22" t="s">
        <v>160</v>
      </c>
      <c r="T15" s="71">
        <f>(T8-T11)/SQRT((T11*(1-T11))/T13)</f>
        <v>-0.12322464739446527</v>
      </c>
      <c r="U15" s="26"/>
      <c r="V15" s="11"/>
      <c r="W15" s="24"/>
      <c r="X15" s="71">
        <f>(X8-X11)/SQRT((X11*(1-X11))/X13)</f>
        <v>-0.36590938126005645</v>
      </c>
    </row>
    <row r="16" spans="1:29" x14ac:dyDescent="0.25">
      <c r="A16" s="7" t="s">
        <v>67</v>
      </c>
      <c r="B16" s="7" t="s">
        <v>55</v>
      </c>
      <c r="C16" s="7">
        <v>1285</v>
      </c>
      <c r="D16" s="9">
        <v>0.35</v>
      </c>
      <c r="E16" s="10">
        <v>19418</v>
      </c>
      <c r="F16" s="7">
        <v>71</v>
      </c>
      <c r="G16" s="7">
        <v>87</v>
      </c>
      <c r="J16" s="11"/>
      <c r="K16" s="5"/>
      <c r="L16" s="26"/>
      <c r="M16" s="26"/>
      <c r="N16" s="11"/>
      <c r="O16" s="11"/>
      <c r="P16" s="26"/>
      <c r="Q16" s="26"/>
      <c r="R16" s="26"/>
      <c r="S16" s="5"/>
      <c r="T16" s="26"/>
      <c r="U16" s="26"/>
      <c r="V16" s="11"/>
      <c r="W16" s="11"/>
      <c r="X16" s="26"/>
    </row>
    <row r="17" spans="1:27" x14ac:dyDescent="0.25">
      <c r="A17" s="7" t="s">
        <v>68</v>
      </c>
      <c r="B17" s="7" t="s">
        <v>55</v>
      </c>
      <c r="C17" s="7">
        <v>1255</v>
      </c>
      <c r="D17" s="9">
        <v>0.25</v>
      </c>
      <c r="E17" s="10">
        <v>24718</v>
      </c>
      <c r="F17" s="7">
        <v>65</v>
      </c>
      <c r="G17" s="7">
        <v>92</v>
      </c>
      <c r="J17" s="11"/>
      <c r="K17" s="22" t="s">
        <v>156</v>
      </c>
      <c r="L17" s="26">
        <v>0.05</v>
      </c>
      <c r="M17" s="26"/>
      <c r="N17" s="11"/>
      <c r="O17" s="24"/>
      <c r="P17" s="26">
        <v>0.05</v>
      </c>
      <c r="Q17" s="26"/>
      <c r="R17" s="26"/>
      <c r="S17" s="22" t="s">
        <v>156</v>
      </c>
      <c r="T17" s="26">
        <v>0.05</v>
      </c>
      <c r="U17" s="26"/>
      <c r="V17" s="11"/>
      <c r="W17" s="24"/>
      <c r="X17" s="26">
        <v>0.05</v>
      </c>
    </row>
    <row r="18" spans="1:27" x14ac:dyDescent="0.25">
      <c r="A18" s="7" t="s">
        <v>69</v>
      </c>
      <c r="B18" s="7" t="s">
        <v>55</v>
      </c>
      <c r="C18" s="7">
        <v>1200</v>
      </c>
      <c r="D18" s="9">
        <v>0.61</v>
      </c>
      <c r="E18" s="10">
        <v>23358</v>
      </c>
      <c r="F18" s="7">
        <v>47</v>
      </c>
      <c r="G18" s="7">
        <v>83</v>
      </c>
      <c r="J18" s="11"/>
      <c r="K18" s="22" t="s">
        <v>159</v>
      </c>
      <c r="L18" s="70">
        <f>_xlfn.NORM.S.INV(1-L17)</f>
        <v>1.6448536269514715</v>
      </c>
      <c r="M18" s="26"/>
      <c r="N18" s="11"/>
      <c r="O18" s="11"/>
      <c r="P18" s="70">
        <f>_xlfn.NORM.S.INV(1-P17)</f>
        <v>1.6448536269514715</v>
      </c>
      <c r="Q18" s="26"/>
      <c r="R18" s="26"/>
      <c r="S18" s="22" t="s">
        <v>159</v>
      </c>
      <c r="T18" s="70">
        <f>_xlfn.NORM.S.INV(1-T17)</f>
        <v>1.6448536269514715</v>
      </c>
      <c r="U18" s="26"/>
      <c r="V18" s="11"/>
      <c r="W18" s="11"/>
      <c r="X18" s="70">
        <f>_xlfn.NORM.S.INV(1-X17)</f>
        <v>1.6448536269514715</v>
      </c>
    </row>
    <row r="19" spans="1:27" x14ac:dyDescent="0.25">
      <c r="A19" s="7" t="s">
        <v>70</v>
      </c>
      <c r="B19" s="7" t="s">
        <v>55</v>
      </c>
      <c r="C19" s="7">
        <v>1247</v>
      </c>
      <c r="D19" s="9">
        <v>0.54</v>
      </c>
      <c r="E19" s="10">
        <v>23591</v>
      </c>
      <c r="F19" s="7">
        <v>64</v>
      </c>
      <c r="G19" s="7">
        <v>77</v>
      </c>
      <c r="J19" s="11"/>
      <c r="K19" s="24" t="s">
        <v>175</v>
      </c>
      <c r="L19" s="72">
        <f>1-_xlfn.NORM.S.DIST(L15,TRUE)</f>
        <v>0.83645694067230802</v>
      </c>
      <c r="M19" s="26"/>
      <c r="N19" s="26"/>
      <c r="O19" s="26"/>
      <c r="P19" s="73">
        <f>1-_xlfn.NORM.S.DIST(P15,TRUE)</f>
        <v>0.89471795705433232</v>
      </c>
      <c r="Q19" s="26"/>
      <c r="R19" s="26"/>
      <c r="S19" s="24" t="s">
        <v>175</v>
      </c>
      <c r="T19" s="73">
        <f>1-_xlfn.NORM.S.DIST(T15,TRUE)</f>
        <v>0.54903539574770566</v>
      </c>
      <c r="U19" s="26"/>
      <c r="V19" s="26"/>
      <c r="W19" s="26"/>
      <c r="X19" s="73">
        <f>1-_xlfn.NORM.S.DIST(X15,TRUE)</f>
        <v>0.6427836520631558</v>
      </c>
    </row>
    <row r="20" spans="1:27" x14ac:dyDescent="0.25">
      <c r="A20" s="7" t="s">
        <v>71</v>
      </c>
      <c r="B20" s="7" t="s">
        <v>55</v>
      </c>
      <c r="C20" s="7">
        <v>1170</v>
      </c>
      <c r="D20" s="9">
        <v>0.49</v>
      </c>
      <c r="E20" s="10">
        <v>20192</v>
      </c>
      <c r="F20" s="7">
        <v>54</v>
      </c>
      <c r="G20" s="7">
        <v>72</v>
      </c>
      <c r="J20" s="11"/>
      <c r="K20" s="25" t="s">
        <v>151</v>
      </c>
      <c r="L20" s="61" t="s">
        <v>166</v>
      </c>
      <c r="M20" s="26"/>
      <c r="N20" s="26"/>
      <c r="O20" s="26"/>
      <c r="P20" s="61" t="s">
        <v>166</v>
      </c>
      <c r="Q20" s="26"/>
      <c r="R20" s="26"/>
      <c r="S20" s="25" t="s">
        <v>151</v>
      </c>
      <c r="T20" s="61" t="s">
        <v>166</v>
      </c>
      <c r="U20" s="26"/>
      <c r="V20" s="26"/>
      <c r="W20" s="26"/>
      <c r="X20" s="61" t="s">
        <v>166</v>
      </c>
    </row>
    <row r="21" spans="1:27" x14ac:dyDescent="0.25">
      <c r="A21" s="7" t="s">
        <v>72</v>
      </c>
      <c r="B21" s="7" t="s">
        <v>55</v>
      </c>
      <c r="C21" s="7">
        <v>1320</v>
      </c>
      <c r="D21" s="9">
        <v>0.33</v>
      </c>
      <c r="E21" s="10">
        <v>26668</v>
      </c>
      <c r="F21" s="7">
        <v>79</v>
      </c>
      <c r="G21" s="7">
        <v>80</v>
      </c>
      <c r="J21" s="11"/>
      <c r="K21" s="11"/>
      <c r="L21" s="26"/>
      <c r="M21" s="26"/>
      <c r="N21" s="26"/>
      <c r="O21" s="26"/>
      <c r="P21" s="26"/>
      <c r="Q21" s="26"/>
      <c r="R21" s="26"/>
      <c r="S21" s="11"/>
      <c r="T21" s="26"/>
      <c r="U21" s="26"/>
      <c r="V21" s="26"/>
      <c r="W21" s="26"/>
      <c r="X21" s="26"/>
    </row>
    <row r="22" spans="1:27" x14ac:dyDescent="0.25">
      <c r="A22" s="7" t="s">
        <v>73</v>
      </c>
      <c r="B22" s="7" t="s">
        <v>55</v>
      </c>
      <c r="C22" s="7">
        <v>1195</v>
      </c>
      <c r="D22" s="9">
        <v>0.56999999999999995</v>
      </c>
      <c r="E22" s="10">
        <v>25271</v>
      </c>
      <c r="F22" s="7">
        <v>65</v>
      </c>
      <c r="G22" s="7">
        <v>87</v>
      </c>
      <c r="J22" s="11"/>
      <c r="K22" s="24" t="s">
        <v>157</v>
      </c>
      <c r="L22" s="69" t="s">
        <v>229</v>
      </c>
      <c r="M22" s="69"/>
      <c r="N22" s="69"/>
      <c r="O22" s="69"/>
      <c r="P22" s="69" t="s">
        <v>230</v>
      </c>
      <c r="Q22" s="69"/>
      <c r="R22" s="69"/>
      <c r="S22" s="69"/>
      <c r="T22" s="69" t="s">
        <v>231</v>
      </c>
      <c r="U22" s="69"/>
      <c r="V22" s="69"/>
      <c r="W22" s="69"/>
      <c r="X22" s="69" t="s">
        <v>232</v>
      </c>
      <c r="Y22" s="69"/>
      <c r="Z22" s="69"/>
      <c r="AA22" s="69"/>
    </row>
    <row r="23" spans="1:27" x14ac:dyDescent="0.25">
      <c r="A23" s="7" t="s">
        <v>74</v>
      </c>
      <c r="B23" s="7" t="s">
        <v>55</v>
      </c>
      <c r="C23" s="7">
        <v>1310</v>
      </c>
      <c r="D23" s="9">
        <v>0.24</v>
      </c>
      <c r="E23" s="10">
        <v>27487</v>
      </c>
      <c r="F23" s="7">
        <v>78</v>
      </c>
      <c r="G23" s="7">
        <v>88</v>
      </c>
      <c r="J23" s="11"/>
      <c r="K23" s="24" t="s">
        <v>158</v>
      </c>
      <c r="L23" s="69"/>
      <c r="M23" s="69"/>
      <c r="N23" s="69"/>
      <c r="O23" s="69"/>
      <c r="P23" s="69"/>
      <c r="Q23" s="69"/>
      <c r="R23" s="69"/>
      <c r="S23" s="69"/>
      <c r="T23" s="69"/>
      <c r="U23" s="69"/>
      <c r="V23" s="69"/>
      <c r="W23" s="69"/>
      <c r="X23" s="69"/>
      <c r="Y23" s="69"/>
      <c r="Z23" s="69"/>
      <c r="AA23" s="69"/>
    </row>
    <row r="24" spans="1:27" x14ac:dyDescent="0.25">
      <c r="A24" s="7" t="s">
        <v>75</v>
      </c>
      <c r="B24" s="7" t="s">
        <v>55</v>
      </c>
      <c r="C24" s="7">
        <v>1287</v>
      </c>
      <c r="D24" s="9">
        <v>0.43</v>
      </c>
      <c r="E24" s="10">
        <v>20179</v>
      </c>
      <c r="F24" s="7">
        <v>53</v>
      </c>
      <c r="G24" s="7">
        <v>84</v>
      </c>
      <c r="J24" s="11"/>
      <c r="K24" s="11"/>
      <c r="L24" s="69"/>
      <c r="M24" s="69"/>
      <c r="N24" s="69"/>
      <c r="O24" s="69"/>
      <c r="P24" s="69"/>
      <c r="Q24" s="69"/>
      <c r="R24" s="69"/>
      <c r="S24" s="69"/>
      <c r="T24" s="69"/>
      <c r="U24" s="69"/>
      <c r="V24" s="69"/>
      <c r="W24" s="69"/>
      <c r="X24" s="69"/>
      <c r="Y24" s="69"/>
      <c r="Z24" s="69"/>
      <c r="AA24" s="69"/>
    </row>
    <row r="25" spans="1:27" x14ac:dyDescent="0.25">
      <c r="A25" s="7" t="s">
        <v>76</v>
      </c>
      <c r="B25" s="7" t="s">
        <v>55</v>
      </c>
      <c r="C25" s="7">
        <v>1234</v>
      </c>
      <c r="D25" s="9">
        <v>0.28999999999999998</v>
      </c>
      <c r="E25" s="10">
        <v>17998</v>
      </c>
      <c r="F25" s="7">
        <v>61</v>
      </c>
      <c r="G25" s="7">
        <v>78</v>
      </c>
      <c r="J25" s="11"/>
      <c r="K25" s="11"/>
      <c r="L25" s="69"/>
      <c r="M25" s="69"/>
      <c r="N25" s="69"/>
      <c r="O25" s="69"/>
      <c r="P25" s="69"/>
      <c r="Q25" s="69"/>
      <c r="R25" s="69"/>
      <c r="S25" s="69"/>
      <c r="T25" s="69"/>
      <c r="U25" s="69"/>
      <c r="V25" s="69"/>
      <c r="W25" s="69"/>
      <c r="X25" s="69"/>
      <c r="Y25" s="69"/>
      <c r="Z25" s="69"/>
      <c r="AA25" s="69"/>
    </row>
    <row r="26" spans="1:27" x14ac:dyDescent="0.25">
      <c r="A26" s="7" t="s">
        <v>77</v>
      </c>
      <c r="B26" s="7" t="s">
        <v>55</v>
      </c>
      <c r="C26" s="7">
        <v>1250</v>
      </c>
      <c r="D26" s="9">
        <v>0.49</v>
      </c>
      <c r="E26" s="10">
        <v>27879</v>
      </c>
      <c r="F26" s="7">
        <v>76</v>
      </c>
      <c r="G26" s="7">
        <v>86</v>
      </c>
      <c r="L26" s="69"/>
      <c r="M26" s="69"/>
      <c r="N26" s="69"/>
      <c r="O26" s="69"/>
      <c r="P26" s="69"/>
      <c r="Q26" s="69"/>
      <c r="R26" s="69"/>
      <c r="S26" s="69"/>
      <c r="T26" s="69"/>
      <c r="U26" s="69"/>
      <c r="V26" s="69"/>
      <c r="W26" s="69"/>
      <c r="X26" s="69"/>
      <c r="Y26" s="69"/>
      <c r="Z26" s="69"/>
      <c r="AA26" s="69"/>
    </row>
    <row r="27" spans="1:27" x14ac:dyDescent="0.25">
      <c r="A27" s="7" t="s">
        <v>78</v>
      </c>
      <c r="B27" s="7" t="s">
        <v>55</v>
      </c>
      <c r="C27" s="7">
        <v>1290</v>
      </c>
      <c r="D27" s="9">
        <v>0.35</v>
      </c>
      <c r="E27" s="10">
        <v>19948</v>
      </c>
      <c r="F27" s="7">
        <v>73</v>
      </c>
      <c r="G27" s="7">
        <v>91</v>
      </c>
      <c r="L27" s="69"/>
      <c r="M27" s="69"/>
      <c r="N27" s="69"/>
      <c r="O27" s="69"/>
      <c r="P27" s="69"/>
      <c r="Q27" s="69"/>
      <c r="R27" s="69"/>
      <c r="S27" s="69"/>
      <c r="T27" s="69"/>
      <c r="U27" s="69"/>
      <c r="V27" s="69"/>
      <c r="W27" s="69"/>
      <c r="X27" s="69"/>
      <c r="Y27" s="69"/>
      <c r="Z27" s="69"/>
      <c r="AA27" s="69"/>
    </row>
    <row r="28" spans="1:27" x14ac:dyDescent="0.25">
      <c r="A28" s="7" t="s">
        <v>79</v>
      </c>
      <c r="B28" s="7" t="s">
        <v>55</v>
      </c>
      <c r="C28" s="7">
        <v>1336</v>
      </c>
      <c r="D28" s="9">
        <v>0.28000000000000003</v>
      </c>
      <c r="E28" s="10">
        <v>23772</v>
      </c>
      <c r="F28" s="7">
        <v>86</v>
      </c>
      <c r="G28" s="7">
        <v>93</v>
      </c>
      <c r="K28" s="1"/>
    </row>
    <row r="29" spans="1:27" x14ac:dyDescent="0.25">
      <c r="A29" s="7" t="s">
        <v>80</v>
      </c>
      <c r="B29" s="7" t="s">
        <v>81</v>
      </c>
      <c r="C29" s="7">
        <v>1176</v>
      </c>
      <c r="D29" s="9">
        <v>0.37</v>
      </c>
      <c r="E29" s="10">
        <v>23665</v>
      </c>
      <c r="F29" s="7">
        <v>95</v>
      </c>
      <c r="G29" s="7">
        <v>68</v>
      </c>
      <c r="K29" s="1"/>
    </row>
    <row r="30" spans="1:27" x14ac:dyDescent="0.25">
      <c r="A30" s="7" t="s">
        <v>82</v>
      </c>
      <c r="B30" s="7" t="s">
        <v>81</v>
      </c>
      <c r="C30" s="7">
        <v>1281</v>
      </c>
      <c r="D30" s="9">
        <v>0.24</v>
      </c>
      <c r="E30" s="10">
        <v>24201</v>
      </c>
      <c r="F30" s="7">
        <v>80</v>
      </c>
      <c r="G30" s="7">
        <v>90</v>
      </c>
      <c r="K30" s="1"/>
    </row>
    <row r="31" spans="1:27" x14ac:dyDescent="0.25">
      <c r="A31" s="7" t="s">
        <v>83</v>
      </c>
      <c r="B31" s="7" t="s">
        <v>81</v>
      </c>
      <c r="C31" s="7">
        <v>1400</v>
      </c>
      <c r="D31" s="9">
        <v>0.31</v>
      </c>
      <c r="E31" s="10">
        <v>102262</v>
      </c>
      <c r="F31" s="7">
        <v>98</v>
      </c>
      <c r="G31" s="7">
        <v>75</v>
      </c>
      <c r="K31" s="1" t="s">
        <v>144</v>
      </c>
      <c r="L31" s="30" t="s">
        <v>164</v>
      </c>
      <c r="M31" s="21"/>
      <c r="O31" s="1" t="s">
        <v>144</v>
      </c>
      <c r="P31" s="30" t="s">
        <v>167</v>
      </c>
      <c r="T31" s="30" t="s">
        <v>207</v>
      </c>
      <c r="U31" s="21"/>
      <c r="X31" s="30" t="s">
        <v>207</v>
      </c>
    </row>
    <row r="32" spans="1:27" x14ac:dyDescent="0.25">
      <c r="A32" s="7" t="s">
        <v>84</v>
      </c>
      <c r="B32" s="7" t="s">
        <v>81</v>
      </c>
      <c r="C32" s="7">
        <v>1225</v>
      </c>
      <c r="D32" s="9">
        <v>0.64</v>
      </c>
      <c r="E32" s="10">
        <v>33607</v>
      </c>
      <c r="F32" s="7">
        <v>52</v>
      </c>
      <c r="G32" s="7">
        <v>77</v>
      </c>
      <c r="K32" s="1" t="s">
        <v>145</v>
      </c>
      <c r="L32" s="30" t="s">
        <v>163</v>
      </c>
      <c r="O32" s="1" t="s">
        <v>145</v>
      </c>
      <c r="P32" s="30" t="s">
        <v>163</v>
      </c>
      <c r="T32" s="30" t="s">
        <v>206</v>
      </c>
      <c r="X32" s="30" t="s">
        <v>206</v>
      </c>
    </row>
    <row r="33" spans="1:24" x14ac:dyDescent="0.25">
      <c r="A33" s="7" t="s">
        <v>85</v>
      </c>
      <c r="B33" s="7" t="s">
        <v>81</v>
      </c>
      <c r="C33" s="7">
        <v>1268</v>
      </c>
      <c r="D33" s="9">
        <v>0.28999999999999998</v>
      </c>
      <c r="E33" s="10">
        <v>45879</v>
      </c>
      <c r="F33" s="7">
        <v>78</v>
      </c>
      <c r="G33" s="7">
        <v>90</v>
      </c>
    </row>
    <row r="34" spans="1:24" x14ac:dyDescent="0.25">
      <c r="A34" s="7" t="s">
        <v>86</v>
      </c>
      <c r="B34" s="7" t="s">
        <v>81</v>
      </c>
      <c r="C34" s="7">
        <v>1280</v>
      </c>
      <c r="D34" s="9">
        <v>0.3</v>
      </c>
      <c r="E34" s="10">
        <v>37137</v>
      </c>
      <c r="F34" s="7">
        <v>85</v>
      </c>
      <c r="G34" s="7">
        <v>83</v>
      </c>
      <c r="K34" s="11"/>
      <c r="L34" s="25" t="s">
        <v>154</v>
      </c>
      <c r="O34" s="11"/>
      <c r="P34" s="25" t="s">
        <v>155</v>
      </c>
      <c r="T34" s="25" t="s">
        <v>154</v>
      </c>
      <c r="X34" s="25" t="s">
        <v>155</v>
      </c>
    </row>
    <row r="35" spans="1:24" x14ac:dyDescent="0.25">
      <c r="A35" s="7" t="s">
        <v>87</v>
      </c>
      <c r="B35" s="7" t="s">
        <v>81</v>
      </c>
      <c r="C35" s="7">
        <v>1310</v>
      </c>
      <c r="D35" s="9">
        <v>0.25</v>
      </c>
      <c r="E35" s="10">
        <v>39504</v>
      </c>
      <c r="F35" s="7">
        <v>91</v>
      </c>
      <c r="G35" s="7">
        <v>91</v>
      </c>
      <c r="K35" s="24"/>
      <c r="L35" s="26"/>
      <c r="O35" s="24"/>
      <c r="P35" s="26"/>
      <c r="T35" s="26"/>
      <c r="X35" s="26"/>
    </row>
    <row r="36" spans="1:24" x14ac:dyDescent="0.25">
      <c r="A36" s="7" t="s">
        <v>88</v>
      </c>
      <c r="B36" s="7" t="s">
        <v>81</v>
      </c>
      <c r="C36" s="7">
        <v>1278</v>
      </c>
      <c r="D36" s="9">
        <v>0.24</v>
      </c>
      <c r="E36" s="10">
        <v>23115</v>
      </c>
      <c r="F36" s="7">
        <v>79</v>
      </c>
      <c r="G36" s="7">
        <v>89</v>
      </c>
      <c r="K36" s="24" t="s">
        <v>146</v>
      </c>
      <c r="L36" s="31">
        <v>0.84119999999999995</v>
      </c>
      <c r="O36" s="24"/>
      <c r="P36" s="31">
        <v>0.82333000000000001</v>
      </c>
      <c r="T36" s="31">
        <v>0.84119999999999995</v>
      </c>
      <c r="X36" s="31">
        <v>0.82333000000000001</v>
      </c>
    </row>
    <row r="37" spans="1:24" x14ac:dyDescent="0.25">
      <c r="A37" s="7" t="s">
        <v>89</v>
      </c>
      <c r="B37" s="7" t="s">
        <v>81</v>
      </c>
      <c r="C37" s="7">
        <v>1370</v>
      </c>
      <c r="D37" s="9">
        <v>0.18</v>
      </c>
      <c r="E37" s="10">
        <v>46918</v>
      </c>
      <c r="F37" s="7">
        <v>90</v>
      </c>
      <c r="G37" s="7">
        <v>90</v>
      </c>
      <c r="K37" s="24" t="s">
        <v>147</v>
      </c>
      <c r="L37" s="27">
        <f>SQRT((L39*(1-L39))/L41)</f>
        <v>0.06</v>
      </c>
      <c r="O37" s="24"/>
      <c r="P37" s="27">
        <f>SQRT((P39*(1-P39))/P41)</f>
        <v>6.123724356957945E-2</v>
      </c>
      <c r="T37" s="27">
        <f>SQRT((T39*(1-T39))/T41)</f>
        <v>7.1414284285428509E-2</v>
      </c>
      <c r="X37" s="27">
        <f>SQRT((X39*(1-X39))/X41)</f>
        <v>7.2886898685566262E-2</v>
      </c>
    </row>
    <row r="38" spans="1:24" x14ac:dyDescent="0.25">
      <c r="A38" s="7" t="s">
        <v>90</v>
      </c>
      <c r="B38" s="7" t="s">
        <v>81</v>
      </c>
      <c r="C38" s="7">
        <v>1290</v>
      </c>
      <c r="D38" s="9">
        <v>0.48</v>
      </c>
      <c r="E38" s="10">
        <v>45460</v>
      </c>
      <c r="F38" s="7">
        <v>69</v>
      </c>
      <c r="G38" s="7">
        <v>86</v>
      </c>
      <c r="K38" s="24"/>
      <c r="L38" s="28"/>
      <c r="O38" s="24"/>
      <c r="P38" s="28"/>
      <c r="T38" s="28"/>
      <c r="X38" s="28"/>
    </row>
    <row r="39" spans="1:24" x14ac:dyDescent="0.25">
      <c r="A39" s="7" t="s">
        <v>91</v>
      </c>
      <c r="B39" s="7" t="s">
        <v>81</v>
      </c>
      <c r="C39" s="7">
        <v>1357</v>
      </c>
      <c r="D39" s="9">
        <v>0.3</v>
      </c>
      <c r="E39" s="10">
        <v>56766</v>
      </c>
      <c r="F39" s="7">
        <v>95</v>
      </c>
      <c r="G39" s="7">
        <v>86</v>
      </c>
      <c r="K39" s="24" t="s">
        <v>148</v>
      </c>
      <c r="L39" s="27">
        <v>0.9</v>
      </c>
      <c r="O39" s="24"/>
      <c r="P39" s="27">
        <v>0.9</v>
      </c>
      <c r="T39" s="27">
        <v>0.85</v>
      </c>
      <c r="X39" s="27">
        <v>0.85</v>
      </c>
    </row>
    <row r="40" spans="1:24" x14ac:dyDescent="0.25">
      <c r="A40" s="7" t="s">
        <v>92</v>
      </c>
      <c r="B40" s="7" t="s">
        <v>81</v>
      </c>
      <c r="C40" s="7">
        <v>1230</v>
      </c>
      <c r="D40" s="9">
        <v>0.47</v>
      </c>
      <c r="E40" s="10">
        <v>28851</v>
      </c>
      <c r="F40" s="7">
        <v>77</v>
      </c>
      <c r="G40" s="7">
        <v>82</v>
      </c>
      <c r="K40" s="24"/>
      <c r="L40" s="26"/>
      <c r="O40" s="24"/>
      <c r="P40" s="26"/>
      <c r="T40" s="26"/>
      <c r="X40" s="26"/>
    </row>
    <row r="41" spans="1:24" x14ac:dyDescent="0.25">
      <c r="A41" s="7" t="s">
        <v>31</v>
      </c>
      <c r="B41" s="7" t="s">
        <v>81</v>
      </c>
      <c r="C41" s="7">
        <v>1340</v>
      </c>
      <c r="D41" s="9">
        <v>0.17</v>
      </c>
      <c r="E41" s="10">
        <v>48123</v>
      </c>
      <c r="F41" s="7">
        <v>89</v>
      </c>
      <c r="G41" s="7">
        <v>93</v>
      </c>
      <c r="K41" s="24" t="s">
        <v>150</v>
      </c>
      <c r="L41" s="29">
        <v>25</v>
      </c>
      <c r="O41" s="24"/>
      <c r="P41" s="29">
        <v>24</v>
      </c>
      <c r="T41" s="29">
        <v>25</v>
      </c>
      <c r="X41" s="29">
        <v>24</v>
      </c>
    </row>
    <row r="42" spans="1:24" x14ac:dyDescent="0.25">
      <c r="A42" s="7" t="s">
        <v>93</v>
      </c>
      <c r="B42" s="7" t="s">
        <v>81</v>
      </c>
      <c r="C42" s="7">
        <v>1327</v>
      </c>
      <c r="D42" s="9">
        <v>0.24</v>
      </c>
      <c r="E42" s="10">
        <v>26730</v>
      </c>
      <c r="F42" s="7">
        <v>85</v>
      </c>
      <c r="G42" s="7">
        <v>88</v>
      </c>
      <c r="K42" s="24"/>
      <c r="L42" s="26"/>
      <c r="O42" s="24"/>
      <c r="P42" s="26"/>
      <c r="T42" s="26"/>
      <c r="X42" s="26"/>
    </row>
    <row r="43" spans="1:24" x14ac:dyDescent="0.25">
      <c r="A43" s="7" t="s">
        <v>94</v>
      </c>
      <c r="B43" s="7" t="s">
        <v>81</v>
      </c>
      <c r="C43" s="7">
        <v>1370</v>
      </c>
      <c r="D43" s="9">
        <v>0.18</v>
      </c>
      <c r="E43" s="10">
        <v>61921</v>
      </c>
      <c r="F43" s="7">
        <v>92</v>
      </c>
      <c r="G43" s="7">
        <v>88</v>
      </c>
      <c r="K43" s="22" t="s">
        <v>160</v>
      </c>
      <c r="L43" s="71">
        <f>(L36-L39)/SQRT((L39*(1-L39))/L41)</f>
        <v>-0.98000000000000131</v>
      </c>
      <c r="O43" s="24"/>
      <c r="P43" s="71">
        <f>(P36-P39)/SQRT((P39*(1-P39))/P41)</f>
        <v>-1.2520158571945754</v>
      </c>
      <c r="T43" s="71">
        <f>(T36-T39)/SQRT((T39*(1-T39))/T41)</f>
        <v>-0.12322464739446527</v>
      </c>
      <c r="X43" s="71">
        <f>(X36-X39)/SQRT((X39*(1-X39))/X41)</f>
        <v>-0.36590938126005645</v>
      </c>
    </row>
    <row r="44" spans="1:24" x14ac:dyDescent="0.25">
      <c r="A44" s="7" t="s">
        <v>95</v>
      </c>
      <c r="B44" s="7" t="s">
        <v>81</v>
      </c>
      <c r="C44" s="7">
        <v>1195</v>
      </c>
      <c r="D44" s="9">
        <v>0.6</v>
      </c>
      <c r="E44" s="10">
        <v>21853</v>
      </c>
      <c r="F44" s="7">
        <v>71</v>
      </c>
      <c r="G44" s="7">
        <v>77</v>
      </c>
      <c r="K44" s="5"/>
      <c r="L44" s="26"/>
      <c r="O44" s="11"/>
      <c r="P44" s="26"/>
      <c r="T44" s="26"/>
      <c r="X44" s="26"/>
    </row>
    <row r="45" spans="1:24" ht="15" customHeight="1" x14ac:dyDescent="0.25">
      <c r="A45" s="7" t="s">
        <v>96</v>
      </c>
      <c r="B45" s="7" t="s">
        <v>81</v>
      </c>
      <c r="C45" s="7">
        <v>1300</v>
      </c>
      <c r="D45" s="9">
        <v>0.45</v>
      </c>
      <c r="E45" s="10">
        <v>38937</v>
      </c>
      <c r="F45" s="7">
        <v>74</v>
      </c>
      <c r="G45" s="7">
        <v>73</v>
      </c>
      <c r="K45" s="22" t="s">
        <v>156</v>
      </c>
      <c r="L45" s="26">
        <v>0.01</v>
      </c>
      <c r="O45" s="24"/>
      <c r="P45" s="26">
        <v>0.01</v>
      </c>
      <c r="T45" s="26">
        <v>0.01</v>
      </c>
      <c r="X45" s="26">
        <v>0.01</v>
      </c>
    </row>
    <row r="46" spans="1:24" x14ac:dyDescent="0.25">
      <c r="A46" s="7" t="s">
        <v>97</v>
      </c>
      <c r="B46" s="7" t="s">
        <v>81</v>
      </c>
      <c r="C46" s="7">
        <v>1155</v>
      </c>
      <c r="D46" s="9">
        <v>0.56000000000000005</v>
      </c>
      <c r="E46" s="10">
        <v>38597</v>
      </c>
      <c r="F46" s="7">
        <v>52</v>
      </c>
      <c r="G46" s="7">
        <v>73</v>
      </c>
      <c r="K46" s="22" t="s">
        <v>159</v>
      </c>
      <c r="L46" s="70">
        <f>_xlfn.NORM.S.INV(1-L45)</f>
        <v>2.3263478740408408</v>
      </c>
      <c r="O46" s="11"/>
      <c r="P46" s="70">
        <f>_xlfn.NORM.S.INV(1-P45)</f>
        <v>2.3263478740408408</v>
      </c>
      <c r="T46" s="70">
        <f>_xlfn.NORM.S.INV(1-T45)</f>
        <v>2.3263478740408408</v>
      </c>
      <c r="X46" s="70">
        <f>_xlfn.NORM.S.INV(1-X45)</f>
        <v>2.3263478740408408</v>
      </c>
    </row>
    <row r="47" spans="1:24" x14ac:dyDescent="0.25">
      <c r="A47" s="7" t="s">
        <v>98</v>
      </c>
      <c r="B47" s="7" t="s">
        <v>81</v>
      </c>
      <c r="C47" s="7">
        <v>1280</v>
      </c>
      <c r="D47" s="9">
        <v>0.41</v>
      </c>
      <c r="E47" s="10">
        <v>30882</v>
      </c>
      <c r="F47" s="7">
        <v>87</v>
      </c>
      <c r="G47" s="7">
        <v>86</v>
      </c>
      <c r="K47" s="24" t="s">
        <v>175</v>
      </c>
      <c r="L47" s="72">
        <f>1-_xlfn.NORM.S.DIST(L43,TRUE)</f>
        <v>0.83645694067230802</v>
      </c>
      <c r="O47" s="26"/>
      <c r="P47" s="74">
        <f>1-_xlfn.NORM.S.DIST(P43,TRUE)</f>
        <v>0.89471795705433232</v>
      </c>
      <c r="T47" s="73">
        <f>1-_xlfn.NORM.S.DIST(T43,TRUE)</f>
        <v>0.54903539574770566</v>
      </c>
      <c r="X47" s="75">
        <f>1-_xlfn.NORM.S.DIST(X43,TRUE)</f>
        <v>0.6427836520631558</v>
      </c>
    </row>
    <row r="48" spans="1:24" x14ac:dyDescent="0.25">
      <c r="A48" s="7" t="s">
        <v>99</v>
      </c>
      <c r="B48" s="7" t="s">
        <v>81</v>
      </c>
      <c r="C48" s="7">
        <v>1218</v>
      </c>
      <c r="D48" s="9">
        <v>0.37</v>
      </c>
      <c r="E48" s="10">
        <v>19365</v>
      </c>
      <c r="F48" s="7">
        <v>77</v>
      </c>
      <c r="G48" s="7">
        <v>88</v>
      </c>
      <c r="K48" s="25" t="s">
        <v>151</v>
      </c>
      <c r="L48" s="61" t="s">
        <v>166</v>
      </c>
      <c r="O48" s="26"/>
      <c r="P48" s="61" t="s">
        <v>166</v>
      </c>
      <c r="T48" s="61" t="s">
        <v>166</v>
      </c>
      <c r="X48" s="61" t="s">
        <v>166</v>
      </c>
    </row>
    <row r="49" spans="1:27" x14ac:dyDescent="0.25">
      <c r="A49" s="7" t="s">
        <v>100</v>
      </c>
      <c r="B49" s="7" t="s">
        <v>81</v>
      </c>
      <c r="C49" s="7">
        <v>1142</v>
      </c>
      <c r="D49" s="9">
        <v>0.43</v>
      </c>
      <c r="E49" s="10">
        <v>26859</v>
      </c>
      <c r="F49" s="7">
        <v>96</v>
      </c>
      <c r="G49" s="7">
        <v>61</v>
      </c>
      <c r="K49" s="11"/>
    </row>
    <row r="50" spans="1:27" x14ac:dyDescent="0.25">
      <c r="A50" s="7" t="s">
        <v>101</v>
      </c>
      <c r="B50" s="7" t="s">
        <v>81</v>
      </c>
      <c r="C50" s="7">
        <v>1109</v>
      </c>
      <c r="D50" s="9">
        <v>0.32</v>
      </c>
      <c r="E50" s="10">
        <v>19684</v>
      </c>
      <c r="F50" s="7">
        <v>82</v>
      </c>
      <c r="G50" s="7">
        <v>73</v>
      </c>
      <c r="K50" s="24" t="s">
        <v>157</v>
      </c>
      <c r="L50" s="69" t="s">
        <v>225</v>
      </c>
      <c r="M50" s="69"/>
      <c r="N50" s="69"/>
      <c r="O50" s="69"/>
      <c r="P50" s="69" t="s">
        <v>227</v>
      </c>
      <c r="Q50" s="69"/>
      <c r="R50" s="69"/>
      <c r="S50" s="69"/>
      <c r="T50" s="69" t="s">
        <v>226</v>
      </c>
      <c r="U50" s="69"/>
      <c r="V50" s="69"/>
      <c r="W50" s="69"/>
      <c r="X50" s="69" t="s">
        <v>228</v>
      </c>
      <c r="Y50" s="69"/>
      <c r="Z50" s="69"/>
      <c r="AA50" s="69"/>
    </row>
    <row r="51" spans="1:27" x14ac:dyDescent="0.25">
      <c r="A51" s="7" t="s">
        <v>102</v>
      </c>
      <c r="B51" s="7" t="s">
        <v>81</v>
      </c>
      <c r="C51" s="7">
        <v>1225</v>
      </c>
      <c r="D51" s="9">
        <v>0.54</v>
      </c>
      <c r="E51" s="10">
        <v>39883</v>
      </c>
      <c r="F51" s="7">
        <v>71</v>
      </c>
      <c r="G51" s="7">
        <v>76</v>
      </c>
      <c r="K51" s="24" t="s">
        <v>158</v>
      </c>
      <c r="L51" s="69"/>
      <c r="M51" s="69"/>
      <c r="N51" s="69"/>
      <c r="O51" s="69"/>
      <c r="P51" s="69"/>
      <c r="Q51" s="69"/>
      <c r="R51" s="69"/>
      <c r="S51" s="69"/>
      <c r="T51" s="69"/>
      <c r="U51" s="69"/>
      <c r="V51" s="69"/>
      <c r="W51" s="69"/>
      <c r="X51" s="69"/>
      <c r="Y51" s="69"/>
      <c r="Z51" s="69"/>
      <c r="AA51" s="69"/>
    </row>
    <row r="52" spans="1:27" x14ac:dyDescent="0.25">
      <c r="A52" s="7" t="s">
        <v>103</v>
      </c>
      <c r="B52" s="7" t="s">
        <v>81</v>
      </c>
      <c r="C52" s="7">
        <v>1350</v>
      </c>
      <c r="D52" s="9">
        <v>0.19</v>
      </c>
      <c r="E52" s="10">
        <v>52468</v>
      </c>
      <c r="F52" s="7">
        <v>90</v>
      </c>
      <c r="G52" s="7">
        <v>93</v>
      </c>
      <c r="L52" s="69"/>
      <c r="M52" s="69"/>
      <c r="N52" s="69"/>
      <c r="O52" s="69"/>
      <c r="P52" s="69"/>
      <c r="Q52" s="69"/>
      <c r="R52" s="69"/>
      <c r="S52" s="69"/>
      <c r="T52" s="69"/>
      <c r="U52" s="69"/>
      <c r="V52" s="69"/>
      <c r="W52" s="69"/>
      <c r="X52" s="69"/>
      <c r="Y52" s="69"/>
      <c r="Z52" s="69"/>
      <c r="AA52" s="69"/>
    </row>
    <row r="53" spans="1:27" ht="15" customHeight="1" x14ac:dyDescent="0.25">
      <c r="L53" s="69"/>
      <c r="M53" s="69"/>
      <c r="N53" s="69"/>
      <c r="O53" s="69"/>
      <c r="P53" s="69"/>
      <c r="Q53" s="69"/>
      <c r="R53" s="69"/>
      <c r="S53" s="69"/>
      <c r="T53" s="69"/>
      <c r="U53" s="69"/>
      <c r="V53" s="69"/>
      <c r="W53" s="69"/>
      <c r="X53" s="69"/>
      <c r="Y53" s="69"/>
      <c r="Z53" s="69"/>
      <c r="AA53" s="69"/>
    </row>
    <row r="54" spans="1:27" x14ac:dyDescent="0.25">
      <c r="L54" s="69"/>
      <c r="M54" s="69"/>
      <c r="N54" s="69"/>
      <c r="O54" s="69"/>
      <c r="P54" s="69"/>
      <c r="Q54" s="69"/>
      <c r="R54" s="69"/>
      <c r="S54" s="69"/>
      <c r="T54" s="69"/>
      <c r="U54" s="69"/>
      <c r="V54" s="69"/>
      <c r="W54" s="69"/>
      <c r="X54" s="69"/>
      <c r="Y54" s="69"/>
      <c r="Z54" s="69"/>
      <c r="AA54" s="69"/>
    </row>
    <row r="55" spans="1:27" x14ac:dyDescent="0.25">
      <c r="L55" s="69"/>
      <c r="M55" s="69"/>
      <c r="N55" s="69"/>
      <c r="O55" s="69"/>
      <c r="P55" s="69"/>
      <c r="Q55" s="69"/>
      <c r="R55" s="69"/>
      <c r="S55" s="69"/>
      <c r="T55" s="69"/>
      <c r="U55" s="69"/>
      <c r="V55" s="69"/>
      <c r="W55" s="69"/>
      <c r="X55" s="69"/>
      <c r="Y55" s="69"/>
      <c r="Z55" s="69"/>
      <c r="AA55" s="69"/>
    </row>
  </sheetData>
  <mergeCells count="8">
    <mergeCell ref="T50:W55"/>
    <mergeCell ref="X50:AA55"/>
    <mergeCell ref="L22:O27"/>
    <mergeCell ref="P22:S27"/>
    <mergeCell ref="T22:W27"/>
    <mergeCell ref="X22:AA27"/>
    <mergeCell ref="L50:O55"/>
    <mergeCell ref="P50:S55"/>
  </mergeCell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3"/>
  <sheetViews>
    <sheetView topLeftCell="D1" workbookViewId="0">
      <selection activeCell="J23" activeCellId="1" sqref="J27 J23:S25"/>
    </sheetView>
  </sheetViews>
  <sheetFormatPr defaultRowHeight="15" x14ac:dyDescent="0.25"/>
  <cols>
    <col min="1" max="1" width="8.85546875" style="11" bestFit="1" customWidth="1"/>
    <col min="2" max="2" width="19.85546875" style="11" bestFit="1" customWidth="1"/>
    <col min="3" max="4" width="13.42578125" style="11" bestFit="1" customWidth="1"/>
    <col min="5" max="5" width="13.42578125" style="11" customWidth="1"/>
    <col min="6" max="6" width="19.42578125" style="11" bestFit="1" customWidth="1"/>
    <col min="10" max="10" width="11.5703125" customWidth="1"/>
  </cols>
  <sheetData>
    <row r="1" spans="1:14" x14ac:dyDescent="0.25">
      <c r="A1" s="12" t="s">
        <v>104</v>
      </c>
      <c r="B1" s="13"/>
      <c r="C1" s="13"/>
      <c r="D1" s="13"/>
      <c r="E1" s="13"/>
      <c r="F1" s="13"/>
    </row>
    <row r="2" spans="1:14" x14ac:dyDescent="0.25">
      <c r="A2" s="13"/>
      <c r="B2" s="13"/>
      <c r="C2" s="13"/>
      <c r="D2" s="13"/>
      <c r="E2" s="13"/>
      <c r="F2" s="13"/>
    </row>
    <row r="3" spans="1:14" ht="15.75" thickBot="1" x14ac:dyDescent="0.3">
      <c r="A3" s="14" t="s">
        <v>105</v>
      </c>
      <c r="B3" s="14" t="s">
        <v>106</v>
      </c>
      <c r="C3" s="14" t="s">
        <v>107</v>
      </c>
      <c r="D3" s="14" t="s">
        <v>108</v>
      </c>
      <c r="E3" s="14" t="s">
        <v>109</v>
      </c>
      <c r="F3" s="14" t="s">
        <v>110</v>
      </c>
    </row>
    <row r="4" spans="1:14" ht="15.75" thickTop="1" x14ac:dyDescent="0.25">
      <c r="A4" s="15">
        <v>1</v>
      </c>
      <c r="B4" s="16">
        <v>0.51</v>
      </c>
      <c r="C4" s="17">
        <v>170</v>
      </c>
      <c r="D4" s="17">
        <f>B4*C4</f>
        <v>86.7</v>
      </c>
      <c r="E4" s="15">
        <v>1</v>
      </c>
      <c r="F4" s="15">
        <v>2</v>
      </c>
      <c r="I4" s="1" t="s">
        <v>144</v>
      </c>
      <c r="J4" t="s">
        <v>168</v>
      </c>
      <c r="N4" s="30" t="s">
        <v>210</v>
      </c>
    </row>
    <row r="5" spans="1:14" x14ac:dyDescent="0.25">
      <c r="A5" s="15">
        <v>2</v>
      </c>
      <c r="B5" s="16">
        <v>0.32</v>
      </c>
      <c r="C5" s="17">
        <v>181</v>
      </c>
      <c r="D5" s="17">
        <f t="shared" ref="D5:D63" si="0">B5*C5</f>
        <v>57.92</v>
      </c>
      <c r="E5" s="15">
        <v>3</v>
      </c>
      <c r="F5" s="15">
        <v>4</v>
      </c>
      <c r="I5" s="1" t="s">
        <v>145</v>
      </c>
      <c r="J5" t="s">
        <v>169</v>
      </c>
      <c r="N5" s="30" t="s">
        <v>211</v>
      </c>
    </row>
    <row r="6" spans="1:14" x14ac:dyDescent="0.25">
      <c r="A6" s="15">
        <v>3</v>
      </c>
      <c r="B6" s="16">
        <v>0.2</v>
      </c>
      <c r="C6" s="17">
        <v>203</v>
      </c>
      <c r="D6" s="17">
        <f t="shared" si="0"/>
        <v>40.6</v>
      </c>
      <c r="E6" s="15">
        <v>2</v>
      </c>
      <c r="F6" s="15">
        <v>2</v>
      </c>
      <c r="I6" s="11" t="s">
        <v>46</v>
      </c>
    </row>
    <row r="7" spans="1:14" x14ac:dyDescent="0.25">
      <c r="A7" s="15">
        <v>4</v>
      </c>
      <c r="B7" s="16">
        <v>0.22</v>
      </c>
      <c r="C7" s="17">
        <v>249</v>
      </c>
      <c r="D7" s="17">
        <f t="shared" si="0"/>
        <v>54.78</v>
      </c>
      <c r="E7" s="15">
        <v>5</v>
      </c>
      <c r="F7" s="15">
        <v>1</v>
      </c>
      <c r="I7" s="11"/>
    </row>
    <row r="8" spans="1:14" x14ac:dyDescent="0.25">
      <c r="A8" s="15">
        <v>5</v>
      </c>
      <c r="B8" s="16">
        <v>0.21</v>
      </c>
      <c r="C8" s="17">
        <v>476</v>
      </c>
      <c r="D8" s="17">
        <f t="shared" si="0"/>
        <v>99.96</v>
      </c>
      <c r="E8" s="15">
        <v>5</v>
      </c>
      <c r="F8" s="15">
        <v>1</v>
      </c>
      <c r="I8" s="24"/>
    </row>
    <row r="9" spans="1:14" x14ac:dyDescent="0.25">
      <c r="A9" s="15">
        <v>6</v>
      </c>
      <c r="B9" s="16">
        <v>0.21</v>
      </c>
      <c r="C9" s="17">
        <v>476</v>
      </c>
      <c r="D9" s="17">
        <f t="shared" si="0"/>
        <v>99.96</v>
      </c>
      <c r="E9" s="15">
        <v>5</v>
      </c>
      <c r="F9" s="15">
        <v>4</v>
      </c>
      <c r="I9" s="24" t="s">
        <v>146</v>
      </c>
      <c r="J9" s="62">
        <f>AVERAGE(D4:D63)</f>
        <v>4239.1645833333332</v>
      </c>
    </row>
    <row r="10" spans="1:14" x14ac:dyDescent="0.25">
      <c r="A10" s="15">
        <v>7</v>
      </c>
      <c r="B10" s="16">
        <v>0.22</v>
      </c>
      <c r="C10" s="17">
        <v>635</v>
      </c>
      <c r="D10" s="17">
        <f t="shared" si="0"/>
        <v>139.69999999999999</v>
      </c>
      <c r="E10" s="15">
        <v>2</v>
      </c>
      <c r="F10" s="15">
        <v>3</v>
      </c>
      <c r="I10" s="24" t="s">
        <v>147</v>
      </c>
      <c r="J10" s="62">
        <f>_xlfn.STDEV.S(D4:D63)</f>
        <v>5811.7292628201239</v>
      </c>
    </row>
    <row r="11" spans="1:14" x14ac:dyDescent="0.25">
      <c r="A11" s="15">
        <v>8</v>
      </c>
      <c r="B11" s="16">
        <v>0.34</v>
      </c>
      <c r="C11" s="17">
        <v>856</v>
      </c>
      <c r="D11" s="17">
        <f t="shared" si="0"/>
        <v>291.04000000000002</v>
      </c>
      <c r="E11" s="15">
        <v>3</v>
      </c>
      <c r="F11" s="15">
        <v>3</v>
      </c>
      <c r="I11" s="24"/>
    </row>
    <row r="12" spans="1:14" x14ac:dyDescent="0.25">
      <c r="A12" s="15">
        <v>9</v>
      </c>
      <c r="B12" s="16">
        <v>0.26</v>
      </c>
      <c r="C12" s="17">
        <v>1062</v>
      </c>
      <c r="D12" s="17">
        <f t="shared" si="0"/>
        <v>276.12</v>
      </c>
      <c r="E12" s="15">
        <v>4</v>
      </c>
      <c r="F12" s="15">
        <v>2</v>
      </c>
      <c r="I12" s="24" t="s">
        <v>148</v>
      </c>
      <c r="J12">
        <v>4500</v>
      </c>
    </row>
    <row r="13" spans="1:14" x14ac:dyDescent="0.25">
      <c r="A13" s="15">
        <v>10</v>
      </c>
      <c r="B13" s="16">
        <v>0.16550000000000001</v>
      </c>
      <c r="C13" s="17">
        <v>1110</v>
      </c>
      <c r="D13" s="17">
        <f t="shared" si="0"/>
        <v>183.70500000000001</v>
      </c>
      <c r="E13" s="15">
        <v>7</v>
      </c>
      <c r="F13" s="15">
        <v>3</v>
      </c>
      <c r="I13" s="24"/>
    </row>
    <row r="14" spans="1:14" x14ac:dyDescent="0.25">
      <c r="A14" s="15">
        <v>11</v>
      </c>
      <c r="B14" s="16">
        <v>0.2</v>
      </c>
      <c r="C14" s="17">
        <v>1153</v>
      </c>
      <c r="D14" s="17">
        <f t="shared" si="0"/>
        <v>230.60000000000002</v>
      </c>
      <c r="E14" s="15">
        <v>7</v>
      </c>
      <c r="F14" s="15">
        <v>3</v>
      </c>
      <c r="I14" s="24" t="s">
        <v>150</v>
      </c>
      <c r="J14">
        <f>COUNT(D4:D63)</f>
        <v>60</v>
      </c>
    </row>
    <row r="15" spans="1:14" x14ac:dyDescent="0.25">
      <c r="A15" s="15">
        <v>12</v>
      </c>
      <c r="B15" s="16">
        <v>0.36</v>
      </c>
      <c r="C15" s="17">
        <v>1392</v>
      </c>
      <c r="D15" s="17">
        <f t="shared" si="0"/>
        <v>501.12</v>
      </c>
      <c r="E15" s="15">
        <v>4</v>
      </c>
      <c r="F15" s="15">
        <v>2</v>
      </c>
      <c r="I15" s="24"/>
    </row>
    <row r="16" spans="1:14" x14ac:dyDescent="0.25">
      <c r="A16" s="15">
        <v>13</v>
      </c>
      <c r="B16" s="16">
        <v>0.18</v>
      </c>
      <c r="C16" s="17">
        <v>1743</v>
      </c>
      <c r="D16" s="17">
        <f t="shared" si="0"/>
        <v>313.74</v>
      </c>
      <c r="E16" s="15">
        <v>4</v>
      </c>
      <c r="F16" s="15">
        <v>2</v>
      </c>
      <c r="I16" s="22" t="s">
        <v>160</v>
      </c>
      <c r="J16" s="67">
        <f>(J9-J12)/(J10/SQRT(J14))</f>
        <v>-0.34764565903432021</v>
      </c>
    </row>
    <row r="17" spans="1:19" x14ac:dyDescent="0.25">
      <c r="A17" s="15">
        <v>14</v>
      </c>
      <c r="B17" s="16">
        <v>0.2</v>
      </c>
      <c r="C17" s="17">
        <v>2307</v>
      </c>
      <c r="D17" s="17">
        <f t="shared" si="0"/>
        <v>461.40000000000003</v>
      </c>
      <c r="E17" s="15">
        <v>7</v>
      </c>
      <c r="F17" s="15">
        <v>3</v>
      </c>
      <c r="I17" s="5"/>
    </row>
    <row r="18" spans="1:19" x14ac:dyDescent="0.25">
      <c r="A18" s="15">
        <v>15</v>
      </c>
      <c r="B18" s="16">
        <v>0.05</v>
      </c>
      <c r="C18" s="17">
        <v>2534</v>
      </c>
      <c r="D18" s="17">
        <f t="shared" si="0"/>
        <v>126.7</v>
      </c>
      <c r="E18" s="15">
        <v>4</v>
      </c>
      <c r="F18" s="15">
        <v>5</v>
      </c>
      <c r="I18" s="22" t="s">
        <v>156</v>
      </c>
      <c r="J18">
        <v>0.05</v>
      </c>
    </row>
    <row r="19" spans="1:19" x14ac:dyDescent="0.25">
      <c r="A19" s="15">
        <v>16</v>
      </c>
      <c r="B19" s="16">
        <v>0.28999999999999998</v>
      </c>
      <c r="C19" s="17">
        <v>2683</v>
      </c>
      <c r="D19" s="17">
        <f t="shared" si="0"/>
        <v>778.06999999999994</v>
      </c>
      <c r="E19" s="15">
        <v>7</v>
      </c>
      <c r="F19" s="15">
        <v>2</v>
      </c>
      <c r="I19" s="22" t="s">
        <v>159</v>
      </c>
      <c r="J19" s="67">
        <f>-_xlfn.T.INV(J18,J14)</f>
        <v>1.6706488649046354</v>
      </c>
    </row>
    <row r="20" spans="1:19" x14ac:dyDescent="0.25">
      <c r="A20" s="15">
        <v>17</v>
      </c>
      <c r="B20" s="16">
        <v>0.1</v>
      </c>
      <c r="C20" s="17">
        <v>2780</v>
      </c>
      <c r="D20" s="17">
        <f t="shared" si="0"/>
        <v>278</v>
      </c>
      <c r="E20" s="15">
        <v>2</v>
      </c>
      <c r="F20" s="15">
        <v>3</v>
      </c>
      <c r="I20" s="24" t="s">
        <v>175</v>
      </c>
      <c r="J20" s="67">
        <f>1-_xlfn.NORM.S.DIST(J16,TRUE)</f>
        <v>0.63594684418419067</v>
      </c>
    </row>
    <row r="21" spans="1:19" x14ac:dyDescent="0.25">
      <c r="A21" s="15">
        <v>18</v>
      </c>
      <c r="B21" s="16">
        <v>0.37</v>
      </c>
      <c r="C21" s="17">
        <v>3272</v>
      </c>
      <c r="D21" s="17">
        <f t="shared" si="0"/>
        <v>1210.6399999999999</v>
      </c>
      <c r="E21" s="15">
        <v>5</v>
      </c>
      <c r="F21" s="15">
        <v>3</v>
      </c>
      <c r="I21" s="25" t="s">
        <v>151</v>
      </c>
      <c r="J21" s="50" t="s">
        <v>166</v>
      </c>
    </row>
    <row r="22" spans="1:19" x14ac:dyDescent="0.25">
      <c r="A22" s="15">
        <v>19</v>
      </c>
      <c r="B22" s="16">
        <v>0.6</v>
      </c>
      <c r="C22" s="17">
        <v>3864</v>
      </c>
      <c r="D22" s="17">
        <f t="shared" si="0"/>
        <v>2318.4</v>
      </c>
      <c r="E22" s="15">
        <v>7</v>
      </c>
      <c r="F22" s="15">
        <v>1</v>
      </c>
      <c r="I22" s="11"/>
    </row>
    <row r="23" spans="1:19" ht="15" customHeight="1" x14ac:dyDescent="0.25">
      <c r="A23" s="15">
        <v>20</v>
      </c>
      <c r="B23" s="16">
        <v>0.24</v>
      </c>
      <c r="C23" s="17">
        <v>3988</v>
      </c>
      <c r="D23" s="17">
        <f t="shared" si="0"/>
        <v>957.12</v>
      </c>
      <c r="E23" s="15">
        <v>6</v>
      </c>
      <c r="F23" s="15">
        <v>3</v>
      </c>
      <c r="I23" s="24" t="s">
        <v>157</v>
      </c>
      <c r="J23" s="69" t="s">
        <v>233</v>
      </c>
      <c r="K23" s="69"/>
      <c r="L23" s="69"/>
      <c r="M23" s="69"/>
      <c r="N23" s="69"/>
      <c r="O23" s="69"/>
      <c r="P23" s="69"/>
      <c r="Q23" s="69"/>
      <c r="R23" s="69"/>
      <c r="S23" s="69"/>
    </row>
    <row r="24" spans="1:19" x14ac:dyDescent="0.25">
      <c r="A24" s="15">
        <v>21</v>
      </c>
      <c r="B24" s="16">
        <v>0.09</v>
      </c>
      <c r="C24" s="17">
        <v>4072</v>
      </c>
      <c r="D24" s="17">
        <f t="shared" si="0"/>
        <v>366.47999999999996</v>
      </c>
      <c r="E24" s="15">
        <v>7</v>
      </c>
      <c r="F24" s="15">
        <v>3</v>
      </c>
      <c r="I24" s="24" t="s">
        <v>158</v>
      </c>
      <c r="J24" s="69"/>
      <c r="K24" s="69"/>
      <c r="L24" s="69"/>
      <c r="M24" s="69"/>
      <c r="N24" s="69"/>
      <c r="O24" s="69"/>
      <c r="P24" s="69"/>
      <c r="Q24" s="69"/>
      <c r="R24" s="69"/>
      <c r="S24" s="69"/>
    </row>
    <row r="25" spans="1:19" x14ac:dyDescent="0.25">
      <c r="A25" s="15">
        <v>22</v>
      </c>
      <c r="B25" s="16">
        <v>0.5</v>
      </c>
      <c r="C25" s="17">
        <v>4190</v>
      </c>
      <c r="D25" s="17">
        <f t="shared" si="0"/>
        <v>2095</v>
      </c>
      <c r="E25" s="15">
        <v>5</v>
      </c>
      <c r="F25" s="15">
        <v>3</v>
      </c>
      <c r="J25" s="69"/>
      <c r="K25" s="69"/>
      <c r="L25" s="69"/>
      <c r="M25" s="69"/>
      <c r="N25" s="69"/>
      <c r="O25" s="69"/>
      <c r="P25" s="69"/>
      <c r="Q25" s="69"/>
      <c r="R25" s="69"/>
      <c r="S25" s="69"/>
    </row>
    <row r="26" spans="1:19" x14ac:dyDescent="0.25">
      <c r="A26" s="15">
        <v>23</v>
      </c>
      <c r="B26" s="16">
        <v>0.17</v>
      </c>
      <c r="C26" s="17">
        <v>4219</v>
      </c>
      <c r="D26" s="17">
        <f t="shared" si="0"/>
        <v>717.23</v>
      </c>
      <c r="E26" s="15">
        <v>3</v>
      </c>
      <c r="F26" s="15">
        <v>4</v>
      </c>
    </row>
    <row r="27" spans="1:19" x14ac:dyDescent="0.25">
      <c r="A27" s="15">
        <v>24</v>
      </c>
      <c r="B27" s="16">
        <v>0.32</v>
      </c>
      <c r="C27" s="17">
        <v>4711</v>
      </c>
      <c r="D27" s="17">
        <f t="shared" si="0"/>
        <v>1507.52</v>
      </c>
      <c r="E27" s="15">
        <v>7</v>
      </c>
      <c r="F27" s="15">
        <v>1</v>
      </c>
      <c r="J27" s="70" t="s">
        <v>239</v>
      </c>
    </row>
    <row r="28" spans="1:19" x14ac:dyDescent="0.25">
      <c r="A28" s="15">
        <v>25</v>
      </c>
      <c r="B28" s="16">
        <v>0.15</v>
      </c>
      <c r="C28" s="17">
        <v>4824</v>
      </c>
      <c r="D28" s="17">
        <f t="shared" si="0"/>
        <v>723.6</v>
      </c>
      <c r="E28" s="15">
        <v>6</v>
      </c>
      <c r="F28" s="15">
        <v>3</v>
      </c>
    </row>
    <row r="29" spans="1:19" x14ac:dyDescent="0.25">
      <c r="A29" s="15">
        <v>26</v>
      </c>
      <c r="B29" s="16">
        <v>0.1</v>
      </c>
      <c r="C29" s="17">
        <v>4878</v>
      </c>
      <c r="D29" s="17">
        <f t="shared" si="0"/>
        <v>487.8</v>
      </c>
      <c r="E29" s="15">
        <v>7</v>
      </c>
      <c r="F29" s="15">
        <v>4</v>
      </c>
    </row>
    <row r="30" spans="1:19" x14ac:dyDescent="0.25">
      <c r="A30" s="15">
        <v>27</v>
      </c>
      <c r="B30" s="16">
        <v>0.13</v>
      </c>
      <c r="C30" s="17">
        <v>5157</v>
      </c>
      <c r="D30" s="17">
        <f t="shared" si="0"/>
        <v>670.41</v>
      </c>
      <c r="E30" s="15">
        <v>7</v>
      </c>
      <c r="F30" s="15">
        <v>2</v>
      </c>
    </row>
    <row r="31" spans="1:19" x14ac:dyDescent="0.25">
      <c r="A31" s="15">
        <v>28</v>
      </c>
      <c r="B31" s="16">
        <v>0.22</v>
      </c>
      <c r="C31" s="17">
        <v>5552</v>
      </c>
      <c r="D31" s="17">
        <f t="shared" si="0"/>
        <v>1221.44</v>
      </c>
      <c r="E31" s="15">
        <v>2</v>
      </c>
      <c r="F31" s="15">
        <v>3</v>
      </c>
    </row>
    <row r="32" spans="1:19" x14ac:dyDescent="0.25">
      <c r="A32" s="15">
        <v>29</v>
      </c>
      <c r="B32" s="16">
        <v>0.17</v>
      </c>
      <c r="C32" s="17">
        <v>5876</v>
      </c>
      <c r="D32" s="17">
        <f t="shared" si="0"/>
        <v>998.92000000000007</v>
      </c>
      <c r="E32" s="15">
        <v>1</v>
      </c>
      <c r="F32" s="15">
        <v>3</v>
      </c>
    </row>
    <row r="33" spans="1:6" x14ac:dyDescent="0.25">
      <c r="A33" s="15">
        <v>30</v>
      </c>
      <c r="B33" s="16">
        <v>0.19</v>
      </c>
      <c r="C33" s="17">
        <v>5888</v>
      </c>
      <c r="D33" s="17">
        <f t="shared" si="0"/>
        <v>1118.72</v>
      </c>
      <c r="E33" s="15">
        <v>6</v>
      </c>
      <c r="F33" s="15">
        <v>4</v>
      </c>
    </row>
    <row r="34" spans="1:6" x14ac:dyDescent="0.25">
      <c r="A34" s="15">
        <v>31</v>
      </c>
      <c r="B34" s="16">
        <v>0.06</v>
      </c>
      <c r="C34" s="17">
        <v>7632</v>
      </c>
      <c r="D34" s="17">
        <f t="shared" si="0"/>
        <v>457.91999999999996</v>
      </c>
      <c r="E34" s="15">
        <v>5</v>
      </c>
      <c r="F34" s="15">
        <v>4</v>
      </c>
    </row>
    <row r="35" spans="1:6" x14ac:dyDescent="0.25">
      <c r="A35" s="15">
        <v>32</v>
      </c>
      <c r="B35" s="16">
        <v>0.23</v>
      </c>
      <c r="C35" s="17">
        <v>8058</v>
      </c>
      <c r="D35" s="17">
        <f t="shared" si="0"/>
        <v>1853.3400000000001</v>
      </c>
      <c r="E35" s="15">
        <v>3</v>
      </c>
      <c r="F35" s="15">
        <v>3</v>
      </c>
    </row>
    <row r="36" spans="1:6" x14ac:dyDescent="0.25">
      <c r="A36" s="15">
        <v>33</v>
      </c>
      <c r="B36" s="16">
        <v>0.23</v>
      </c>
      <c r="C36" s="17">
        <v>12056</v>
      </c>
      <c r="D36" s="17">
        <f t="shared" si="0"/>
        <v>2772.88</v>
      </c>
      <c r="E36" s="15">
        <v>7</v>
      </c>
      <c r="F36" s="15">
        <v>2</v>
      </c>
    </row>
    <row r="37" spans="1:6" x14ac:dyDescent="0.25">
      <c r="A37" s="15">
        <v>34</v>
      </c>
      <c r="B37" s="16">
        <v>0.14000000000000001</v>
      </c>
      <c r="C37" s="17">
        <v>12981</v>
      </c>
      <c r="D37" s="17">
        <f t="shared" si="0"/>
        <v>1817.3400000000001</v>
      </c>
      <c r="E37" s="15">
        <v>2</v>
      </c>
      <c r="F37" s="15">
        <v>4</v>
      </c>
    </row>
    <row r="38" spans="1:6" x14ac:dyDescent="0.25">
      <c r="A38" s="15">
        <v>35</v>
      </c>
      <c r="B38" s="16">
        <v>0.22</v>
      </c>
      <c r="C38" s="17">
        <v>13406</v>
      </c>
      <c r="D38" s="17">
        <f t="shared" si="0"/>
        <v>2949.32</v>
      </c>
      <c r="E38" s="15">
        <v>2</v>
      </c>
      <c r="F38" s="15">
        <v>3</v>
      </c>
    </row>
    <row r="39" spans="1:6" x14ac:dyDescent="0.25">
      <c r="A39" s="15">
        <v>36</v>
      </c>
      <c r="B39" s="16">
        <v>0.14000000000000001</v>
      </c>
      <c r="C39" s="17">
        <v>15882</v>
      </c>
      <c r="D39" s="17">
        <f t="shared" si="0"/>
        <v>2223.48</v>
      </c>
      <c r="E39" s="15">
        <v>7</v>
      </c>
      <c r="F39" s="15">
        <v>3</v>
      </c>
    </row>
    <row r="40" spans="1:6" x14ac:dyDescent="0.25">
      <c r="A40" s="15">
        <v>37</v>
      </c>
      <c r="B40" s="16">
        <v>0.28000000000000003</v>
      </c>
      <c r="C40" s="17">
        <v>16343</v>
      </c>
      <c r="D40" s="17">
        <f t="shared" si="0"/>
        <v>4576.0400000000009</v>
      </c>
      <c r="E40" s="15">
        <v>3</v>
      </c>
      <c r="F40" s="15">
        <v>3</v>
      </c>
    </row>
    <row r="41" spans="1:6" x14ac:dyDescent="0.25">
      <c r="A41" s="15">
        <v>38</v>
      </c>
      <c r="B41" s="16">
        <v>0.27</v>
      </c>
      <c r="C41" s="17">
        <v>19985</v>
      </c>
      <c r="D41" s="17">
        <f t="shared" si="0"/>
        <v>5395.9500000000007</v>
      </c>
      <c r="E41" s="15">
        <v>5</v>
      </c>
      <c r="F41" s="15">
        <v>3</v>
      </c>
    </row>
    <row r="42" spans="1:6" x14ac:dyDescent="0.25">
      <c r="A42" s="15">
        <v>39</v>
      </c>
      <c r="B42" s="16">
        <v>0.03</v>
      </c>
      <c r="C42" s="17">
        <v>20160</v>
      </c>
      <c r="D42" s="17">
        <f t="shared" si="0"/>
        <v>604.79999999999995</v>
      </c>
      <c r="E42" s="15">
        <v>5</v>
      </c>
      <c r="F42" s="15">
        <v>5</v>
      </c>
    </row>
    <row r="43" spans="1:6" x14ac:dyDescent="0.25">
      <c r="A43" s="15">
        <v>40</v>
      </c>
      <c r="B43" s="16">
        <v>0.46</v>
      </c>
      <c r="C43" s="17">
        <v>26616</v>
      </c>
      <c r="D43" s="17">
        <f t="shared" si="0"/>
        <v>12243.36</v>
      </c>
      <c r="E43" s="15">
        <v>5</v>
      </c>
      <c r="F43" s="15">
        <v>2</v>
      </c>
    </row>
    <row r="44" spans="1:6" x14ac:dyDescent="0.25">
      <c r="A44" s="15">
        <v>41</v>
      </c>
      <c r="B44" s="16">
        <v>0.26</v>
      </c>
      <c r="C44" s="17">
        <v>28018</v>
      </c>
      <c r="D44" s="17">
        <f t="shared" si="0"/>
        <v>7284.68</v>
      </c>
      <c r="E44" s="15">
        <v>5</v>
      </c>
      <c r="F44" s="15">
        <v>3</v>
      </c>
    </row>
    <row r="45" spans="1:6" x14ac:dyDescent="0.25">
      <c r="A45" s="15">
        <v>42</v>
      </c>
      <c r="B45" s="16">
        <v>0.11</v>
      </c>
      <c r="C45" s="17">
        <v>28950</v>
      </c>
      <c r="D45" s="17">
        <f t="shared" si="0"/>
        <v>3184.5</v>
      </c>
      <c r="E45" s="15">
        <v>4</v>
      </c>
      <c r="F45" s="15">
        <v>4</v>
      </c>
    </row>
    <row r="46" spans="1:6" x14ac:dyDescent="0.25">
      <c r="A46" s="15">
        <v>43</v>
      </c>
      <c r="B46" s="16">
        <v>0.18</v>
      </c>
      <c r="C46" s="17">
        <v>29646</v>
      </c>
      <c r="D46" s="17">
        <f t="shared" si="0"/>
        <v>5336.28</v>
      </c>
      <c r="E46" s="15">
        <v>4</v>
      </c>
      <c r="F46" s="15">
        <v>3</v>
      </c>
    </row>
    <row r="47" spans="1:6" x14ac:dyDescent="0.25">
      <c r="A47" s="15">
        <v>44</v>
      </c>
      <c r="B47" s="16">
        <v>0.37</v>
      </c>
      <c r="C47" s="17">
        <v>31019</v>
      </c>
      <c r="D47" s="17">
        <f t="shared" si="0"/>
        <v>11477.03</v>
      </c>
      <c r="E47" s="15">
        <v>6</v>
      </c>
      <c r="F47" s="15">
        <v>1</v>
      </c>
    </row>
    <row r="48" spans="1:6" x14ac:dyDescent="0.25">
      <c r="A48" s="15">
        <v>45</v>
      </c>
      <c r="B48" s="16">
        <v>0.2</v>
      </c>
      <c r="C48" s="17">
        <v>31305</v>
      </c>
      <c r="D48" s="17">
        <f t="shared" si="0"/>
        <v>6261</v>
      </c>
      <c r="E48" s="15">
        <v>2</v>
      </c>
      <c r="F48" s="15">
        <v>3</v>
      </c>
    </row>
    <row r="49" spans="1:6" x14ac:dyDescent="0.25">
      <c r="A49" s="15">
        <v>46</v>
      </c>
      <c r="B49" s="16">
        <v>0.21</v>
      </c>
      <c r="C49" s="17">
        <v>34769</v>
      </c>
      <c r="D49" s="17">
        <f t="shared" si="0"/>
        <v>7301.49</v>
      </c>
      <c r="E49" s="15">
        <v>7</v>
      </c>
      <c r="F49" s="15">
        <v>1</v>
      </c>
    </row>
    <row r="50" spans="1:6" x14ac:dyDescent="0.25">
      <c r="A50" s="15">
        <v>47</v>
      </c>
      <c r="B50" s="16">
        <v>0.1</v>
      </c>
      <c r="C50" s="17">
        <v>34817</v>
      </c>
      <c r="D50" s="17">
        <f t="shared" si="0"/>
        <v>3481.7000000000003</v>
      </c>
      <c r="E50" s="15">
        <v>4</v>
      </c>
      <c r="F50" s="15">
        <v>3</v>
      </c>
    </row>
    <row r="51" spans="1:6" x14ac:dyDescent="0.25">
      <c r="A51" s="15">
        <v>48</v>
      </c>
      <c r="B51" s="16">
        <v>0.14000000000000001</v>
      </c>
      <c r="C51" s="17">
        <v>38609</v>
      </c>
      <c r="D51" s="17">
        <f t="shared" si="0"/>
        <v>5405.26</v>
      </c>
      <c r="E51" s="15">
        <v>1</v>
      </c>
      <c r="F51" s="15">
        <v>3</v>
      </c>
    </row>
    <row r="52" spans="1:6" x14ac:dyDescent="0.25">
      <c r="A52" s="15">
        <v>49</v>
      </c>
      <c r="B52" s="16">
        <v>0.09</v>
      </c>
      <c r="C52" s="17">
        <v>38923</v>
      </c>
      <c r="D52" s="17">
        <f t="shared" si="0"/>
        <v>3503.0699999999997</v>
      </c>
      <c r="E52" s="15">
        <v>2</v>
      </c>
      <c r="F52" s="15">
        <v>5</v>
      </c>
    </row>
    <row r="53" spans="1:6" x14ac:dyDescent="0.25">
      <c r="A53" s="15">
        <v>50</v>
      </c>
      <c r="B53" s="16">
        <v>0.16</v>
      </c>
      <c r="C53" s="17">
        <v>40536</v>
      </c>
      <c r="D53" s="17">
        <f t="shared" si="0"/>
        <v>6485.76</v>
      </c>
      <c r="E53" s="15">
        <v>4</v>
      </c>
      <c r="F53" s="15">
        <v>3</v>
      </c>
    </row>
    <row r="54" spans="1:6" x14ac:dyDescent="0.25">
      <c r="A54" s="15">
        <v>51</v>
      </c>
      <c r="B54" s="16">
        <v>0.22</v>
      </c>
      <c r="C54" s="17">
        <v>54851</v>
      </c>
      <c r="D54" s="17">
        <f t="shared" si="0"/>
        <v>12067.22</v>
      </c>
      <c r="E54" s="15">
        <v>6</v>
      </c>
      <c r="F54" s="15">
        <v>2</v>
      </c>
    </row>
    <row r="55" spans="1:6" x14ac:dyDescent="0.25">
      <c r="A55" s="15">
        <v>52</v>
      </c>
      <c r="B55" s="16">
        <v>0.21</v>
      </c>
      <c r="C55" s="17">
        <v>54861</v>
      </c>
      <c r="D55" s="17">
        <f t="shared" si="0"/>
        <v>11520.81</v>
      </c>
      <c r="E55" s="15">
        <v>7</v>
      </c>
      <c r="F55" s="15">
        <v>2</v>
      </c>
    </row>
    <row r="56" spans="1:6" x14ac:dyDescent="0.25">
      <c r="A56" s="15">
        <v>53</v>
      </c>
      <c r="B56" s="16">
        <v>0.17</v>
      </c>
      <c r="C56" s="17">
        <v>58063</v>
      </c>
      <c r="D56" s="17">
        <f t="shared" si="0"/>
        <v>9870.7100000000009</v>
      </c>
      <c r="E56" s="15">
        <v>5</v>
      </c>
      <c r="F56" s="15">
        <v>4</v>
      </c>
    </row>
    <row r="57" spans="1:6" x14ac:dyDescent="0.25">
      <c r="A57" s="15">
        <v>54</v>
      </c>
      <c r="B57" s="16">
        <v>0.11</v>
      </c>
      <c r="C57" s="17">
        <v>62862</v>
      </c>
      <c r="D57" s="17">
        <f t="shared" si="0"/>
        <v>6914.82</v>
      </c>
      <c r="E57" s="15">
        <v>4</v>
      </c>
      <c r="F57" s="15">
        <v>5</v>
      </c>
    </row>
    <row r="58" spans="1:6" x14ac:dyDescent="0.25">
      <c r="A58" s="15">
        <v>55</v>
      </c>
      <c r="B58" s="16">
        <v>7.0000000000000007E-2</v>
      </c>
      <c r="C58" s="17">
        <v>78574</v>
      </c>
      <c r="D58" s="17">
        <f t="shared" si="0"/>
        <v>5500.18</v>
      </c>
      <c r="E58" s="15">
        <v>3</v>
      </c>
      <c r="F58" s="15">
        <v>5</v>
      </c>
    </row>
    <row r="59" spans="1:6" x14ac:dyDescent="0.25">
      <c r="A59" s="15">
        <v>56</v>
      </c>
      <c r="B59" s="16">
        <v>0.14000000000000001</v>
      </c>
      <c r="C59" s="17">
        <v>92776</v>
      </c>
      <c r="D59" s="17">
        <f t="shared" si="0"/>
        <v>12988.640000000001</v>
      </c>
      <c r="E59" s="15">
        <v>4</v>
      </c>
      <c r="F59" s="15">
        <v>3</v>
      </c>
    </row>
    <row r="60" spans="1:6" x14ac:dyDescent="0.25">
      <c r="A60" s="15">
        <v>57</v>
      </c>
      <c r="B60" s="16">
        <v>0.15</v>
      </c>
      <c r="C60" s="17">
        <v>112837</v>
      </c>
      <c r="D60" s="17">
        <f t="shared" si="0"/>
        <v>16925.55</v>
      </c>
      <c r="E60" s="15">
        <v>1</v>
      </c>
      <c r="F60" s="15">
        <v>4</v>
      </c>
    </row>
    <row r="61" spans="1:6" x14ac:dyDescent="0.25">
      <c r="A61" s="15">
        <v>58</v>
      </c>
      <c r="B61" s="16">
        <v>0.13</v>
      </c>
      <c r="C61" s="17">
        <v>115999</v>
      </c>
      <c r="D61" s="17">
        <f t="shared" si="0"/>
        <v>15079.87</v>
      </c>
      <c r="E61" s="15">
        <v>4</v>
      </c>
      <c r="F61" s="15">
        <v>5</v>
      </c>
    </row>
    <row r="62" spans="1:6" x14ac:dyDescent="0.25">
      <c r="A62" s="15">
        <v>59</v>
      </c>
      <c r="B62" s="16">
        <v>0.21</v>
      </c>
      <c r="C62" s="17">
        <v>120854</v>
      </c>
      <c r="D62" s="17">
        <f t="shared" si="0"/>
        <v>25379.34</v>
      </c>
      <c r="E62" s="15">
        <v>5</v>
      </c>
      <c r="F62" s="15">
        <v>4</v>
      </c>
    </row>
    <row r="63" spans="1:6" x14ac:dyDescent="0.25">
      <c r="A63" s="15">
        <v>60</v>
      </c>
      <c r="B63" s="16">
        <v>0.14000000000000001</v>
      </c>
      <c r="C63" s="17">
        <v>179101</v>
      </c>
      <c r="D63" s="17">
        <f t="shared" si="0"/>
        <v>25074.140000000003</v>
      </c>
      <c r="E63" s="15">
        <v>6</v>
      </c>
      <c r="F63" s="15">
        <v>3</v>
      </c>
    </row>
  </sheetData>
  <mergeCells count="1">
    <mergeCell ref="J23:S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0"/>
  <sheetViews>
    <sheetView topLeftCell="G12" workbookViewId="0">
      <selection activeCell="K27" sqref="K27:Q27"/>
    </sheetView>
  </sheetViews>
  <sheetFormatPr defaultRowHeight="15" x14ac:dyDescent="0.25"/>
  <cols>
    <col min="1" max="1" width="17.28515625" style="5" customWidth="1"/>
    <col min="2" max="2" width="10.85546875" style="5" customWidth="1"/>
    <col min="3" max="3" width="15.7109375" style="5" bestFit="1" customWidth="1"/>
    <col min="4" max="4" width="17" style="5" customWidth="1"/>
    <col min="5" max="5" width="19.42578125" style="5" customWidth="1"/>
    <col min="6" max="6" width="16.42578125" style="5" customWidth="1"/>
    <col min="7" max="7" width="25.28515625" style="5" customWidth="1"/>
    <col min="15" max="15" width="13.140625" bestFit="1" customWidth="1"/>
    <col min="16" max="16" width="30.42578125" bestFit="1" customWidth="1"/>
  </cols>
  <sheetData>
    <row r="1" spans="1:16" x14ac:dyDescent="0.25">
      <c r="A1" s="1" t="s">
        <v>111</v>
      </c>
      <c r="B1" s="1"/>
      <c r="C1" s="1"/>
      <c r="D1" s="1"/>
      <c r="E1" s="1"/>
      <c r="F1" s="1"/>
      <c r="G1" s="1"/>
    </row>
    <row r="2" spans="1:16" x14ac:dyDescent="0.25">
      <c r="J2" t="s">
        <v>165</v>
      </c>
      <c r="O2" s="33" t="s">
        <v>173</v>
      </c>
      <c r="P2" t="s">
        <v>172</v>
      </c>
    </row>
    <row r="3" spans="1:16" ht="15.75" thickBot="1" x14ac:dyDescent="0.3">
      <c r="A3" s="18" t="s">
        <v>112</v>
      </c>
      <c r="B3" s="18" t="s">
        <v>0</v>
      </c>
      <c r="C3" s="18" t="s">
        <v>113</v>
      </c>
      <c r="D3" s="18" t="s">
        <v>114</v>
      </c>
      <c r="E3" s="18" t="s">
        <v>115</v>
      </c>
      <c r="F3" s="18" t="s">
        <v>116</v>
      </c>
      <c r="G3" s="18" t="s">
        <v>117</v>
      </c>
      <c r="J3" s="1" t="s">
        <v>144</v>
      </c>
      <c r="K3" s="30" t="s">
        <v>171</v>
      </c>
      <c r="L3" s="11"/>
      <c r="M3" s="11"/>
      <c r="O3" s="34" t="s">
        <v>4</v>
      </c>
      <c r="P3" s="32">
        <v>18</v>
      </c>
    </row>
    <row r="4" spans="1:16" ht="15.75" thickTop="1" x14ac:dyDescent="0.25">
      <c r="A4" s="19">
        <v>36</v>
      </c>
      <c r="B4" s="19" t="s">
        <v>2</v>
      </c>
      <c r="C4" s="19" t="s">
        <v>118</v>
      </c>
      <c r="D4" s="19" t="s">
        <v>119</v>
      </c>
      <c r="E4" s="19">
        <v>4</v>
      </c>
      <c r="F4" s="19">
        <v>4</v>
      </c>
      <c r="G4" s="19" t="s">
        <v>4</v>
      </c>
      <c r="J4" s="1" t="s">
        <v>145</v>
      </c>
      <c r="K4" s="30" t="s">
        <v>170</v>
      </c>
      <c r="L4" s="11"/>
      <c r="M4" s="11"/>
      <c r="O4" s="34" t="s">
        <v>5</v>
      </c>
      <c r="P4" s="32">
        <v>6</v>
      </c>
    </row>
    <row r="5" spans="1:16" x14ac:dyDescent="0.25">
      <c r="A5" s="19">
        <v>55</v>
      </c>
      <c r="B5" s="19" t="s">
        <v>2</v>
      </c>
      <c r="C5" s="19" t="s">
        <v>118</v>
      </c>
      <c r="D5" s="19" t="s">
        <v>119</v>
      </c>
      <c r="E5" s="19">
        <v>2</v>
      </c>
      <c r="F5" s="19">
        <v>1</v>
      </c>
      <c r="G5" s="19" t="s">
        <v>4</v>
      </c>
      <c r="O5" s="34" t="s">
        <v>174</v>
      </c>
      <c r="P5" s="32">
        <v>24</v>
      </c>
    </row>
    <row r="6" spans="1:16" x14ac:dyDescent="0.25">
      <c r="A6" s="19">
        <v>61</v>
      </c>
      <c r="B6" s="19" t="s">
        <v>1</v>
      </c>
      <c r="C6" s="19" t="s">
        <v>120</v>
      </c>
      <c r="D6" s="19" t="s">
        <v>121</v>
      </c>
      <c r="E6" s="19">
        <v>26</v>
      </c>
      <c r="F6" s="19">
        <v>3</v>
      </c>
      <c r="G6" s="19" t="s">
        <v>4</v>
      </c>
      <c r="J6" s="11"/>
      <c r="K6" s="25"/>
      <c r="L6" s="11"/>
      <c r="M6" s="11"/>
    </row>
    <row r="7" spans="1:16" x14ac:dyDescent="0.25">
      <c r="A7" s="19">
        <v>65</v>
      </c>
      <c r="B7" s="19" t="s">
        <v>2</v>
      </c>
      <c r="C7" s="19" t="s">
        <v>118</v>
      </c>
      <c r="D7" s="19" t="s">
        <v>3</v>
      </c>
      <c r="E7" s="19">
        <v>9</v>
      </c>
      <c r="F7" s="19">
        <v>4</v>
      </c>
      <c r="G7" s="19" t="s">
        <v>4</v>
      </c>
      <c r="J7" s="24"/>
      <c r="K7" s="26"/>
      <c r="L7" s="26"/>
      <c r="M7" s="26"/>
    </row>
    <row r="8" spans="1:16" x14ac:dyDescent="0.25">
      <c r="A8" s="19">
        <v>53</v>
      </c>
      <c r="B8" s="19" t="s">
        <v>2</v>
      </c>
      <c r="C8" s="19" t="s">
        <v>120</v>
      </c>
      <c r="D8" s="19" t="s">
        <v>3</v>
      </c>
      <c r="E8" s="19">
        <v>6</v>
      </c>
      <c r="F8" s="19">
        <v>4</v>
      </c>
      <c r="G8" s="19" t="s">
        <v>4</v>
      </c>
      <c r="J8" s="24" t="s">
        <v>146</v>
      </c>
      <c r="K8" s="31">
        <f>GETPIVOTDATA("Premium/Deductible**",$O$2,"Premium/Deductible**","Y")/GETPIVOTDATA("Premium/Deductible**",$O$2)</f>
        <v>0.25</v>
      </c>
      <c r="L8" s="27"/>
    </row>
    <row r="9" spans="1:16" x14ac:dyDescent="0.25">
      <c r="A9" s="19">
        <v>50</v>
      </c>
      <c r="B9" s="19" t="s">
        <v>2</v>
      </c>
      <c r="C9" s="19" t="s">
        <v>120</v>
      </c>
      <c r="D9" s="19" t="s">
        <v>3</v>
      </c>
      <c r="E9" s="19">
        <v>10</v>
      </c>
      <c r="F9" s="19">
        <v>5</v>
      </c>
      <c r="G9" s="19" t="s">
        <v>4</v>
      </c>
      <c r="J9" s="24" t="s">
        <v>147</v>
      </c>
      <c r="K9" s="27">
        <f>SQRT((K11*(1-K11))/K13)</f>
        <v>9.3541434669348528E-2</v>
      </c>
      <c r="L9" s="27"/>
      <c r="M9" s="27"/>
    </row>
    <row r="10" spans="1:16" x14ac:dyDescent="0.25">
      <c r="A10" s="19">
        <v>28</v>
      </c>
      <c r="B10" s="19" t="s">
        <v>2</v>
      </c>
      <c r="C10" s="19" t="s">
        <v>122</v>
      </c>
      <c r="D10" s="19" t="s">
        <v>3</v>
      </c>
      <c r="E10" s="19">
        <v>4</v>
      </c>
      <c r="F10" s="19">
        <v>5</v>
      </c>
      <c r="G10" s="19" t="s">
        <v>4</v>
      </c>
      <c r="J10" s="24"/>
      <c r="K10" s="28"/>
      <c r="L10" s="28"/>
      <c r="M10" s="28"/>
    </row>
    <row r="11" spans="1:16" x14ac:dyDescent="0.25">
      <c r="A11" s="19">
        <v>62</v>
      </c>
      <c r="B11" s="19" t="s">
        <v>2</v>
      </c>
      <c r="C11" s="19" t="s">
        <v>122</v>
      </c>
      <c r="D11" s="19" t="s">
        <v>119</v>
      </c>
      <c r="E11" s="19">
        <v>9</v>
      </c>
      <c r="F11" s="19">
        <v>3</v>
      </c>
      <c r="G11" s="19" t="s">
        <v>4</v>
      </c>
      <c r="J11" s="24" t="s">
        <v>148</v>
      </c>
      <c r="K11" s="27">
        <v>0.3</v>
      </c>
      <c r="L11" s="27"/>
      <c r="M11" s="27"/>
    </row>
    <row r="12" spans="1:16" x14ac:dyDescent="0.25">
      <c r="A12" s="19">
        <v>48</v>
      </c>
      <c r="B12" s="19" t="s">
        <v>1</v>
      </c>
      <c r="C12" s="19" t="s">
        <v>120</v>
      </c>
      <c r="D12" s="19" t="s">
        <v>3</v>
      </c>
      <c r="E12" s="19">
        <v>6</v>
      </c>
      <c r="F12" s="19">
        <v>5</v>
      </c>
      <c r="G12" s="19" t="s">
        <v>4</v>
      </c>
      <c r="J12" s="24"/>
      <c r="K12" s="26"/>
      <c r="L12" s="26"/>
      <c r="M12" s="26"/>
    </row>
    <row r="13" spans="1:16" x14ac:dyDescent="0.25">
      <c r="A13" s="19">
        <v>31</v>
      </c>
      <c r="B13" s="19" t="s">
        <v>1</v>
      </c>
      <c r="C13" s="19" t="s">
        <v>120</v>
      </c>
      <c r="D13" s="19" t="s">
        <v>3</v>
      </c>
      <c r="E13" s="19">
        <v>1</v>
      </c>
      <c r="F13" s="19">
        <v>5</v>
      </c>
      <c r="G13" s="19" t="s">
        <v>4</v>
      </c>
      <c r="J13" s="24" t="s">
        <v>150</v>
      </c>
      <c r="K13" s="29">
        <v>24</v>
      </c>
      <c r="L13" s="29"/>
      <c r="M13" s="29"/>
    </row>
    <row r="14" spans="1:16" x14ac:dyDescent="0.25">
      <c r="A14" s="19">
        <v>57</v>
      </c>
      <c r="B14" s="19" t="s">
        <v>2</v>
      </c>
      <c r="C14" s="19" t="s">
        <v>122</v>
      </c>
      <c r="D14" s="19" t="s">
        <v>3</v>
      </c>
      <c r="E14" s="19">
        <v>4</v>
      </c>
      <c r="F14" s="19">
        <v>5</v>
      </c>
      <c r="G14" s="19" t="s">
        <v>4</v>
      </c>
      <c r="J14" s="24"/>
      <c r="K14" s="26"/>
      <c r="L14" s="26"/>
      <c r="M14" s="26"/>
    </row>
    <row r="15" spans="1:16" x14ac:dyDescent="0.25">
      <c r="A15" s="19">
        <v>44</v>
      </c>
      <c r="B15" s="19" t="s">
        <v>1</v>
      </c>
      <c r="C15" s="19" t="s">
        <v>122</v>
      </c>
      <c r="D15" s="19" t="s">
        <v>3</v>
      </c>
      <c r="E15" s="19">
        <v>2</v>
      </c>
      <c r="F15" s="19">
        <v>3</v>
      </c>
      <c r="G15" s="19" t="s">
        <v>4</v>
      </c>
      <c r="J15" s="22" t="s">
        <v>160</v>
      </c>
      <c r="K15" s="71">
        <f>(K8-K11)/SQRT((K11*(1-K11))/K13)</f>
        <v>-0.53452248382484868</v>
      </c>
      <c r="L15" s="26"/>
      <c r="M15" s="26"/>
    </row>
    <row r="16" spans="1:16" x14ac:dyDescent="0.25">
      <c r="A16" s="19">
        <v>38</v>
      </c>
      <c r="B16" s="19" t="s">
        <v>1</v>
      </c>
      <c r="C16" s="19" t="s">
        <v>118</v>
      </c>
      <c r="D16" s="19" t="s">
        <v>3</v>
      </c>
      <c r="E16" s="19">
        <v>3</v>
      </c>
      <c r="F16" s="19">
        <v>2</v>
      </c>
      <c r="G16" s="19" t="s">
        <v>4</v>
      </c>
      <c r="J16" s="5"/>
      <c r="K16" s="26"/>
      <c r="L16" s="26"/>
      <c r="M16" s="26"/>
    </row>
    <row r="17" spans="1:17" x14ac:dyDescent="0.25">
      <c r="A17" s="19">
        <v>27</v>
      </c>
      <c r="B17" s="19" t="s">
        <v>1</v>
      </c>
      <c r="C17" s="19" t="s">
        <v>118</v>
      </c>
      <c r="D17" s="19" t="s">
        <v>3</v>
      </c>
      <c r="E17" s="19">
        <v>2</v>
      </c>
      <c r="F17" s="19">
        <v>3</v>
      </c>
      <c r="G17" s="19" t="s">
        <v>4</v>
      </c>
      <c r="J17" s="22" t="s">
        <v>156</v>
      </c>
      <c r="K17" s="26">
        <v>0.05</v>
      </c>
      <c r="M17" s="26"/>
    </row>
    <row r="18" spans="1:17" x14ac:dyDescent="0.25">
      <c r="A18" s="19">
        <v>56</v>
      </c>
      <c r="B18" s="19" t="s">
        <v>1</v>
      </c>
      <c r="C18" s="19" t="s">
        <v>120</v>
      </c>
      <c r="D18" s="19" t="s">
        <v>3</v>
      </c>
      <c r="E18" s="19">
        <v>4</v>
      </c>
      <c r="F18" s="19">
        <v>4</v>
      </c>
      <c r="G18" s="19" t="s">
        <v>5</v>
      </c>
      <c r="J18" s="22" t="s">
        <v>159</v>
      </c>
      <c r="K18" s="70">
        <f>_xlfn.NORM.S.INV(1-K17)</f>
        <v>1.6448536269514715</v>
      </c>
      <c r="M18" s="26"/>
    </row>
    <row r="19" spans="1:17" x14ac:dyDescent="0.25">
      <c r="A19" s="19">
        <v>43</v>
      </c>
      <c r="B19" s="19" t="s">
        <v>2</v>
      </c>
      <c r="C19" s="19" t="s">
        <v>122</v>
      </c>
      <c r="D19" s="19" t="s">
        <v>3</v>
      </c>
      <c r="E19" s="19">
        <v>5</v>
      </c>
      <c r="F19" s="19">
        <v>3</v>
      </c>
      <c r="G19" s="19" t="s">
        <v>5</v>
      </c>
      <c r="J19" s="24" t="s">
        <v>175</v>
      </c>
      <c r="K19" s="76">
        <f>1-_xlfn.NORM.S.DIST(K15,TRUE)</f>
        <v>0.70350995099128666</v>
      </c>
      <c r="L19" s="26"/>
      <c r="M19" s="26"/>
    </row>
    <row r="20" spans="1:17" x14ac:dyDescent="0.25">
      <c r="A20" s="19">
        <v>45</v>
      </c>
      <c r="B20" s="19" t="s">
        <v>1</v>
      </c>
      <c r="C20" s="19" t="s">
        <v>122</v>
      </c>
      <c r="D20" s="19" t="s">
        <v>3</v>
      </c>
      <c r="E20" s="19">
        <v>15</v>
      </c>
      <c r="F20" s="19">
        <v>3</v>
      </c>
      <c r="G20" s="19" t="s">
        <v>5</v>
      </c>
      <c r="J20" s="25" t="s">
        <v>151</v>
      </c>
      <c r="K20" s="61" t="s">
        <v>166</v>
      </c>
      <c r="L20" s="26"/>
      <c r="M20" s="26"/>
    </row>
    <row r="21" spans="1:17" x14ac:dyDescent="0.25">
      <c r="A21" s="19">
        <v>42</v>
      </c>
      <c r="B21" s="19" t="s">
        <v>2</v>
      </c>
      <c r="C21" s="19" t="s">
        <v>122</v>
      </c>
      <c r="D21" s="19" t="s">
        <v>3</v>
      </c>
      <c r="E21" s="19">
        <v>12</v>
      </c>
      <c r="F21" s="19">
        <v>3</v>
      </c>
      <c r="G21" s="19" t="s">
        <v>5</v>
      </c>
      <c r="J21" s="11"/>
      <c r="K21" s="26"/>
      <c r="L21" s="26"/>
      <c r="M21" s="26"/>
    </row>
    <row r="22" spans="1:17" ht="15" customHeight="1" x14ac:dyDescent="0.25">
      <c r="A22" s="19">
        <v>29</v>
      </c>
      <c r="B22" s="19" t="s">
        <v>1</v>
      </c>
      <c r="C22" s="19" t="s">
        <v>120</v>
      </c>
      <c r="D22" s="19" t="s">
        <v>123</v>
      </c>
      <c r="E22" s="19">
        <v>10</v>
      </c>
      <c r="F22" s="19">
        <v>5</v>
      </c>
      <c r="G22" s="19" t="s">
        <v>4</v>
      </c>
      <c r="J22" s="24" t="s">
        <v>157</v>
      </c>
      <c r="K22" s="69" t="s">
        <v>255</v>
      </c>
      <c r="L22" s="69"/>
      <c r="M22" s="69"/>
      <c r="N22" s="69"/>
      <c r="O22" s="69"/>
      <c r="P22" s="69"/>
      <c r="Q22" s="69"/>
    </row>
    <row r="23" spans="1:17" x14ac:dyDescent="0.25">
      <c r="A23" s="19">
        <v>28</v>
      </c>
      <c r="B23" s="19" t="s">
        <v>2</v>
      </c>
      <c r="C23" s="19" t="s">
        <v>118</v>
      </c>
      <c r="D23" s="19" t="s">
        <v>3</v>
      </c>
      <c r="E23" s="19">
        <v>3</v>
      </c>
      <c r="F23" s="19">
        <v>4</v>
      </c>
      <c r="G23" s="19" t="s">
        <v>5</v>
      </c>
      <c r="J23" s="24" t="s">
        <v>158</v>
      </c>
      <c r="K23" s="69"/>
      <c r="L23" s="69"/>
      <c r="M23" s="69"/>
      <c r="N23" s="69"/>
      <c r="O23" s="69"/>
      <c r="P23" s="69"/>
      <c r="Q23" s="69"/>
    </row>
    <row r="24" spans="1:17" x14ac:dyDescent="0.25">
      <c r="A24" s="19">
        <v>36</v>
      </c>
      <c r="B24" s="19" t="s">
        <v>1</v>
      </c>
      <c r="C24" s="19" t="s">
        <v>118</v>
      </c>
      <c r="D24" s="19" t="s">
        <v>119</v>
      </c>
      <c r="E24" s="19">
        <v>15</v>
      </c>
      <c r="F24" s="19">
        <v>4</v>
      </c>
      <c r="G24" s="19" t="s">
        <v>5</v>
      </c>
      <c r="J24" s="11"/>
      <c r="K24" s="69"/>
      <c r="L24" s="69"/>
      <c r="M24" s="69"/>
      <c r="N24" s="69"/>
      <c r="O24" s="69"/>
      <c r="P24" s="69"/>
      <c r="Q24" s="69"/>
    </row>
    <row r="25" spans="1:17" x14ac:dyDescent="0.25">
      <c r="A25" s="19">
        <v>49</v>
      </c>
      <c r="B25" s="19" t="s">
        <v>2</v>
      </c>
      <c r="C25" s="19" t="s">
        <v>120</v>
      </c>
      <c r="D25" s="19" t="s">
        <v>3</v>
      </c>
      <c r="E25" s="19">
        <v>2</v>
      </c>
      <c r="F25" s="19">
        <v>5</v>
      </c>
      <c r="G25" s="19" t="s">
        <v>4</v>
      </c>
      <c r="J25" s="11"/>
      <c r="K25" s="69"/>
      <c r="L25" s="69"/>
      <c r="M25" s="69"/>
      <c r="N25" s="69"/>
      <c r="O25" s="69"/>
      <c r="P25" s="69"/>
      <c r="Q25" s="69"/>
    </row>
    <row r="26" spans="1:17" x14ac:dyDescent="0.25">
      <c r="A26" s="19">
        <v>46</v>
      </c>
      <c r="B26" s="19" t="s">
        <v>2</v>
      </c>
      <c r="C26" s="19" t="s">
        <v>122</v>
      </c>
      <c r="D26" s="19" t="s">
        <v>119</v>
      </c>
      <c r="E26" s="19">
        <v>20</v>
      </c>
      <c r="F26" s="19">
        <v>4</v>
      </c>
      <c r="G26" s="19" t="s">
        <v>4</v>
      </c>
      <c r="L26" s="21"/>
    </row>
    <row r="27" spans="1:17" x14ac:dyDescent="0.25">
      <c r="A27" s="19">
        <v>52</v>
      </c>
      <c r="B27" s="19" t="s">
        <v>2</v>
      </c>
      <c r="C27" s="19" t="s">
        <v>122</v>
      </c>
      <c r="D27" s="19" t="s">
        <v>3</v>
      </c>
      <c r="E27" s="19">
        <v>18</v>
      </c>
      <c r="F27" s="19">
        <v>2</v>
      </c>
      <c r="G27" s="19" t="s">
        <v>4</v>
      </c>
      <c r="K27" s="77" t="s">
        <v>240</v>
      </c>
      <c r="L27" s="77"/>
      <c r="M27" s="77"/>
      <c r="N27" s="77"/>
      <c r="O27" s="77"/>
      <c r="P27" s="77"/>
      <c r="Q27" s="77"/>
    </row>
    <row r="29" spans="1:17" x14ac:dyDescent="0.25">
      <c r="A29" s="5" t="s">
        <v>124</v>
      </c>
    </row>
    <row r="30" spans="1:17" x14ac:dyDescent="0.25">
      <c r="A30" s="5" t="s">
        <v>125</v>
      </c>
    </row>
  </sheetData>
  <mergeCells count="2">
    <mergeCell ref="K22:Q25"/>
    <mergeCell ref="K27:Q27"/>
  </mergeCell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77465-DDD5-4F84-99A9-138BFC4D5F03}">
  <dimension ref="A1:BG55"/>
  <sheetViews>
    <sheetView tabSelected="1" topLeftCell="K3" workbookViewId="0">
      <selection activeCell="T26" sqref="T26"/>
    </sheetView>
  </sheetViews>
  <sheetFormatPr defaultColWidth="8.85546875" defaultRowHeight="15" x14ac:dyDescent="0.25"/>
  <cols>
    <col min="1" max="1" width="27.85546875" style="36" bestFit="1" customWidth="1"/>
    <col min="2" max="2" width="8.140625" style="36" bestFit="1" customWidth="1"/>
    <col min="3" max="3" width="20.5703125" style="36" bestFit="1" customWidth="1"/>
    <col min="4" max="4" width="7.140625" style="36" bestFit="1" customWidth="1"/>
    <col min="5" max="5" width="4.42578125" style="36" bestFit="1" customWidth="1"/>
    <col min="6" max="6" width="25.140625" style="37" bestFit="1" customWidth="1"/>
    <col min="7" max="7" width="18.5703125" style="36" bestFit="1" customWidth="1"/>
    <col min="8" max="8" width="17" style="36" bestFit="1" customWidth="1"/>
    <col min="9" max="9" width="21.5703125" style="36" bestFit="1" customWidth="1"/>
    <col min="10" max="10" width="14" style="36" bestFit="1" customWidth="1"/>
    <col min="11" max="11" width="21.42578125" bestFit="1" customWidth="1"/>
    <col min="12" max="12" width="12.7109375" style="49" bestFit="1" customWidth="1"/>
    <col min="13" max="13" width="9.140625" style="36" customWidth="1"/>
    <col min="14" max="14" width="12.7109375" style="49" bestFit="1" customWidth="1"/>
    <col min="15" max="15" width="9.140625" style="36" customWidth="1"/>
    <col min="16" max="16" width="12.7109375" style="49" bestFit="1" customWidth="1"/>
    <col min="17" max="17" width="9.140625" style="36" customWidth="1"/>
    <col min="18" max="18" width="9.140625"/>
    <col min="19" max="19" width="8.85546875" style="49"/>
    <col min="20" max="20" width="38.42578125" style="36" bestFit="1" customWidth="1"/>
    <col min="21" max="21" width="12" style="36" bestFit="1" customWidth="1"/>
    <col min="22" max="22" width="31.5703125" style="36" bestFit="1" customWidth="1"/>
    <col min="23" max="23" width="13.140625" style="36" bestFit="1" customWidth="1"/>
    <col min="24" max="24" width="31.28515625" style="36" bestFit="1" customWidth="1"/>
    <col min="25" max="26" width="12.42578125" style="36" bestFit="1" customWidth="1"/>
    <col min="27" max="59" width="9.140625" style="36" customWidth="1"/>
    <col min="60" max="16384" width="8.85546875" style="38"/>
  </cols>
  <sheetData>
    <row r="1" spans="1:59" x14ac:dyDescent="0.25">
      <c r="A1" s="35" t="s">
        <v>126</v>
      </c>
      <c r="L1" s="49" t="s">
        <v>194</v>
      </c>
      <c r="N1" s="49" t="s">
        <v>193</v>
      </c>
      <c r="P1" s="49" t="s">
        <v>238</v>
      </c>
      <c r="R1" t="s">
        <v>194</v>
      </c>
      <c r="W1" t="s">
        <v>127</v>
      </c>
      <c r="X1" t="s">
        <v>140</v>
      </c>
    </row>
    <row r="2" spans="1:59" x14ac:dyDescent="0.25">
      <c r="A2" s="39"/>
    </row>
    <row r="3" spans="1:59" s="43" customFormat="1" ht="15.6" customHeight="1" thickBot="1" x14ac:dyDescent="0.3">
      <c r="A3" s="40" t="s">
        <v>127</v>
      </c>
      <c r="B3" s="40" t="s">
        <v>48</v>
      </c>
      <c r="C3" s="40" t="s">
        <v>128</v>
      </c>
      <c r="D3" s="40" t="s">
        <v>0</v>
      </c>
      <c r="E3" s="40" t="s">
        <v>112</v>
      </c>
      <c r="F3" s="41" t="s">
        <v>129</v>
      </c>
      <c r="G3" s="40" t="s">
        <v>130</v>
      </c>
      <c r="H3" s="40" t="s">
        <v>131</v>
      </c>
      <c r="I3" s="40" t="s">
        <v>132</v>
      </c>
      <c r="J3" s="40" t="s">
        <v>133</v>
      </c>
      <c r="K3" s="20" t="s">
        <v>144</v>
      </c>
      <c r="L3" s="30" t="s">
        <v>234</v>
      </c>
      <c r="M3" s="36"/>
      <c r="N3" s="30" t="s">
        <v>249</v>
      </c>
      <c r="O3" s="42"/>
      <c r="P3" s="30" t="s">
        <v>236</v>
      </c>
      <c r="Q3" s="42"/>
      <c r="R3" s="30" t="s">
        <v>251</v>
      </c>
      <c r="S3" s="30"/>
      <c r="T3" t="s">
        <v>176</v>
      </c>
      <c r="U3"/>
      <c r="V3" s="42"/>
      <c r="W3" t="s">
        <v>177</v>
      </c>
      <c r="X3" t="s">
        <v>178</v>
      </c>
      <c r="Y3" t="s">
        <v>179</v>
      </c>
      <c r="Z3"/>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row>
    <row r="4" spans="1:59" ht="15.75" thickTop="1" x14ac:dyDescent="0.25">
      <c r="A4" s="36" t="s">
        <v>134</v>
      </c>
      <c r="B4" s="36" t="s">
        <v>135</v>
      </c>
      <c r="C4" s="36" t="s">
        <v>136</v>
      </c>
      <c r="D4" s="36" t="s">
        <v>137</v>
      </c>
      <c r="E4" s="36">
        <v>31</v>
      </c>
      <c r="F4" s="37">
        <v>10</v>
      </c>
      <c r="G4" s="36">
        <v>450</v>
      </c>
      <c r="H4" s="36">
        <v>0</v>
      </c>
      <c r="I4" s="36">
        <v>1</v>
      </c>
      <c r="J4" s="36">
        <v>30</v>
      </c>
      <c r="K4" s="20" t="s">
        <v>145</v>
      </c>
      <c r="L4" s="30" t="s">
        <v>235</v>
      </c>
      <c r="N4" s="30" t="s">
        <v>250</v>
      </c>
      <c r="P4" s="30" t="s">
        <v>237</v>
      </c>
      <c r="R4" s="30" t="s">
        <v>252</v>
      </c>
      <c r="S4" s="30"/>
      <c r="T4" s="34" t="s">
        <v>180</v>
      </c>
      <c r="U4" s="32">
        <v>8.16</v>
      </c>
      <c r="W4" s="32">
        <v>39.333333333333336</v>
      </c>
      <c r="X4" s="32">
        <v>7.5561390997809195</v>
      </c>
      <c r="Y4" s="32">
        <v>15</v>
      </c>
      <c r="Z4"/>
    </row>
    <row r="5" spans="1:59" x14ac:dyDescent="0.25">
      <c r="A5" s="36" t="s">
        <v>134</v>
      </c>
      <c r="B5" s="36" t="s">
        <v>135</v>
      </c>
      <c r="C5" s="36" t="s">
        <v>136</v>
      </c>
      <c r="D5" s="36" t="s">
        <v>137</v>
      </c>
      <c r="E5" s="36">
        <v>29</v>
      </c>
      <c r="F5" s="37">
        <v>5</v>
      </c>
      <c r="G5" s="36">
        <v>370</v>
      </c>
      <c r="H5" s="36">
        <v>1</v>
      </c>
      <c r="I5" s="36">
        <v>1</v>
      </c>
      <c r="J5" s="36">
        <v>22</v>
      </c>
      <c r="K5" s="30"/>
      <c r="L5" s="30"/>
      <c r="N5" s="30"/>
      <c r="P5" s="30"/>
      <c r="T5" s="34" t="s">
        <v>181</v>
      </c>
      <c r="U5" s="32">
        <v>5.1640831811698007</v>
      </c>
      <c r="W5"/>
      <c r="X5"/>
      <c r="Y5"/>
      <c r="Z5"/>
    </row>
    <row r="6" spans="1:59" x14ac:dyDescent="0.25">
      <c r="A6" s="36" t="s">
        <v>134</v>
      </c>
      <c r="B6" s="36" t="s">
        <v>138</v>
      </c>
      <c r="C6" s="36" t="s">
        <v>139</v>
      </c>
      <c r="D6" s="36" t="s">
        <v>137</v>
      </c>
      <c r="E6" s="36">
        <v>26</v>
      </c>
      <c r="F6" s="37">
        <v>12</v>
      </c>
      <c r="G6" s="36">
        <v>580</v>
      </c>
      <c r="H6" s="36">
        <v>0</v>
      </c>
      <c r="I6" s="36">
        <v>1</v>
      </c>
      <c r="J6" s="36">
        <v>15</v>
      </c>
      <c r="K6" s="22" t="s">
        <v>162</v>
      </c>
      <c r="L6" s="64">
        <f>1-L7</f>
        <v>5.0000000000000044E-2</v>
      </c>
      <c r="M6" s="19"/>
      <c r="N6" s="64">
        <f>1-N7</f>
        <v>5.0000000000000044E-2</v>
      </c>
      <c r="O6" s="19"/>
      <c r="P6" s="64">
        <f>1-P7</f>
        <v>5.0000000000000044E-2</v>
      </c>
      <c r="Q6" s="19"/>
      <c r="R6" s="64">
        <f>1-R7</f>
        <v>5.0000000000000044E-2</v>
      </c>
      <c r="S6" s="51"/>
      <c r="T6" s="34" t="s">
        <v>182</v>
      </c>
      <c r="U6" s="32">
        <v>502.1</v>
      </c>
      <c r="W6"/>
      <c r="X6"/>
      <c r="Z6"/>
      <c r="AB6"/>
    </row>
    <row r="7" spans="1:59" x14ac:dyDescent="0.25">
      <c r="A7" s="36" t="s">
        <v>134</v>
      </c>
      <c r="B7" s="36" t="s">
        <v>135</v>
      </c>
      <c r="C7" s="36" t="s">
        <v>139</v>
      </c>
      <c r="D7" s="36" t="s">
        <v>137</v>
      </c>
      <c r="E7" s="36">
        <v>18</v>
      </c>
      <c r="F7" s="37">
        <v>6</v>
      </c>
      <c r="G7" s="36">
        <v>300</v>
      </c>
      <c r="H7" s="36">
        <v>0</v>
      </c>
      <c r="I7" s="36">
        <v>1</v>
      </c>
      <c r="J7" s="36">
        <v>20</v>
      </c>
      <c r="K7" s="22" t="s">
        <v>161</v>
      </c>
      <c r="L7" s="64">
        <v>0.95</v>
      </c>
      <c r="M7" s="19"/>
      <c r="N7" s="64">
        <v>0.95</v>
      </c>
      <c r="O7" s="19"/>
      <c r="P7" s="64">
        <v>0.95</v>
      </c>
      <c r="Q7" s="19"/>
      <c r="R7" s="64">
        <v>0.95</v>
      </c>
      <c r="S7" s="7"/>
      <c r="T7" s="34" t="s">
        <v>183</v>
      </c>
      <c r="U7" s="32">
        <v>292.16484374128135</v>
      </c>
      <c r="W7" t="s">
        <v>173</v>
      </c>
      <c r="X7" t="s">
        <v>184</v>
      </c>
      <c r="Y7"/>
      <c r="Z7"/>
    </row>
    <row r="8" spans="1:59" x14ac:dyDescent="0.25">
      <c r="A8" s="36" t="s">
        <v>140</v>
      </c>
      <c r="B8" s="36" t="s">
        <v>135</v>
      </c>
      <c r="C8" s="36" t="s">
        <v>136</v>
      </c>
      <c r="D8" s="36" t="s">
        <v>137</v>
      </c>
      <c r="E8" s="36">
        <v>0</v>
      </c>
      <c r="F8" s="37">
        <v>21</v>
      </c>
      <c r="G8" s="36">
        <v>1000</v>
      </c>
      <c r="H8" s="36">
        <v>0</v>
      </c>
      <c r="I8" s="36">
        <v>1</v>
      </c>
      <c r="J8" s="36">
        <v>22</v>
      </c>
      <c r="K8" s="22" t="s">
        <v>146</v>
      </c>
      <c r="L8" s="65">
        <f>GETPIVOTDATA("Average of # of hours per week in vehicle",$T$3)</f>
        <v>8.16</v>
      </c>
      <c r="M8" s="19"/>
      <c r="N8" s="65">
        <f>GETPIVOTDATA("Average of Miles driven per week",$T$3)</f>
        <v>502.1</v>
      </c>
      <c r="O8" s="19"/>
      <c r="P8" s="65">
        <v>39.33</v>
      </c>
      <c r="Q8" s="19"/>
      <c r="R8" s="31">
        <f>35/50</f>
        <v>0.7</v>
      </c>
      <c r="S8" s="52"/>
      <c r="T8"/>
      <c r="U8"/>
      <c r="V8"/>
      <c r="W8" s="34" t="s">
        <v>139</v>
      </c>
      <c r="X8" s="32">
        <v>15</v>
      </c>
      <c r="Y8"/>
      <c r="Z8"/>
    </row>
    <row r="9" spans="1:59" x14ac:dyDescent="0.25">
      <c r="A9" s="36" t="s">
        <v>140</v>
      </c>
      <c r="B9" s="36" t="s">
        <v>138</v>
      </c>
      <c r="C9" s="36" t="s">
        <v>136</v>
      </c>
      <c r="D9" s="36" t="s">
        <v>137</v>
      </c>
      <c r="E9" s="36">
        <v>50</v>
      </c>
      <c r="F9" s="37">
        <v>16</v>
      </c>
      <c r="G9" s="36">
        <v>840</v>
      </c>
      <c r="H9" s="36">
        <v>2</v>
      </c>
      <c r="I9" s="36">
        <v>1</v>
      </c>
      <c r="J9" s="36">
        <v>45</v>
      </c>
      <c r="K9" s="22" t="s">
        <v>147</v>
      </c>
      <c r="L9" s="64">
        <f>GETPIVOTDATA("StdDev of # of hours per week in vehicle",$T$3)</f>
        <v>5.1640831811698007</v>
      </c>
      <c r="M9" s="19"/>
      <c r="N9" s="64">
        <f>GETPIVOTDATA("StdDev of Miles driven per week2",$T$3)</f>
        <v>292.16484374128135</v>
      </c>
      <c r="O9" s="19"/>
      <c r="P9" s="64">
        <f>GETPIVOTDATA("StdDev of Age2",$W$3)</f>
        <v>7.5561390997809195</v>
      </c>
      <c r="Q9" s="19"/>
      <c r="R9" s="27">
        <f>SQRT((R11*(1-R11))/R12)</f>
        <v>5.6568542494923803E-2</v>
      </c>
      <c r="S9" s="53"/>
      <c r="T9" s="30" t="s">
        <v>187</v>
      </c>
      <c r="U9"/>
      <c r="V9"/>
      <c r="W9" s="34" t="s">
        <v>136</v>
      </c>
      <c r="X9" s="32">
        <v>35</v>
      </c>
      <c r="Y9"/>
    </row>
    <row r="10" spans="1:59" x14ac:dyDescent="0.25">
      <c r="A10" s="36" t="s">
        <v>140</v>
      </c>
      <c r="B10" s="36" t="s">
        <v>135</v>
      </c>
      <c r="C10" s="36" t="s">
        <v>136</v>
      </c>
      <c r="D10" s="36" t="s">
        <v>137</v>
      </c>
      <c r="E10" s="36">
        <v>48</v>
      </c>
      <c r="F10" s="37">
        <v>15</v>
      </c>
      <c r="G10" s="36">
        <v>1400</v>
      </c>
      <c r="H10" s="36">
        <v>3</v>
      </c>
      <c r="I10" s="36">
        <v>4</v>
      </c>
      <c r="J10" s="36">
        <v>25</v>
      </c>
      <c r="K10" s="22"/>
      <c r="L10" s="64"/>
      <c r="M10" s="19"/>
      <c r="N10" s="64"/>
      <c r="O10" s="19"/>
      <c r="P10" s="64"/>
      <c r="Q10" s="19"/>
      <c r="R10" s="28"/>
      <c r="S10" s="54"/>
      <c r="T10" s="30" t="s">
        <v>188</v>
      </c>
      <c r="U10"/>
      <c r="V10"/>
      <c r="W10" s="34" t="s">
        <v>174</v>
      </c>
      <c r="X10" s="32">
        <v>50</v>
      </c>
      <c r="Y10"/>
    </row>
    <row r="11" spans="1:59" x14ac:dyDescent="0.25">
      <c r="A11" s="36" t="s">
        <v>140</v>
      </c>
      <c r="B11" s="36" t="s">
        <v>138</v>
      </c>
      <c r="C11" s="36" t="s">
        <v>136</v>
      </c>
      <c r="D11" s="36" t="s">
        <v>137</v>
      </c>
      <c r="E11" s="36">
        <v>45</v>
      </c>
      <c r="F11" s="37">
        <f>+G11/60</f>
        <v>5</v>
      </c>
      <c r="G11" s="36">
        <v>300</v>
      </c>
      <c r="H11" s="36">
        <v>2</v>
      </c>
      <c r="I11" s="36">
        <v>2</v>
      </c>
      <c r="J11" s="36">
        <v>20</v>
      </c>
      <c r="K11" s="22" t="s">
        <v>149</v>
      </c>
      <c r="L11" s="64">
        <v>8</v>
      </c>
      <c r="M11" s="19"/>
      <c r="N11" s="64">
        <v>600</v>
      </c>
      <c r="O11" s="19"/>
      <c r="P11" s="64">
        <v>35</v>
      </c>
      <c r="Q11" s="19"/>
      <c r="R11" s="27">
        <v>0.8</v>
      </c>
      <c r="S11" s="53"/>
      <c r="U11"/>
      <c r="V11"/>
      <c r="W11"/>
      <c r="X11"/>
      <c r="Y11"/>
    </row>
    <row r="12" spans="1:59" x14ac:dyDescent="0.25">
      <c r="A12" s="36" t="s">
        <v>140</v>
      </c>
      <c r="B12" s="36" t="s">
        <v>135</v>
      </c>
      <c r="C12" s="36" t="s">
        <v>136</v>
      </c>
      <c r="D12" s="36" t="s">
        <v>137</v>
      </c>
      <c r="E12" s="36">
        <v>45</v>
      </c>
      <c r="F12" s="37">
        <v>15</v>
      </c>
      <c r="G12" s="36">
        <v>850</v>
      </c>
      <c r="H12" s="36">
        <v>0</v>
      </c>
      <c r="I12" s="36">
        <v>1</v>
      </c>
      <c r="J12" s="36">
        <v>25</v>
      </c>
      <c r="K12" s="22" t="s">
        <v>150</v>
      </c>
      <c r="L12" s="64">
        <f>COUNT(F4:F53)</f>
        <v>50</v>
      </c>
      <c r="M12" s="19"/>
      <c r="N12" s="64">
        <f>COUNT(F4:F53)</f>
        <v>50</v>
      </c>
      <c r="O12" s="19"/>
      <c r="P12" s="64">
        <v>15</v>
      </c>
      <c r="Q12" s="19"/>
      <c r="R12" s="29">
        <v>50</v>
      </c>
      <c r="S12" s="7"/>
      <c r="T12" s="30" t="s">
        <v>253</v>
      </c>
      <c r="U12"/>
      <c r="V12"/>
      <c r="W12"/>
      <c r="X12"/>
      <c r="Y12"/>
    </row>
    <row r="13" spans="1:59" x14ac:dyDescent="0.25">
      <c r="A13" s="36" t="s">
        <v>140</v>
      </c>
      <c r="B13" s="36" t="s">
        <v>135</v>
      </c>
      <c r="C13" s="36" t="s">
        <v>136</v>
      </c>
      <c r="D13" s="36" t="s">
        <v>137</v>
      </c>
      <c r="E13" s="36">
        <v>44</v>
      </c>
      <c r="F13" s="37">
        <v>10</v>
      </c>
      <c r="G13" s="36">
        <v>700</v>
      </c>
      <c r="H13" s="36">
        <v>2</v>
      </c>
      <c r="I13" s="36">
        <v>1</v>
      </c>
      <c r="J13" s="36">
        <v>40</v>
      </c>
      <c r="K13" s="22"/>
      <c r="L13" s="64"/>
      <c r="M13" s="19"/>
      <c r="N13" s="64"/>
      <c r="O13" s="19"/>
      <c r="P13" s="64"/>
      <c r="Q13" s="19"/>
      <c r="R13" s="26"/>
      <c r="S13" s="55"/>
      <c r="T13" s="30" t="s">
        <v>254</v>
      </c>
      <c r="U13"/>
      <c r="V13"/>
      <c r="W13"/>
      <c r="X13"/>
      <c r="Y13"/>
    </row>
    <row r="14" spans="1:59" x14ac:dyDescent="0.25">
      <c r="A14" s="36" t="s">
        <v>140</v>
      </c>
      <c r="B14" s="36" t="s">
        <v>138</v>
      </c>
      <c r="C14" s="36" t="s">
        <v>136</v>
      </c>
      <c r="D14" s="36" t="s">
        <v>137</v>
      </c>
      <c r="E14" s="36">
        <v>41</v>
      </c>
      <c r="F14" s="37">
        <v>5</v>
      </c>
      <c r="G14" s="36">
        <v>350</v>
      </c>
      <c r="H14" s="36">
        <v>1</v>
      </c>
      <c r="I14" s="36">
        <v>1</v>
      </c>
      <c r="J14" s="36">
        <v>20</v>
      </c>
      <c r="K14" s="22" t="s">
        <v>160</v>
      </c>
      <c r="L14" s="79">
        <f>(L8-L11)/(L9/SQRT(L12))</f>
        <v>0.21908455193438456</v>
      </c>
      <c r="M14" s="19"/>
      <c r="N14" s="79">
        <f>(N8-N11)/(N9/SQRT(N12))</f>
        <v>-2.3694073863131866</v>
      </c>
      <c r="O14" s="19"/>
      <c r="P14" s="79">
        <f>(P8-P11)/(P9/SQRT(P12))</f>
        <v>2.2193897793073099</v>
      </c>
      <c r="Q14" s="19"/>
      <c r="R14" s="71">
        <f>(R8-R11)/SQRT((R11*(1-R11))/R12)</f>
        <v>-1.7677669529663704</v>
      </c>
      <c r="S14" s="7"/>
      <c r="T14"/>
      <c r="U14"/>
      <c r="V14"/>
      <c r="W14"/>
      <c r="X14"/>
      <c r="Y14"/>
      <c r="Z14"/>
      <c r="AA14"/>
      <c r="AB14"/>
    </row>
    <row r="15" spans="1:59" x14ac:dyDescent="0.25">
      <c r="A15" s="36" t="s">
        <v>140</v>
      </c>
      <c r="B15" s="36" t="s">
        <v>135</v>
      </c>
      <c r="C15" s="36" t="s">
        <v>136</v>
      </c>
      <c r="D15" s="36" t="s">
        <v>137</v>
      </c>
      <c r="E15" s="36">
        <v>41</v>
      </c>
      <c r="F15" s="37">
        <v>30</v>
      </c>
      <c r="G15" s="36">
        <v>1500</v>
      </c>
      <c r="H15" s="36">
        <v>4</v>
      </c>
      <c r="I15" s="36">
        <v>3</v>
      </c>
      <c r="J15" s="36">
        <v>15</v>
      </c>
      <c r="K15" s="5"/>
      <c r="L15" s="64"/>
      <c r="M15" s="19"/>
      <c r="N15" s="64"/>
      <c r="O15" s="19"/>
      <c r="P15" s="64"/>
      <c r="Q15" s="19"/>
      <c r="R15" s="26"/>
      <c r="S15" s="56"/>
      <c r="T15" s="30" t="s">
        <v>185</v>
      </c>
      <c r="U15"/>
      <c r="V15"/>
      <c r="W15"/>
      <c r="X15"/>
      <c r="Y15"/>
      <c r="Z15"/>
      <c r="AA15"/>
      <c r="AB15"/>
    </row>
    <row r="16" spans="1:59" x14ac:dyDescent="0.25">
      <c r="A16" s="36" t="s">
        <v>140</v>
      </c>
      <c r="B16" s="36" t="s">
        <v>138</v>
      </c>
      <c r="C16" s="36" t="s">
        <v>139</v>
      </c>
      <c r="D16" s="36" t="s">
        <v>141</v>
      </c>
      <c r="E16" s="36">
        <v>39</v>
      </c>
      <c r="F16" s="37">
        <v>6</v>
      </c>
      <c r="G16" s="36">
        <v>280</v>
      </c>
      <c r="H16" s="36">
        <v>1</v>
      </c>
      <c r="I16" s="36">
        <v>1</v>
      </c>
      <c r="J16" s="36">
        <v>17</v>
      </c>
      <c r="K16" s="22" t="s">
        <v>156</v>
      </c>
      <c r="L16" s="64">
        <f>L6</f>
        <v>5.0000000000000044E-2</v>
      </c>
      <c r="M16" s="19"/>
      <c r="N16" s="64">
        <f>N6</f>
        <v>5.0000000000000044E-2</v>
      </c>
      <c r="O16" s="19"/>
      <c r="P16" s="64">
        <f>P6</f>
        <v>5.0000000000000044E-2</v>
      </c>
      <c r="Q16" s="19"/>
      <c r="R16" s="26">
        <v>0.05</v>
      </c>
      <c r="S16" s="7"/>
      <c r="T16" s="30" t="s">
        <v>186</v>
      </c>
      <c r="U16"/>
      <c r="V16"/>
      <c r="W16"/>
      <c r="X16"/>
      <c r="Y16"/>
      <c r="Z16"/>
      <c r="AA16"/>
      <c r="AB16"/>
    </row>
    <row r="17" spans="1:28" x14ac:dyDescent="0.25">
      <c r="A17" s="36" t="s">
        <v>140</v>
      </c>
      <c r="B17" s="36" t="s">
        <v>138</v>
      </c>
      <c r="C17" s="36" t="s">
        <v>136</v>
      </c>
      <c r="D17" s="36" t="s">
        <v>141</v>
      </c>
      <c r="E17" s="36">
        <v>36</v>
      </c>
      <c r="F17" s="37">
        <v>4</v>
      </c>
      <c r="G17" s="36">
        <v>400</v>
      </c>
      <c r="H17" s="36">
        <v>0</v>
      </c>
      <c r="I17" s="36">
        <v>1</v>
      </c>
      <c r="J17" s="36">
        <v>20</v>
      </c>
      <c r="K17" s="22" t="s">
        <v>159</v>
      </c>
      <c r="L17" s="79">
        <f>-_xlfn.T.INV(L7,L12-1)</f>
        <v>-1.6765508926168529</v>
      </c>
      <c r="M17" s="19"/>
      <c r="N17" s="79">
        <f>-_xlfn.T.INV.2T(N16,N12-1)</f>
        <v>-2.0095752371292388</v>
      </c>
      <c r="O17" s="19"/>
      <c r="P17" s="79">
        <f>_xlfn.T.INV(P7,P12-1)</f>
        <v>1.7613101357748921</v>
      </c>
      <c r="Q17" s="19"/>
      <c r="R17" s="79">
        <f>-_xlfn.NORM.S.INV(1-R16)</f>
        <v>-1.6448536269514715</v>
      </c>
      <c r="S17" s="7"/>
      <c r="U17"/>
      <c r="V17"/>
      <c r="W17"/>
      <c r="X17"/>
      <c r="Y17"/>
    </row>
    <row r="18" spans="1:28" x14ac:dyDescent="0.25">
      <c r="A18" s="36" t="s">
        <v>140</v>
      </c>
      <c r="B18" s="36" t="s">
        <v>138</v>
      </c>
      <c r="C18" s="36" t="s">
        <v>136</v>
      </c>
      <c r="D18" s="36" t="s">
        <v>141</v>
      </c>
      <c r="E18" s="36">
        <v>33</v>
      </c>
      <c r="F18" s="37">
        <v>3</v>
      </c>
      <c r="G18" s="36">
        <v>420</v>
      </c>
      <c r="H18" s="36">
        <v>0</v>
      </c>
      <c r="I18" s="36">
        <v>1</v>
      </c>
      <c r="J18" s="36">
        <v>25</v>
      </c>
      <c r="K18" s="22" t="s">
        <v>159</v>
      </c>
      <c r="L18" s="64"/>
      <c r="M18" s="19"/>
      <c r="N18" s="79">
        <f>_xlfn.T.INV.2T(N16,N12-1)</f>
        <v>2.0095752371292388</v>
      </c>
      <c r="O18" s="19"/>
      <c r="P18" s="64"/>
      <c r="Q18" s="19"/>
      <c r="R18" s="80">
        <f>_xlfn.NORM.S.DIST(R14,TRUE)</f>
        <v>3.8549935871770726E-2</v>
      </c>
      <c r="T18" s="46" t="s">
        <v>189</v>
      </c>
      <c r="U18"/>
      <c r="V18"/>
      <c r="W18"/>
      <c r="X18"/>
      <c r="Y18"/>
    </row>
    <row r="19" spans="1:28" x14ac:dyDescent="0.25">
      <c r="A19" s="36" t="s">
        <v>140</v>
      </c>
      <c r="B19" s="36" t="s">
        <v>135</v>
      </c>
      <c r="C19" s="36" t="s">
        <v>136</v>
      </c>
      <c r="D19" s="36" t="s">
        <v>137</v>
      </c>
      <c r="E19" s="36">
        <v>31</v>
      </c>
      <c r="F19" s="37">
        <v>10</v>
      </c>
      <c r="G19" s="36">
        <v>675</v>
      </c>
      <c r="H19" s="36">
        <v>0</v>
      </c>
      <c r="I19" s="36">
        <v>1</v>
      </c>
      <c r="J19" s="36">
        <v>35</v>
      </c>
      <c r="K19" s="22"/>
      <c r="L19" s="64"/>
      <c r="M19" s="19"/>
      <c r="N19" s="64"/>
      <c r="O19" s="19"/>
      <c r="P19" s="64"/>
      <c r="Q19" s="19"/>
      <c r="R19" s="26"/>
      <c r="S19" s="57"/>
      <c r="T19" s="46" t="s">
        <v>190</v>
      </c>
      <c r="U19"/>
      <c r="V19"/>
      <c r="W19"/>
      <c r="X19"/>
      <c r="Y19"/>
      <c r="Z19"/>
      <c r="AA19"/>
      <c r="AB19"/>
    </row>
    <row r="20" spans="1:28" x14ac:dyDescent="0.25">
      <c r="A20" s="36" t="s">
        <v>140</v>
      </c>
      <c r="B20" s="36" t="s">
        <v>135</v>
      </c>
      <c r="C20" s="36" t="s">
        <v>139</v>
      </c>
      <c r="D20" s="36" t="s">
        <v>141</v>
      </c>
      <c r="E20" s="36">
        <v>31</v>
      </c>
      <c r="F20" s="37">
        <v>15</v>
      </c>
      <c r="G20" s="36">
        <v>800</v>
      </c>
      <c r="H20" s="36">
        <v>1</v>
      </c>
      <c r="I20" s="36">
        <v>1</v>
      </c>
      <c r="J20" s="36">
        <f>+(G20/2)/8</f>
        <v>50</v>
      </c>
      <c r="K20" s="22" t="s">
        <v>175</v>
      </c>
      <c r="L20" s="79">
        <f>_xlfn.T.DIST(L14,L12-1,TRUE)</f>
        <v>0.58625289083486187</v>
      </c>
      <c r="M20" s="19"/>
      <c r="N20" s="79">
        <f>IF(N14&lt;0,_xlfn.T.DIST.2T(-N14,N12-1),_xlfn.T.DIST.2T(N14,N12-1))</f>
        <v>2.1800418629746503E-2</v>
      </c>
      <c r="O20" s="19"/>
      <c r="P20" s="79">
        <f>1-_xlfn.T.DIST(P14,P12-1,TRUE)</f>
        <v>2.1744355329389897E-2</v>
      </c>
      <c r="Q20" s="19"/>
      <c r="R20" s="79">
        <f>_xlfn.NORM.S.DIST(R14,TRUE)</f>
        <v>3.8549935871770726E-2</v>
      </c>
      <c r="S20" s="7"/>
      <c r="T20"/>
      <c r="U20"/>
      <c r="V20"/>
      <c r="W20"/>
      <c r="X20"/>
      <c r="Y20"/>
      <c r="Z20" s="44"/>
      <c r="AA20"/>
      <c r="AB20" s="45"/>
    </row>
    <row r="21" spans="1:28" x14ac:dyDescent="0.25">
      <c r="A21" s="36" t="s">
        <v>140</v>
      </c>
      <c r="B21" s="36" t="s">
        <v>135</v>
      </c>
      <c r="C21" s="36" t="s">
        <v>139</v>
      </c>
      <c r="D21" s="36" t="s">
        <v>141</v>
      </c>
      <c r="E21" s="36">
        <v>29</v>
      </c>
      <c r="F21" s="37">
        <v>4</v>
      </c>
      <c r="G21" s="36">
        <v>300</v>
      </c>
      <c r="H21" s="36">
        <v>1</v>
      </c>
      <c r="I21" s="36">
        <v>1</v>
      </c>
      <c r="J21" s="36">
        <v>20</v>
      </c>
      <c r="K21" s="22" t="s">
        <v>151</v>
      </c>
      <c r="L21" s="66" t="str">
        <f>IF(L14&lt;L17,"Reject","Fail to reject")</f>
        <v>Fail to reject</v>
      </c>
      <c r="M21" s="19"/>
      <c r="N21" s="63" t="str">
        <f>IF(N14&lt;N17,"Reject","Fail to reject")</f>
        <v>Reject</v>
      </c>
      <c r="O21" s="19"/>
      <c r="P21" s="63" t="str">
        <f>IF(P14&gt;P17,"Reject","Fail to reject")</f>
        <v>Reject</v>
      </c>
      <c r="Q21" s="19"/>
      <c r="R21" s="63" t="s">
        <v>208</v>
      </c>
      <c r="S21" s="7"/>
      <c r="T21"/>
      <c r="U21"/>
      <c r="V21"/>
      <c r="W21"/>
      <c r="X21"/>
      <c r="Y21"/>
      <c r="Z21" s="44"/>
      <c r="AA21"/>
      <c r="AB21" s="45"/>
    </row>
    <row r="22" spans="1:28" x14ac:dyDescent="0.25">
      <c r="A22" s="36" t="s">
        <v>140</v>
      </c>
      <c r="B22" s="36" t="s">
        <v>135</v>
      </c>
      <c r="C22" s="36" t="s">
        <v>136</v>
      </c>
      <c r="D22" s="36" t="s">
        <v>137</v>
      </c>
      <c r="E22" s="36">
        <v>28</v>
      </c>
      <c r="F22" s="37">
        <v>3</v>
      </c>
      <c r="G22" s="36">
        <v>400</v>
      </c>
      <c r="H22" s="36">
        <v>1</v>
      </c>
      <c r="I22" s="36">
        <v>1</v>
      </c>
      <c r="J22" s="36">
        <v>15</v>
      </c>
      <c r="L22" s="64"/>
      <c r="M22" s="19"/>
      <c r="N22" s="64"/>
      <c r="O22" s="19"/>
      <c r="P22" s="64"/>
      <c r="Q22" s="19"/>
      <c r="R22" s="11"/>
      <c r="U22"/>
      <c r="V22"/>
      <c r="W22"/>
      <c r="X22"/>
      <c r="Y22"/>
      <c r="Z22" s="44"/>
      <c r="AA22"/>
      <c r="AB22" s="45"/>
    </row>
    <row r="23" spans="1:28" x14ac:dyDescent="0.25">
      <c r="A23" s="36" t="s">
        <v>142</v>
      </c>
      <c r="B23" s="36" t="s">
        <v>135</v>
      </c>
      <c r="C23" s="36" t="s">
        <v>136</v>
      </c>
      <c r="D23" s="36" t="s">
        <v>141</v>
      </c>
      <c r="E23" s="36">
        <v>55</v>
      </c>
      <c r="F23" s="37">
        <v>8</v>
      </c>
      <c r="G23" s="36">
        <v>400</v>
      </c>
      <c r="H23" s="36">
        <v>0</v>
      </c>
      <c r="I23" s="36">
        <v>2</v>
      </c>
      <c r="J23" s="36">
        <v>0</v>
      </c>
      <c r="K23" s="24" t="s">
        <v>157</v>
      </c>
      <c r="L23" s="64"/>
      <c r="M23" s="19"/>
      <c r="N23" s="64"/>
      <c r="O23" s="19"/>
      <c r="P23" s="64"/>
      <c r="Q23" s="19"/>
      <c r="R23" s="11"/>
      <c r="S23" s="58"/>
      <c r="U23"/>
      <c r="V23"/>
      <c r="W23"/>
      <c r="X23"/>
      <c r="Y23"/>
    </row>
    <row r="24" spans="1:28" x14ac:dyDescent="0.25">
      <c r="A24" s="36" t="s">
        <v>142</v>
      </c>
      <c r="B24" s="36" t="s">
        <v>135</v>
      </c>
      <c r="C24" s="36" t="s">
        <v>139</v>
      </c>
      <c r="D24" s="36" t="s">
        <v>141</v>
      </c>
      <c r="E24" s="36">
        <v>43</v>
      </c>
      <c r="F24" s="37">
        <v>10</v>
      </c>
      <c r="G24" s="36">
        <v>700</v>
      </c>
      <c r="H24" s="36">
        <v>2</v>
      </c>
      <c r="I24" s="36">
        <v>3</v>
      </c>
      <c r="J24" s="36">
        <v>0</v>
      </c>
      <c r="K24" s="24" t="s">
        <v>158</v>
      </c>
      <c r="L24" s="64"/>
      <c r="M24" s="19"/>
      <c r="N24" s="64"/>
      <c r="O24" s="19"/>
      <c r="P24" s="64"/>
      <c r="Q24" s="19"/>
      <c r="R24" s="47"/>
      <c r="S24" s="58"/>
      <c r="T24"/>
      <c r="U24"/>
      <c r="V24"/>
      <c r="W24"/>
      <c r="X24"/>
      <c r="Y24"/>
      <c r="Z24"/>
      <c r="AA24"/>
      <c r="AB24"/>
    </row>
    <row r="25" spans="1:28" ht="29.25" customHeight="1" x14ac:dyDescent="0.25">
      <c r="A25" s="36" t="s">
        <v>142</v>
      </c>
      <c r="B25" s="36" t="s">
        <v>135</v>
      </c>
      <c r="C25" s="36" t="s">
        <v>136</v>
      </c>
      <c r="D25" s="36" t="s">
        <v>141</v>
      </c>
      <c r="E25" s="36">
        <v>41</v>
      </c>
      <c r="F25" s="37">
        <v>10</v>
      </c>
      <c r="G25" s="36">
        <v>720</v>
      </c>
      <c r="H25" s="36">
        <v>1</v>
      </c>
      <c r="I25" s="36">
        <v>2</v>
      </c>
      <c r="J25" s="36">
        <v>15</v>
      </c>
      <c r="L25" s="69" t="s">
        <v>257</v>
      </c>
      <c r="M25" s="78"/>
      <c r="N25" s="78"/>
      <c r="O25" s="78"/>
      <c r="P25" s="78"/>
      <c r="Q25" s="78"/>
      <c r="R25" s="78"/>
      <c r="S25" s="78"/>
      <c r="T25" s="81" t="s">
        <v>241</v>
      </c>
      <c r="U25"/>
      <c r="V25"/>
      <c r="W25"/>
      <c r="X25"/>
      <c r="Y25"/>
      <c r="Z25" s="44"/>
      <c r="AA25"/>
      <c r="AB25" s="45"/>
    </row>
    <row r="26" spans="1:28" ht="32.25" customHeight="1" x14ac:dyDescent="0.25">
      <c r="A26" s="36" t="s">
        <v>142</v>
      </c>
      <c r="B26" s="36" t="s">
        <v>138</v>
      </c>
      <c r="C26" s="36" t="s">
        <v>136</v>
      </c>
      <c r="D26" s="36" t="s">
        <v>141</v>
      </c>
      <c r="E26" s="36">
        <v>38</v>
      </c>
      <c r="F26" s="37">
        <v>10</v>
      </c>
      <c r="G26" s="36">
        <v>450</v>
      </c>
      <c r="H26" s="36">
        <v>4</v>
      </c>
      <c r="I26" s="36">
        <v>5</v>
      </c>
      <c r="J26" s="36">
        <v>0</v>
      </c>
      <c r="L26" s="69" t="s">
        <v>258</v>
      </c>
      <c r="M26" s="78"/>
      <c r="N26" s="78"/>
      <c r="O26" s="78"/>
      <c r="P26" s="78"/>
      <c r="Q26" s="78"/>
      <c r="R26" s="78"/>
      <c r="S26" s="78"/>
      <c r="T26" s="81" t="s">
        <v>242</v>
      </c>
      <c r="V26"/>
      <c r="W26"/>
      <c r="X26"/>
      <c r="Y26"/>
    </row>
    <row r="27" spans="1:28" ht="30.75" customHeight="1" x14ac:dyDescent="0.25">
      <c r="A27" s="36" t="s">
        <v>142</v>
      </c>
      <c r="B27" s="36" t="s">
        <v>138</v>
      </c>
      <c r="C27" s="36" t="s">
        <v>136</v>
      </c>
      <c r="D27" s="36" t="s">
        <v>141</v>
      </c>
      <c r="E27" s="36">
        <v>39</v>
      </c>
      <c r="F27" s="37">
        <v>15</v>
      </c>
      <c r="G27" s="36">
        <v>1000</v>
      </c>
      <c r="H27" s="36">
        <v>1</v>
      </c>
      <c r="I27" s="36">
        <v>2</v>
      </c>
      <c r="J27" s="36">
        <v>0</v>
      </c>
      <c r="L27" s="69" t="s">
        <v>259</v>
      </c>
      <c r="M27" s="78"/>
      <c r="N27" s="78"/>
      <c r="O27" s="78"/>
      <c r="P27" s="78"/>
      <c r="Q27" s="78"/>
      <c r="R27" s="78"/>
      <c r="S27" s="78"/>
      <c r="T27" s="81" t="s">
        <v>242</v>
      </c>
      <c r="U27" s="47"/>
      <c r="V27" s="47"/>
      <c r="W27" s="47"/>
      <c r="X27" s="47"/>
      <c r="Y27" s="47"/>
      <c r="Z27" s="47"/>
      <c r="AA27" s="47"/>
      <c r="AB27" s="47"/>
    </row>
    <row r="28" spans="1:28" ht="29.25" customHeight="1" x14ac:dyDescent="0.25">
      <c r="A28" s="36" t="s">
        <v>142</v>
      </c>
      <c r="B28" s="36" t="s">
        <v>135</v>
      </c>
      <c r="C28" s="36" t="s">
        <v>139</v>
      </c>
      <c r="D28" s="36" t="s">
        <v>137</v>
      </c>
      <c r="E28" s="36">
        <v>35</v>
      </c>
      <c r="F28" s="37">
        <v>5</v>
      </c>
      <c r="G28" s="36">
        <v>350</v>
      </c>
      <c r="H28" s="36">
        <v>2</v>
      </c>
      <c r="I28" s="36">
        <v>2</v>
      </c>
      <c r="J28" s="36">
        <v>0</v>
      </c>
      <c r="L28" s="69" t="s">
        <v>256</v>
      </c>
      <c r="M28" s="78"/>
      <c r="N28" s="78"/>
      <c r="O28" s="78"/>
      <c r="P28" s="78"/>
      <c r="Q28" s="78"/>
      <c r="R28" s="78"/>
      <c r="S28" s="78"/>
      <c r="T28" s="81" t="s">
        <v>243</v>
      </c>
      <c r="U28" s="47"/>
      <c r="V28" s="47"/>
      <c r="W28" s="48"/>
      <c r="X28" s="48"/>
      <c r="Y28" s="48"/>
      <c r="Z28" s="48"/>
      <c r="AA28" s="48"/>
      <c r="AB28" s="47"/>
    </row>
    <row r="29" spans="1:28" x14ac:dyDescent="0.25">
      <c r="A29" s="36" t="s">
        <v>142</v>
      </c>
      <c r="B29" s="36" t="s">
        <v>135</v>
      </c>
      <c r="C29" s="36" t="s">
        <v>136</v>
      </c>
      <c r="D29" s="36" t="s">
        <v>141</v>
      </c>
      <c r="E29" s="36">
        <v>33</v>
      </c>
      <c r="F29" s="37">
        <v>10</v>
      </c>
      <c r="G29" s="36">
        <v>800</v>
      </c>
      <c r="H29" s="36">
        <v>2</v>
      </c>
      <c r="I29" s="36">
        <v>3</v>
      </c>
      <c r="J29" s="36">
        <v>0</v>
      </c>
      <c r="U29" s="47"/>
      <c r="V29" s="47"/>
      <c r="W29" s="47"/>
      <c r="X29"/>
      <c r="Y29" s="47"/>
      <c r="Z29" s="47"/>
      <c r="AA29" s="47"/>
      <c r="AB29" s="47"/>
    </row>
    <row r="30" spans="1:28" x14ac:dyDescent="0.25">
      <c r="A30" s="36" t="s">
        <v>142</v>
      </c>
      <c r="B30" s="36" t="s">
        <v>138</v>
      </c>
      <c r="C30" s="36" t="s">
        <v>136</v>
      </c>
      <c r="D30" s="36" t="s">
        <v>141</v>
      </c>
      <c r="E30" s="36">
        <v>32</v>
      </c>
      <c r="F30" s="37">
        <v>2</v>
      </c>
      <c r="G30" s="36">
        <v>200</v>
      </c>
      <c r="H30" s="36">
        <v>4</v>
      </c>
      <c r="I30" s="36">
        <v>5</v>
      </c>
      <c r="J30" s="36">
        <v>5</v>
      </c>
      <c r="T30" s="47"/>
      <c r="U30" s="47"/>
      <c r="V30" s="47"/>
      <c r="W30" s="47"/>
      <c r="X30" s="47"/>
      <c r="Y30" s="47"/>
      <c r="Z30" s="44"/>
      <c r="AA30" s="47"/>
    </row>
    <row r="31" spans="1:28" x14ac:dyDescent="0.25">
      <c r="A31" s="36" t="s">
        <v>142</v>
      </c>
      <c r="B31" s="36" t="s">
        <v>138</v>
      </c>
      <c r="C31" s="36" t="s">
        <v>136</v>
      </c>
      <c r="D31" s="36" t="s">
        <v>141</v>
      </c>
      <c r="E31" s="36">
        <v>28</v>
      </c>
      <c r="F31" s="37">
        <v>8</v>
      </c>
      <c r="G31" s="36">
        <v>350</v>
      </c>
      <c r="H31" s="36">
        <v>3</v>
      </c>
      <c r="I31" s="36">
        <v>4</v>
      </c>
      <c r="J31" s="36">
        <v>0</v>
      </c>
    </row>
    <row r="32" spans="1:28" x14ac:dyDescent="0.25">
      <c r="A32" s="36" t="s">
        <v>143</v>
      </c>
      <c r="B32" s="36" t="s">
        <v>135</v>
      </c>
      <c r="C32" s="36" t="s">
        <v>136</v>
      </c>
      <c r="D32" s="36" t="s">
        <v>141</v>
      </c>
      <c r="E32" s="36">
        <v>21</v>
      </c>
      <c r="F32" s="37">
        <v>4</v>
      </c>
      <c r="G32" s="36">
        <v>150</v>
      </c>
      <c r="H32" s="36">
        <v>0</v>
      </c>
      <c r="I32" s="36">
        <v>1</v>
      </c>
      <c r="J32" s="36">
        <v>0</v>
      </c>
    </row>
    <row r="33" spans="1:10" x14ac:dyDescent="0.25">
      <c r="A33" s="36" t="s">
        <v>143</v>
      </c>
      <c r="B33" s="36" t="s">
        <v>135</v>
      </c>
      <c r="C33" s="36" t="s">
        <v>139</v>
      </c>
      <c r="D33" s="36" t="s">
        <v>141</v>
      </c>
      <c r="E33" s="36">
        <v>62</v>
      </c>
      <c r="F33" s="37">
        <v>5</v>
      </c>
      <c r="G33" s="36">
        <v>175</v>
      </c>
      <c r="H33" s="36">
        <v>0</v>
      </c>
      <c r="I33" s="36">
        <v>2</v>
      </c>
      <c r="J33" s="36">
        <v>0</v>
      </c>
    </row>
    <row r="34" spans="1:10" x14ac:dyDescent="0.25">
      <c r="A34" s="36" t="s">
        <v>143</v>
      </c>
      <c r="B34" s="36" t="s">
        <v>135</v>
      </c>
      <c r="C34" s="36" t="s">
        <v>136</v>
      </c>
      <c r="D34" s="36" t="s">
        <v>141</v>
      </c>
      <c r="E34" s="36">
        <v>61</v>
      </c>
      <c r="F34" s="37">
        <v>5</v>
      </c>
      <c r="G34" s="36">
        <v>355</v>
      </c>
      <c r="H34" s="36">
        <v>0</v>
      </c>
      <c r="I34" s="36">
        <v>1</v>
      </c>
      <c r="J34" s="36">
        <v>15</v>
      </c>
    </row>
    <row r="35" spans="1:10" x14ac:dyDescent="0.25">
      <c r="A35" s="36" t="s">
        <v>143</v>
      </c>
      <c r="B35" s="36" t="s">
        <v>138</v>
      </c>
      <c r="C35" s="36" t="s">
        <v>136</v>
      </c>
      <c r="D35" s="36" t="s">
        <v>137</v>
      </c>
      <c r="E35" s="36">
        <v>60</v>
      </c>
      <c r="F35" s="37">
        <v>5</v>
      </c>
      <c r="G35" s="36">
        <v>150</v>
      </c>
      <c r="H35" s="36">
        <v>0</v>
      </c>
      <c r="I35" s="36">
        <v>1</v>
      </c>
      <c r="J35" s="36">
        <v>10</v>
      </c>
    </row>
    <row r="36" spans="1:10" x14ac:dyDescent="0.25">
      <c r="A36" s="36" t="s">
        <v>143</v>
      </c>
      <c r="B36" s="36" t="s">
        <v>135</v>
      </c>
      <c r="C36" s="36" t="s">
        <v>139</v>
      </c>
      <c r="D36" s="36" t="s">
        <v>137</v>
      </c>
      <c r="E36" s="36">
        <v>58</v>
      </c>
      <c r="F36" s="37">
        <v>10</v>
      </c>
      <c r="G36" s="36">
        <v>600</v>
      </c>
      <c r="H36" s="36">
        <v>0</v>
      </c>
      <c r="I36" s="36">
        <v>1</v>
      </c>
      <c r="J36" s="36">
        <v>35</v>
      </c>
    </row>
    <row r="37" spans="1:10" x14ac:dyDescent="0.25">
      <c r="A37" s="36" t="s">
        <v>143</v>
      </c>
      <c r="B37" s="36" t="s">
        <v>135</v>
      </c>
      <c r="C37" s="36" t="s">
        <v>136</v>
      </c>
      <c r="D37" s="36" t="s">
        <v>141</v>
      </c>
      <c r="E37" s="36">
        <v>51</v>
      </c>
      <c r="F37" s="37">
        <v>11</v>
      </c>
      <c r="G37" s="36">
        <v>600</v>
      </c>
      <c r="H37" s="36">
        <v>0</v>
      </c>
      <c r="I37" s="36">
        <v>1</v>
      </c>
      <c r="J37" s="36">
        <v>40</v>
      </c>
    </row>
    <row r="38" spans="1:10" x14ac:dyDescent="0.25">
      <c r="A38" s="36" t="s">
        <v>143</v>
      </c>
      <c r="B38" s="36" t="s">
        <v>135</v>
      </c>
      <c r="C38" s="36" t="s">
        <v>136</v>
      </c>
      <c r="D38" s="36" t="s">
        <v>141</v>
      </c>
      <c r="E38" s="36">
        <v>47</v>
      </c>
      <c r="F38" s="37">
        <v>4</v>
      </c>
      <c r="G38" s="36">
        <v>300</v>
      </c>
      <c r="H38" s="36">
        <v>0</v>
      </c>
      <c r="I38" s="36">
        <v>1</v>
      </c>
      <c r="J38" s="36">
        <v>21</v>
      </c>
    </row>
    <row r="39" spans="1:10" x14ac:dyDescent="0.25">
      <c r="A39" s="36" t="s">
        <v>143</v>
      </c>
      <c r="B39" s="36" t="s">
        <v>135</v>
      </c>
      <c r="C39" s="36" t="s">
        <v>139</v>
      </c>
      <c r="D39" s="36" t="s">
        <v>137</v>
      </c>
      <c r="E39" s="36">
        <v>46</v>
      </c>
      <c r="F39" s="37">
        <v>4</v>
      </c>
      <c r="G39" s="36">
        <v>275</v>
      </c>
      <c r="H39" s="36">
        <v>0</v>
      </c>
      <c r="I39" s="36">
        <v>1</v>
      </c>
      <c r="J39" s="36">
        <v>18</v>
      </c>
    </row>
    <row r="40" spans="1:10" x14ac:dyDescent="0.25">
      <c r="A40" s="36" t="s">
        <v>143</v>
      </c>
      <c r="B40" s="36" t="s">
        <v>135</v>
      </c>
      <c r="C40" s="36" t="s">
        <v>139</v>
      </c>
      <c r="D40" s="36" t="s">
        <v>137</v>
      </c>
      <c r="E40" s="36">
        <v>44</v>
      </c>
      <c r="F40" s="37">
        <v>6</v>
      </c>
      <c r="G40" s="36">
        <v>285</v>
      </c>
      <c r="H40" s="36">
        <v>2</v>
      </c>
      <c r="I40" s="36">
        <v>3</v>
      </c>
      <c r="J40" s="36">
        <v>16</v>
      </c>
    </row>
    <row r="41" spans="1:10" x14ac:dyDescent="0.25">
      <c r="A41" s="36" t="s">
        <v>143</v>
      </c>
      <c r="B41" s="36" t="s">
        <v>138</v>
      </c>
      <c r="C41" s="36" t="s">
        <v>139</v>
      </c>
      <c r="D41" s="36" t="s">
        <v>141</v>
      </c>
      <c r="E41" s="36">
        <v>42</v>
      </c>
      <c r="F41" s="37">
        <v>5</v>
      </c>
      <c r="G41" s="36">
        <v>400</v>
      </c>
      <c r="H41" s="36">
        <v>2</v>
      </c>
      <c r="I41" s="36">
        <v>3</v>
      </c>
      <c r="J41" s="36">
        <v>22</v>
      </c>
    </row>
    <row r="42" spans="1:10" x14ac:dyDescent="0.25">
      <c r="A42" s="36" t="s">
        <v>143</v>
      </c>
      <c r="B42" s="36" t="s">
        <v>138</v>
      </c>
      <c r="C42" s="36" t="s">
        <v>136</v>
      </c>
      <c r="D42" s="36" t="s">
        <v>141</v>
      </c>
      <c r="E42" s="36">
        <v>41</v>
      </c>
      <c r="F42" s="37">
        <v>5</v>
      </c>
      <c r="G42" s="36">
        <v>350</v>
      </c>
      <c r="H42" s="36">
        <v>2</v>
      </c>
      <c r="I42" s="36">
        <v>2</v>
      </c>
      <c r="J42" s="36">
        <v>23</v>
      </c>
    </row>
    <row r="43" spans="1:10" x14ac:dyDescent="0.25">
      <c r="A43" s="36" t="s">
        <v>143</v>
      </c>
      <c r="B43" s="36" t="s">
        <v>135</v>
      </c>
      <c r="C43" s="36" t="s">
        <v>139</v>
      </c>
      <c r="D43" s="36" t="s">
        <v>141</v>
      </c>
      <c r="E43" s="36">
        <v>41</v>
      </c>
      <c r="F43" s="37">
        <v>10</v>
      </c>
      <c r="G43" s="36">
        <v>600</v>
      </c>
      <c r="H43" s="36">
        <v>1</v>
      </c>
      <c r="I43" s="36">
        <v>2</v>
      </c>
      <c r="J43" s="36">
        <v>34</v>
      </c>
    </row>
    <row r="44" spans="1:10" x14ac:dyDescent="0.25">
      <c r="A44" s="36" t="s">
        <v>143</v>
      </c>
      <c r="B44" s="36" t="s">
        <v>135</v>
      </c>
      <c r="C44" s="36" t="s">
        <v>136</v>
      </c>
      <c r="D44" s="36" t="s">
        <v>141</v>
      </c>
      <c r="E44" s="36">
        <v>39</v>
      </c>
      <c r="F44" s="37">
        <v>10</v>
      </c>
      <c r="G44" s="36">
        <v>700</v>
      </c>
      <c r="H44" s="36">
        <v>1</v>
      </c>
      <c r="I44" s="36">
        <v>2</v>
      </c>
      <c r="J44" s="36">
        <v>45</v>
      </c>
    </row>
    <row r="45" spans="1:10" x14ac:dyDescent="0.25">
      <c r="A45" s="36" t="s">
        <v>143</v>
      </c>
      <c r="B45" s="36" t="s">
        <v>138</v>
      </c>
      <c r="C45" s="36" t="s">
        <v>136</v>
      </c>
      <c r="D45" s="36" t="s">
        <v>141</v>
      </c>
      <c r="E45" s="36">
        <v>34</v>
      </c>
      <c r="F45" s="37">
        <v>10</v>
      </c>
      <c r="G45" s="36">
        <v>600</v>
      </c>
      <c r="H45" s="36">
        <v>1</v>
      </c>
      <c r="I45" s="36">
        <v>2</v>
      </c>
      <c r="J45" s="36">
        <v>16</v>
      </c>
    </row>
    <row r="46" spans="1:10" x14ac:dyDescent="0.25">
      <c r="A46" s="36" t="s">
        <v>143</v>
      </c>
      <c r="B46" s="36" t="s">
        <v>138</v>
      </c>
      <c r="C46" s="36" t="s">
        <v>136</v>
      </c>
      <c r="D46" s="36" t="s">
        <v>137</v>
      </c>
      <c r="E46" s="36">
        <v>33</v>
      </c>
      <c r="F46" s="37">
        <v>5</v>
      </c>
      <c r="G46" s="36">
        <v>400</v>
      </c>
      <c r="H46" s="36">
        <v>1</v>
      </c>
      <c r="I46" s="36">
        <v>2</v>
      </c>
      <c r="J46" s="36">
        <v>22</v>
      </c>
    </row>
    <row r="47" spans="1:10" x14ac:dyDescent="0.25">
      <c r="A47" s="36" t="s">
        <v>143</v>
      </c>
      <c r="B47" s="36" t="s">
        <v>138</v>
      </c>
      <c r="C47" s="36" t="s">
        <v>136</v>
      </c>
      <c r="D47" s="36" t="s">
        <v>137</v>
      </c>
      <c r="E47" s="36">
        <v>30</v>
      </c>
      <c r="F47" s="37">
        <v>5</v>
      </c>
      <c r="G47" s="36">
        <v>350</v>
      </c>
      <c r="H47" s="36">
        <v>1</v>
      </c>
      <c r="I47" s="36">
        <v>2</v>
      </c>
      <c r="J47" s="36">
        <v>18</v>
      </c>
    </row>
    <row r="48" spans="1:10" x14ac:dyDescent="0.25">
      <c r="A48" s="36" t="s">
        <v>143</v>
      </c>
      <c r="B48" s="36" t="s">
        <v>135</v>
      </c>
      <c r="C48" s="36" t="s">
        <v>136</v>
      </c>
      <c r="D48" s="36" t="s">
        <v>141</v>
      </c>
      <c r="E48" s="36">
        <v>29</v>
      </c>
      <c r="F48" s="37">
        <v>5</v>
      </c>
      <c r="G48" s="36">
        <v>250</v>
      </c>
      <c r="H48" s="36">
        <v>0</v>
      </c>
      <c r="I48" s="36">
        <v>1</v>
      </c>
      <c r="J48" s="36">
        <v>19</v>
      </c>
    </row>
    <row r="49" spans="1:10" x14ac:dyDescent="0.25">
      <c r="A49" s="36" t="s">
        <v>143</v>
      </c>
      <c r="B49" s="36" t="s">
        <v>138</v>
      </c>
      <c r="C49" s="36" t="s">
        <v>136</v>
      </c>
      <c r="D49" s="36" t="s">
        <v>141</v>
      </c>
      <c r="E49" s="36">
        <v>27</v>
      </c>
      <c r="F49" s="37">
        <v>6</v>
      </c>
      <c r="G49" s="36">
        <v>355</v>
      </c>
      <c r="H49" s="36">
        <v>0</v>
      </c>
      <c r="I49" s="36">
        <v>2</v>
      </c>
      <c r="J49" s="36">
        <v>23</v>
      </c>
    </row>
    <row r="50" spans="1:10" x14ac:dyDescent="0.25">
      <c r="A50" s="36" t="s">
        <v>143</v>
      </c>
      <c r="B50" s="36" t="s">
        <v>138</v>
      </c>
      <c r="C50" s="36" t="s">
        <v>136</v>
      </c>
      <c r="D50" s="36" t="s">
        <v>141</v>
      </c>
      <c r="E50" s="36">
        <v>26</v>
      </c>
      <c r="F50" s="37">
        <v>5</v>
      </c>
      <c r="G50" s="36">
        <v>175</v>
      </c>
      <c r="H50" s="36">
        <v>0</v>
      </c>
      <c r="I50" s="36">
        <v>1</v>
      </c>
      <c r="J50" s="36">
        <v>11</v>
      </c>
    </row>
    <row r="51" spans="1:10" x14ac:dyDescent="0.25">
      <c r="A51" s="36" t="s">
        <v>143</v>
      </c>
      <c r="B51" s="36" t="s">
        <v>135</v>
      </c>
      <c r="C51" s="36" t="s">
        <v>139</v>
      </c>
      <c r="D51" s="36" t="s">
        <v>141</v>
      </c>
      <c r="E51" s="36">
        <v>24</v>
      </c>
      <c r="F51" s="37">
        <v>5</v>
      </c>
      <c r="G51" s="36">
        <v>300</v>
      </c>
      <c r="H51" s="36">
        <v>0</v>
      </c>
      <c r="I51" s="36">
        <v>1</v>
      </c>
      <c r="J51" s="36">
        <v>4</v>
      </c>
    </row>
    <row r="52" spans="1:10" x14ac:dyDescent="0.25">
      <c r="A52" s="36" t="s">
        <v>143</v>
      </c>
      <c r="B52" s="36" t="s">
        <v>135</v>
      </c>
      <c r="C52" s="36" t="s">
        <v>136</v>
      </c>
      <c r="D52" s="36" t="s">
        <v>141</v>
      </c>
      <c r="E52" s="36">
        <v>22</v>
      </c>
      <c r="F52" s="37">
        <v>5</v>
      </c>
      <c r="G52" s="36">
        <v>350</v>
      </c>
      <c r="H52" s="36">
        <v>0</v>
      </c>
      <c r="I52" s="36">
        <v>1</v>
      </c>
      <c r="J52" s="36">
        <v>3</v>
      </c>
    </row>
    <row r="53" spans="1:10" x14ac:dyDescent="0.25">
      <c r="A53" s="36" t="s">
        <v>143</v>
      </c>
      <c r="B53" s="36" t="s">
        <v>138</v>
      </c>
      <c r="C53" s="36" t="s">
        <v>139</v>
      </c>
      <c r="D53" s="36" t="s">
        <v>141</v>
      </c>
      <c r="E53" s="36">
        <v>19</v>
      </c>
      <c r="F53" s="37">
        <v>5</v>
      </c>
      <c r="G53" s="36">
        <v>500</v>
      </c>
      <c r="H53" s="36">
        <v>0</v>
      </c>
      <c r="I53" s="36">
        <v>2</v>
      </c>
      <c r="J53" s="36">
        <v>4</v>
      </c>
    </row>
    <row r="55" spans="1:10" x14ac:dyDescent="0.25">
      <c r="F55" s="36"/>
    </row>
  </sheetData>
  <mergeCells count="4">
    <mergeCell ref="L25:S25"/>
    <mergeCell ref="L26:S26"/>
    <mergeCell ref="L27:S27"/>
    <mergeCell ref="L28:S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7.11</vt:lpstr>
      <vt:lpstr>7.12</vt:lpstr>
      <vt:lpstr>7.13</vt:lpstr>
      <vt:lpstr>7.15</vt:lpstr>
      <vt:lpstr>7.16</vt:lpstr>
    </vt:vector>
  </TitlesOfParts>
  <Company>Bellevue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 Li</dc:creator>
  <cp:lastModifiedBy>Marjorie Blanco</cp:lastModifiedBy>
  <dcterms:created xsi:type="dcterms:W3CDTF">2015-01-11T07:40:26Z</dcterms:created>
  <dcterms:modified xsi:type="dcterms:W3CDTF">2017-10-23T22:19:38Z</dcterms:modified>
</cp:coreProperties>
</file>