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20" yWindow="1120" windowWidth="24480" windowHeight="13080"/>
  </bookViews>
  <sheets>
    <sheet name="YLL_Tbl" sheetId="10" r:id="rId1"/>
    <sheet name="Exp_Change_Tbl_Orig" sheetId="4" state="hidden" r:id="rId2"/>
    <sheet name="Question_Tbl" sheetId="6" r:id="rId3"/>
    <sheet name="CONCEPTUALISATION" sheetId="7" state="hidden" r:id="rId4"/>
    <sheet name="Answer_Tbl" sheetId="11" r:id="rId5"/>
    <sheet name="Fact_Tbl" sheetId="3" r:id="rId6"/>
    <sheet name="Outcomes_Tbl" sheetId="12" r:id="rId7"/>
  </sheets>
  <definedNames>
    <definedName name="_xlnm._FilterDatabase" localSheetId="1" hidden="1">Exp_Change_Tbl_Orig!$A$1:$J$145</definedName>
    <definedName name="_xlnm._FilterDatabase" localSheetId="0" hidden="1">YLL_Tbl!$A$1:$L$61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0" l="1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3" i="10"/>
  <c r="B2" i="10"/>
  <c r="H121" i="4"/>
  <c r="I121" i="4"/>
  <c r="J121" i="4"/>
  <c r="H120" i="4"/>
  <c r="I120" i="4"/>
  <c r="J120" i="4"/>
  <c r="H119" i="4"/>
  <c r="I119" i="4"/>
  <c r="J11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J50" i="4"/>
  <c r="H5" i="7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J134" i="4"/>
  <c r="H6" i="7"/>
  <c r="H2" i="4"/>
  <c r="I2" i="4"/>
  <c r="H3" i="4"/>
  <c r="I3" i="4"/>
  <c r="H4" i="4"/>
  <c r="I4" i="4"/>
  <c r="H5" i="4"/>
  <c r="I5" i="4"/>
  <c r="H6" i="4"/>
  <c r="I6" i="4"/>
  <c r="H7" i="4"/>
  <c r="I7" i="4"/>
  <c r="J2" i="4"/>
  <c r="H8" i="7"/>
  <c r="H110" i="4"/>
  <c r="I110" i="4"/>
  <c r="H111" i="4"/>
  <c r="I111" i="4"/>
  <c r="H112" i="4"/>
  <c r="I112" i="4"/>
  <c r="H113" i="4"/>
  <c r="I113" i="4"/>
  <c r="H114" i="4"/>
  <c r="I114" i="4"/>
  <c r="H115" i="4"/>
  <c r="I115" i="4"/>
  <c r="J110" i="4"/>
  <c r="H10" i="7"/>
  <c r="H122" i="4"/>
  <c r="I122" i="4"/>
  <c r="H123" i="4"/>
  <c r="I123" i="4"/>
  <c r="H124" i="4"/>
  <c r="I124" i="4"/>
  <c r="H125" i="4"/>
  <c r="I125" i="4"/>
  <c r="H126" i="4"/>
  <c r="I126" i="4"/>
  <c r="H127" i="4"/>
  <c r="I127" i="4"/>
  <c r="J122" i="4"/>
  <c r="H11" i="7"/>
  <c r="H14" i="7"/>
  <c r="J3" i="7"/>
  <c r="J4" i="7"/>
  <c r="J5" i="7"/>
  <c r="J6" i="7"/>
  <c r="J7" i="7"/>
  <c r="J8" i="7"/>
  <c r="J9" i="7"/>
  <c r="J10" i="7"/>
  <c r="J11" i="7"/>
  <c r="J2" i="7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J141" i="4"/>
  <c r="J142" i="4"/>
  <c r="J143" i="4"/>
  <c r="J144" i="4"/>
  <c r="J145" i="4"/>
  <c r="G140" i="4"/>
  <c r="H140" i="4"/>
  <c r="I140" i="4"/>
  <c r="J140" i="4"/>
  <c r="J135" i="4"/>
  <c r="J136" i="4"/>
  <c r="J137" i="4"/>
  <c r="J138" i="4"/>
  <c r="J139" i="4"/>
  <c r="H129" i="4"/>
  <c r="I129" i="4"/>
  <c r="H130" i="4"/>
  <c r="I130" i="4"/>
  <c r="H131" i="4"/>
  <c r="I131" i="4"/>
  <c r="H132" i="4"/>
  <c r="I132" i="4"/>
  <c r="H133" i="4"/>
  <c r="I133" i="4"/>
  <c r="J129" i="4"/>
  <c r="J130" i="4"/>
  <c r="J131" i="4"/>
  <c r="J132" i="4"/>
  <c r="J133" i="4"/>
  <c r="H128" i="4"/>
  <c r="I128" i="4"/>
  <c r="J128" i="4"/>
  <c r="J123" i="4"/>
  <c r="J124" i="4"/>
  <c r="J125" i="4"/>
  <c r="J126" i="4"/>
  <c r="J127" i="4"/>
  <c r="H117" i="4"/>
  <c r="I117" i="4"/>
  <c r="H118" i="4"/>
  <c r="I118" i="4"/>
  <c r="J117" i="4"/>
  <c r="J118" i="4"/>
  <c r="H116" i="4"/>
  <c r="I116" i="4"/>
  <c r="J116" i="4"/>
  <c r="J111" i="4"/>
  <c r="J112" i="4"/>
  <c r="J113" i="4"/>
  <c r="J114" i="4"/>
  <c r="J115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J57" i="4"/>
  <c r="J58" i="4"/>
  <c r="J59" i="4"/>
  <c r="J60" i="4"/>
  <c r="J61" i="4"/>
  <c r="G56" i="4"/>
  <c r="H56" i="4"/>
  <c r="I56" i="4"/>
  <c r="J56" i="4"/>
  <c r="J51" i="4"/>
  <c r="J52" i="4"/>
  <c r="J53" i="4"/>
  <c r="J54" i="4"/>
  <c r="J55" i="4"/>
  <c r="H9" i="4"/>
  <c r="I9" i="4"/>
  <c r="H10" i="4"/>
  <c r="I10" i="4"/>
  <c r="H11" i="4"/>
  <c r="I11" i="4"/>
  <c r="H12" i="4"/>
  <c r="I12" i="4"/>
  <c r="H13" i="4"/>
  <c r="I13" i="4"/>
  <c r="J9" i="4"/>
  <c r="J10" i="4"/>
  <c r="J11" i="4"/>
  <c r="J12" i="4"/>
  <c r="J13" i="4"/>
  <c r="H8" i="4"/>
  <c r="I8" i="4"/>
  <c r="J8" i="4"/>
  <c r="J3" i="4"/>
  <c r="J4" i="4"/>
  <c r="J5" i="4"/>
  <c r="J6" i="4"/>
  <c r="J7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2" i="4"/>
</calcChain>
</file>

<file path=xl/sharedStrings.xml><?xml version="1.0" encoding="utf-8"?>
<sst xmlns="http://schemas.openxmlformats.org/spreadsheetml/2006/main" count="760" uniqueCount="138">
  <si>
    <t>Question</t>
  </si>
  <si>
    <t>12pm</t>
  </si>
  <si>
    <t>Category</t>
  </si>
  <si>
    <t>sex</t>
  </si>
  <si>
    <t>age</t>
  </si>
  <si>
    <t>yll</t>
  </si>
  <si>
    <t>POP</t>
  </si>
  <si>
    <t>Alcohol use</t>
  </si>
  <si>
    <t>Female</t>
  </si>
  <si>
    <t>0-34</t>
  </si>
  <si>
    <t>35-44</t>
  </si>
  <si>
    <t>45-54</t>
  </si>
  <si>
    <t>55-64</t>
  </si>
  <si>
    <t>65-74</t>
  </si>
  <si>
    <t>75+</t>
  </si>
  <si>
    <t>Male</t>
  </si>
  <si>
    <t>High body mass index</t>
  </si>
  <si>
    <t>High fasting plasma glucose</t>
  </si>
  <si>
    <t>Low bone mineral density (osteoporosis)</t>
  </si>
  <si>
    <t>Low physical activity</t>
  </si>
  <si>
    <t>High saturated fat intake</t>
  </si>
  <si>
    <t>High systolic blood pressure</t>
  </si>
  <si>
    <t>High sodium intake</t>
  </si>
  <si>
    <t>High total blood cholesterol</t>
  </si>
  <si>
    <t>Tobacco use</t>
  </si>
  <si>
    <t>Unsafe sex</t>
  </si>
  <si>
    <t>Low vegetable and fruit intake</t>
  </si>
  <si>
    <t>YLL/POP</t>
  </si>
  <si>
    <t>PopExp</t>
  </si>
  <si>
    <t>YLL/POPExp</t>
  </si>
  <si>
    <t>Pop Fraction</t>
  </si>
  <si>
    <t>YLL value to save = 0</t>
  </si>
  <si>
    <t>NO</t>
  </si>
  <si>
    <t>Alcohol consumption</t>
  </si>
  <si>
    <t>Lookup table - use age/gender; return and save YLL value</t>
  </si>
  <si>
    <t>YES</t>
  </si>
  <si>
    <t>Physical activity</t>
  </si>
  <si>
    <t>Action</t>
  </si>
  <si>
    <t>Answer</t>
  </si>
  <si>
    <t>Do you want to go to the gym today?</t>
  </si>
  <si>
    <t>Fruit and veggies</t>
  </si>
  <si>
    <t>Start of game</t>
  </si>
  <si>
    <t>What is your gender?</t>
  </si>
  <si>
    <t>How old are you?</t>
  </si>
  <si>
    <t>EVENT</t>
  </si>
  <si>
    <t>Answer possiblilities</t>
  </si>
  <si>
    <t>Transformation</t>
  </si>
  <si>
    <t>Integer value</t>
  </si>
  <si>
    <t>M/F</t>
  </si>
  <si>
    <t>Example</t>
  </si>
  <si>
    <t>Save age group selection</t>
  </si>
  <si>
    <t>Save gender selection</t>
  </si>
  <si>
    <t>Snooze your alarm?</t>
  </si>
  <si>
    <t>Yes/No</t>
  </si>
  <si>
    <t>What happens next?</t>
  </si>
  <si>
    <t>Go to next question</t>
  </si>
  <si>
    <t>Go to first scenario</t>
  </si>
  <si>
    <t>Enter first scenario -&gt; 10am time stamp</t>
  </si>
  <si>
    <t>Enter second scenario - 12pm time stamp</t>
  </si>
  <si>
    <t>Save answer selection, completed lookup, save result</t>
  </si>
  <si>
    <t>YLL is stored for later calculation; move to next scenario. "Nah who wants to do that??"</t>
  </si>
  <si>
    <t>Enter third scenario - 1pm time stamp</t>
  </si>
  <si>
    <t>What do you want for lunch?</t>
  </si>
  <si>
    <t>KFC or a salad</t>
  </si>
  <si>
    <t>Conver KFC to NO, convert salad to YES</t>
  </si>
  <si>
    <t>YLL is stored for later calculation; move to next scenario. "I really love KFry"</t>
  </si>
  <si>
    <t>Enter fourth scenario - 2pm time stamp</t>
  </si>
  <si>
    <t>Shall we go shopping</t>
  </si>
  <si>
    <t>Show someone yawning and getting out of bed; move to next scenario.</t>
  </si>
  <si>
    <t>Show shopping bags, "Yolo it was payday"; move to next scenario</t>
  </si>
  <si>
    <t>Enter fifth scenario - 6pm time stamp</t>
  </si>
  <si>
    <t>Shall we go for a drink</t>
  </si>
  <si>
    <t>YLL is stored for later calculation; move to next scenario. "Man I was so parched"</t>
  </si>
  <si>
    <t>Do you want to join me for a ciggy?</t>
  </si>
  <si>
    <t>Shall we go for a drink?</t>
  </si>
  <si>
    <t>Convert into age band (e.g. 26 to "0-34")</t>
  </si>
  <si>
    <t>F</t>
  </si>
  <si>
    <t>YLL value</t>
  </si>
  <si>
    <t>YLL stored for later calculation; move to next scenario. "You're gonna die"</t>
  </si>
  <si>
    <t>Thinking that could generate an identification key</t>
  </si>
  <si>
    <t>So if female and 0-34 then your key is 034F</t>
  </si>
  <si>
    <t>Then concatenate with the question e.g. smoking - 034FSM</t>
  </si>
  <si>
    <t>Then concatenate with the answer e.g. Yes -&gt; 034FSMY</t>
  </si>
  <si>
    <t>Then you coulld generate a lookup to the correct value from YLL for this</t>
  </si>
  <si>
    <t>Methodology thoughts</t>
  </si>
  <si>
    <t>Not sure what the dashboard will be made in but these are my ideas for how to compile the statistics</t>
  </si>
  <si>
    <t>Each question generates a slightly different YLL lookup code</t>
  </si>
  <si>
    <t>Then could be more dynamic. For now I have "hardcoded" these values into the YLL column so I could create a dashboard</t>
  </si>
  <si>
    <t>The selected YLL values are coloured in red on the DATA tab</t>
  </si>
  <si>
    <t>Do you wanna go dancing?</t>
  </si>
  <si>
    <t>Party party party</t>
  </si>
  <si>
    <t>Enter sixth scenario - 9pm time stamp</t>
  </si>
  <si>
    <t>Enter seventh scenario - 11pm time stamp</t>
  </si>
  <si>
    <t>Enter eigth scenario - 12am time stamp</t>
  </si>
  <si>
    <t>Do you want to have (safe) sex?</t>
  </si>
  <si>
    <t>YLL stored for later calculation; move to next scenario. "Ah all rashes eventually heal"</t>
  </si>
  <si>
    <t>Sum of YLL</t>
  </si>
  <si>
    <t>Years of life lost due to your decisions today</t>
  </si>
  <si>
    <t>Time</t>
  </si>
  <si>
    <t>10am</t>
  </si>
  <si>
    <t>1pm</t>
  </si>
  <si>
    <t>2pm</t>
  </si>
  <si>
    <t>6pm</t>
  </si>
  <si>
    <t>9pm</t>
  </si>
  <si>
    <t>11pm</t>
  </si>
  <si>
    <t>12am</t>
  </si>
  <si>
    <t>Adjusted</t>
  </si>
  <si>
    <t>CumulYears</t>
  </si>
  <si>
    <t>Answer_Id</t>
  </si>
  <si>
    <t>Question_Id</t>
  </si>
  <si>
    <t>Category_Id</t>
  </si>
  <si>
    <t>Fact_Id</t>
  </si>
  <si>
    <t>category</t>
  </si>
  <si>
    <t>Sex</t>
  </si>
  <si>
    <t>Age</t>
  </si>
  <si>
    <t>YLL</t>
  </si>
  <si>
    <t>Pop_Fraction</t>
  </si>
  <si>
    <t>Do you want to skip the gym today?</t>
  </si>
  <si>
    <t>Do you want to have unsafe sex?</t>
  </si>
  <si>
    <t>Do you want to have junk food for lunch?</t>
  </si>
  <si>
    <t>YLL_Id</t>
  </si>
  <si>
    <t>Lookup</t>
  </si>
  <si>
    <t>Fact</t>
  </si>
  <si>
    <t>Excessive alcoholic consumption can decrease your ability to dance by 40% (* may not be an actual stat).</t>
  </si>
  <si>
    <t>Great choice, now you get to be the one telling your mates about the silly things they do tomorrow morning.</t>
  </si>
  <si>
    <t>Watch yourself - 2/3 of New Zealanders have had unprotected sex without knowing the sexual history of their partner</t>
  </si>
  <si>
    <t>Just another unconnected pearl for you - 30% of people have had sex in a toilet. Think. About. That.</t>
  </si>
  <si>
    <t>Good on you, no one is getting pregnant tonight.</t>
  </si>
  <si>
    <t>If you smoke a pack a day, you're spending $8,000 a year.  That's a pretty sweet European holiday.</t>
  </si>
  <si>
    <t>Smoking increases your risk of 'bedroom problems' by 50%, I hope she's understanding!</t>
  </si>
  <si>
    <t>You've saved yourself $300,000 over your lifetime, go buy a house on us (not in Auckland).</t>
  </si>
  <si>
    <t>Fact_ID</t>
  </si>
  <si>
    <t>Not many people know that a lot of New Zealanders die of alcohol related cancer - 300 a year.  That's a lot of ghost chips ah.</t>
  </si>
  <si>
    <t>People who regularly eat their meals in restaurants double their risk of obesity.  Time to dust off the cookbook.</t>
  </si>
  <si>
    <t xml:space="preserve">You would have to walk for seven hours straight to burn off a large Maccas meal.  Get going! </t>
  </si>
  <si>
    <t>All it takes is 30 mins of physical activity most days of the week to reduce your chance of death by 30%.</t>
  </si>
  <si>
    <t>Regular, low level activity has been showen to ward off depression and boost mental health.</t>
  </si>
  <si>
    <t>CumulYLL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</si>
</sst>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0000_-;\-* #,##0.00000_-;_-* &quot;-&quot;??_-;_-@_-"/>
    <numFmt numFmtId="165" formatCode="_-* #,##0_-;\-* #,##0_-;_-* &quot;-&quot;??_-;_-@_-"/>
    <numFmt numFmtId="166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0"/>
      <color theme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65" fontId="0" fillId="0" borderId="0" xfId="1" applyNumberFormat="1" applyFon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43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11" fillId="0" borderId="0" xfId="0" applyFont="1"/>
    <xf numFmtId="43" fontId="9" fillId="2" borderId="0" xfId="30" applyNumberFormat="1"/>
    <xf numFmtId="166" fontId="9" fillId="2" borderId="0" xfId="30" applyNumberFormat="1"/>
    <xf numFmtId="2" fontId="9" fillId="2" borderId="0" xfId="30" applyNumberFormat="1"/>
    <xf numFmtId="0" fontId="0" fillId="0" borderId="0" xfId="0" applyAlignment="1">
      <alignment horizontal="right"/>
    </xf>
    <xf numFmtId="2" fontId="10" fillId="3" borderId="0" xfId="31" applyNumberFormat="1"/>
    <xf numFmtId="43" fontId="10" fillId="3" borderId="0" xfId="31" applyNumberFormat="1"/>
    <xf numFmtId="166" fontId="10" fillId="3" borderId="0" xfId="31" applyNumberFormat="1"/>
    <xf numFmtId="43" fontId="13" fillId="0" borderId="0" xfId="30" applyNumberFormat="1" applyFont="1" applyFill="1"/>
    <xf numFmtId="43" fontId="13" fillId="0" borderId="0" xfId="31" applyNumberFormat="1" applyFont="1" applyFill="1"/>
    <xf numFmtId="43" fontId="13" fillId="0" borderId="0" xfId="0" applyNumberFormat="1" applyFont="1" applyFill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9" fontId="0" fillId="0" borderId="0" xfId="44" applyFont="1"/>
  </cellXfs>
  <cellStyles count="65">
    <cellStyle name="Bad" xfId="30" builtinId="27"/>
    <cellStyle name="Comma 2" xfId="3"/>
    <cellStyle name="Comma 3" xfId="4"/>
    <cellStyle name="Comma 4" xfId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 2" xfId="5"/>
    <cellStyle name="Hyperlink 3" xfId="6"/>
    <cellStyle name="Neutral" xfId="31" builtinId="28"/>
    <cellStyle name="Normal" xfId="0" builtinId="0"/>
    <cellStyle name="Normal 2" xfId="7"/>
    <cellStyle name="Normal 2 2" xfId="8"/>
    <cellStyle name="Normal 3" xfId="9"/>
    <cellStyle name="Normal 4" xfId="10"/>
    <cellStyle name="Normal 5" xfId="2"/>
    <cellStyle name="Percent" xfId="44" builtinId="5"/>
    <cellStyle name="Percent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L1" sqref="L1"/>
    </sheetView>
  </sheetViews>
  <sheetFormatPr baseColWidth="10" defaultColWidth="8.83203125" defaultRowHeight="14" x14ac:dyDescent="0"/>
  <cols>
    <col min="1" max="1" width="8.83203125" style="3"/>
    <col min="2" max="2" width="33.6640625" style="3" bestFit="1" customWidth="1"/>
    <col min="3" max="3" width="38.1640625" style="3" bestFit="1" customWidth="1"/>
    <col min="4" max="4" width="7.5" style="3" bestFit="1" customWidth="1"/>
    <col min="5" max="5" width="6.5" style="3" bestFit="1" customWidth="1"/>
    <col min="6" max="6" width="9" style="3" bestFit="1" customWidth="1"/>
    <col min="7" max="7" width="10.5" style="3" bestFit="1" customWidth="1"/>
    <col min="8" max="8" width="23.1640625" style="3" customWidth="1"/>
    <col min="9" max="9" width="16.83203125" style="3" customWidth="1"/>
    <col min="10" max="10" width="12.1640625" style="3" bestFit="1" customWidth="1"/>
    <col min="11" max="11" width="11.5" style="3" bestFit="1" customWidth="1"/>
    <col min="12" max="12" width="11.1640625" style="3" bestFit="1" customWidth="1"/>
    <col min="13" max="16384" width="8.83203125" style="3"/>
  </cols>
  <sheetData>
    <row r="1" spans="1:12">
      <c r="A1" s="3" t="s">
        <v>120</v>
      </c>
      <c r="B1" s="3" t="s">
        <v>121</v>
      </c>
      <c r="C1" s="4" t="s">
        <v>2</v>
      </c>
      <c r="D1" s="4" t="s">
        <v>113</v>
      </c>
      <c r="E1" s="4" t="s">
        <v>114</v>
      </c>
      <c r="F1" s="4" t="s">
        <v>115</v>
      </c>
      <c r="G1" s="5" t="s">
        <v>6</v>
      </c>
      <c r="H1" s="2" t="s">
        <v>27</v>
      </c>
      <c r="I1" s="2" t="s">
        <v>116</v>
      </c>
      <c r="J1" s="2" t="s">
        <v>28</v>
      </c>
      <c r="K1" s="2" t="s">
        <v>29</v>
      </c>
      <c r="L1" s="2" t="s">
        <v>137</v>
      </c>
    </row>
    <row r="2" spans="1:12">
      <c r="A2" s="3">
        <v>1</v>
      </c>
      <c r="B2" s="3" t="str">
        <f>D2&amp;E2&amp;C2</f>
        <v>Female0-34Alcohol use</v>
      </c>
      <c r="C2" s="3" t="s">
        <v>7</v>
      </c>
      <c r="D2" s="3" t="s">
        <v>8</v>
      </c>
      <c r="E2" s="3" t="s">
        <v>9</v>
      </c>
      <c r="F2" s="3">
        <v>14676.15</v>
      </c>
      <c r="G2" s="6">
        <v>1246737</v>
      </c>
      <c r="H2" s="7">
        <v>1.1771648711797275E-2</v>
      </c>
      <c r="I2" s="28">
        <v>0.81533333333333335</v>
      </c>
      <c r="J2" s="9">
        <v>1016506.2340000001</v>
      </c>
      <c r="K2" s="22">
        <v>1.4437835705393223E-2</v>
      </c>
      <c r="L2" s="23">
        <v>1.2183972916293089</v>
      </c>
    </row>
    <row r="3" spans="1:12">
      <c r="A3" s="3">
        <v>2</v>
      </c>
      <c r="B3" s="3" t="str">
        <f>D3&amp;E3&amp;C3</f>
        <v>Female35-44Alcohol use</v>
      </c>
      <c r="C3" s="3" t="s">
        <v>7</v>
      </c>
      <c r="D3" s="3" t="s">
        <v>8</v>
      </c>
      <c r="E3" s="3" t="s">
        <v>10</v>
      </c>
      <c r="F3" s="3">
        <v>8803.8780000000006</v>
      </c>
      <c r="G3" s="6">
        <v>293425</v>
      </c>
      <c r="H3" s="7">
        <v>3.0003844253216328E-2</v>
      </c>
      <c r="I3" s="28">
        <v>0.84199999999999997</v>
      </c>
      <c r="J3" s="9">
        <v>247063.85</v>
      </c>
      <c r="K3" s="24">
        <v>3.5634019303107278E-2</v>
      </c>
      <c r="L3" s="24">
        <v>1.2039594559239155</v>
      </c>
    </row>
    <row r="4" spans="1:12">
      <c r="A4" s="3">
        <v>3</v>
      </c>
      <c r="B4" s="3" t="str">
        <f t="shared" ref="B4:B61" si="0">D4&amp;E4&amp;C4</f>
        <v>Female45-54Alcohol use</v>
      </c>
      <c r="C4" s="3" t="s">
        <v>7</v>
      </c>
      <c r="D4" s="3" t="s">
        <v>8</v>
      </c>
      <c r="E4" s="3" t="s">
        <v>11</v>
      </c>
      <c r="F4" s="3">
        <v>12460.07</v>
      </c>
      <c r="G4" s="6">
        <v>243667</v>
      </c>
      <c r="H4" s="7">
        <v>5.1135648241247278E-2</v>
      </c>
      <c r="I4" s="28">
        <v>0.84399999999999997</v>
      </c>
      <c r="J4" s="9">
        <v>205654.948</v>
      </c>
      <c r="K4" s="24">
        <v>6.0587260949345113E-2</v>
      </c>
      <c r="L4" s="24">
        <v>1.1683254366208082</v>
      </c>
    </row>
    <row r="5" spans="1:12">
      <c r="A5" s="3">
        <v>4</v>
      </c>
      <c r="B5" s="3" t="str">
        <f t="shared" si="0"/>
        <v>Female55-64Alcohol use</v>
      </c>
      <c r="C5" s="3" t="s">
        <v>7</v>
      </c>
      <c r="D5" s="3" t="s">
        <v>8</v>
      </c>
      <c r="E5" s="3" t="s">
        <v>12</v>
      </c>
      <c r="F5" s="3">
        <v>14725.8</v>
      </c>
      <c r="G5" s="6">
        <v>176610</v>
      </c>
      <c r="H5" s="7">
        <v>8.3380329539663664E-2</v>
      </c>
      <c r="I5" s="28">
        <v>0.76800000000000002</v>
      </c>
      <c r="J5" s="9">
        <v>135636.48000000001</v>
      </c>
      <c r="K5" s="24">
        <v>0.10856813742143705</v>
      </c>
      <c r="L5" s="24">
        <v>1.1077381756714633</v>
      </c>
    </row>
    <row r="6" spans="1:12">
      <c r="A6" s="3">
        <v>5</v>
      </c>
      <c r="B6" s="3" t="str">
        <f t="shared" si="0"/>
        <v>Female65-74Alcohol use</v>
      </c>
      <c r="C6" s="3" t="s">
        <v>7</v>
      </c>
      <c r="D6" s="3" t="s">
        <v>8</v>
      </c>
      <c r="E6" s="3" t="s">
        <v>13</v>
      </c>
      <c r="F6" s="3">
        <v>17135.34</v>
      </c>
      <c r="G6" s="6">
        <v>110408</v>
      </c>
      <c r="H6" s="7">
        <v>0.15520016665459024</v>
      </c>
      <c r="I6" s="28">
        <v>0.76800000000000002</v>
      </c>
      <c r="J6" s="9">
        <v>84793.343999999997</v>
      </c>
      <c r="K6" s="24">
        <v>0.20208355033149772</v>
      </c>
      <c r="L6" s="24">
        <v>0.99917003825002615</v>
      </c>
    </row>
    <row r="7" spans="1:12">
      <c r="A7" s="3">
        <v>6</v>
      </c>
      <c r="B7" s="3" t="str">
        <f t="shared" si="0"/>
        <v>Female75+Alcohol use</v>
      </c>
      <c r="C7" s="3" t="s">
        <v>7</v>
      </c>
      <c r="D7" s="3" t="s">
        <v>8</v>
      </c>
      <c r="E7" s="3" t="s">
        <v>14</v>
      </c>
      <c r="F7" s="3">
        <v>40003.589999999997</v>
      </c>
      <c r="G7" s="6">
        <v>65348</v>
      </c>
      <c r="H7" s="7">
        <v>0.61216242272142984</v>
      </c>
      <c r="I7" s="28">
        <v>0.76800000000000002</v>
      </c>
      <c r="J7" s="9">
        <v>50187.264000000003</v>
      </c>
      <c r="K7" s="24">
        <v>0.79708648791852843</v>
      </c>
      <c r="L7" s="24">
        <v>0.79708648791852843</v>
      </c>
    </row>
    <row r="8" spans="1:12">
      <c r="A8" s="3">
        <v>7</v>
      </c>
      <c r="B8" s="3" t="str">
        <f t="shared" si="0"/>
        <v>Male0-34Alcohol use</v>
      </c>
      <c r="C8" s="3" t="s">
        <v>7</v>
      </c>
      <c r="D8" s="3" t="s">
        <v>15</v>
      </c>
      <c r="E8" s="3" t="s">
        <v>9</v>
      </c>
      <c r="F8" s="3">
        <v>34675.519999999997</v>
      </c>
      <c r="G8" s="6">
        <v>1195456</v>
      </c>
      <c r="H8" s="7">
        <v>2.9006103110444881E-2</v>
      </c>
      <c r="I8" s="28">
        <v>0.86066666666666669</v>
      </c>
      <c r="J8" s="9">
        <v>1028889.1306666667</v>
      </c>
      <c r="K8" s="24">
        <v>3.3701901367674147E-2</v>
      </c>
      <c r="L8" s="24">
        <v>1.2232978112485458</v>
      </c>
    </row>
    <row r="9" spans="1:12">
      <c r="A9" s="3">
        <v>8</v>
      </c>
      <c r="B9" s="3" t="str">
        <f t="shared" si="0"/>
        <v>Male35-44Alcohol use</v>
      </c>
      <c r="C9" s="3" t="s">
        <v>7</v>
      </c>
      <c r="D9" s="3" t="s">
        <v>15</v>
      </c>
      <c r="E9" s="3" t="s">
        <v>10</v>
      </c>
      <c r="F9" s="3">
        <v>14735.56</v>
      </c>
      <c r="G9" s="6">
        <v>281356</v>
      </c>
      <c r="H9" s="7">
        <v>5.2373363283526916E-2</v>
      </c>
      <c r="I9" s="28">
        <v>0.89900000000000002</v>
      </c>
      <c r="J9" s="9">
        <v>252939.04399999999</v>
      </c>
      <c r="K9" s="24">
        <v>5.8257356266437063E-2</v>
      </c>
      <c r="L9" s="24">
        <v>1.1895959098808717</v>
      </c>
    </row>
    <row r="10" spans="1:12">
      <c r="A10" s="3">
        <v>9</v>
      </c>
      <c r="B10" s="3" t="str">
        <f t="shared" si="0"/>
        <v>Male45-54Alcohol use</v>
      </c>
      <c r="C10" s="3" t="s">
        <v>7</v>
      </c>
      <c r="D10" s="3" t="s">
        <v>15</v>
      </c>
      <c r="E10" s="3" t="s">
        <v>11</v>
      </c>
      <c r="F10" s="3">
        <v>20376.560000000001</v>
      </c>
      <c r="G10" s="6">
        <v>233644</v>
      </c>
      <c r="H10" s="7">
        <v>8.7211997740151689E-2</v>
      </c>
      <c r="I10" s="28">
        <v>0.86899999999999999</v>
      </c>
      <c r="J10" s="9">
        <v>203036.636</v>
      </c>
      <c r="K10" s="24">
        <v>0.10035903077117571</v>
      </c>
      <c r="L10" s="24">
        <v>1.1313385536144347</v>
      </c>
    </row>
    <row r="11" spans="1:12">
      <c r="A11" s="3">
        <v>10</v>
      </c>
      <c r="B11" s="3" t="str">
        <f t="shared" si="0"/>
        <v>Male55-64Alcohol use</v>
      </c>
      <c r="C11" s="3" t="s">
        <v>7</v>
      </c>
      <c r="D11" s="3" t="s">
        <v>15</v>
      </c>
      <c r="E11" s="3" t="s">
        <v>12</v>
      </c>
      <c r="F11" s="3">
        <v>24303.17</v>
      </c>
      <c r="G11" s="6">
        <v>169346</v>
      </c>
      <c r="H11" s="7">
        <v>0.14351192233651813</v>
      </c>
      <c r="I11" s="28">
        <v>0.876</v>
      </c>
      <c r="J11" s="9">
        <v>148347.09599999999</v>
      </c>
      <c r="K11" s="24">
        <v>0.16382639536132207</v>
      </c>
      <c r="L11" s="24">
        <v>1.0309795228432588</v>
      </c>
    </row>
    <row r="12" spans="1:12">
      <c r="A12" s="3">
        <v>11</v>
      </c>
      <c r="B12" s="3" t="str">
        <f t="shared" si="0"/>
        <v>Male65-74Alcohol use</v>
      </c>
      <c r="C12" s="3" t="s">
        <v>7</v>
      </c>
      <c r="D12" s="3" t="s">
        <v>15</v>
      </c>
      <c r="E12" s="3" t="s">
        <v>13</v>
      </c>
      <c r="F12" s="3">
        <v>25237.02</v>
      </c>
      <c r="G12" s="6">
        <v>105867</v>
      </c>
      <c r="H12" s="7">
        <v>0.23838419904219446</v>
      </c>
      <c r="I12" s="28">
        <v>0.876</v>
      </c>
      <c r="J12" s="9">
        <v>92739.491999999998</v>
      </c>
      <c r="K12" s="24">
        <v>0.27212808109839548</v>
      </c>
      <c r="L12" s="24">
        <v>0.86715312748193674</v>
      </c>
    </row>
    <row r="13" spans="1:12">
      <c r="A13" s="3">
        <v>12</v>
      </c>
      <c r="B13" s="3" t="str">
        <f t="shared" si="0"/>
        <v>Male75+Alcohol use</v>
      </c>
      <c r="C13" s="3" t="s">
        <v>7</v>
      </c>
      <c r="D13" s="3" t="s">
        <v>15</v>
      </c>
      <c r="E13" s="3" t="s">
        <v>14</v>
      </c>
      <c r="F13" s="3">
        <v>32661.02</v>
      </c>
      <c r="G13" s="6">
        <v>62660</v>
      </c>
      <c r="H13" s="7">
        <v>0.52124194063198215</v>
      </c>
      <c r="I13" s="28">
        <v>0.876</v>
      </c>
      <c r="J13" s="9">
        <v>54890.16</v>
      </c>
      <c r="K13" s="24">
        <v>0.59502504638354126</v>
      </c>
      <c r="L13" s="24">
        <v>0.59502504638354126</v>
      </c>
    </row>
    <row r="14" spans="1:12">
      <c r="A14" s="3">
        <v>13</v>
      </c>
      <c r="B14" s="3" t="str">
        <f t="shared" si="0"/>
        <v>Female0-34Low physical activity</v>
      </c>
      <c r="C14" s="3" t="s">
        <v>19</v>
      </c>
      <c r="D14" s="3" t="s">
        <v>8</v>
      </c>
      <c r="E14" s="3" t="s">
        <v>9</v>
      </c>
      <c r="F14" s="3">
        <v>1389.076</v>
      </c>
      <c r="G14" s="6">
        <v>1246737</v>
      </c>
      <c r="H14" s="7">
        <v>1.1141692273510773E-3</v>
      </c>
      <c r="I14" s="28">
        <v>0.50700000000000001</v>
      </c>
      <c r="J14" s="3">
        <v>632095.65899999999</v>
      </c>
      <c r="K14" s="22">
        <v>2.1975724405346691E-3</v>
      </c>
      <c r="L14" s="23">
        <v>1.0729806870983667</v>
      </c>
    </row>
    <row r="15" spans="1:12">
      <c r="A15" s="3">
        <v>14</v>
      </c>
      <c r="B15" s="3" t="str">
        <f t="shared" si="0"/>
        <v>Female35-44Low physical activity</v>
      </c>
      <c r="C15" s="3" t="s">
        <v>19</v>
      </c>
      <c r="D15" s="3" t="s">
        <v>8</v>
      </c>
      <c r="E15" s="3" t="s">
        <v>10</v>
      </c>
      <c r="F15" s="3">
        <v>4137.4250000000002</v>
      </c>
      <c r="G15" s="6">
        <v>293425</v>
      </c>
      <c r="H15" s="7">
        <v>1.4100451563431883E-2</v>
      </c>
      <c r="I15" s="28">
        <v>0.48599999999999999</v>
      </c>
      <c r="J15" s="3">
        <v>142604.54999999999</v>
      </c>
      <c r="K15" s="24">
        <v>2.9013274821876305E-2</v>
      </c>
      <c r="L15" s="24">
        <v>1.0707831146578322</v>
      </c>
    </row>
    <row r="16" spans="1:12">
      <c r="A16" s="3">
        <v>15</v>
      </c>
      <c r="B16" s="3" t="str">
        <f t="shared" si="0"/>
        <v>Female45-54Low physical activity</v>
      </c>
      <c r="C16" s="3" t="s">
        <v>19</v>
      </c>
      <c r="D16" s="3" t="s">
        <v>8</v>
      </c>
      <c r="E16" s="3" t="s">
        <v>11</v>
      </c>
      <c r="F16" s="3">
        <v>8199.9539999999997</v>
      </c>
      <c r="G16" s="6">
        <v>243667</v>
      </c>
      <c r="H16" s="7">
        <v>3.3652295961291434E-2</v>
      </c>
      <c r="I16" s="28">
        <v>0.47200000000000003</v>
      </c>
      <c r="J16" s="3">
        <v>115010.82400000001</v>
      </c>
      <c r="K16" s="24">
        <v>7.1297237206125907E-2</v>
      </c>
      <c r="L16" s="24">
        <v>1.0417698398359558</v>
      </c>
    </row>
    <row r="17" spans="1:12">
      <c r="A17" s="3">
        <v>16</v>
      </c>
      <c r="B17" s="3" t="str">
        <f t="shared" si="0"/>
        <v>Female55-64Low physical activity</v>
      </c>
      <c r="C17" s="3" t="s">
        <v>19</v>
      </c>
      <c r="D17" s="3" t="s">
        <v>8</v>
      </c>
      <c r="E17" s="3" t="s">
        <v>12</v>
      </c>
      <c r="F17" s="3">
        <v>10475.549999999999</v>
      </c>
      <c r="G17" s="6">
        <v>176610</v>
      </c>
      <c r="H17" s="7">
        <v>5.9314591472736537E-2</v>
      </c>
      <c r="I17" s="28">
        <v>0.47399999999999998</v>
      </c>
      <c r="J17" s="3">
        <v>83713.14</v>
      </c>
      <c r="K17" s="24">
        <v>0.12513626892982391</v>
      </c>
      <c r="L17" s="24">
        <v>0.97047260262982982</v>
      </c>
    </row>
    <row r="18" spans="1:12">
      <c r="A18" s="3">
        <v>17</v>
      </c>
      <c r="B18" s="3" t="str">
        <f t="shared" si="0"/>
        <v>Female65-74Low physical activity</v>
      </c>
      <c r="C18" s="3" t="s">
        <v>19</v>
      </c>
      <c r="D18" s="3" t="s">
        <v>8</v>
      </c>
      <c r="E18" s="3" t="s">
        <v>13</v>
      </c>
      <c r="F18" s="3">
        <v>12928.6</v>
      </c>
      <c r="G18" s="6">
        <v>110408</v>
      </c>
      <c r="H18" s="7">
        <v>0.11709839866676328</v>
      </c>
      <c r="I18" s="28">
        <v>0.53299999999999992</v>
      </c>
      <c r="J18" s="3">
        <v>58847.463999999993</v>
      </c>
      <c r="K18" s="24">
        <v>0.21969680800518443</v>
      </c>
      <c r="L18" s="24">
        <v>0.84533633370000594</v>
      </c>
    </row>
    <row r="19" spans="1:12">
      <c r="A19" s="3">
        <v>18</v>
      </c>
      <c r="B19" s="3" t="str">
        <f t="shared" si="0"/>
        <v>Female75+Low physical activity</v>
      </c>
      <c r="C19" s="3" t="s">
        <v>19</v>
      </c>
      <c r="D19" s="3" t="s">
        <v>8</v>
      </c>
      <c r="E19" s="3" t="s">
        <v>14</v>
      </c>
      <c r="F19" s="3">
        <v>29150.5</v>
      </c>
      <c r="G19" s="6">
        <v>65348</v>
      </c>
      <c r="H19" s="7">
        <v>0.44608098182040767</v>
      </c>
      <c r="I19" s="28">
        <v>0.71299999999999997</v>
      </c>
      <c r="J19" s="3">
        <v>46593.123999999996</v>
      </c>
      <c r="K19" s="24">
        <v>0.62563952569482151</v>
      </c>
      <c r="L19" s="24">
        <v>0.62563952569482151</v>
      </c>
    </row>
    <row r="20" spans="1:12">
      <c r="A20" s="3">
        <v>19</v>
      </c>
      <c r="B20" s="3" t="str">
        <f t="shared" si="0"/>
        <v>Male0-34Low physical activity</v>
      </c>
      <c r="C20" s="3" t="s">
        <v>19</v>
      </c>
      <c r="D20" s="3" t="s">
        <v>15</v>
      </c>
      <c r="E20" s="3" t="s">
        <v>9</v>
      </c>
      <c r="F20" s="3">
        <v>1167.4010000000001</v>
      </c>
      <c r="G20" s="6">
        <v>1195456</v>
      </c>
      <c r="H20" s="7">
        <v>9.7653196771775792E-4</v>
      </c>
      <c r="I20" s="28">
        <v>0.37949999999999995</v>
      </c>
      <c r="J20" s="3">
        <v>453675.55199999997</v>
      </c>
      <c r="K20" s="24">
        <v>2.5732067660546986E-3</v>
      </c>
      <c r="L20" s="24">
        <v>1.3557915821628213</v>
      </c>
    </row>
    <row r="21" spans="1:12">
      <c r="A21" s="3">
        <v>20</v>
      </c>
      <c r="B21" s="3" t="str">
        <f t="shared" si="0"/>
        <v>Male35-44Low physical activity</v>
      </c>
      <c r="C21" s="3" t="s">
        <v>19</v>
      </c>
      <c r="D21" s="3" t="s">
        <v>15</v>
      </c>
      <c r="E21" s="3" t="s">
        <v>10</v>
      </c>
      <c r="F21" s="3">
        <v>4295.2049999999999</v>
      </c>
      <c r="G21" s="6">
        <v>281356</v>
      </c>
      <c r="H21" s="7">
        <v>1.5266086381665931E-2</v>
      </c>
      <c r="I21" s="28">
        <v>0.46</v>
      </c>
      <c r="J21" s="3">
        <v>129423.76000000001</v>
      </c>
      <c r="K21" s="24">
        <v>3.3187144307969416E-2</v>
      </c>
      <c r="L21" s="24">
        <v>1.3532183753967666</v>
      </c>
    </row>
    <row r="22" spans="1:12">
      <c r="A22" s="3">
        <v>21</v>
      </c>
      <c r="B22" s="3" t="str">
        <f t="shared" si="0"/>
        <v>Male45-54Low physical activity</v>
      </c>
      <c r="C22" s="3" t="s">
        <v>19</v>
      </c>
      <c r="D22" s="3" t="s">
        <v>15</v>
      </c>
      <c r="E22" s="3" t="s">
        <v>11</v>
      </c>
      <c r="F22" s="3">
        <v>10253.030000000001</v>
      </c>
      <c r="G22" s="6">
        <v>233644</v>
      </c>
      <c r="H22" s="7">
        <v>4.3883129889918E-2</v>
      </c>
      <c r="I22" s="28">
        <v>0.47799999999999998</v>
      </c>
      <c r="J22" s="3">
        <v>111681.83199999999</v>
      </c>
      <c r="K22" s="24">
        <v>9.1805711066774057E-2</v>
      </c>
      <c r="L22" s="24">
        <v>1.3200312310887972</v>
      </c>
    </row>
    <row r="23" spans="1:12">
      <c r="A23" s="3">
        <v>22</v>
      </c>
      <c r="B23" s="3" t="str">
        <f t="shared" si="0"/>
        <v>Male55-64Low physical activity</v>
      </c>
      <c r="C23" s="3" t="s">
        <v>19</v>
      </c>
      <c r="D23" s="3" t="s">
        <v>15</v>
      </c>
      <c r="E23" s="3" t="s">
        <v>12</v>
      </c>
      <c r="F23" s="3">
        <v>15443.72</v>
      </c>
      <c r="G23" s="6">
        <v>169346</v>
      </c>
      <c r="H23" s="7">
        <v>9.1196249099476809E-2</v>
      </c>
      <c r="I23" s="28">
        <v>0.48100000000000004</v>
      </c>
      <c r="J23" s="3">
        <v>81455.426000000007</v>
      </c>
      <c r="K23" s="24">
        <v>0.18959719147500373</v>
      </c>
      <c r="L23" s="24">
        <v>1.2282255200220231</v>
      </c>
    </row>
    <row r="24" spans="1:12">
      <c r="A24" s="3">
        <v>23</v>
      </c>
      <c r="B24" s="3" t="str">
        <f t="shared" si="0"/>
        <v>Male65-74Low physical activity</v>
      </c>
      <c r="C24" s="3" t="s">
        <v>19</v>
      </c>
      <c r="D24" s="3" t="s">
        <v>15</v>
      </c>
      <c r="E24" s="3" t="s">
        <v>13</v>
      </c>
      <c r="F24" s="3">
        <v>17638</v>
      </c>
      <c r="G24" s="6">
        <v>105867</v>
      </c>
      <c r="H24" s="7">
        <v>0.16660526887509799</v>
      </c>
      <c r="I24" s="28">
        <v>0.47100000000000003</v>
      </c>
      <c r="J24" s="3">
        <v>49863.357000000004</v>
      </c>
      <c r="K24" s="24">
        <v>0.35372668550976216</v>
      </c>
      <c r="L24" s="24">
        <v>1.0386283285470195</v>
      </c>
    </row>
    <row r="25" spans="1:12">
      <c r="A25" s="3">
        <v>24</v>
      </c>
      <c r="B25" s="3" t="str">
        <f t="shared" si="0"/>
        <v>Male75+Low physical activity</v>
      </c>
      <c r="C25" s="3" t="s">
        <v>19</v>
      </c>
      <c r="D25" s="3" t="s">
        <v>15</v>
      </c>
      <c r="E25" s="3" t="s">
        <v>14</v>
      </c>
      <c r="F25" s="3">
        <v>24505</v>
      </c>
      <c r="G25" s="6">
        <v>62660</v>
      </c>
      <c r="H25" s="7">
        <v>0.39107883817427386</v>
      </c>
      <c r="I25" s="28">
        <v>0.57100000000000006</v>
      </c>
      <c r="J25" s="3">
        <v>35778.86</v>
      </c>
      <c r="K25" s="24">
        <v>0.6849016430372572</v>
      </c>
      <c r="L25" s="24">
        <v>0.6849016430372572</v>
      </c>
    </row>
    <row r="26" spans="1:12">
      <c r="A26" s="3">
        <v>25</v>
      </c>
      <c r="B26" s="3" t="str">
        <f t="shared" si="0"/>
        <v>Female0-34Tobacco use</v>
      </c>
      <c r="C26" s="3" t="s">
        <v>24</v>
      </c>
      <c r="D26" s="3" t="s">
        <v>8</v>
      </c>
      <c r="E26" s="3" t="s">
        <v>9</v>
      </c>
      <c r="F26" s="3">
        <v>8243.5110000000004</v>
      </c>
      <c r="G26" s="6">
        <v>1246737</v>
      </c>
      <c r="H26" s="7">
        <v>6.612068944773437E-3</v>
      </c>
      <c r="I26" s="28">
        <v>0.28000000000000003</v>
      </c>
      <c r="J26" s="9">
        <v>349086.36000000004</v>
      </c>
      <c r="K26" s="22">
        <v>2.3614531945619414E-2</v>
      </c>
      <c r="L26" s="23">
        <v>8.9434269791452508</v>
      </c>
    </row>
    <row r="27" spans="1:12">
      <c r="A27" s="3">
        <v>26</v>
      </c>
      <c r="B27" s="3" t="str">
        <f t="shared" si="0"/>
        <v>Female35-44Tobacco use</v>
      </c>
      <c r="C27" s="3" t="s">
        <v>24</v>
      </c>
      <c r="D27" s="3" t="s">
        <v>8</v>
      </c>
      <c r="E27" s="3" t="s">
        <v>10</v>
      </c>
      <c r="F27" s="3">
        <v>7204.5020000000004</v>
      </c>
      <c r="G27" s="6">
        <v>293425</v>
      </c>
      <c r="H27" s="7">
        <v>2.4553129419783593E-2</v>
      </c>
      <c r="I27" s="28">
        <v>0.19</v>
      </c>
      <c r="J27" s="9">
        <v>55750.75</v>
      </c>
      <c r="K27" s="24">
        <v>0.12922699694622944</v>
      </c>
      <c r="L27" s="24">
        <v>8.9198124471996305</v>
      </c>
    </row>
    <row r="28" spans="1:12">
      <c r="A28" s="3">
        <v>27</v>
      </c>
      <c r="B28" s="3" t="str">
        <f t="shared" si="0"/>
        <v>Female45-54Tobacco use</v>
      </c>
      <c r="C28" s="3" t="s">
        <v>24</v>
      </c>
      <c r="D28" s="3" t="s">
        <v>8</v>
      </c>
      <c r="E28" s="3" t="s">
        <v>11</v>
      </c>
      <c r="F28" s="3">
        <v>13532.96</v>
      </c>
      <c r="G28" s="6">
        <v>243667</v>
      </c>
      <c r="H28" s="7">
        <v>5.553874755301292E-2</v>
      </c>
      <c r="I28" s="28">
        <v>0.17</v>
      </c>
      <c r="J28" s="9">
        <v>41423.39</v>
      </c>
      <c r="K28" s="24">
        <v>0.32669851501772307</v>
      </c>
      <c r="L28" s="24">
        <v>8.7905854502534027</v>
      </c>
    </row>
    <row r="29" spans="1:12">
      <c r="A29" s="3">
        <v>28</v>
      </c>
      <c r="B29" s="3" t="str">
        <f t="shared" si="0"/>
        <v>Female55-64Tobacco use</v>
      </c>
      <c r="C29" s="3" t="s">
        <v>24</v>
      </c>
      <c r="D29" s="3" t="s">
        <v>8</v>
      </c>
      <c r="E29" s="3" t="s">
        <v>12</v>
      </c>
      <c r="F29" s="3">
        <v>24506.79</v>
      </c>
      <c r="G29" s="6">
        <v>176610</v>
      </c>
      <c r="H29" s="7">
        <v>0.13876218787158145</v>
      </c>
      <c r="I29" s="28">
        <v>0.17</v>
      </c>
      <c r="J29" s="9">
        <v>30023.7</v>
      </c>
      <c r="K29" s="24">
        <v>0.81624816395047917</v>
      </c>
      <c r="L29" s="24">
        <v>8.4638869352356778</v>
      </c>
    </row>
    <row r="30" spans="1:12">
      <c r="A30" s="3">
        <v>29</v>
      </c>
      <c r="B30" s="3" t="str">
        <f t="shared" si="0"/>
        <v>Female65-74Tobacco use</v>
      </c>
      <c r="C30" s="3" t="s">
        <v>24</v>
      </c>
      <c r="D30" s="3" t="s">
        <v>8</v>
      </c>
      <c r="E30" s="3" t="s">
        <v>13</v>
      </c>
      <c r="F30" s="3">
        <v>31714.14</v>
      </c>
      <c r="G30" s="6">
        <v>110408</v>
      </c>
      <c r="H30" s="7">
        <v>0.28724494601840445</v>
      </c>
      <c r="I30" s="28">
        <v>0.17</v>
      </c>
      <c r="J30" s="9">
        <v>18769.36</v>
      </c>
      <c r="K30" s="24">
        <v>1.689676153049438</v>
      </c>
      <c r="L30" s="24">
        <v>7.6476387712851999</v>
      </c>
    </row>
    <row r="31" spans="1:12">
      <c r="A31" s="3">
        <v>30</v>
      </c>
      <c r="B31" s="3" t="str">
        <f t="shared" si="0"/>
        <v>Female75+Tobacco use</v>
      </c>
      <c r="C31" s="3" t="s">
        <v>24</v>
      </c>
      <c r="D31" s="3" t="s">
        <v>8</v>
      </c>
      <c r="E31" s="3" t="s">
        <v>14</v>
      </c>
      <c r="F31" s="3">
        <v>66187.960000000006</v>
      </c>
      <c r="G31" s="6">
        <v>65348</v>
      </c>
      <c r="H31" s="7">
        <v>1.0128536451000796</v>
      </c>
      <c r="I31" s="28">
        <v>0.17</v>
      </c>
      <c r="J31" s="9">
        <v>11109.160000000002</v>
      </c>
      <c r="K31" s="24">
        <v>5.9579626182357615</v>
      </c>
      <c r="L31" s="24">
        <v>5.9579626182357615</v>
      </c>
    </row>
    <row r="32" spans="1:12">
      <c r="A32" s="3">
        <v>31</v>
      </c>
      <c r="B32" s="3" t="str">
        <f t="shared" si="0"/>
        <v>Male0-34Tobacco use</v>
      </c>
      <c r="C32" s="3" t="s">
        <v>24</v>
      </c>
      <c r="D32" s="3" t="s">
        <v>15</v>
      </c>
      <c r="E32" s="3" t="s">
        <v>9</v>
      </c>
      <c r="F32" s="3">
        <v>12178.87</v>
      </c>
      <c r="G32" s="6">
        <v>1195456</v>
      </c>
      <c r="H32" s="7">
        <v>1.0187635513143103E-2</v>
      </c>
      <c r="I32" s="28">
        <v>0.28000000000000003</v>
      </c>
      <c r="J32" s="9">
        <v>334727.68000000005</v>
      </c>
      <c r="K32" s="24">
        <v>3.6384412546939644E-2</v>
      </c>
      <c r="L32" s="24">
        <v>13.718595484758531</v>
      </c>
    </row>
    <row r="33" spans="1:12">
      <c r="A33" s="3">
        <v>32</v>
      </c>
      <c r="B33" s="3" t="str">
        <f t="shared" si="0"/>
        <v>Male35-44Tobacco use</v>
      </c>
      <c r="C33" s="3" t="s">
        <v>24</v>
      </c>
      <c r="D33" s="3" t="s">
        <v>15</v>
      </c>
      <c r="E33" s="3" t="s">
        <v>10</v>
      </c>
      <c r="F33" s="3">
        <v>10952.98</v>
      </c>
      <c r="G33" s="6">
        <v>281356</v>
      </c>
      <c r="H33" s="7">
        <v>3.8929256884516414E-2</v>
      </c>
      <c r="I33" s="28">
        <v>0.25</v>
      </c>
      <c r="J33" s="9">
        <v>70339</v>
      </c>
      <c r="K33" s="24">
        <v>0.15571702753806566</v>
      </c>
      <c r="L33" s="24">
        <v>13.68221107221159</v>
      </c>
    </row>
    <row r="34" spans="1:12">
      <c r="A34" s="3">
        <v>33</v>
      </c>
      <c r="B34" s="3" t="str">
        <f t="shared" si="0"/>
        <v>Male45-54Tobacco use</v>
      </c>
      <c r="C34" s="3" t="s">
        <v>24</v>
      </c>
      <c r="D34" s="3" t="s">
        <v>15</v>
      </c>
      <c r="E34" s="3" t="s">
        <v>11</v>
      </c>
      <c r="F34" s="3">
        <v>27779.14</v>
      </c>
      <c r="G34" s="6">
        <v>233644</v>
      </c>
      <c r="H34" s="7">
        <v>0.11889515673417678</v>
      </c>
      <c r="I34" s="28">
        <v>0.17</v>
      </c>
      <c r="J34" s="9">
        <v>39719.480000000003</v>
      </c>
      <c r="K34" s="24">
        <v>0.6993832749069222</v>
      </c>
      <c r="L34" s="24">
        <v>13.526494044673523</v>
      </c>
    </row>
    <row r="35" spans="1:12">
      <c r="A35" s="3">
        <v>34</v>
      </c>
      <c r="B35" s="3" t="str">
        <f t="shared" si="0"/>
        <v>Male55-64Tobacco use</v>
      </c>
      <c r="C35" s="3" t="s">
        <v>24</v>
      </c>
      <c r="D35" s="3" t="s">
        <v>15</v>
      </c>
      <c r="E35" s="3" t="s">
        <v>12</v>
      </c>
      <c r="F35" s="3">
        <v>46495.46</v>
      </c>
      <c r="G35" s="6">
        <v>169346</v>
      </c>
      <c r="H35" s="7">
        <v>0.27455895031474026</v>
      </c>
      <c r="I35" s="28">
        <v>0.14000000000000001</v>
      </c>
      <c r="J35" s="9">
        <v>23708.440000000002</v>
      </c>
      <c r="K35" s="24">
        <v>1.9611353593910015</v>
      </c>
      <c r="L35" s="24">
        <v>12.827110769766602</v>
      </c>
    </row>
    <row r="36" spans="1:12">
      <c r="A36" s="3">
        <v>35</v>
      </c>
      <c r="B36" s="3" t="str">
        <f t="shared" si="0"/>
        <v>Male65-74Tobacco use</v>
      </c>
      <c r="C36" s="3" t="s">
        <v>24</v>
      </c>
      <c r="D36" s="3" t="s">
        <v>15</v>
      </c>
      <c r="E36" s="3" t="s">
        <v>13</v>
      </c>
      <c r="F36" s="3">
        <v>52687.27</v>
      </c>
      <c r="G36" s="6">
        <v>105867</v>
      </c>
      <c r="H36" s="7">
        <v>0.49767415719723801</v>
      </c>
      <c r="I36" s="28">
        <v>0.14000000000000001</v>
      </c>
      <c r="J36" s="9">
        <v>14821.380000000001</v>
      </c>
      <c r="K36" s="24">
        <v>3.5548154085516996</v>
      </c>
      <c r="L36" s="24">
        <v>10.865975410375601</v>
      </c>
    </row>
    <row r="37" spans="1:12">
      <c r="A37" s="3">
        <v>36</v>
      </c>
      <c r="B37" s="3" t="str">
        <f t="shared" si="0"/>
        <v>Male75+Tobacco use</v>
      </c>
      <c r="C37" s="3" t="s">
        <v>24</v>
      </c>
      <c r="D37" s="3" t="s">
        <v>15</v>
      </c>
      <c r="E37" s="3" t="s">
        <v>14</v>
      </c>
      <c r="F37" s="3">
        <v>64136.42</v>
      </c>
      <c r="G37" s="6">
        <v>62660</v>
      </c>
      <c r="H37" s="7">
        <v>1.0235624002553463</v>
      </c>
      <c r="I37" s="28">
        <v>0.14000000000000001</v>
      </c>
      <c r="J37" s="9">
        <v>8772.4000000000015</v>
      </c>
      <c r="K37" s="24">
        <v>7.3111600018239011</v>
      </c>
      <c r="L37" s="24">
        <v>7.3111600018239011</v>
      </c>
    </row>
    <row r="38" spans="1:12">
      <c r="A38" s="3">
        <v>37</v>
      </c>
      <c r="B38" s="3" t="str">
        <f t="shared" si="0"/>
        <v>Female0-34Unsafe sex</v>
      </c>
      <c r="C38" s="3" t="s">
        <v>25</v>
      </c>
      <c r="D38" s="3" t="s">
        <v>8</v>
      </c>
      <c r="E38" s="3" t="s">
        <v>9</v>
      </c>
      <c r="F38" s="3">
        <v>243.1808</v>
      </c>
      <c r="G38" s="6">
        <v>1246737</v>
      </c>
      <c r="H38" s="7">
        <v>1.950538084616082E-4</v>
      </c>
      <c r="I38" s="28">
        <v>0.66</v>
      </c>
      <c r="J38" s="9">
        <v>822846.42</v>
      </c>
      <c r="K38" s="22">
        <v>2.9553607342667907E-4</v>
      </c>
      <c r="L38" s="23">
        <v>1.4284293302981373E-2</v>
      </c>
    </row>
    <row r="39" spans="1:12">
      <c r="A39" s="3">
        <v>38</v>
      </c>
      <c r="B39" s="3" t="str">
        <f t="shared" si="0"/>
        <v>Female35-44Unsafe sex</v>
      </c>
      <c r="C39" s="3" t="s">
        <v>25</v>
      </c>
      <c r="D39" s="3" t="s">
        <v>8</v>
      </c>
      <c r="E39" s="3" t="s">
        <v>10</v>
      </c>
      <c r="F39" s="3">
        <v>451.09010000000001</v>
      </c>
      <c r="G39" s="6">
        <v>293425</v>
      </c>
      <c r="H39" s="7">
        <v>1.5373267444832581E-3</v>
      </c>
      <c r="I39" s="28">
        <v>0.66</v>
      </c>
      <c r="J39" s="9">
        <v>193660.5</v>
      </c>
      <c r="K39" s="24">
        <v>2.3292829461867546E-3</v>
      </c>
      <c r="L39" s="24">
        <v>1.3988757229554694E-2</v>
      </c>
    </row>
    <row r="40" spans="1:12">
      <c r="A40" s="3">
        <v>39</v>
      </c>
      <c r="B40" s="3" t="str">
        <f t="shared" si="0"/>
        <v>Female45-54Unsafe sex</v>
      </c>
      <c r="C40" s="3" t="s">
        <v>25</v>
      </c>
      <c r="D40" s="3" t="s">
        <v>8</v>
      </c>
      <c r="E40" s="3" t="s">
        <v>11</v>
      </c>
      <c r="F40" s="3">
        <v>222.40299999999999</v>
      </c>
      <c r="G40" s="6">
        <v>243667</v>
      </c>
      <c r="H40" s="7">
        <v>9.1273336151386929E-4</v>
      </c>
      <c r="I40" s="28">
        <v>0.66</v>
      </c>
      <c r="J40" s="9">
        <v>160820.22</v>
      </c>
      <c r="K40" s="24">
        <v>1.3829293356270747E-3</v>
      </c>
      <c r="L40" s="24">
        <v>1.165947428336794E-2</v>
      </c>
    </row>
    <row r="41" spans="1:12">
      <c r="A41" s="3">
        <v>40</v>
      </c>
      <c r="B41" s="3" t="str">
        <f t="shared" si="0"/>
        <v>Female55-64Unsafe sex</v>
      </c>
      <c r="C41" s="3" t="s">
        <v>25</v>
      </c>
      <c r="D41" s="3" t="s">
        <v>8</v>
      </c>
      <c r="E41" s="3" t="s">
        <v>12</v>
      </c>
      <c r="F41" s="3">
        <v>380.42430000000002</v>
      </c>
      <c r="G41" s="6">
        <v>176610</v>
      </c>
      <c r="H41" s="7">
        <v>2.1540360115508751E-3</v>
      </c>
      <c r="I41" s="28">
        <v>0.66</v>
      </c>
      <c r="J41" s="9">
        <v>116562.6</v>
      </c>
      <c r="K41" s="24">
        <v>3.2636909265922344E-3</v>
      </c>
      <c r="L41" s="24">
        <v>1.0276544947740865E-2</v>
      </c>
    </row>
    <row r="42" spans="1:12">
      <c r="A42" s="3">
        <v>41</v>
      </c>
      <c r="B42" s="3" t="str">
        <f t="shared" si="0"/>
        <v>Female65-74Unsafe sex</v>
      </c>
      <c r="C42" s="3" t="s">
        <v>25</v>
      </c>
      <c r="D42" s="3" t="s">
        <v>8</v>
      </c>
      <c r="E42" s="3" t="s">
        <v>13</v>
      </c>
      <c r="F42" s="3">
        <v>211.65270000000001</v>
      </c>
      <c r="G42" s="6">
        <v>110408</v>
      </c>
      <c r="H42" s="7">
        <v>1.9170051083254838E-3</v>
      </c>
      <c r="I42" s="28">
        <v>0.66</v>
      </c>
      <c r="J42" s="9">
        <v>72869.279999999999</v>
      </c>
      <c r="K42" s="24">
        <v>2.904553194432551E-3</v>
      </c>
      <c r="L42" s="24">
        <v>7.0128540211486304E-3</v>
      </c>
    </row>
    <row r="43" spans="1:12">
      <c r="A43" s="3">
        <v>42</v>
      </c>
      <c r="B43" s="3" t="str">
        <f t="shared" si="0"/>
        <v>Female75+Unsafe sex</v>
      </c>
      <c r="C43" s="3" t="s">
        <v>25</v>
      </c>
      <c r="D43" s="3" t="s">
        <v>8</v>
      </c>
      <c r="E43" s="3" t="s">
        <v>14</v>
      </c>
      <c r="F43" s="3">
        <v>177.18969999999999</v>
      </c>
      <c r="G43" s="6">
        <v>65348</v>
      </c>
      <c r="H43" s="7">
        <v>2.7114785456326131E-3</v>
      </c>
      <c r="I43" s="28">
        <v>0.66</v>
      </c>
      <c r="J43" s="9">
        <v>43129.68</v>
      </c>
      <c r="K43" s="24">
        <v>4.1083008267160798E-3</v>
      </c>
      <c r="L43" s="24">
        <v>4.1083008267160798E-3</v>
      </c>
    </row>
    <row r="44" spans="1:12">
      <c r="A44" s="3">
        <v>43</v>
      </c>
      <c r="B44" s="3" t="str">
        <f t="shared" si="0"/>
        <v>Male0-34Unsafe sex</v>
      </c>
      <c r="C44" s="3" t="s">
        <v>25</v>
      </c>
      <c r="D44" s="3" t="s">
        <v>15</v>
      </c>
      <c r="E44" s="3" t="s">
        <v>9</v>
      </c>
      <c r="F44" s="3">
        <v>75.761390000000006</v>
      </c>
      <c r="G44" s="6">
        <v>1195456</v>
      </c>
      <c r="H44" s="7">
        <v>6.3374469658439967E-5</v>
      </c>
      <c r="I44" s="28">
        <v>0.66</v>
      </c>
      <c r="J44" s="9">
        <v>789000.96000000008</v>
      </c>
      <c r="K44" s="24">
        <v>9.602192372490903E-5</v>
      </c>
      <c r="L44" s="24">
        <v>2.4179287523095508E-3</v>
      </c>
    </row>
    <row r="45" spans="1:12">
      <c r="A45" s="3">
        <v>44</v>
      </c>
      <c r="B45" s="3" t="str">
        <f t="shared" si="0"/>
        <v>Male35-44Unsafe sex</v>
      </c>
      <c r="C45" s="3" t="s">
        <v>25</v>
      </c>
      <c r="D45" s="3" t="s">
        <v>15</v>
      </c>
      <c r="E45" s="3" t="s">
        <v>10</v>
      </c>
      <c r="F45" s="3">
        <v>217.517</v>
      </c>
      <c r="G45" s="6">
        <v>281356</v>
      </c>
      <c r="H45" s="7">
        <v>7.7310240407170981E-4</v>
      </c>
      <c r="I45" s="28">
        <v>0.66</v>
      </c>
      <c r="J45" s="9">
        <v>185694.96000000002</v>
      </c>
      <c r="K45" s="24">
        <v>1.17136727889653E-3</v>
      </c>
      <c r="L45" s="24">
        <v>2.3219068285846418E-3</v>
      </c>
    </row>
    <row r="46" spans="1:12">
      <c r="A46" s="3">
        <v>45</v>
      </c>
      <c r="B46" s="3" t="str">
        <f t="shared" si="0"/>
        <v>Male45-54Unsafe sex</v>
      </c>
      <c r="C46" s="3" t="s">
        <v>25</v>
      </c>
      <c r="D46" s="3" t="s">
        <v>15</v>
      </c>
      <c r="E46" s="3" t="s">
        <v>11</v>
      </c>
      <c r="F46" s="3">
        <v>114.1046</v>
      </c>
      <c r="G46" s="6">
        <v>233644</v>
      </c>
      <c r="H46" s="7">
        <v>4.8836948519970561E-4</v>
      </c>
      <c r="I46" s="28">
        <v>0.66</v>
      </c>
      <c r="J46" s="9">
        <v>154205.04</v>
      </c>
      <c r="K46" s="24">
        <v>7.3995376545409931E-4</v>
      </c>
      <c r="L46" s="24">
        <v>1.1505395496881118E-3</v>
      </c>
    </row>
    <row r="47" spans="1:12">
      <c r="A47" s="3">
        <v>46</v>
      </c>
      <c r="B47" s="3" t="str">
        <f t="shared" si="0"/>
        <v>Male55-64Unsafe sex</v>
      </c>
      <c r="C47" s="3" t="s">
        <v>25</v>
      </c>
      <c r="D47" s="3" t="s">
        <v>15</v>
      </c>
      <c r="E47" s="3" t="s">
        <v>12</v>
      </c>
      <c r="F47" s="3">
        <v>37.59149</v>
      </c>
      <c r="G47" s="6">
        <v>169346</v>
      </c>
      <c r="H47" s="7">
        <v>2.2198038335715045E-4</v>
      </c>
      <c r="I47" s="28">
        <v>0.66</v>
      </c>
      <c r="J47" s="9">
        <v>111768.36</v>
      </c>
      <c r="K47" s="24">
        <v>3.363339141775007E-4</v>
      </c>
      <c r="L47" s="24">
        <v>4.1058578423401246E-4</v>
      </c>
    </row>
    <row r="48" spans="1:12">
      <c r="A48" s="3">
        <v>47</v>
      </c>
      <c r="B48" s="3" t="str">
        <f t="shared" si="0"/>
        <v>Male65-74Unsafe sex</v>
      </c>
      <c r="C48" s="3" t="s">
        <v>25</v>
      </c>
      <c r="D48" s="3" t="s">
        <v>15</v>
      </c>
      <c r="E48" s="3" t="s">
        <v>13</v>
      </c>
      <c r="F48" s="3">
        <v>5.1881430000000002</v>
      </c>
      <c r="G48" s="6">
        <v>105867</v>
      </c>
      <c r="H48" s="7">
        <v>4.9006234237297742E-5</v>
      </c>
      <c r="I48" s="28">
        <v>0.66</v>
      </c>
      <c r="J48" s="9">
        <v>69872.22</v>
      </c>
      <c r="K48" s="24">
        <v>7.4251870056511732E-5</v>
      </c>
      <c r="L48" s="24">
        <v>7.4251870056511732E-5</v>
      </c>
    </row>
    <row r="49" spans="1:12">
      <c r="A49" s="3">
        <v>48</v>
      </c>
      <c r="B49" s="3" t="str">
        <f t="shared" si="0"/>
        <v>Male75+Unsafe sex</v>
      </c>
      <c r="C49" s="3" t="s">
        <v>25</v>
      </c>
      <c r="D49" s="3" t="s">
        <v>15</v>
      </c>
      <c r="E49" s="3" t="s">
        <v>14</v>
      </c>
      <c r="F49" s="3">
        <v>0</v>
      </c>
      <c r="G49" s="6">
        <v>62660</v>
      </c>
      <c r="H49" s="7">
        <v>0</v>
      </c>
      <c r="I49" s="28">
        <v>0.66</v>
      </c>
      <c r="J49" s="9">
        <v>41355.599999999999</v>
      </c>
      <c r="K49" s="24">
        <v>0</v>
      </c>
      <c r="L49" s="24">
        <v>0</v>
      </c>
    </row>
    <row r="50" spans="1:12">
      <c r="A50" s="3">
        <v>49</v>
      </c>
      <c r="B50" s="3" t="str">
        <f t="shared" si="0"/>
        <v>Female0-34Low vegetable and fruit intake</v>
      </c>
      <c r="C50" s="3" t="s">
        <v>26</v>
      </c>
      <c r="D50" s="3" t="s">
        <v>8</v>
      </c>
      <c r="E50" s="3" t="s">
        <v>9</v>
      </c>
      <c r="F50" s="3">
        <v>920.00030000000004</v>
      </c>
      <c r="G50" s="6">
        <v>1246737</v>
      </c>
      <c r="H50" s="7">
        <v>7.3792652339667471E-4</v>
      </c>
      <c r="I50" s="28">
        <v>0.5575</v>
      </c>
      <c r="J50" s="3">
        <v>695055.87749999994</v>
      </c>
      <c r="K50" s="22">
        <v>1.323635019545605E-3</v>
      </c>
      <c r="L50" s="23">
        <v>1.6855858140149387</v>
      </c>
    </row>
    <row r="51" spans="1:12">
      <c r="A51" s="3">
        <v>50</v>
      </c>
      <c r="B51" s="3" t="str">
        <f t="shared" si="0"/>
        <v>Female35-44Low vegetable and fruit intake</v>
      </c>
      <c r="C51" s="3" t="s">
        <v>26</v>
      </c>
      <c r="D51" s="3" t="s">
        <v>8</v>
      </c>
      <c r="E51" s="3" t="s">
        <v>10</v>
      </c>
      <c r="F51" s="3">
        <v>2945.991</v>
      </c>
      <c r="G51" s="6">
        <v>293425</v>
      </c>
      <c r="H51" s="7">
        <v>1.0040013632103604E-2</v>
      </c>
      <c r="I51" s="28">
        <v>0.48299999999999998</v>
      </c>
      <c r="J51" s="3">
        <v>141724.27499999999</v>
      </c>
      <c r="K51" s="24">
        <v>2.0786777706218642E-2</v>
      </c>
      <c r="L51" s="24">
        <v>1.6842621789953931</v>
      </c>
    </row>
    <row r="52" spans="1:12">
      <c r="A52" s="3">
        <v>51</v>
      </c>
      <c r="B52" s="3" t="str">
        <f t="shared" si="0"/>
        <v>Female45-54Low vegetable and fruit intake</v>
      </c>
      <c r="C52" s="3" t="s">
        <v>26</v>
      </c>
      <c r="D52" s="3" t="s">
        <v>8</v>
      </c>
      <c r="E52" s="3" t="s">
        <v>11</v>
      </c>
      <c r="F52" s="3">
        <v>5995.7860000000001</v>
      </c>
      <c r="G52" s="6">
        <v>243667</v>
      </c>
      <c r="H52" s="7">
        <v>2.4606475230540041E-2</v>
      </c>
      <c r="I52" s="28">
        <v>0.44799999999999995</v>
      </c>
      <c r="J52" s="3">
        <v>109162.81599999999</v>
      </c>
      <c r="K52" s="24">
        <v>5.4925167925312594E-2</v>
      </c>
      <c r="L52" s="24">
        <v>1.6634754012891746</v>
      </c>
    </row>
    <row r="53" spans="1:12">
      <c r="A53" s="3">
        <v>52</v>
      </c>
      <c r="B53" s="3" t="str">
        <f t="shared" si="0"/>
        <v>Female55-64Low vegetable and fruit intake</v>
      </c>
      <c r="C53" s="3" t="s">
        <v>26</v>
      </c>
      <c r="D53" s="3" t="s">
        <v>8</v>
      </c>
      <c r="E53" s="3" t="s">
        <v>12</v>
      </c>
      <c r="F53" s="3">
        <v>10938.3</v>
      </c>
      <c r="G53" s="6">
        <v>176610</v>
      </c>
      <c r="H53" s="7">
        <v>6.1934771530490908E-2</v>
      </c>
      <c r="I53" s="28">
        <v>0.38400000000000001</v>
      </c>
      <c r="J53" s="3">
        <v>67818.240000000005</v>
      </c>
      <c r="K53" s="24">
        <v>0.16128846752732007</v>
      </c>
      <c r="L53" s="24">
        <v>1.6085502333638619</v>
      </c>
    </row>
    <row r="54" spans="1:12">
      <c r="A54" s="3">
        <v>53</v>
      </c>
      <c r="B54" s="3" t="str">
        <f t="shared" si="0"/>
        <v>Female65-74Low vegetable and fruit intake</v>
      </c>
      <c r="C54" s="3" t="s">
        <v>26</v>
      </c>
      <c r="D54" s="3" t="s">
        <v>8</v>
      </c>
      <c r="E54" s="3" t="s">
        <v>13</v>
      </c>
      <c r="F54" s="3">
        <v>13872.89</v>
      </c>
      <c r="G54" s="6">
        <v>110408</v>
      </c>
      <c r="H54" s="7">
        <v>0.12565113035287298</v>
      </c>
      <c r="I54" s="28">
        <v>0.39</v>
      </c>
      <c r="J54" s="3">
        <v>43059.12</v>
      </c>
      <c r="K54" s="24">
        <v>0.32218238552018708</v>
      </c>
      <c r="L54" s="24">
        <v>1.4472617658365419</v>
      </c>
    </row>
    <row r="55" spans="1:12">
      <c r="A55" s="3">
        <v>54</v>
      </c>
      <c r="B55" s="3" t="str">
        <f t="shared" si="0"/>
        <v>Female75+Low vegetable and fruit intake</v>
      </c>
      <c r="C55" s="3" t="s">
        <v>26</v>
      </c>
      <c r="D55" s="3" t="s">
        <v>8</v>
      </c>
      <c r="E55" s="3" t="s">
        <v>14</v>
      </c>
      <c r="F55" s="3">
        <v>29629.24</v>
      </c>
      <c r="G55" s="6">
        <v>65348</v>
      </c>
      <c r="H55" s="7">
        <v>0.45340699026749098</v>
      </c>
      <c r="I55" s="28">
        <v>0.40299999999999997</v>
      </c>
      <c r="J55" s="3">
        <v>26335.243999999999</v>
      </c>
      <c r="K55" s="24">
        <v>1.1250793803163548</v>
      </c>
      <c r="L55" s="24">
        <v>1.1250793803163548</v>
      </c>
    </row>
    <row r="56" spans="1:12">
      <c r="A56" s="3">
        <v>55</v>
      </c>
      <c r="B56" s="3" t="str">
        <f t="shared" si="0"/>
        <v>Male0-34Low vegetable and fruit intake</v>
      </c>
      <c r="C56" s="3" t="s">
        <v>26</v>
      </c>
      <c r="D56" s="3" t="s">
        <v>15</v>
      </c>
      <c r="E56" s="3" t="s">
        <v>9</v>
      </c>
      <c r="F56" s="3">
        <v>1290.3140000000001</v>
      </c>
      <c r="G56" s="6">
        <v>1195456</v>
      </c>
      <c r="H56" s="7">
        <v>1.0793488007923336E-3</v>
      </c>
      <c r="I56" s="28">
        <v>0.74199999999999999</v>
      </c>
      <c r="J56" s="3">
        <v>887028.35199999996</v>
      </c>
      <c r="K56" s="24">
        <v>1.454647979504493E-3</v>
      </c>
      <c r="L56" s="24">
        <v>1.5864361920951002</v>
      </c>
    </row>
    <row r="57" spans="1:12">
      <c r="A57" s="3">
        <v>56</v>
      </c>
      <c r="B57" s="3" t="str">
        <f t="shared" si="0"/>
        <v>Male35-44Low vegetable and fruit intake</v>
      </c>
      <c r="C57" s="3" t="s">
        <v>26</v>
      </c>
      <c r="D57" s="3" t="s">
        <v>15</v>
      </c>
      <c r="E57" s="3" t="s">
        <v>10</v>
      </c>
      <c r="F57" s="3">
        <v>4817.6509999999998</v>
      </c>
      <c r="G57" s="6">
        <v>281356</v>
      </c>
      <c r="H57" s="7">
        <v>1.7122972319765707E-2</v>
      </c>
      <c r="I57" s="28">
        <v>0.67599999999999993</v>
      </c>
      <c r="J57" s="3">
        <v>190196.65599999999</v>
      </c>
      <c r="K57" s="24">
        <v>2.5329840709712583E-2</v>
      </c>
      <c r="L57" s="24">
        <v>1.5849815441155957</v>
      </c>
    </row>
    <row r="58" spans="1:12">
      <c r="A58" s="3">
        <v>57</v>
      </c>
      <c r="B58" s="3" t="str">
        <f t="shared" si="0"/>
        <v>Male45-54Low vegetable and fruit intake</v>
      </c>
      <c r="C58" s="3" t="s">
        <v>26</v>
      </c>
      <c r="D58" s="3" t="s">
        <v>15</v>
      </c>
      <c r="E58" s="3" t="s">
        <v>11</v>
      </c>
      <c r="F58" s="3">
        <v>12587.09</v>
      </c>
      <c r="G58" s="6">
        <v>233644</v>
      </c>
      <c r="H58" s="7">
        <v>5.3872943452431904E-2</v>
      </c>
      <c r="I58" s="28">
        <v>0.65300000000000002</v>
      </c>
      <c r="J58" s="3">
        <v>152569.53200000001</v>
      </c>
      <c r="K58" s="24">
        <v>8.2500679100201993E-2</v>
      </c>
      <c r="L58" s="24">
        <v>1.559651703405883</v>
      </c>
    </row>
    <row r="59" spans="1:12">
      <c r="A59" s="3">
        <v>58</v>
      </c>
      <c r="B59" s="3" t="str">
        <f t="shared" si="0"/>
        <v>Male55-64Low vegetable and fruit intake</v>
      </c>
      <c r="C59" s="3" t="s">
        <v>26</v>
      </c>
      <c r="D59" s="3" t="s">
        <v>15</v>
      </c>
      <c r="E59" s="3" t="s">
        <v>12</v>
      </c>
      <c r="F59" s="3">
        <v>22068.61</v>
      </c>
      <c r="G59" s="6">
        <v>169346</v>
      </c>
      <c r="H59" s="7">
        <v>0.13031668890909737</v>
      </c>
      <c r="I59" s="28">
        <v>0.60499999999999998</v>
      </c>
      <c r="J59" s="3">
        <v>102454.33</v>
      </c>
      <c r="K59" s="24">
        <v>0.21539948580016091</v>
      </c>
      <c r="L59" s="24">
        <v>1.4771510243056811</v>
      </c>
    </row>
    <row r="60" spans="1:12">
      <c r="A60" s="3">
        <v>59</v>
      </c>
      <c r="B60" s="3" t="str">
        <f t="shared" si="0"/>
        <v>Male65-74Low vegetable and fruit intake</v>
      </c>
      <c r="C60" s="3" t="s">
        <v>26</v>
      </c>
      <c r="D60" s="3" t="s">
        <v>15</v>
      </c>
      <c r="E60" s="3" t="s">
        <v>13</v>
      </c>
      <c r="F60" s="3">
        <v>24625.040000000001</v>
      </c>
      <c r="G60" s="6">
        <v>105867</v>
      </c>
      <c r="H60" s="7">
        <v>0.23260354973693409</v>
      </c>
      <c r="I60" s="28">
        <v>0.58200000000000007</v>
      </c>
      <c r="J60" s="3">
        <v>61614.594000000005</v>
      </c>
      <c r="K60" s="24">
        <v>0.39966245659267025</v>
      </c>
      <c r="L60" s="24">
        <v>1.2617515385055202</v>
      </c>
    </row>
    <row r="61" spans="1:12">
      <c r="A61" s="3">
        <v>60</v>
      </c>
      <c r="B61" s="3" t="str">
        <f t="shared" si="0"/>
        <v>Male75+Low vegetable and fruit intake</v>
      </c>
      <c r="C61" s="3" t="s">
        <v>26</v>
      </c>
      <c r="D61" s="3" t="s">
        <v>15</v>
      </c>
      <c r="E61" s="3" t="s">
        <v>14</v>
      </c>
      <c r="F61" s="3">
        <v>28845.88</v>
      </c>
      <c r="G61" s="6">
        <v>62660</v>
      </c>
      <c r="H61" s="7">
        <v>0.46035556974146186</v>
      </c>
      <c r="I61" s="28">
        <v>0.53400000000000003</v>
      </c>
      <c r="J61" s="3">
        <v>33460.44</v>
      </c>
      <c r="K61" s="24">
        <v>0.86208908191284994</v>
      </c>
      <c r="L61" s="24">
        <v>0.86208908191284994</v>
      </c>
    </row>
  </sheetData>
  <autoFilter ref="A1:L6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5" sqref="A5"/>
    </sheetView>
  </sheetViews>
  <sheetFormatPr baseColWidth="10" defaultColWidth="8.83203125" defaultRowHeight="14" x14ac:dyDescent="0"/>
  <cols>
    <col min="1" max="1" width="38.1640625" bestFit="1" customWidth="1"/>
    <col min="2" max="2" width="7.5" bestFit="1" customWidth="1"/>
    <col min="3" max="3" width="6.5" bestFit="1" customWidth="1"/>
    <col min="4" max="4" width="9" bestFit="1" customWidth="1"/>
    <col min="5" max="5" width="10.5" bestFit="1" customWidth="1"/>
    <col min="6" max="6" width="23.1640625" customWidth="1"/>
    <col min="7" max="7" width="16.83203125" style="3" customWidth="1"/>
    <col min="8" max="8" width="12.1640625" bestFit="1" customWidth="1"/>
    <col min="9" max="9" width="11.5" bestFit="1" customWidth="1"/>
  </cols>
  <sheetData>
    <row r="1" spans="1:10">
      <c r="A1" s="4" t="s">
        <v>112</v>
      </c>
      <c r="B1" s="4" t="s">
        <v>3</v>
      </c>
      <c r="C1" s="4" t="s">
        <v>4</v>
      </c>
      <c r="D1" s="4" t="s">
        <v>5</v>
      </c>
      <c r="E1" s="5" t="s">
        <v>6</v>
      </c>
      <c r="F1" s="2" t="s">
        <v>27</v>
      </c>
      <c r="G1" s="2" t="s">
        <v>30</v>
      </c>
      <c r="H1" s="2" t="s">
        <v>28</v>
      </c>
      <c r="I1" s="2" t="s">
        <v>29</v>
      </c>
      <c r="J1" s="2" t="s">
        <v>106</v>
      </c>
    </row>
    <row r="2" spans="1:10">
      <c r="A2" s="3" t="s">
        <v>7</v>
      </c>
      <c r="B2" s="3" t="s">
        <v>8</v>
      </c>
      <c r="C2" s="3" t="s">
        <v>9</v>
      </c>
      <c r="D2" s="3">
        <v>14676.15</v>
      </c>
      <c r="E2" s="6">
        <v>1246737</v>
      </c>
      <c r="F2" s="7">
        <f>D2/E2</f>
        <v>1.1771648711797275E-2</v>
      </c>
      <c r="G2" s="8">
        <v>0.81533333333333335</v>
      </c>
      <c r="H2" s="9">
        <f>G2*E2</f>
        <v>1016506.2340000001</v>
      </c>
      <c r="I2" s="15">
        <f>D2/H2</f>
        <v>1.4437835705393223E-2</v>
      </c>
      <c r="J2" s="20">
        <f>SUM(I2:$I$7)</f>
        <v>1.2183972916293089</v>
      </c>
    </row>
    <row r="3" spans="1:10">
      <c r="A3" s="3" t="s">
        <v>7</v>
      </c>
      <c r="B3" s="3" t="s">
        <v>8</v>
      </c>
      <c r="C3" s="3" t="s">
        <v>10</v>
      </c>
      <c r="D3" s="3">
        <v>8803.8780000000006</v>
      </c>
      <c r="E3" s="6">
        <v>293425</v>
      </c>
      <c r="F3" s="7">
        <f t="shared" ref="F3:F66" si="0">D3/E3</f>
        <v>3.0003844253216328E-2</v>
      </c>
      <c r="G3" s="8">
        <v>0.84199999999999997</v>
      </c>
      <c r="H3" s="9">
        <f t="shared" ref="H3:H13" si="1">G3*E3</f>
        <v>247063.85</v>
      </c>
      <c r="I3" s="10">
        <f t="shared" ref="I3:I13" si="2">D3/H3</f>
        <v>3.5634019303107278E-2</v>
      </c>
      <c r="J3" s="10">
        <f>SUM(I3:$I$7)</f>
        <v>1.2039594559239155</v>
      </c>
    </row>
    <row r="4" spans="1:10">
      <c r="A4" s="3" t="s">
        <v>7</v>
      </c>
      <c r="B4" s="3" t="s">
        <v>8</v>
      </c>
      <c r="C4" s="3" t="s">
        <v>11</v>
      </c>
      <c r="D4" s="3">
        <v>12460.07</v>
      </c>
      <c r="E4" s="6">
        <v>243667</v>
      </c>
      <c r="F4" s="7">
        <f t="shared" si="0"/>
        <v>5.1135648241247278E-2</v>
      </c>
      <c r="G4" s="8">
        <v>0.84399999999999997</v>
      </c>
      <c r="H4" s="9">
        <f t="shared" si="1"/>
        <v>205654.948</v>
      </c>
      <c r="I4" s="10">
        <f t="shared" si="2"/>
        <v>6.0587260949345113E-2</v>
      </c>
      <c r="J4" s="10">
        <f>SUM(I4:$I$7)</f>
        <v>1.1683254366208082</v>
      </c>
    </row>
    <row r="5" spans="1:10">
      <c r="A5" s="3" t="s">
        <v>7</v>
      </c>
      <c r="B5" s="3" t="s">
        <v>8</v>
      </c>
      <c r="C5" s="3" t="s">
        <v>12</v>
      </c>
      <c r="D5" s="3">
        <v>14725.8</v>
      </c>
      <c r="E5" s="6">
        <v>176610</v>
      </c>
      <c r="F5" s="7">
        <f t="shared" si="0"/>
        <v>8.3380329539663664E-2</v>
      </c>
      <c r="G5" s="8">
        <v>0.76800000000000002</v>
      </c>
      <c r="H5" s="9">
        <f t="shared" si="1"/>
        <v>135636.48000000001</v>
      </c>
      <c r="I5" s="10">
        <f t="shared" si="2"/>
        <v>0.10856813742143705</v>
      </c>
      <c r="J5" s="10">
        <f>SUM(I5:$I$7)</f>
        <v>1.1077381756714633</v>
      </c>
    </row>
    <row r="6" spans="1:10">
      <c r="A6" s="3" t="s">
        <v>7</v>
      </c>
      <c r="B6" s="3" t="s">
        <v>8</v>
      </c>
      <c r="C6" s="3" t="s">
        <v>13</v>
      </c>
      <c r="D6" s="3">
        <v>17135.34</v>
      </c>
      <c r="E6" s="6">
        <v>110408</v>
      </c>
      <c r="F6" s="7">
        <f t="shared" si="0"/>
        <v>0.15520016665459024</v>
      </c>
      <c r="G6" s="8">
        <v>0.76800000000000002</v>
      </c>
      <c r="H6" s="9">
        <f t="shared" si="1"/>
        <v>84793.343999999997</v>
      </c>
      <c r="I6" s="10">
        <f t="shared" si="2"/>
        <v>0.20208355033149772</v>
      </c>
      <c r="J6" s="10">
        <f>SUM(I6:$I$7)</f>
        <v>0.99917003825002615</v>
      </c>
    </row>
    <row r="7" spans="1:10">
      <c r="A7" s="3" t="s">
        <v>7</v>
      </c>
      <c r="B7" s="3" t="s">
        <v>8</v>
      </c>
      <c r="C7" s="3" t="s">
        <v>14</v>
      </c>
      <c r="D7" s="3">
        <v>40003.589999999997</v>
      </c>
      <c r="E7" s="6">
        <v>65348</v>
      </c>
      <c r="F7" s="7">
        <f t="shared" si="0"/>
        <v>0.61216242272142984</v>
      </c>
      <c r="G7" s="8">
        <v>0.76800000000000002</v>
      </c>
      <c r="H7" s="9">
        <f t="shared" si="1"/>
        <v>50187.264000000003</v>
      </c>
      <c r="I7" s="10">
        <f t="shared" si="2"/>
        <v>0.79708648791852843</v>
      </c>
      <c r="J7" s="10">
        <f>SUM(I7:$I$7)</f>
        <v>0.79708648791852843</v>
      </c>
    </row>
    <row r="8" spans="1:10">
      <c r="A8" s="3" t="s">
        <v>7</v>
      </c>
      <c r="B8" s="3" t="s">
        <v>15</v>
      </c>
      <c r="C8" s="3" t="s">
        <v>9</v>
      </c>
      <c r="D8" s="3">
        <v>34675.519999999997</v>
      </c>
      <c r="E8" s="6">
        <v>1195456</v>
      </c>
      <c r="F8" s="7">
        <f t="shared" si="0"/>
        <v>2.9006103110444881E-2</v>
      </c>
      <c r="G8" s="8">
        <v>0.86066666666666669</v>
      </c>
      <c r="H8" s="9">
        <f t="shared" si="1"/>
        <v>1028889.1306666667</v>
      </c>
      <c r="I8" s="10">
        <f t="shared" si="2"/>
        <v>3.3701901367674147E-2</v>
      </c>
      <c r="J8" s="10">
        <f>SUM(I8:$I$13)</f>
        <v>1.2232978112485458</v>
      </c>
    </row>
    <row r="9" spans="1:10">
      <c r="A9" s="3" t="s">
        <v>7</v>
      </c>
      <c r="B9" s="3" t="s">
        <v>15</v>
      </c>
      <c r="C9" s="3" t="s">
        <v>10</v>
      </c>
      <c r="D9" s="3">
        <v>14735.56</v>
      </c>
      <c r="E9" s="6">
        <v>281356</v>
      </c>
      <c r="F9" s="7">
        <f t="shared" si="0"/>
        <v>5.2373363283526916E-2</v>
      </c>
      <c r="G9" s="8">
        <v>0.89900000000000002</v>
      </c>
      <c r="H9" s="9">
        <f t="shared" si="1"/>
        <v>252939.04399999999</v>
      </c>
      <c r="I9" s="10">
        <f t="shared" si="2"/>
        <v>5.8257356266437063E-2</v>
      </c>
      <c r="J9" s="10">
        <f>SUM(I9:$I$13)</f>
        <v>1.1895959098808717</v>
      </c>
    </row>
    <row r="10" spans="1:10">
      <c r="A10" s="3" t="s">
        <v>7</v>
      </c>
      <c r="B10" s="3" t="s">
        <v>15</v>
      </c>
      <c r="C10" s="3" t="s">
        <v>11</v>
      </c>
      <c r="D10" s="3">
        <v>20376.560000000001</v>
      </c>
      <c r="E10" s="6">
        <v>233644</v>
      </c>
      <c r="F10" s="7">
        <f t="shared" si="0"/>
        <v>8.7211997740151689E-2</v>
      </c>
      <c r="G10" s="8">
        <v>0.86899999999999999</v>
      </c>
      <c r="H10" s="9">
        <f t="shared" si="1"/>
        <v>203036.636</v>
      </c>
      <c r="I10" s="10">
        <f t="shared" si="2"/>
        <v>0.10035903077117571</v>
      </c>
      <c r="J10" s="10">
        <f>SUM(I10:$I$13)</f>
        <v>1.1313385536144347</v>
      </c>
    </row>
    <row r="11" spans="1:10">
      <c r="A11" s="3" t="s">
        <v>7</v>
      </c>
      <c r="B11" s="3" t="s">
        <v>15</v>
      </c>
      <c r="C11" s="3" t="s">
        <v>12</v>
      </c>
      <c r="D11" s="3">
        <v>24303.17</v>
      </c>
      <c r="E11" s="6">
        <v>169346</v>
      </c>
      <c r="F11" s="7">
        <f t="shared" si="0"/>
        <v>0.14351192233651813</v>
      </c>
      <c r="G11" s="8">
        <v>0.876</v>
      </c>
      <c r="H11" s="9">
        <f t="shared" si="1"/>
        <v>148347.09599999999</v>
      </c>
      <c r="I11" s="10">
        <f t="shared" si="2"/>
        <v>0.16382639536132207</v>
      </c>
      <c r="J11" s="10">
        <f>SUM(I11:$I$13)</f>
        <v>1.0309795228432588</v>
      </c>
    </row>
    <row r="12" spans="1:10">
      <c r="A12" s="3" t="s">
        <v>7</v>
      </c>
      <c r="B12" s="3" t="s">
        <v>15</v>
      </c>
      <c r="C12" s="3" t="s">
        <v>13</v>
      </c>
      <c r="D12" s="3">
        <v>25237.02</v>
      </c>
      <c r="E12" s="6">
        <v>105867</v>
      </c>
      <c r="F12" s="7">
        <f t="shared" si="0"/>
        <v>0.23838419904219446</v>
      </c>
      <c r="G12" s="8">
        <v>0.876</v>
      </c>
      <c r="H12" s="9">
        <f t="shared" si="1"/>
        <v>92739.491999999998</v>
      </c>
      <c r="I12" s="10">
        <f t="shared" si="2"/>
        <v>0.27212808109839548</v>
      </c>
      <c r="J12" s="10">
        <f>SUM(I12:$I$13)</f>
        <v>0.86715312748193674</v>
      </c>
    </row>
    <row r="13" spans="1:10">
      <c r="A13" s="3" t="s">
        <v>7</v>
      </c>
      <c r="B13" s="3" t="s">
        <v>15</v>
      </c>
      <c r="C13" s="3" t="s">
        <v>14</v>
      </c>
      <c r="D13" s="3">
        <v>32661.02</v>
      </c>
      <c r="E13" s="6">
        <v>62660</v>
      </c>
      <c r="F13" s="7">
        <f t="shared" si="0"/>
        <v>0.52124194063198215</v>
      </c>
      <c r="G13" s="8">
        <v>0.876</v>
      </c>
      <c r="H13" s="9">
        <f t="shared" si="1"/>
        <v>54890.16</v>
      </c>
      <c r="I13" s="10">
        <f t="shared" si="2"/>
        <v>0.59502504638354126</v>
      </c>
      <c r="J13" s="10">
        <f>SUM(I13:$I$13)</f>
        <v>0.59502504638354126</v>
      </c>
    </row>
    <row r="14" spans="1:10">
      <c r="A14" s="3" t="s">
        <v>16</v>
      </c>
      <c r="B14" s="3" t="s">
        <v>8</v>
      </c>
      <c r="C14" s="3" t="s">
        <v>9</v>
      </c>
      <c r="D14" s="3">
        <v>1686.895</v>
      </c>
      <c r="E14" s="6">
        <v>1246737</v>
      </c>
      <c r="F14" s="7">
        <f t="shared" si="0"/>
        <v>1.3530479964900376E-3</v>
      </c>
      <c r="G14" s="7"/>
    </row>
    <row r="15" spans="1:10">
      <c r="A15" s="3" t="s">
        <v>16</v>
      </c>
      <c r="B15" s="3" t="s">
        <v>8</v>
      </c>
      <c r="C15" s="3" t="s">
        <v>10</v>
      </c>
      <c r="D15" s="3">
        <v>5020.4679999999998</v>
      </c>
      <c r="E15" s="6">
        <v>293425</v>
      </c>
      <c r="F15" s="7">
        <f t="shared" si="0"/>
        <v>1.7109884979125842E-2</v>
      </c>
      <c r="G15" s="7"/>
    </row>
    <row r="16" spans="1:10">
      <c r="A16" s="3" t="s">
        <v>16</v>
      </c>
      <c r="B16" s="3" t="s">
        <v>8</v>
      </c>
      <c r="C16" s="3" t="s">
        <v>11</v>
      </c>
      <c r="D16" s="3">
        <v>9824.4619999999995</v>
      </c>
      <c r="E16" s="6">
        <v>243667</v>
      </c>
      <c r="F16" s="7">
        <f t="shared" si="0"/>
        <v>4.0319214337600086E-2</v>
      </c>
      <c r="G16" s="7"/>
    </row>
    <row r="17" spans="1:7">
      <c r="A17" s="3" t="s">
        <v>16</v>
      </c>
      <c r="B17" s="3" t="s">
        <v>8</v>
      </c>
      <c r="C17" s="3" t="s">
        <v>12</v>
      </c>
      <c r="D17" s="3">
        <v>13144.38</v>
      </c>
      <c r="E17" s="6">
        <v>176610</v>
      </c>
      <c r="F17" s="7">
        <f t="shared" si="0"/>
        <v>7.4426023441481221E-2</v>
      </c>
      <c r="G17" s="7"/>
    </row>
    <row r="18" spans="1:7">
      <c r="A18" s="3" t="s">
        <v>16</v>
      </c>
      <c r="B18" s="3" t="s">
        <v>8</v>
      </c>
      <c r="C18" s="3" t="s">
        <v>13</v>
      </c>
      <c r="D18" s="3">
        <v>16279.49</v>
      </c>
      <c r="E18" s="6">
        <v>110408</v>
      </c>
      <c r="F18" s="7">
        <f t="shared" si="0"/>
        <v>0.14744846387942903</v>
      </c>
      <c r="G18" s="7"/>
    </row>
    <row r="19" spans="1:7">
      <c r="A19" s="3" t="s">
        <v>16</v>
      </c>
      <c r="B19" s="3" t="s">
        <v>8</v>
      </c>
      <c r="C19" s="3" t="s">
        <v>14</v>
      </c>
      <c r="D19" s="3">
        <v>33814.239999999998</v>
      </c>
      <c r="E19" s="6">
        <v>65348</v>
      </c>
      <c r="F19" s="7">
        <f t="shared" si="0"/>
        <v>0.5174487359980412</v>
      </c>
      <c r="G19" s="7"/>
    </row>
    <row r="20" spans="1:7">
      <c r="A20" s="3" t="s">
        <v>16</v>
      </c>
      <c r="B20" s="3" t="s">
        <v>15</v>
      </c>
      <c r="C20" s="3" t="s">
        <v>9</v>
      </c>
      <c r="D20" s="3">
        <v>1233.1110000000001</v>
      </c>
      <c r="E20" s="6">
        <v>1195456</v>
      </c>
      <c r="F20" s="7">
        <f t="shared" si="0"/>
        <v>1.0314984407623535E-3</v>
      </c>
      <c r="G20" s="7"/>
    </row>
    <row r="21" spans="1:7">
      <c r="A21" s="3" t="s">
        <v>16</v>
      </c>
      <c r="B21" s="3" t="s">
        <v>15</v>
      </c>
      <c r="C21" s="3" t="s">
        <v>10</v>
      </c>
      <c r="D21" s="3">
        <v>4973.5659999999998</v>
      </c>
      <c r="E21" s="6">
        <v>281356</v>
      </c>
      <c r="F21" s="7">
        <f t="shared" si="0"/>
        <v>1.7677127909125803E-2</v>
      </c>
      <c r="G21" s="7"/>
    </row>
    <row r="22" spans="1:7">
      <c r="A22" s="3" t="s">
        <v>16</v>
      </c>
      <c r="B22" s="3" t="s">
        <v>15</v>
      </c>
      <c r="C22" s="3" t="s">
        <v>11</v>
      </c>
      <c r="D22" s="3">
        <v>12763.29</v>
      </c>
      <c r="E22" s="6">
        <v>233644</v>
      </c>
      <c r="F22" s="7">
        <f t="shared" si="0"/>
        <v>5.4627082227662604E-2</v>
      </c>
      <c r="G22" s="7"/>
    </row>
    <row r="23" spans="1:7">
      <c r="A23" s="3" t="s">
        <v>16</v>
      </c>
      <c r="B23" s="3" t="s">
        <v>15</v>
      </c>
      <c r="C23" s="3" t="s">
        <v>12</v>
      </c>
      <c r="D23" s="3">
        <v>20213.39</v>
      </c>
      <c r="E23" s="6">
        <v>169346</v>
      </c>
      <c r="F23" s="7">
        <f t="shared" si="0"/>
        <v>0.11936148477082423</v>
      </c>
      <c r="G23" s="7"/>
    </row>
    <row r="24" spans="1:7">
      <c r="A24" s="3" t="s">
        <v>16</v>
      </c>
      <c r="B24" s="3" t="s">
        <v>15</v>
      </c>
      <c r="C24" s="3" t="s">
        <v>13</v>
      </c>
      <c r="D24" s="3">
        <v>22737.07</v>
      </c>
      <c r="E24" s="6">
        <v>105867</v>
      </c>
      <c r="F24" s="7">
        <f t="shared" si="0"/>
        <v>0.214770136114181</v>
      </c>
      <c r="G24" s="7"/>
    </row>
    <row r="25" spans="1:7">
      <c r="A25" s="3" t="s">
        <v>16</v>
      </c>
      <c r="B25" s="3" t="s">
        <v>15</v>
      </c>
      <c r="C25" s="3" t="s">
        <v>14</v>
      </c>
      <c r="D25" s="3">
        <v>28777.24</v>
      </c>
      <c r="E25" s="6">
        <v>62660</v>
      </c>
      <c r="F25" s="7">
        <f t="shared" si="0"/>
        <v>0.4592601340568146</v>
      </c>
      <c r="G25" s="7"/>
    </row>
    <row r="26" spans="1:7">
      <c r="A26" s="3" t="s">
        <v>17</v>
      </c>
      <c r="B26" s="3" t="s">
        <v>8</v>
      </c>
      <c r="C26" s="3" t="s">
        <v>9</v>
      </c>
      <c r="D26" s="3">
        <v>835.07380000000001</v>
      </c>
      <c r="E26" s="6">
        <v>1246737</v>
      </c>
      <c r="F26" s="7">
        <f t="shared" si="0"/>
        <v>6.6980750551238956E-4</v>
      </c>
      <c r="G26" s="7"/>
    </row>
    <row r="27" spans="1:7">
      <c r="A27" s="3" t="s">
        <v>17</v>
      </c>
      <c r="B27" s="3" t="s">
        <v>8</v>
      </c>
      <c r="C27" s="3" t="s">
        <v>10</v>
      </c>
      <c r="D27" s="3">
        <v>2276.3020000000001</v>
      </c>
      <c r="E27" s="6">
        <v>293425</v>
      </c>
      <c r="F27" s="7">
        <f t="shared" si="0"/>
        <v>7.7576961744909266E-3</v>
      </c>
      <c r="G27" s="7"/>
    </row>
    <row r="28" spans="1:7">
      <c r="A28" s="3" t="s">
        <v>17</v>
      </c>
      <c r="B28" s="3" t="s">
        <v>8</v>
      </c>
      <c r="C28" s="3" t="s">
        <v>11</v>
      </c>
      <c r="D28" s="3">
        <v>3513.0419999999999</v>
      </c>
      <c r="E28" s="6">
        <v>243667</v>
      </c>
      <c r="F28" s="7">
        <f t="shared" si="0"/>
        <v>1.4417389305896982E-2</v>
      </c>
      <c r="G28" s="7"/>
    </row>
    <row r="29" spans="1:7">
      <c r="A29" s="3" t="s">
        <v>17</v>
      </c>
      <c r="B29" s="3" t="s">
        <v>8</v>
      </c>
      <c r="C29" s="3" t="s">
        <v>12</v>
      </c>
      <c r="D29" s="3">
        <v>5868.5119999999997</v>
      </c>
      <c r="E29" s="6">
        <v>176610</v>
      </c>
      <c r="F29" s="7">
        <f t="shared" si="0"/>
        <v>3.3228650699280902E-2</v>
      </c>
      <c r="G29" s="7"/>
    </row>
    <row r="30" spans="1:7">
      <c r="A30" s="3" t="s">
        <v>17</v>
      </c>
      <c r="B30" s="3" t="s">
        <v>8</v>
      </c>
      <c r="C30" s="3" t="s">
        <v>13</v>
      </c>
      <c r="D30" s="3">
        <v>9077.0480000000007</v>
      </c>
      <c r="E30" s="6">
        <v>110408</v>
      </c>
      <c r="F30" s="7">
        <f t="shared" si="0"/>
        <v>8.2213680168103764E-2</v>
      </c>
      <c r="G30" s="7"/>
    </row>
    <row r="31" spans="1:7">
      <c r="A31" s="3" t="s">
        <v>17</v>
      </c>
      <c r="B31" s="3" t="s">
        <v>8</v>
      </c>
      <c r="C31" s="3" t="s">
        <v>14</v>
      </c>
      <c r="D31" s="3">
        <v>28399.47</v>
      </c>
      <c r="E31" s="6">
        <v>65348</v>
      </c>
      <c r="F31" s="7">
        <f t="shared" si="0"/>
        <v>0.43458820468874337</v>
      </c>
      <c r="G31" s="7"/>
    </row>
    <row r="32" spans="1:7">
      <c r="A32" s="3" t="s">
        <v>17</v>
      </c>
      <c r="B32" s="3" t="s">
        <v>15</v>
      </c>
      <c r="C32" s="3" t="s">
        <v>9</v>
      </c>
      <c r="D32" s="3">
        <v>1142.5940000000001</v>
      </c>
      <c r="E32" s="6">
        <v>1195456</v>
      </c>
      <c r="F32" s="7">
        <f t="shared" si="0"/>
        <v>9.5578089030462022E-4</v>
      </c>
      <c r="G32" s="7"/>
    </row>
    <row r="33" spans="1:7">
      <c r="A33" s="3" t="s">
        <v>17</v>
      </c>
      <c r="B33" s="3" t="s">
        <v>15</v>
      </c>
      <c r="C33" s="3" t="s">
        <v>10</v>
      </c>
      <c r="D33" s="3">
        <v>4472.7250000000004</v>
      </c>
      <c r="E33" s="6">
        <v>281356</v>
      </c>
      <c r="F33" s="7">
        <f t="shared" si="0"/>
        <v>1.5897030807944385E-2</v>
      </c>
      <c r="G33" s="7"/>
    </row>
    <row r="34" spans="1:7">
      <c r="A34" s="3" t="s">
        <v>17</v>
      </c>
      <c r="B34" s="3" t="s">
        <v>15</v>
      </c>
      <c r="C34" s="3" t="s">
        <v>11</v>
      </c>
      <c r="D34" s="3">
        <v>10020.950000000001</v>
      </c>
      <c r="E34" s="6">
        <v>233644</v>
      </c>
      <c r="F34" s="7">
        <f t="shared" si="0"/>
        <v>4.2889823834551713E-2</v>
      </c>
      <c r="G34" s="7"/>
    </row>
    <row r="35" spans="1:7">
      <c r="A35" s="3" t="s">
        <v>17</v>
      </c>
      <c r="B35" s="3" t="s">
        <v>15</v>
      </c>
      <c r="C35" s="3" t="s">
        <v>12</v>
      </c>
      <c r="D35" s="3">
        <v>14639.36</v>
      </c>
      <c r="E35" s="6">
        <v>169346</v>
      </c>
      <c r="F35" s="7">
        <f t="shared" si="0"/>
        <v>8.6446446919324932E-2</v>
      </c>
      <c r="G35" s="7"/>
    </row>
    <row r="36" spans="1:7">
      <c r="A36" s="3" t="s">
        <v>17</v>
      </c>
      <c r="B36" s="3" t="s">
        <v>15</v>
      </c>
      <c r="C36" s="3" t="s">
        <v>13</v>
      </c>
      <c r="D36" s="3">
        <v>16462.96</v>
      </c>
      <c r="E36" s="6">
        <v>105867</v>
      </c>
      <c r="F36" s="7">
        <f t="shared" si="0"/>
        <v>0.15550605948973711</v>
      </c>
      <c r="G36" s="7"/>
    </row>
    <row r="37" spans="1:7">
      <c r="A37" s="3" t="s">
        <v>17</v>
      </c>
      <c r="B37" s="3" t="s">
        <v>15</v>
      </c>
      <c r="C37" s="3" t="s">
        <v>14</v>
      </c>
      <c r="D37" s="3">
        <v>24185.41</v>
      </c>
      <c r="E37" s="6">
        <v>62660</v>
      </c>
      <c r="F37" s="7">
        <f t="shared" si="0"/>
        <v>0.38597845515480372</v>
      </c>
      <c r="G37" s="7"/>
    </row>
    <row r="38" spans="1:7">
      <c r="A38" s="3" t="s">
        <v>18</v>
      </c>
      <c r="B38" s="3" t="s">
        <v>8</v>
      </c>
      <c r="C38" s="3" t="s">
        <v>9</v>
      </c>
      <c r="D38" s="3">
        <v>0</v>
      </c>
      <c r="E38" s="6">
        <v>1246737</v>
      </c>
      <c r="F38" s="7">
        <f t="shared" si="0"/>
        <v>0</v>
      </c>
      <c r="G38" s="7"/>
    </row>
    <row r="39" spans="1:7">
      <c r="A39" s="3" t="s">
        <v>18</v>
      </c>
      <c r="B39" s="3" t="s">
        <v>8</v>
      </c>
      <c r="C39" s="3" t="s">
        <v>10</v>
      </c>
      <c r="D39" s="3">
        <v>77.739649999999997</v>
      </c>
      <c r="E39" s="6">
        <v>293425</v>
      </c>
      <c r="F39" s="7">
        <f t="shared" si="0"/>
        <v>2.6493874073442957E-4</v>
      </c>
      <c r="G39" s="7"/>
    </row>
    <row r="40" spans="1:7">
      <c r="A40" s="3" t="s">
        <v>18</v>
      </c>
      <c r="B40" s="3" t="s">
        <v>8</v>
      </c>
      <c r="C40" s="3" t="s">
        <v>11</v>
      </c>
      <c r="D40" s="3">
        <v>13.372680000000001</v>
      </c>
      <c r="E40" s="6">
        <v>243667</v>
      </c>
      <c r="F40" s="7">
        <f t="shared" si="0"/>
        <v>5.4880964595123675E-5</v>
      </c>
      <c r="G40" s="7"/>
    </row>
    <row r="41" spans="1:7">
      <c r="A41" s="3" t="s">
        <v>18</v>
      </c>
      <c r="B41" s="3" t="s">
        <v>8</v>
      </c>
      <c r="C41" s="3" t="s">
        <v>12</v>
      </c>
      <c r="D41" s="3">
        <v>29.729569999999999</v>
      </c>
      <c r="E41" s="6">
        <v>176610</v>
      </c>
      <c r="F41" s="7">
        <f t="shared" si="0"/>
        <v>1.6833457901591076E-4</v>
      </c>
      <c r="G41" s="7"/>
    </row>
    <row r="42" spans="1:7">
      <c r="A42" s="3" t="s">
        <v>18</v>
      </c>
      <c r="B42" s="3" t="s">
        <v>8</v>
      </c>
      <c r="C42" s="3" t="s">
        <v>13</v>
      </c>
      <c r="D42" s="3">
        <v>55.303690000000003</v>
      </c>
      <c r="E42" s="6">
        <v>110408</v>
      </c>
      <c r="F42" s="7">
        <f t="shared" si="0"/>
        <v>5.0090292370118109E-4</v>
      </c>
      <c r="G42" s="7"/>
    </row>
    <row r="43" spans="1:7">
      <c r="A43" s="3" t="s">
        <v>18</v>
      </c>
      <c r="B43" s="3" t="s">
        <v>8</v>
      </c>
      <c r="C43" s="3" t="s">
        <v>14</v>
      </c>
      <c r="D43" s="3">
        <v>731.08439999999996</v>
      </c>
      <c r="E43" s="6">
        <v>65348</v>
      </c>
      <c r="F43" s="7">
        <f t="shared" si="0"/>
        <v>1.1187555854808103E-2</v>
      </c>
      <c r="G43" s="7"/>
    </row>
    <row r="44" spans="1:7">
      <c r="A44" s="3" t="s">
        <v>18</v>
      </c>
      <c r="B44" s="3" t="s">
        <v>15</v>
      </c>
      <c r="C44" s="3" t="s">
        <v>9</v>
      </c>
      <c r="D44" s="3">
        <v>240.03630000000001</v>
      </c>
      <c r="E44" s="6">
        <v>1195456</v>
      </c>
      <c r="F44" s="7">
        <f t="shared" si="0"/>
        <v>2.0079057698484931E-4</v>
      </c>
      <c r="G44" s="7"/>
    </row>
    <row r="45" spans="1:7">
      <c r="A45" s="3" t="s">
        <v>18</v>
      </c>
      <c r="B45" s="3" t="s">
        <v>15</v>
      </c>
      <c r="C45" s="3" t="s">
        <v>10</v>
      </c>
      <c r="D45" s="3">
        <v>16.71087</v>
      </c>
      <c r="E45" s="6">
        <v>281356</v>
      </c>
      <c r="F45" s="7">
        <f t="shared" si="0"/>
        <v>5.9394041712279106E-5</v>
      </c>
      <c r="G45" s="7"/>
    </row>
    <row r="46" spans="1:7">
      <c r="A46" s="3" t="s">
        <v>18</v>
      </c>
      <c r="B46" s="3" t="s">
        <v>15</v>
      </c>
      <c r="C46" s="3" t="s">
        <v>11</v>
      </c>
      <c r="D46" s="3">
        <v>23.067879999999999</v>
      </c>
      <c r="E46" s="6">
        <v>233644</v>
      </c>
      <c r="F46" s="7">
        <f t="shared" si="0"/>
        <v>9.8730889729674198E-5</v>
      </c>
      <c r="G46" s="7"/>
    </row>
    <row r="47" spans="1:7">
      <c r="A47" s="3" t="s">
        <v>18</v>
      </c>
      <c r="B47" s="3" t="s">
        <v>15</v>
      </c>
      <c r="C47" s="3" t="s">
        <v>12</v>
      </c>
      <c r="D47" s="3">
        <v>18.990929999999999</v>
      </c>
      <c r="E47" s="6">
        <v>169346</v>
      </c>
      <c r="F47" s="7">
        <f t="shared" si="0"/>
        <v>1.1214277278471294E-4</v>
      </c>
      <c r="G47" s="7"/>
    </row>
    <row r="48" spans="1:7">
      <c r="A48" s="3" t="s">
        <v>18</v>
      </c>
      <c r="B48" s="3" t="s">
        <v>15</v>
      </c>
      <c r="C48" s="3" t="s">
        <v>13</v>
      </c>
      <c r="D48" s="3">
        <v>55.20579</v>
      </c>
      <c r="E48" s="6">
        <v>105867</v>
      </c>
      <c r="F48" s="7">
        <f t="shared" si="0"/>
        <v>5.2146362889285609E-4</v>
      </c>
      <c r="G48" s="7"/>
    </row>
    <row r="49" spans="1:10">
      <c r="A49" s="3" t="s">
        <v>18</v>
      </c>
      <c r="B49" s="3" t="s">
        <v>15</v>
      </c>
      <c r="C49" s="3" t="s">
        <v>14</v>
      </c>
      <c r="D49" s="3">
        <v>465.70940000000002</v>
      </c>
      <c r="E49" s="6">
        <v>62660</v>
      </c>
      <c r="F49" s="7">
        <f t="shared" si="0"/>
        <v>7.4323236514522821E-3</v>
      </c>
      <c r="G49" s="7"/>
    </row>
    <row r="50" spans="1:10">
      <c r="A50" s="3" t="s">
        <v>19</v>
      </c>
      <c r="B50" s="3" t="s">
        <v>8</v>
      </c>
      <c r="C50" s="3" t="s">
        <v>9</v>
      </c>
      <c r="D50" s="3">
        <v>1389.076</v>
      </c>
      <c r="E50" s="6">
        <v>1246737</v>
      </c>
      <c r="F50" s="7">
        <f t="shared" si="0"/>
        <v>1.1141692273510773E-3</v>
      </c>
      <c r="G50" s="7">
        <f>(((100-48.4)+(100-50.2))/2)/100</f>
        <v>0.50700000000000001</v>
      </c>
      <c r="H50">
        <f t="shared" ref="H50:H61" si="3">G50*E50</f>
        <v>632095.65899999999</v>
      </c>
      <c r="I50" s="16">
        <f t="shared" ref="I50:I61" si="4">D50/H50</f>
        <v>2.1975724405346691E-3</v>
      </c>
      <c r="J50" s="21">
        <f>SUM(I50:$I$55)</f>
        <v>1.0729806870983667</v>
      </c>
    </row>
    <row r="51" spans="1:10">
      <c r="A51" s="3" t="s">
        <v>19</v>
      </c>
      <c r="B51" s="3" t="s">
        <v>8</v>
      </c>
      <c r="C51" s="3" t="s">
        <v>10</v>
      </c>
      <c r="D51" s="3">
        <v>4137.4250000000002</v>
      </c>
      <c r="E51" s="6">
        <v>293425</v>
      </c>
      <c r="F51" s="7">
        <f t="shared" si="0"/>
        <v>1.4100451563431883E-2</v>
      </c>
      <c r="G51" s="7">
        <f>(100-51.4)/100</f>
        <v>0.48599999999999999</v>
      </c>
      <c r="H51" s="3">
        <f t="shared" si="3"/>
        <v>142604.54999999999</v>
      </c>
      <c r="I51" s="11">
        <f t="shared" si="4"/>
        <v>2.9013274821876305E-2</v>
      </c>
      <c r="J51" s="11">
        <f>SUM(I51:$I$55)</f>
        <v>1.0707831146578322</v>
      </c>
    </row>
    <row r="52" spans="1:10">
      <c r="A52" s="3" t="s">
        <v>19</v>
      </c>
      <c r="B52" s="3" t="s">
        <v>8</v>
      </c>
      <c r="C52" s="3" t="s">
        <v>11</v>
      </c>
      <c r="D52" s="3">
        <v>8199.9539999999997</v>
      </c>
      <c r="E52" s="6">
        <v>243667</v>
      </c>
      <c r="F52" s="7">
        <f t="shared" si="0"/>
        <v>3.3652295961291434E-2</v>
      </c>
      <c r="G52" s="7">
        <f>(100-52.8)/100</f>
        <v>0.47200000000000003</v>
      </c>
      <c r="H52" s="3">
        <f t="shared" si="3"/>
        <v>115010.82400000001</v>
      </c>
      <c r="I52" s="11">
        <f t="shared" si="4"/>
        <v>7.1297237206125907E-2</v>
      </c>
      <c r="J52" s="11">
        <f>SUM(I52:$I$55)</f>
        <v>1.0417698398359558</v>
      </c>
    </row>
    <row r="53" spans="1:10">
      <c r="A53" s="3" t="s">
        <v>19</v>
      </c>
      <c r="B53" s="3" t="s">
        <v>8</v>
      </c>
      <c r="C53" s="3" t="s">
        <v>12</v>
      </c>
      <c r="D53" s="3">
        <v>10475.549999999999</v>
      </c>
      <c r="E53" s="6">
        <v>176610</v>
      </c>
      <c r="F53" s="7">
        <f t="shared" si="0"/>
        <v>5.9314591472736537E-2</v>
      </c>
      <c r="G53" s="7">
        <f>(100-52.6)/100</f>
        <v>0.47399999999999998</v>
      </c>
      <c r="H53" s="3">
        <f t="shared" si="3"/>
        <v>83713.14</v>
      </c>
      <c r="I53" s="11">
        <f t="shared" si="4"/>
        <v>0.12513626892982391</v>
      </c>
      <c r="J53" s="11">
        <f>SUM(I53:$I$55)</f>
        <v>0.97047260262982982</v>
      </c>
    </row>
    <row r="54" spans="1:10">
      <c r="A54" s="3" t="s">
        <v>19</v>
      </c>
      <c r="B54" s="3" t="s">
        <v>8</v>
      </c>
      <c r="C54" s="3" t="s">
        <v>13</v>
      </c>
      <c r="D54" s="3">
        <v>12928.6</v>
      </c>
      <c r="E54" s="6">
        <v>110408</v>
      </c>
      <c r="F54" s="7">
        <f t="shared" si="0"/>
        <v>0.11709839866676328</v>
      </c>
      <c r="G54" s="7">
        <f>(100-46.7)/100</f>
        <v>0.53299999999999992</v>
      </c>
      <c r="H54" s="3">
        <f t="shared" si="3"/>
        <v>58847.463999999993</v>
      </c>
      <c r="I54" s="11">
        <f t="shared" si="4"/>
        <v>0.21969680800518443</v>
      </c>
      <c r="J54" s="11">
        <f>SUM(I54:$I$55)</f>
        <v>0.84533633370000594</v>
      </c>
    </row>
    <row r="55" spans="1:10">
      <c r="A55" s="3" t="s">
        <v>19</v>
      </c>
      <c r="B55" s="3" t="s">
        <v>8</v>
      </c>
      <c r="C55" s="3" t="s">
        <v>14</v>
      </c>
      <c r="D55" s="3">
        <v>29150.5</v>
      </c>
      <c r="E55" s="6">
        <v>65348</v>
      </c>
      <c r="F55" s="7">
        <f t="shared" si="0"/>
        <v>0.44608098182040767</v>
      </c>
      <c r="G55" s="7">
        <f>(100-28.7)/100</f>
        <v>0.71299999999999997</v>
      </c>
      <c r="H55" s="3">
        <f t="shared" si="3"/>
        <v>46593.123999999996</v>
      </c>
      <c r="I55" s="11">
        <f t="shared" si="4"/>
        <v>0.62563952569482151</v>
      </c>
      <c r="J55" s="11">
        <f>SUM(I55:$I$55)</f>
        <v>0.62563952569482151</v>
      </c>
    </row>
    <row r="56" spans="1:10">
      <c r="A56" s="3" t="s">
        <v>19</v>
      </c>
      <c r="B56" s="3" t="s">
        <v>15</v>
      </c>
      <c r="C56" s="3" t="s">
        <v>9</v>
      </c>
      <c r="D56" s="3">
        <v>1167.4010000000001</v>
      </c>
      <c r="E56" s="6">
        <v>1195456</v>
      </c>
      <c r="F56" s="7">
        <f t="shared" si="0"/>
        <v>9.7653196771775792E-4</v>
      </c>
      <c r="G56" s="7">
        <f>(((100-64.4)+(100-59.7))/2)/100</f>
        <v>0.37949999999999995</v>
      </c>
      <c r="H56" s="3">
        <f t="shared" si="3"/>
        <v>453675.55199999997</v>
      </c>
      <c r="I56" s="11">
        <f t="shared" si="4"/>
        <v>2.5732067660546986E-3</v>
      </c>
      <c r="J56" s="11">
        <f>SUM(I56:$I$61)</f>
        <v>1.3557915821628213</v>
      </c>
    </row>
    <row r="57" spans="1:10">
      <c r="A57" s="3" t="s">
        <v>19</v>
      </c>
      <c r="B57" s="3" t="s">
        <v>15</v>
      </c>
      <c r="C57" s="3" t="s">
        <v>10</v>
      </c>
      <c r="D57" s="3">
        <v>4295.2049999999999</v>
      </c>
      <c r="E57" s="6">
        <v>281356</v>
      </c>
      <c r="F57" s="7">
        <f t="shared" si="0"/>
        <v>1.5266086381665931E-2</v>
      </c>
      <c r="G57" s="7">
        <f>(100-54)/100</f>
        <v>0.46</v>
      </c>
      <c r="H57" s="3">
        <f t="shared" si="3"/>
        <v>129423.76000000001</v>
      </c>
      <c r="I57" s="11">
        <f t="shared" si="4"/>
        <v>3.3187144307969416E-2</v>
      </c>
      <c r="J57" s="11">
        <f>SUM(I57:$I$61)</f>
        <v>1.3532183753967666</v>
      </c>
    </row>
    <row r="58" spans="1:10">
      <c r="A58" s="3" t="s">
        <v>19</v>
      </c>
      <c r="B58" s="3" t="s">
        <v>15</v>
      </c>
      <c r="C58" s="3" t="s">
        <v>11</v>
      </c>
      <c r="D58" s="3">
        <v>10253.030000000001</v>
      </c>
      <c r="E58" s="6">
        <v>233644</v>
      </c>
      <c r="F58" s="7">
        <f t="shared" si="0"/>
        <v>4.3883129889918E-2</v>
      </c>
      <c r="G58" s="7">
        <f>(100-52.2)/100</f>
        <v>0.47799999999999998</v>
      </c>
      <c r="H58" s="3">
        <f t="shared" si="3"/>
        <v>111681.83199999999</v>
      </c>
      <c r="I58" s="11">
        <f t="shared" si="4"/>
        <v>9.1805711066774057E-2</v>
      </c>
      <c r="J58" s="11">
        <f>SUM(I58:$I$61)</f>
        <v>1.3200312310887972</v>
      </c>
    </row>
    <row r="59" spans="1:10">
      <c r="A59" s="3" t="s">
        <v>19</v>
      </c>
      <c r="B59" s="3" t="s">
        <v>15</v>
      </c>
      <c r="C59" s="3" t="s">
        <v>12</v>
      </c>
      <c r="D59" s="3">
        <v>15443.72</v>
      </c>
      <c r="E59" s="6">
        <v>169346</v>
      </c>
      <c r="F59" s="7">
        <f t="shared" si="0"/>
        <v>9.1196249099476809E-2</v>
      </c>
      <c r="G59" s="7">
        <f>(100-51.9)/100</f>
        <v>0.48100000000000004</v>
      </c>
      <c r="H59" s="3">
        <f t="shared" si="3"/>
        <v>81455.426000000007</v>
      </c>
      <c r="I59" s="11">
        <f t="shared" si="4"/>
        <v>0.18959719147500373</v>
      </c>
      <c r="J59" s="11">
        <f>SUM(I59:$I$61)</f>
        <v>1.2282255200220231</v>
      </c>
    </row>
    <row r="60" spans="1:10">
      <c r="A60" s="3" t="s">
        <v>19</v>
      </c>
      <c r="B60" s="3" t="s">
        <v>15</v>
      </c>
      <c r="C60" s="3" t="s">
        <v>13</v>
      </c>
      <c r="D60" s="3">
        <v>17638</v>
      </c>
      <c r="E60" s="6">
        <v>105867</v>
      </c>
      <c r="F60" s="7">
        <f t="shared" si="0"/>
        <v>0.16660526887509799</v>
      </c>
      <c r="G60" s="7">
        <f>(100-52.9)/100</f>
        <v>0.47100000000000003</v>
      </c>
      <c r="H60" s="3">
        <f t="shared" si="3"/>
        <v>49863.357000000004</v>
      </c>
      <c r="I60" s="11">
        <f t="shared" si="4"/>
        <v>0.35372668550976216</v>
      </c>
      <c r="J60" s="11">
        <f>SUM(I60:$I$61)</f>
        <v>1.0386283285470195</v>
      </c>
    </row>
    <row r="61" spans="1:10">
      <c r="A61" s="3" t="s">
        <v>19</v>
      </c>
      <c r="B61" s="3" t="s">
        <v>15</v>
      </c>
      <c r="C61" s="3" t="s">
        <v>14</v>
      </c>
      <c r="D61" s="3">
        <v>24505</v>
      </c>
      <c r="E61" s="6">
        <v>62660</v>
      </c>
      <c r="F61" s="7">
        <f t="shared" si="0"/>
        <v>0.39107883817427386</v>
      </c>
      <c r="G61" s="7">
        <f>(100-42.9)/100</f>
        <v>0.57100000000000006</v>
      </c>
      <c r="H61" s="3">
        <f t="shared" si="3"/>
        <v>35778.86</v>
      </c>
      <c r="I61" s="11">
        <f t="shared" si="4"/>
        <v>0.6849016430372572</v>
      </c>
      <c r="J61" s="11">
        <f>SUM(I61:$I$61)</f>
        <v>0.6849016430372572</v>
      </c>
    </row>
    <row r="62" spans="1:10">
      <c r="A62" s="3" t="s">
        <v>20</v>
      </c>
      <c r="B62" s="3" t="s">
        <v>8</v>
      </c>
      <c r="C62" s="3" t="s">
        <v>9</v>
      </c>
      <c r="D62" s="3">
        <v>239.10980000000001</v>
      </c>
      <c r="E62" s="6">
        <v>1246737</v>
      </c>
      <c r="F62" s="7">
        <f t="shared" si="0"/>
        <v>1.9178848466035739E-4</v>
      </c>
    </row>
    <row r="63" spans="1:10">
      <c r="A63" s="3" t="s">
        <v>20</v>
      </c>
      <c r="B63" s="3" t="s">
        <v>8</v>
      </c>
      <c r="C63" s="3" t="s">
        <v>10</v>
      </c>
      <c r="D63" s="3">
        <v>767.37339999999995</v>
      </c>
      <c r="E63" s="6">
        <v>293425</v>
      </c>
      <c r="F63" s="7">
        <f t="shared" si="0"/>
        <v>2.6152284229360142E-3</v>
      </c>
    </row>
    <row r="64" spans="1:10">
      <c r="A64" s="3" t="s">
        <v>20</v>
      </c>
      <c r="B64" s="3" t="s">
        <v>8</v>
      </c>
      <c r="C64" s="3" t="s">
        <v>11</v>
      </c>
      <c r="D64" s="3">
        <v>1720.7739999999999</v>
      </c>
      <c r="E64" s="6">
        <v>243667</v>
      </c>
      <c r="F64" s="7">
        <f t="shared" si="0"/>
        <v>7.0619903392745015E-3</v>
      </c>
    </row>
    <row r="65" spans="1:7">
      <c r="A65" s="3" t="s">
        <v>20</v>
      </c>
      <c r="B65" s="3" t="s">
        <v>8</v>
      </c>
      <c r="C65" s="3" t="s">
        <v>12</v>
      </c>
      <c r="D65" s="3">
        <v>3053.3470000000002</v>
      </c>
      <c r="E65" s="6">
        <v>176610</v>
      </c>
      <c r="F65" s="7">
        <f t="shared" si="0"/>
        <v>1.7288641639771247E-2</v>
      </c>
    </row>
    <row r="66" spans="1:7">
      <c r="A66" s="3" t="s">
        <v>20</v>
      </c>
      <c r="B66" s="3" t="s">
        <v>8</v>
      </c>
      <c r="C66" s="3" t="s">
        <v>13</v>
      </c>
      <c r="D66" s="3">
        <v>4983.4380000000001</v>
      </c>
      <c r="E66" s="6">
        <v>110408</v>
      </c>
      <c r="F66" s="7">
        <f t="shared" si="0"/>
        <v>4.5136566190855737E-2</v>
      </c>
    </row>
    <row r="67" spans="1:7">
      <c r="A67" s="3" t="s">
        <v>20</v>
      </c>
      <c r="B67" s="3" t="s">
        <v>8</v>
      </c>
      <c r="C67" s="3" t="s">
        <v>14</v>
      </c>
      <c r="D67" s="3">
        <v>16319.44</v>
      </c>
      <c r="E67" s="6">
        <v>65348</v>
      </c>
      <c r="F67" s="7">
        <f t="shared" ref="F67:F130" si="5">D67/E67</f>
        <v>0.24973128481361329</v>
      </c>
    </row>
    <row r="68" spans="1:7">
      <c r="A68" s="3" t="s">
        <v>20</v>
      </c>
      <c r="B68" s="3" t="s">
        <v>15</v>
      </c>
      <c r="C68" s="3" t="s">
        <v>9</v>
      </c>
      <c r="D68" s="3">
        <v>665.40660000000003</v>
      </c>
      <c r="E68" s="6">
        <v>1195456</v>
      </c>
      <c r="F68" s="7">
        <f t="shared" si="5"/>
        <v>5.5661320868354838E-4</v>
      </c>
      <c r="G68" s="7"/>
    </row>
    <row r="69" spans="1:7">
      <c r="A69" s="3" t="s">
        <v>20</v>
      </c>
      <c r="B69" s="3" t="s">
        <v>15</v>
      </c>
      <c r="C69" s="3" t="s">
        <v>10</v>
      </c>
      <c r="D69" s="3">
        <v>3306.9209999999998</v>
      </c>
      <c r="E69" s="6">
        <v>281356</v>
      </c>
      <c r="F69" s="7">
        <f t="shared" si="5"/>
        <v>1.1753511565418899E-2</v>
      </c>
      <c r="G69" s="7"/>
    </row>
    <row r="70" spans="1:7">
      <c r="A70" s="3" t="s">
        <v>20</v>
      </c>
      <c r="B70" s="3" t="s">
        <v>15</v>
      </c>
      <c r="C70" s="3" t="s">
        <v>11</v>
      </c>
      <c r="D70" s="3">
        <v>7425.0230000000001</v>
      </c>
      <c r="E70" s="6">
        <v>233644</v>
      </c>
      <c r="F70" s="7">
        <f t="shared" si="5"/>
        <v>3.1779215387512626E-2</v>
      </c>
      <c r="G70" s="7"/>
    </row>
    <row r="71" spans="1:7">
      <c r="A71" s="3" t="s">
        <v>20</v>
      </c>
      <c r="B71" s="3" t="s">
        <v>15</v>
      </c>
      <c r="C71" s="3" t="s">
        <v>12</v>
      </c>
      <c r="D71" s="3">
        <v>10769.41</v>
      </c>
      <c r="E71" s="6">
        <v>169346</v>
      </c>
      <c r="F71" s="7">
        <f t="shared" si="5"/>
        <v>6.3594120912215224E-2</v>
      </c>
      <c r="G71" s="7"/>
    </row>
    <row r="72" spans="1:7">
      <c r="A72" s="3" t="s">
        <v>20</v>
      </c>
      <c r="B72" s="3" t="s">
        <v>15</v>
      </c>
      <c r="C72" s="3" t="s">
        <v>13</v>
      </c>
      <c r="D72" s="3">
        <v>11535.97</v>
      </c>
      <c r="E72" s="6">
        <v>105867</v>
      </c>
      <c r="F72" s="7">
        <f t="shared" si="5"/>
        <v>0.1089666279388289</v>
      </c>
      <c r="G72" s="7"/>
    </row>
    <row r="73" spans="1:7">
      <c r="A73" s="3" t="s">
        <v>20</v>
      </c>
      <c r="B73" s="3" t="s">
        <v>15</v>
      </c>
      <c r="C73" s="3" t="s">
        <v>14</v>
      </c>
      <c r="D73" s="3">
        <v>16102.57</v>
      </c>
      <c r="E73" s="6">
        <v>62660</v>
      </c>
      <c r="F73" s="7">
        <f t="shared" si="5"/>
        <v>0.25698324289818064</v>
      </c>
      <c r="G73" s="7"/>
    </row>
    <row r="74" spans="1:7">
      <c r="A74" s="3" t="s">
        <v>21</v>
      </c>
      <c r="B74" s="3" t="s">
        <v>8</v>
      </c>
      <c r="C74" s="3" t="s">
        <v>9</v>
      </c>
      <c r="D74" s="3">
        <v>551.18349999999998</v>
      </c>
      <c r="E74" s="6">
        <v>1246737</v>
      </c>
      <c r="F74" s="7">
        <f t="shared" si="5"/>
        <v>4.4210086008516629E-4</v>
      </c>
      <c r="G74" s="7"/>
    </row>
    <row r="75" spans="1:7">
      <c r="A75" s="3" t="s">
        <v>21</v>
      </c>
      <c r="B75" s="3" t="s">
        <v>8</v>
      </c>
      <c r="C75" s="3" t="s">
        <v>10</v>
      </c>
      <c r="D75" s="3">
        <v>2068.0320000000002</v>
      </c>
      <c r="E75" s="6">
        <v>293425</v>
      </c>
      <c r="F75" s="7">
        <f t="shared" si="5"/>
        <v>7.0479066200903129E-3</v>
      </c>
      <c r="G75" s="7"/>
    </row>
    <row r="76" spans="1:7">
      <c r="A76" s="3" t="s">
        <v>21</v>
      </c>
      <c r="B76" s="3" t="s">
        <v>8</v>
      </c>
      <c r="C76" s="3" t="s">
        <v>11</v>
      </c>
      <c r="D76" s="3">
        <v>3077.8420000000001</v>
      </c>
      <c r="E76" s="6">
        <v>243667</v>
      </c>
      <c r="F76" s="7">
        <f t="shared" si="5"/>
        <v>1.2631345237557814E-2</v>
      </c>
      <c r="G76" s="7"/>
    </row>
    <row r="77" spans="1:7">
      <c r="A77" s="3" t="s">
        <v>21</v>
      </c>
      <c r="B77" s="3" t="s">
        <v>8</v>
      </c>
      <c r="C77" s="3" t="s">
        <v>12</v>
      </c>
      <c r="D77" s="3">
        <v>4939.9960000000001</v>
      </c>
      <c r="E77" s="6">
        <v>176610</v>
      </c>
      <c r="F77" s="7">
        <f t="shared" si="5"/>
        <v>2.7971213408074288E-2</v>
      </c>
      <c r="G77" s="7"/>
    </row>
    <row r="78" spans="1:7">
      <c r="A78" s="3" t="s">
        <v>21</v>
      </c>
      <c r="B78" s="3" t="s">
        <v>8</v>
      </c>
      <c r="C78" s="3" t="s">
        <v>13</v>
      </c>
      <c r="D78" s="3">
        <v>8070.9560000000001</v>
      </c>
      <c r="E78" s="6">
        <v>110408</v>
      </c>
      <c r="F78" s="7">
        <f t="shared" si="5"/>
        <v>7.3101188319686983E-2</v>
      </c>
      <c r="G78" s="7"/>
    </row>
    <row r="79" spans="1:7">
      <c r="A79" s="3" t="s">
        <v>21</v>
      </c>
      <c r="B79" s="3" t="s">
        <v>8</v>
      </c>
      <c r="C79" s="3" t="s">
        <v>14</v>
      </c>
      <c r="D79" s="3">
        <v>28436.21</v>
      </c>
      <c r="E79" s="6">
        <v>65348</v>
      </c>
      <c r="F79" s="7">
        <f t="shared" si="5"/>
        <v>0.43515042541470283</v>
      </c>
      <c r="G79" s="7"/>
    </row>
    <row r="80" spans="1:7">
      <c r="A80" s="3" t="s">
        <v>21</v>
      </c>
      <c r="B80" s="3" t="s">
        <v>15</v>
      </c>
      <c r="C80" s="3" t="s">
        <v>9</v>
      </c>
      <c r="D80" s="3">
        <v>993.72059999999999</v>
      </c>
      <c r="E80" s="6">
        <v>1195456</v>
      </c>
      <c r="F80" s="7">
        <f t="shared" si="5"/>
        <v>8.3124815969805668E-4</v>
      </c>
      <c r="G80" s="7"/>
    </row>
    <row r="81" spans="1:7">
      <c r="A81" s="3" t="s">
        <v>21</v>
      </c>
      <c r="B81" s="3" t="s">
        <v>15</v>
      </c>
      <c r="C81" s="3" t="s">
        <v>10</v>
      </c>
      <c r="D81" s="3">
        <v>4146.4120000000003</v>
      </c>
      <c r="E81" s="6">
        <v>281356</v>
      </c>
      <c r="F81" s="7">
        <f t="shared" si="5"/>
        <v>1.4737243918736405E-2</v>
      </c>
      <c r="G81" s="7"/>
    </row>
    <row r="82" spans="1:7">
      <c r="A82" s="3" t="s">
        <v>21</v>
      </c>
      <c r="B82" s="3" t="s">
        <v>15</v>
      </c>
      <c r="C82" s="3" t="s">
        <v>11</v>
      </c>
      <c r="D82" s="3">
        <v>8939.2009999999991</v>
      </c>
      <c r="E82" s="6">
        <v>233644</v>
      </c>
      <c r="F82" s="7">
        <f t="shared" si="5"/>
        <v>3.8259921076509558E-2</v>
      </c>
      <c r="G82" s="7"/>
    </row>
    <row r="83" spans="1:7">
      <c r="A83" s="3" t="s">
        <v>21</v>
      </c>
      <c r="B83" s="3" t="s">
        <v>15</v>
      </c>
      <c r="C83" s="3" t="s">
        <v>12</v>
      </c>
      <c r="D83" s="3">
        <v>13521.9</v>
      </c>
      <c r="E83" s="6">
        <v>169346</v>
      </c>
      <c r="F83" s="7">
        <f t="shared" si="5"/>
        <v>7.9847767292997765E-2</v>
      </c>
      <c r="G83" s="7"/>
    </row>
    <row r="84" spans="1:7">
      <c r="A84" s="3" t="s">
        <v>21</v>
      </c>
      <c r="B84" s="3" t="s">
        <v>15</v>
      </c>
      <c r="C84" s="3" t="s">
        <v>13</v>
      </c>
      <c r="D84" s="3">
        <v>15511.19</v>
      </c>
      <c r="E84" s="6">
        <v>105867</v>
      </c>
      <c r="F84" s="7">
        <f t="shared" si="5"/>
        <v>0.1465158170156895</v>
      </c>
      <c r="G84" s="7"/>
    </row>
    <row r="85" spans="1:7">
      <c r="A85" s="3" t="s">
        <v>21</v>
      </c>
      <c r="B85" s="3" t="s">
        <v>15</v>
      </c>
      <c r="C85" s="3" t="s">
        <v>14</v>
      </c>
      <c r="D85" s="3">
        <v>23939.91</v>
      </c>
      <c r="E85" s="6">
        <v>62660</v>
      </c>
      <c r="F85" s="7">
        <f t="shared" si="5"/>
        <v>0.38206048515799551</v>
      </c>
      <c r="G85" s="7"/>
    </row>
    <row r="86" spans="1:7">
      <c r="A86" s="3" t="s">
        <v>22</v>
      </c>
      <c r="B86" s="3" t="s">
        <v>8</v>
      </c>
      <c r="C86" s="3" t="s">
        <v>9</v>
      </c>
      <c r="D86" s="3">
        <v>687.80719999999997</v>
      </c>
      <c r="E86" s="6">
        <v>1246737</v>
      </c>
      <c r="F86" s="7">
        <f t="shared" si="5"/>
        <v>5.5168588082330113E-4</v>
      </c>
      <c r="G86" s="7"/>
    </row>
    <row r="87" spans="1:7">
      <c r="A87" s="3" t="s">
        <v>22</v>
      </c>
      <c r="B87" s="3" t="s">
        <v>8</v>
      </c>
      <c r="C87" s="3" t="s">
        <v>10</v>
      </c>
      <c r="D87" s="3">
        <v>2430.4160000000002</v>
      </c>
      <c r="E87" s="6">
        <v>293425</v>
      </c>
      <c r="F87" s="7">
        <f t="shared" si="5"/>
        <v>8.2829206781971556E-3</v>
      </c>
      <c r="G87" s="7"/>
    </row>
    <row r="88" spans="1:7">
      <c r="A88" s="3" t="s">
        <v>22</v>
      </c>
      <c r="B88" s="3" t="s">
        <v>8</v>
      </c>
      <c r="C88" s="3" t="s">
        <v>11</v>
      </c>
      <c r="D88" s="3">
        <v>3426.5</v>
      </c>
      <c r="E88" s="6">
        <v>243667</v>
      </c>
      <c r="F88" s="7">
        <f t="shared" si="5"/>
        <v>1.4062224265083084E-2</v>
      </c>
      <c r="G88" s="7"/>
    </row>
    <row r="89" spans="1:7">
      <c r="A89" s="3" t="s">
        <v>22</v>
      </c>
      <c r="B89" s="3" t="s">
        <v>8</v>
      </c>
      <c r="C89" s="3" t="s">
        <v>12</v>
      </c>
      <c r="D89" s="3">
        <v>5274.4930000000004</v>
      </c>
      <c r="E89" s="6">
        <v>176610</v>
      </c>
      <c r="F89" s="7">
        <f t="shared" si="5"/>
        <v>2.9865200158541421E-2</v>
      </c>
      <c r="G89" s="7"/>
    </row>
    <row r="90" spans="1:7">
      <c r="A90" s="3" t="s">
        <v>22</v>
      </c>
      <c r="B90" s="3" t="s">
        <v>8</v>
      </c>
      <c r="C90" s="3" t="s">
        <v>13</v>
      </c>
      <c r="D90" s="3">
        <v>8009.4480000000003</v>
      </c>
      <c r="E90" s="6">
        <v>110408</v>
      </c>
      <c r="F90" s="7">
        <f t="shared" si="5"/>
        <v>7.2544091007897979E-2</v>
      </c>
      <c r="G90" s="7"/>
    </row>
    <row r="91" spans="1:7">
      <c r="A91" s="3" t="s">
        <v>22</v>
      </c>
      <c r="B91" s="3" t="s">
        <v>8</v>
      </c>
      <c r="C91" s="3" t="s">
        <v>14</v>
      </c>
      <c r="D91" s="3">
        <v>27878.1</v>
      </c>
      <c r="E91" s="6">
        <v>65348</v>
      </c>
      <c r="F91" s="7">
        <f t="shared" si="5"/>
        <v>0.42660984268837604</v>
      </c>
      <c r="G91" s="7"/>
    </row>
    <row r="92" spans="1:7">
      <c r="A92" s="3" t="s">
        <v>22</v>
      </c>
      <c r="B92" s="3" t="s">
        <v>15</v>
      </c>
      <c r="C92" s="3" t="s">
        <v>9</v>
      </c>
      <c r="D92" s="3">
        <v>1071.694</v>
      </c>
      <c r="E92" s="6">
        <v>1195456</v>
      </c>
      <c r="F92" s="7">
        <f t="shared" si="5"/>
        <v>8.964729776754644E-4</v>
      </c>
      <c r="G92" s="7"/>
    </row>
    <row r="93" spans="1:7">
      <c r="A93" s="3" t="s">
        <v>22</v>
      </c>
      <c r="B93" s="3" t="s">
        <v>15</v>
      </c>
      <c r="C93" s="3" t="s">
        <v>10</v>
      </c>
      <c r="D93" s="3">
        <v>4356.1350000000002</v>
      </c>
      <c r="E93" s="6">
        <v>281356</v>
      </c>
      <c r="F93" s="7">
        <f t="shared" si="5"/>
        <v>1.548264476321813E-2</v>
      </c>
      <c r="G93" s="7"/>
    </row>
    <row r="94" spans="1:7">
      <c r="A94" s="3" t="s">
        <v>22</v>
      </c>
      <c r="B94" s="3" t="s">
        <v>15</v>
      </c>
      <c r="C94" s="3" t="s">
        <v>11</v>
      </c>
      <c r="D94" s="3">
        <v>9192.5889999999999</v>
      </c>
      <c r="E94" s="6">
        <v>233644</v>
      </c>
      <c r="F94" s="7">
        <f t="shared" si="5"/>
        <v>3.9344425707486606E-2</v>
      </c>
      <c r="G94" s="7"/>
    </row>
    <row r="95" spans="1:7">
      <c r="A95" s="3" t="s">
        <v>22</v>
      </c>
      <c r="B95" s="3" t="s">
        <v>15</v>
      </c>
      <c r="C95" s="3" t="s">
        <v>12</v>
      </c>
      <c r="D95" s="3">
        <v>13871.13</v>
      </c>
      <c r="E95" s="6">
        <v>169346</v>
      </c>
      <c r="F95" s="7">
        <f t="shared" si="5"/>
        <v>8.1909994921639709E-2</v>
      </c>
      <c r="G95" s="7"/>
    </row>
    <row r="96" spans="1:7">
      <c r="A96" s="3" t="s">
        <v>22</v>
      </c>
      <c r="B96" s="3" t="s">
        <v>15</v>
      </c>
      <c r="C96" s="3" t="s">
        <v>13</v>
      </c>
      <c r="D96" s="3">
        <v>15533.7</v>
      </c>
      <c r="E96" s="6">
        <v>105867</v>
      </c>
      <c r="F96" s="7">
        <f t="shared" si="5"/>
        <v>0.14672844229079884</v>
      </c>
      <c r="G96" s="7"/>
    </row>
    <row r="97" spans="1:10">
      <c r="A97" s="3" t="s">
        <v>22</v>
      </c>
      <c r="B97" s="3" t="s">
        <v>15</v>
      </c>
      <c r="C97" s="3" t="s">
        <v>14</v>
      </c>
      <c r="D97" s="3">
        <v>23406.240000000002</v>
      </c>
      <c r="E97" s="6">
        <v>62660</v>
      </c>
      <c r="F97" s="7">
        <f t="shared" si="5"/>
        <v>0.3735435684647303</v>
      </c>
      <c r="G97" s="7"/>
    </row>
    <row r="98" spans="1:10">
      <c r="A98" s="3" t="s">
        <v>23</v>
      </c>
      <c r="B98" s="3" t="s">
        <v>8</v>
      </c>
      <c r="C98" s="3" t="s">
        <v>9</v>
      </c>
      <c r="D98" s="3">
        <v>342.09219999999999</v>
      </c>
      <c r="E98" s="6">
        <v>1246737</v>
      </c>
      <c r="F98" s="7">
        <f t="shared" si="5"/>
        <v>2.7439002772838215E-4</v>
      </c>
      <c r="G98" s="7"/>
    </row>
    <row r="99" spans="1:10">
      <c r="A99" s="3" t="s">
        <v>23</v>
      </c>
      <c r="B99" s="3" t="s">
        <v>8</v>
      </c>
      <c r="C99" s="3" t="s">
        <v>10</v>
      </c>
      <c r="D99" s="3">
        <v>1214.704</v>
      </c>
      <c r="E99" s="6">
        <v>293425</v>
      </c>
      <c r="F99" s="7">
        <f t="shared" si="5"/>
        <v>4.1397426940444747E-3</v>
      </c>
      <c r="G99" s="7"/>
    </row>
    <row r="100" spans="1:10">
      <c r="A100" s="3" t="s">
        <v>23</v>
      </c>
      <c r="B100" s="3" t="s">
        <v>8</v>
      </c>
      <c r="C100" s="3" t="s">
        <v>11</v>
      </c>
      <c r="D100" s="3">
        <v>2254.4859999999999</v>
      </c>
      <c r="E100" s="6">
        <v>243667</v>
      </c>
      <c r="F100" s="7">
        <f t="shared" si="5"/>
        <v>9.2523238682300016E-3</v>
      </c>
      <c r="G100" s="7"/>
    </row>
    <row r="101" spans="1:10">
      <c r="A101" s="3" t="s">
        <v>23</v>
      </c>
      <c r="B101" s="3" t="s">
        <v>8</v>
      </c>
      <c r="C101" s="3" t="s">
        <v>12</v>
      </c>
      <c r="D101" s="3">
        <v>3787.8960000000002</v>
      </c>
      <c r="E101" s="6">
        <v>176610</v>
      </c>
      <c r="F101" s="7">
        <f t="shared" si="5"/>
        <v>2.1447800237812131E-2</v>
      </c>
      <c r="G101" s="7"/>
    </row>
    <row r="102" spans="1:10">
      <c r="A102" s="3" t="s">
        <v>23</v>
      </c>
      <c r="B102" s="3" t="s">
        <v>8</v>
      </c>
      <c r="C102" s="3" t="s">
        <v>13</v>
      </c>
      <c r="D102" s="3">
        <v>6328.19</v>
      </c>
      <c r="E102" s="6">
        <v>110408</v>
      </c>
      <c r="F102" s="7">
        <f t="shared" si="5"/>
        <v>5.7316408231287586E-2</v>
      </c>
      <c r="G102" s="7"/>
    </row>
    <row r="103" spans="1:10">
      <c r="A103" s="3" t="s">
        <v>23</v>
      </c>
      <c r="B103" s="3" t="s">
        <v>8</v>
      </c>
      <c r="C103" s="3" t="s">
        <v>14</v>
      </c>
      <c r="D103" s="3">
        <v>22541.87</v>
      </c>
      <c r="E103" s="6">
        <v>65348</v>
      </c>
      <c r="F103" s="7">
        <f t="shared" si="5"/>
        <v>0.34495118442798556</v>
      </c>
      <c r="G103" s="7"/>
    </row>
    <row r="104" spans="1:10">
      <c r="A104" s="3" t="s">
        <v>23</v>
      </c>
      <c r="B104" s="3" t="s">
        <v>15</v>
      </c>
      <c r="C104" s="3" t="s">
        <v>9</v>
      </c>
      <c r="D104" s="3">
        <v>783.06960000000004</v>
      </c>
      <c r="E104" s="6">
        <v>1195456</v>
      </c>
      <c r="F104" s="7">
        <f t="shared" si="5"/>
        <v>6.5503841212056319E-4</v>
      </c>
      <c r="G104" s="7"/>
    </row>
    <row r="105" spans="1:10">
      <c r="A105" s="3" t="s">
        <v>23</v>
      </c>
      <c r="B105" s="3" t="s">
        <v>15</v>
      </c>
      <c r="C105" s="3" t="s">
        <v>10</v>
      </c>
      <c r="D105" s="3">
        <v>3612.2559999999999</v>
      </c>
      <c r="E105" s="6">
        <v>281356</v>
      </c>
      <c r="F105" s="7">
        <f t="shared" si="5"/>
        <v>1.2838738111147443E-2</v>
      </c>
      <c r="G105" s="7"/>
    </row>
    <row r="106" spans="1:10">
      <c r="A106" s="3" t="s">
        <v>23</v>
      </c>
      <c r="B106" s="3" t="s">
        <v>15</v>
      </c>
      <c r="C106" s="3" t="s">
        <v>11</v>
      </c>
      <c r="D106" s="3">
        <v>7945.5749999999998</v>
      </c>
      <c r="E106" s="6">
        <v>233644</v>
      </c>
      <c r="F106" s="7">
        <f t="shared" si="5"/>
        <v>3.4007186146445018E-2</v>
      </c>
      <c r="G106" s="7"/>
    </row>
    <row r="107" spans="1:10">
      <c r="A107" s="3" t="s">
        <v>23</v>
      </c>
      <c r="B107" s="3" t="s">
        <v>15</v>
      </c>
      <c r="C107" s="3" t="s">
        <v>12</v>
      </c>
      <c r="D107" s="3">
        <v>11868.87</v>
      </c>
      <c r="E107" s="6">
        <v>169346</v>
      </c>
      <c r="F107" s="7">
        <f t="shared" si="5"/>
        <v>7.0086509276865119E-2</v>
      </c>
      <c r="G107" s="7"/>
    </row>
    <row r="108" spans="1:10">
      <c r="A108" s="3" t="s">
        <v>23</v>
      </c>
      <c r="B108" s="3" t="s">
        <v>15</v>
      </c>
      <c r="C108" s="3" t="s">
        <v>13</v>
      </c>
      <c r="D108" s="3">
        <v>13350.81</v>
      </c>
      <c r="E108" s="6">
        <v>105867</v>
      </c>
      <c r="F108" s="7">
        <f t="shared" si="5"/>
        <v>0.12610926917736404</v>
      </c>
      <c r="G108" s="7"/>
    </row>
    <row r="109" spans="1:10">
      <c r="A109" s="3" t="s">
        <v>23</v>
      </c>
      <c r="B109" s="3" t="s">
        <v>15</v>
      </c>
      <c r="C109" s="3" t="s">
        <v>14</v>
      </c>
      <c r="D109" s="3">
        <v>20294.830000000002</v>
      </c>
      <c r="E109" s="6">
        <v>62660</v>
      </c>
      <c r="F109" s="7">
        <f t="shared" si="5"/>
        <v>0.32388812639642517</v>
      </c>
      <c r="G109" s="7"/>
    </row>
    <row r="110" spans="1:10">
      <c r="A110" s="3" t="s">
        <v>24</v>
      </c>
      <c r="B110" s="3" t="s">
        <v>8</v>
      </c>
      <c r="C110" s="3" t="s">
        <v>9</v>
      </c>
      <c r="D110" s="3">
        <v>8243.5110000000004</v>
      </c>
      <c r="E110" s="6">
        <v>1246737</v>
      </c>
      <c r="F110" s="7">
        <f t="shared" si="5"/>
        <v>6.612068944773437E-3</v>
      </c>
      <c r="G110" s="8">
        <v>0.28000000000000003</v>
      </c>
      <c r="H110" s="9">
        <f>G110*E110</f>
        <v>349086.36000000004</v>
      </c>
      <c r="I110" s="15">
        <f>D110/H110</f>
        <v>2.3614531945619414E-2</v>
      </c>
      <c r="J110" s="20">
        <f>SUM(I110:$I$115)</f>
        <v>8.9434269791452508</v>
      </c>
    </row>
    <row r="111" spans="1:10">
      <c r="A111" s="3" t="s">
        <v>24</v>
      </c>
      <c r="B111" s="3" t="s">
        <v>8</v>
      </c>
      <c r="C111" s="3" t="s">
        <v>10</v>
      </c>
      <c r="D111" s="3">
        <v>7204.5020000000004</v>
      </c>
      <c r="E111" s="6">
        <v>293425</v>
      </c>
      <c r="F111" s="7">
        <f t="shared" si="5"/>
        <v>2.4553129419783593E-2</v>
      </c>
      <c r="G111" s="8">
        <v>0.19</v>
      </c>
      <c r="H111" s="9">
        <f t="shared" ref="H111:H122" si="6">G111*E111</f>
        <v>55750.75</v>
      </c>
      <c r="I111" s="10">
        <f t="shared" ref="I111:I122" si="7">D111/H111</f>
        <v>0.12922699694622944</v>
      </c>
      <c r="J111" s="10">
        <f>SUM(I111:$I$115)</f>
        <v>8.9198124471996305</v>
      </c>
    </row>
    <row r="112" spans="1:10">
      <c r="A112" s="3" t="s">
        <v>24</v>
      </c>
      <c r="B112" s="3" t="s">
        <v>8</v>
      </c>
      <c r="C112" s="3" t="s">
        <v>11</v>
      </c>
      <c r="D112" s="3">
        <v>13532.96</v>
      </c>
      <c r="E112" s="6">
        <v>243667</v>
      </c>
      <c r="F112" s="7">
        <f t="shared" si="5"/>
        <v>5.553874755301292E-2</v>
      </c>
      <c r="G112" s="8">
        <v>0.17</v>
      </c>
      <c r="H112" s="9">
        <f t="shared" si="6"/>
        <v>41423.39</v>
      </c>
      <c r="I112" s="10">
        <f t="shared" si="7"/>
        <v>0.32669851501772307</v>
      </c>
      <c r="J112" s="10">
        <f>SUM(I112:$I$115)</f>
        <v>8.7905854502534027</v>
      </c>
    </row>
    <row r="113" spans="1:10">
      <c r="A113" s="3" t="s">
        <v>24</v>
      </c>
      <c r="B113" s="3" t="s">
        <v>8</v>
      </c>
      <c r="C113" s="3" t="s">
        <v>12</v>
      </c>
      <c r="D113" s="3">
        <v>24506.79</v>
      </c>
      <c r="E113" s="6">
        <v>176610</v>
      </c>
      <c r="F113" s="7">
        <f t="shared" si="5"/>
        <v>0.13876218787158145</v>
      </c>
      <c r="G113" s="8">
        <v>0.17</v>
      </c>
      <c r="H113" s="9">
        <f t="shared" si="6"/>
        <v>30023.7</v>
      </c>
      <c r="I113" s="10">
        <f t="shared" si="7"/>
        <v>0.81624816395047917</v>
      </c>
      <c r="J113" s="10">
        <f>SUM(I113:$I$115)</f>
        <v>8.4638869352356778</v>
      </c>
    </row>
    <row r="114" spans="1:10">
      <c r="A114" s="3" t="s">
        <v>24</v>
      </c>
      <c r="B114" s="3" t="s">
        <v>8</v>
      </c>
      <c r="C114" s="3" t="s">
        <v>13</v>
      </c>
      <c r="D114" s="3">
        <v>31714.14</v>
      </c>
      <c r="E114" s="6">
        <v>110408</v>
      </c>
      <c r="F114" s="7">
        <f t="shared" si="5"/>
        <v>0.28724494601840445</v>
      </c>
      <c r="G114" s="8">
        <v>0.17</v>
      </c>
      <c r="H114" s="9">
        <f t="shared" si="6"/>
        <v>18769.36</v>
      </c>
      <c r="I114" s="10">
        <f t="shared" si="7"/>
        <v>1.689676153049438</v>
      </c>
      <c r="J114" s="10">
        <f>SUM(I114:$I$115)</f>
        <v>7.6476387712851999</v>
      </c>
    </row>
    <row r="115" spans="1:10">
      <c r="A115" s="3" t="s">
        <v>24</v>
      </c>
      <c r="B115" s="3" t="s">
        <v>8</v>
      </c>
      <c r="C115" s="3" t="s">
        <v>14</v>
      </c>
      <c r="D115" s="3">
        <v>66187.960000000006</v>
      </c>
      <c r="E115" s="6">
        <v>65348</v>
      </c>
      <c r="F115" s="7">
        <f t="shared" si="5"/>
        <v>1.0128536451000796</v>
      </c>
      <c r="G115" s="8">
        <v>0.17</v>
      </c>
      <c r="H115" s="9">
        <f t="shared" si="6"/>
        <v>11109.160000000002</v>
      </c>
      <c r="I115" s="10">
        <f t="shared" si="7"/>
        <v>5.9579626182357615</v>
      </c>
      <c r="J115" s="10">
        <f>SUM(I115:$I$115)</f>
        <v>5.9579626182357615</v>
      </c>
    </row>
    <row r="116" spans="1:10">
      <c r="A116" s="3" t="s">
        <v>24</v>
      </c>
      <c r="B116" s="3" t="s">
        <v>15</v>
      </c>
      <c r="C116" s="3" t="s">
        <v>9</v>
      </c>
      <c r="D116" s="3">
        <v>12178.87</v>
      </c>
      <c r="E116" s="6">
        <v>1195456</v>
      </c>
      <c r="F116" s="7">
        <f t="shared" si="5"/>
        <v>1.0187635513143103E-2</v>
      </c>
      <c r="G116" s="8">
        <v>0.28000000000000003</v>
      </c>
      <c r="H116" s="9">
        <f t="shared" si="6"/>
        <v>334727.68000000005</v>
      </c>
      <c r="I116" s="10">
        <f t="shared" si="7"/>
        <v>3.6384412546939644E-2</v>
      </c>
      <c r="J116" s="10">
        <f>SUM(I116:$I$121)</f>
        <v>13.718595484758531</v>
      </c>
    </row>
    <row r="117" spans="1:10">
      <c r="A117" s="3" t="s">
        <v>24</v>
      </c>
      <c r="B117" s="3" t="s">
        <v>15</v>
      </c>
      <c r="C117" s="3" t="s">
        <v>10</v>
      </c>
      <c r="D117" s="3">
        <v>10952.98</v>
      </c>
      <c r="E117" s="6">
        <v>281356</v>
      </c>
      <c r="F117" s="7">
        <f t="shared" si="5"/>
        <v>3.8929256884516414E-2</v>
      </c>
      <c r="G117" s="8">
        <v>0.25</v>
      </c>
      <c r="H117" s="9">
        <f t="shared" si="6"/>
        <v>70339</v>
      </c>
      <c r="I117" s="10">
        <f t="shared" si="7"/>
        <v>0.15571702753806566</v>
      </c>
      <c r="J117" s="10">
        <f>SUM(I117:$I$121)</f>
        <v>13.68221107221159</v>
      </c>
    </row>
    <row r="118" spans="1:10">
      <c r="A118" s="3" t="s">
        <v>24</v>
      </c>
      <c r="B118" s="3" t="s">
        <v>15</v>
      </c>
      <c r="C118" s="3" t="s">
        <v>11</v>
      </c>
      <c r="D118" s="3">
        <v>27779.14</v>
      </c>
      <c r="E118" s="6">
        <v>233644</v>
      </c>
      <c r="F118" s="7">
        <f t="shared" si="5"/>
        <v>0.11889515673417678</v>
      </c>
      <c r="G118" s="8">
        <v>0.17</v>
      </c>
      <c r="H118" s="9">
        <f t="shared" si="6"/>
        <v>39719.480000000003</v>
      </c>
      <c r="I118" s="10">
        <f t="shared" si="7"/>
        <v>0.6993832749069222</v>
      </c>
      <c r="J118" s="10">
        <f>SUM(I118:$I$121)</f>
        <v>13.526494044673523</v>
      </c>
    </row>
    <row r="119" spans="1:10">
      <c r="A119" s="3" t="s">
        <v>24</v>
      </c>
      <c r="B119" s="3" t="s">
        <v>15</v>
      </c>
      <c r="C119" s="3" t="s">
        <v>12</v>
      </c>
      <c r="D119" s="3">
        <v>46495.46</v>
      </c>
      <c r="E119" s="6">
        <v>169346</v>
      </c>
      <c r="F119" s="7">
        <f t="shared" si="5"/>
        <v>0.27455895031474026</v>
      </c>
      <c r="G119" s="8">
        <v>0.14000000000000001</v>
      </c>
      <c r="H119" s="9">
        <f t="shared" si="6"/>
        <v>23708.440000000002</v>
      </c>
      <c r="I119" s="10">
        <f t="shared" si="7"/>
        <v>1.9611353593910015</v>
      </c>
      <c r="J119" s="10">
        <f>SUM(I119:$I$121)</f>
        <v>12.827110769766602</v>
      </c>
    </row>
    <row r="120" spans="1:10">
      <c r="A120" s="3" t="s">
        <v>24</v>
      </c>
      <c r="B120" s="3" t="s">
        <v>15</v>
      </c>
      <c r="C120" s="3" t="s">
        <v>13</v>
      </c>
      <c r="D120" s="3">
        <v>52687.27</v>
      </c>
      <c r="E120" s="6">
        <v>105867</v>
      </c>
      <c r="F120" s="7">
        <f t="shared" si="5"/>
        <v>0.49767415719723801</v>
      </c>
      <c r="G120" s="8">
        <v>0.14000000000000001</v>
      </c>
      <c r="H120" s="9">
        <f t="shared" si="6"/>
        <v>14821.380000000001</v>
      </c>
      <c r="I120" s="10">
        <f t="shared" si="7"/>
        <v>3.5548154085516996</v>
      </c>
      <c r="J120" s="10">
        <f>SUM(I120:$I$121)</f>
        <v>10.865975410375601</v>
      </c>
    </row>
    <row r="121" spans="1:10">
      <c r="A121" s="3" t="s">
        <v>24</v>
      </c>
      <c r="B121" s="3" t="s">
        <v>15</v>
      </c>
      <c r="C121" s="3" t="s">
        <v>14</v>
      </c>
      <c r="D121" s="3">
        <v>64136.42</v>
      </c>
      <c r="E121" s="6">
        <v>62660</v>
      </c>
      <c r="F121" s="7">
        <f t="shared" si="5"/>
        <v>1.0235624002553463</v>
      </c>
      <c r="G121" s="8">
        <v>0.14000000000000001</v>
      </c>
      <c r="H121" s="9">
        <f t="shared" si="6"/>
        <v>8772.4000000000015</v>
      </c>
      <c r="I121" s="10">
        <f t="shared" si="7"/>
        <v>7.3111600018239011</v>
      </c>
      <c r="J121" s="10">
        <f>SUM(I121:$I$121)</f>
        <v>7.3111600018239011</v>
      </c>
    </row>
    <row r="122" spans="1:10">
      <c r="A122" s="3" t="s">
        <v>25</v>
      </c>
      <c r="B122" s="3" t="s">
        <v>8</v>
      </c>
      <c r="C122" s="3" t="s">
        <v>9</v>
      </c>
      <c r="D122" s="3">
        <v>243.1808</v>
      </c>
      <c r="E122" s="6">
        <v>1246737</v>
      </c>
      <c r="F122" s="7">
        <f t="shared" si="5"/>
        <v>1.950538084616082E-4</v>
      </c>
      <c r="G122" s="7">
        <v>0.66</v>
      </c>
      <c r="H122" s="9">
        <f t="shared" si="6"/>
        <v>822846.42</v>
      </c>
      <c r="I122" s="15">
        <f t="shared" si="7"/>
        <v>2.9553607342667907E-4</v>
      </c>
      <c r="J122" s="20">
        <f>SUM(I122:$I$127)</f>
        <v>1.4284293302981373E-2</v>
      </c>
    </row>
    <row r="123" spans="1:10">
      <c r="A123" s="3" t="s">
        <v>25</v>
      </c>
      <c r="B123" s="3" t="s">
        <v>8</v>
      </c>
      <c r="C123" s="3" t="s">
        <v>10</v>
      </c>
      <c r="D123" s="3">
        <v>451.09010000000001</v>
      </c>
      <c r="E123" s="6">
        <v>293425</v>
      </c>
      <c r="F123" s="7">
        <f t="shared" si="5"/>
        <v>1.5373267444832581E-3</v>
      </c>
      <c r="G123" s="7">
        <v>0.66</v>
      </c>
      <c r="H123" s="9">
        <f t="shared" ref="H123:H133" si="8">G123*E123</f>
        <v>193660.5</v>
      </c>
      <c r="I123" s="10">
        <f t="shared" ref="I123:I133" si="9">D123/H123</f>
        <v>2.3292829461867546E-3</v>
      </c>
      <c r="J123" s="10">
        <f>SUM(I123:$I$127)</f>
        <v>1.3988757229554694E-2</v>
      </c>
    </row>
    <row r="124" spans="1:10">
      <c r="A124" s="3" t="s">
        <v>25</v>
      </c>
      <c r="B124" s="3" t="s">
        <v>8</v>
      </c>
      <c r="C124" s="3" t="s">
        <v>11</v>
      </c>
      <c r="D124" s="3">
        <v>222.40299999999999</v>
      </c>
      <c r="E124" s="6">
        <v>243667</v>
      </c>
      <c r="F124" s="7">
        <f t="shared" si="5"/>
        <v>9.1273336151386929E-4</v>
      </c>
      <c r="G124" s="7">
        <v>0.66</v>
      </c>
      <c r="H124" s="9">
        <f t="shared" si="8"/>
        <v>160820.22</v>
      </c>
      <c r="I124" s="10">
        <f t="shared" si="9"/>
        <v>1.3829293356270747E-3</v>
      </c>
      <c r="J124" s="10">
        <f>SUM(I124:$I$127)</f>
        <v>1.165947428336794E-2</v>
      </c>
    </row>
    <row r="125" spans="1:10">
      <c r="A125" s="3" t="s">
        <v>25</v>
      </c>
      <c r="B125" s="3" t="s">
        <v>8</v>
      </c>
      <c r="C125" s="3" t="s">
        <v>12</v>
      </c>
      <c r="D125" s="3">
        <v>380.42430000000002</v>
      </c>
      <c r="E125" s="6">
        <v>176610</v>
      </c>
      <c r="F125" s="7">
        <f t="shared" si="5"/>
        <v>2.1540360115508751E-3</v>
      </c>
      <c r="G125" s="7">
        <v>0.66</v>
      </c>
      <c r="H125" s="9">
        <f t="shared" si="8"/>
        <v>116562.6</v>
      </c>
      <c r="I125" s="10">
        <f t="shared" si="9"/>
        <v>3.2636909265922344E-3</v>
      </c>
      <c r="J125" s="10">
        <f>SUM(I125:$I$127)</f>
        <v>1.0276544947740865E-2</v>
      </c>
    </row>
    <row r="126" spans="1:10">
      <c r="A126" s="3" t="s">
        <v>25</v>
      </c>
      <c r="B126" s="3" t="s">
        <v>8</v>
      </c>
      <c r="C126" s="3" t="s">
        <v>13</v>
      </c>
      <c r="D126" s="3">
        <v>211.65270000000001</v>
      </c>
      <c r="E126" s="6">
        <v>110408</v>
      </c>
      <c r="F126" s="7">
        <f t="shared" si="5"/>
        <v>1.9170051083254838E-3</v>
      </c>
      <c r="G126" s="7">
        <v>0.66</v>
      </c>
      <c r="H126" s="9">
        <f t="shared" si="8"/>
        <v>72869.279999999999</v>
      </c>
      <c r="I126" s="10">
        <f t="shared" si="9"/>
        <v>2.904553194432551E-3</v>
      </c>
      <c r="J126" s="10">
        <f>SUM(I126:$I$127)</f>
        <v>7.0128540211486304E-3</v>
      </c>
    </row>
    <row r="127" spans="1:10">
      <c r="A127" s="3" t="s">
        <v>25</v>
      </c>
      <c r="B127" s="3" t="s">
        <v>8</v>
      </c>
      <c r="C127" s="3" t="s">
        <v>14</v>
      </c>
      <c r="D127" s="3">
        <v>177.18969999999999</v>
      </c>
      <c r="E127" s="6">
        <v>65348</v>
      </c>
      <c r="F127" s="7">
        <f t="shared" si="5"/>
        <v>2.7114785456326131E-3</v>
      </c>
      <c r="G127" s="7">
        <v>0.66</v>
      </c>
      <c r="H127" s="9">
        <f t="shared" si="8"/>
        <v>43129.68</v>
      </c>
      <c r="I127" s="10">
        <f t="shared" si="9"/>
        <v>4.1083008267160798E-3</v>
      </c>
      <c r="J127" s="10">
        <f>SUM(I127:$I$127)</f>
        <v>4.1083008267160798E-3</v>
      </c>
    </row>
    <row r="128" spans="1:10">
      <c r="A128" s="3" t="s">
        <v>25</v>
      </c>
      <c r="B128" s="3" t="s">
        <v>15</v>
      </c>
      <c r="C128" s="3" t="s">
        <v>9</v>
      </c>
      <c r="D128" s="3">
        <v>75.761390000000006</v>
      </c>
      <c r="E128" s="6">
        <v>1195456</v>
      </c>
      <c r="F128" s="7">
        <f t="shared" si="5"/>
        <v>6.3374469658439967E-5</v>
      </c>
      <c r="G128" s="7">
        <v>0.66</v>
      </c>
      <c r="H128" s="9">
        <f t="shared" si="8"/>
        <v>789000.96000000008</v>
      </c>
      <c r="I128" s="10">
        <f t="shared" si="9"/>
        <v>9.602192372490903E-5</v>
      </c>
      <c r="J128" s="10">
        <f>SUM(I128:$I$133)</f>
        <v>2.4179287523095508E-3</v>
      </c>
    </row>
    <row r="129" spans="1:10">
      <c r="A129" s="3" t="s">
        <v>25</v>
      </c>
      <c r="B129" s="3" t="s">
        <v>15</v>
      </c>
      <c r="C129" s="3" t="s">
        <v>10</v>
      </c>
      <c r="D129" s="3">
        <v>217.517</v>
      </c>
      <c r="E129" s="6">
        <v>281356</v>
      </c>
      <c r="F129" s="7">
        <f t="shared" si="5"/>
        <v>7.7310240407170981E-4</v>
      </c>
      <c r="G129" s="7">
        <v>0.66</v>
      </c>
      <c r="H129" s="9">
        <f t="shared" si="8"/>
        <v>185694.96000000002</v>
      </c>
      <c r="I129" s="10">
        <f t="shared" si="9"/>
        <v>1.17136727889653E-3</v>
      </c>
      <c r="J129" s="10">
        <f>SUM(I129:$I$133)</f>
        <v>2.3219068285846418E-3</v>
      </c>
    </row>
    <row r="130" spans="1:10">
      <c r="A130" s="3" t="s">
        <v>25</v>
      </c>
      <c r="B130" s="3" t="s">
        <v>15</v>
      </c>
      <c r="C130" s="3" t="s">
        <v>11</v>
      </c>
      <c r="D130" s="3">
        <v>114.1046</v>
      </c>
      <c r="E130" s="6">
        <v>233644</v>
      </c>
      <c r="F130" s="7">
        <f t="shared" si="5"/>
        <v>4.8836948519970561E-4</v>
      </c>
      <c r="G130" s="7">
        <v>0.66</v>
      </c>
      <c r="H130" s="9">
        <f t="shared" si="8"/>
        <v>154205.04</v>
      </c>
      <c r="I130" s="10">
        <f t="shared" si="9"/>
        <v>7.3995376545409931E-4</v>
      </c>
      <c r="J130" s="10">
        <f>SUM(I130:$I$133)</f>
        <v>1.1505395496881118E-3</v>
      </c>
    </row>
    <row r="131" spans="1:10">
      <c r="A131" s="3" t="s">
        <v>25</v>
      </c>
      <c r="B131" s="3" t="s">
        <v>15</v>
      </c>
      <c r="C131" s="3" t="s">
        <v>12</v>
      </c>
      <c r="D131" s="3">
        <v>37.59149</v>
      </c>
      <c r="E131" s="6">
        <v>169346</v>
      </c>
      <c r="F131" s="7">
        <f t="shared" ref="F131:F145" si="10">D131/E131</f>
        <v>2.2198038335715045E-4</v>
      </c>
      <c r="G131" s="7">
        <v>0.66</v>
      </c>
      <c r="H131" s="9">
        <f t="shared" si="8"/>
        <v>111768.36</v>
      </c>
      <c r="I131" s="10">
        <f t="shared" si="9"/>
        <v>3.363339141775007E-4</v>
      </c>
      <c r="J131" s="10">
        <f>SUM(I131:$I$133)</f>
        <v>4.1058578423401246E-4</v>
      </c>
    </row>
    <row r="132" spans="1:10">
      <c r="A132" s="3" t="s">
        <v>25</v>
      </c>
      <c r="B132" s="3" t="s">
        <v>15</v>
      </c>
      <c r="C132" s="3" t="s">
        <v>13</v>
      </c>
      <c r="D132" s="3">
        <v>5.1881430000000002</v>
      </c>
      <c r="E132" s="6">
        <v>105867</v>
      </c>
      <c r="F132" s="7">
        <f t="shared" si="10"/>
        <v>4.9006234237297742E-5</v>
      </c>
      <c r="G132" s="7">
        <v>0.66</v>
      </c>
      <c r="H132" s="9">
        <f t="shared" si="8"/>
        <v>69872.22</v>
      </c>
      <c r="I132" s="10">
        <f t="shared" si="9"/>
        <v>7.4251870056511732E-5</v>
      </c>
      <c r="J132" s="10">
        <f>SUM(I132:$I$133)</f>
        <v>7.4251870056511732E-5</v>
      </c>
    </row>
    <row r="133" spans="1:10">
      <c r="A133" s="3" t="s">
        <v>25</v>
      </c>
      <c r="B133" s="3" t="s">
        <v>15</v>
      </c>
      <c r="C133" s="3" t="s">
        <v>14</v>
      </c>
      <c r="D133" s="3">
        <v>0</v>
      </c>
      <c r="E133" s="6">
        <v>62660</v>
      </c>
      <c r="F133" s="7">
        <f t="shared" si="10"/>
        <v>0</v>
      </c>
      <c r="G133" s="7">
        <v>0.66</v>
      </c>
      <c r="H133" s="9">
        <f t="shared" si="8"/>
        <v>41355.599999999999</v>
      </c>
      <c r="I133" s="10">
        <f t="shared" si="9"/>
        <v>0</v>
      </c>
      <c r="J133" s="10">
        <f>SUM(I133:$I$133)</f>
        <v>0</v>
      </c>
    </row>
    <row r="134" spans="1:10">
      <c r="A134" s="3" t="s">
        <v>26</v>
      </c>
      <c r="B134" s="3" t="s">
        <v>8</v>
      </c>
      <c r="C134" s="3" t="s">
        <v>9</v>
      </c>
      <c r="D134" s="3">
        <v>920.00030000000004</v>
      </c>
      <c r="E134" s="6">
        <v>1246737</v>
      </c>
      <c r="F134" s="7">
        <f t="shared" si="10"/>
        <v>7.3792652339667471E-4</v>
      </c>
      <c r="G134" s="7">
        <f>(((100-42.2)+(100-46.3))/2)/100</f>
        <v>0.5575</v>
      </c>
      <c r="H134">
        <f>G134*E134</f>
        <v>695055.87749999994</v>
      </c>
      <c r="I134" s="17">
        <f>D134/H134</f>
        <v>1.323635019545605E-3</v>
      </c>
      <c r="J134" s="19">
        <f>SUM(I134:$I$139)</f>
        <v>1.6855858140149387</v>
      </c>
    </row>
    <row r="135" spans="1:10">
      <c r="A135" s="3" t="s">
        <v>26</v>
      </c>
      <c r="B135" s="3" t="s">
        <v>8</v>
      </c>
      <c r="C135" s="3" t="s">
        <v>10</v>
      </c>
      <c r="D135" s="3">
        <v>2945.991</v>
      </c>
      <c r="E135" s="6">
        <v>293425</v>
      </c>
      <c r="F135" s="7">
        <f t="shared" si="10"/>
        <v>1.0040013632103604E-2</v>
      </c>
      <c r="G135" s="7">
        <f>(100-51.7)/100</f>
        <v>0.48299999999999998</v>
      </c>
      <c r="H135" s="3">
        <f t="shared" ref="H135:H145" si="11">G135*E135</f>
        <v>141724.27499999999</v>
      </c>
      <c r="I135" s="12">
        <f t="shared" ref="I135:I145" si="12">D135/H135</f>
        <v>2.0786777706218642E-2</v>
      </c>
      <c r="J135" s="12">
        <f>SUM(I135:$I$139)</f>
        <v>1.6842621789953931</v>
      </c>
    </row>
    <row r="136" spans="1:10">
      <c r="A136" s="3" t="s">
        <v>26</v>
      </c>
      <c r="B136" s="3" t="s">
        <v>8</v>
      </c>
      <c r="C136" s="3" t="s">
        <v>11</v>
      </c>
      <c r="D136" s="3">
        <v>5995.7860000000001</v>
      </c>
      <c r="E136" s="6">
        <v>243667</v>
      </c>
      <c r="F136" s="7">
        <f t="shared" si="10"/>
        <v>2.4606475230540041E-2</v>
      </c>
      <c r="G136" s="7">
        <f>(100-55.2)/100</f>
        <v>0.44799999999999995</v>
      </c>
      <c r="H136" s="3">
        <f t="shared" si="11"/>
        <v>109162.81599999999</v>
      </c>
      <c r="I136" s="12">
        <f t="shared" si="12"/>
        <v>5.4925167925312594E-2</v>
      </c>
      <c r="J136" s="12">
        <f>SUM(I136:$I$139)</f>
        <v>1.6634754012891746</v>
      </c>
    </row>
    <row r="137" spans="1:10">
      <c r="A137" s="3" t="s">
        <v>26</v>
      </c>
      <c r="B137" s="3" t="s">
        <v>8</v>
      </c>
      <c r="C137" s="3" t="s">
        <v>12</v>
      </c>
      <c r="D137" s="3">
        <v>10938.3</v>
      </c>
      <c r="E137" s="6">
        <v>176610</v>
      </c>
      <c r="F137" s="7">
        <f t="shared" si="10"/>
        <v>6.1934771530490908E-2</v>
      </c>
      <c r="G137" s="7">
        <f>(100-61.6)/100</f>
        <v>0.38400000000000001</v>
      </c>
      <c r="H137" s="3">
        <f t="shared" si="11"/>
        <v>67818.240000000005</v>
      </c>
      <c r="I137" s="12">
        <f t="shared" si="12"/>
        <v>0.16128846752732007</v>
      </c>
      <c r="J137" s="12">
        <f>SUM(I137:$I$139)</f>
        <v>1.6085502333638619</v>
      </c>
    </row>
    <row r="138" spans="1:10">
      <c r="A138" s="3" t="s">
        <v>26</v>
      </c>
      <c r="B138" s="3" t="s">
        <v>8</v>
      </c>
      <c r="C138" s="3" t="s">
        <v>13</v>
      </c>
      <c r="D138" s="3">
        <v>13872.89</v>
      </c>
      <c r="E138" s="6">
        <v>110408</v>
      </c>
      <c r="F138" s="7">
        <f t="shared" si="10"/>
        <v>0.12565113035287298</v>
      </c>
      <c r="G138" s="7">
        <f>(100-61)/100</f>
        <v>0.39</v>
      </c>
      <c r="H138" s="3">
        <f t="shared" si="11"/>
        <v>43059.12</v>
      </c>
      <c r="I138" s="12">
        <f t="shared" si="12"/>
        <v>0.32218238552018708</v>
      </c>
      <c r="J138" s="12">
        <f>SUM(I138:$I$139)</f>
        <v>1.4472617658365419</v>
      </c>
    </row>
    <row r="139" spans="1:10">
      <c r="A139" s="3" t="s">
        <v>26</v>
      </c>
      <c r="B139" s="3" t="s">
        <v>8</v>
      </c>
      <c r="C139" s="3" t="s">
        <v>14</v>
      </c>
      <c r="D139" s="3">
        <v>29629.24</v>
      </c>
      <c r="E139" s="6">
        <v>65348</v>
      </c>
      <c r="F139" s="7">
        <f t="shared" si="10"/>
        <v>0.45340699026749098</v>
      </c>
      <c r="G139" s="7">
        <f>(100-59.7)/100</f>
        <v>0.40299999999999997</v>
      </c>
      <c r="H139" s="3">
        <f t="shared" si="11"/>
        <v>26335.243999999999</v>
      </c>
      <c r="I139" s="12">
        <f t="shared" si="12"/>
        <v>1.1250793803163548</v>
      </c>
      <c r="J139" s="12">
        <f>SUM(I139:$I$139)</f>
        <v>1.1250793803163548</v>
      </c>
    </row>
    <row r="140" spans="1:10">
      <c r="A140" s="3" t="s">
        <v>26</v>
      </c>
      <c r="B140" s="3" t="s">
        <v>15</v>
      </c>
      <c r="C140" s="3" t="s">
        <v>9</v>
      </c>
      <c r="D140" s="3">
        <v>1290.3140000000001</v>
      </c>
      <c r="E140" s="6">
        <v>1195456</v>
      </c>
      <c r="F140" s="7">
        <f t="shared" si="10"/>
        <v>1.0793488007923336E-3</v>
      </c>
      <c r="G140" s="7">
        <f>(((100-24.8)+(100-26.8))/2)/100</f>
        <v>0.74199999999999999</v>
      </c>
      <c r="H140" s="3">
        <f t="shared" si="11"/>
        <v>887028.35199999996</v>
      </c>
      <c r="I140" s="12">
        <f t="shared" si="12"/>
        <v>1.454647979504493E-3</v>
      </c>
      <c r="J140" s="12">
        <f>SUM(I140:$I$145)</f>
        <v>1.5864361920951002</v>
      </c>
    </row>
    <row r="141" spans="1:10">
      <c r="A141" s="3" t="s">
        <v>26</v>
      </c>
      <c r="B141" s="3" t="s">
        <v>15</v>
      </c>
      <c r="C141" s="3" t="s">
        <v>10</v>
      </c>
      <c r="D141" s="3">
        <v>4817.6509999999998</v>
      </c>
      <c r="E141" s="6">
        <v>281356</v>
      </c>
      <c r="F141" s="7">
        <f t="shared" si="10"/>
        <v>1.7122972319765707E-2</v>
      </c>
      <c r="G141" s="7">
        <f>(100-32.4)/100</f>
        <v>0.67599999999999993</v>
      </c>
      <c r="H141" s="3">
        <f t="shared" si="11"/>
        <v>190196.65599999999</v>
      </c>
      <c r="I141" s="12">
        <f t="shared" si="12"/>
        <v>2.5329840709712583E-2</v>
      </c>
      <c r="J141" s="12">
        <f>SUM(I141:$I$145)</f>
        <v>1.5849815441155957</v>
      </c>
    </row>
    <row r="142" spans="1:10">
      <c r="A142" s="3" t="s">
        <v>26</v>
      </c>
      <c r="B142" s="3" t="s">
        <v>15</v>
      </c>
      <c r="C142" s="3" t="s">
        <v>11</v>
      </c>
      <c r="D142" s="3">
        <v>12587.09</v>
      </c>
      <c r="E142" s="6">
        <v>233644</v>
      </c>
      <c r="F142" s="7">
        <f t="shared" si="10"/>
        <v>5.3872943452431904E-2</v>
      </c>
      <c r="G142" s="7">
        <f>(100-34.7)/100</f>
        <v>0.65300000000000002</v>
      </c>
      <c r="H142" s="3">
        <f t="shared" si="11"/>
        <v>152569.53200000001</v>
      </c>
      <c r="I142" s="12">
        <f t="shared" si="12"/>
        <v>8.2500679100201993E-2</v>
      </c>
      <c r="J142" s="12">
        <f>SUM(I142:$I$145)</f>
        <v>1.559651703405883</v>
      </c>
    </row>
    <row r="143" spans="1:10">
      <c r="A143" s="3" t="s">
        <v>26</v>
      </c>
      <c r="B143" s="3" t="s">
        <v>15</v>
      </c>
      <c r="C143" s="3" t="s">
        <v>12</v>
      </c>
      <c r="D143" s="3">
        <v>22068.61</v>
      </c>
      <c r="E143" s="6">
        <v>169346</v>
      </c>
      <c r="F143" s="7">
        <f t="shared" si="10"/>
        <v>0.13031668890909737</v>
      </c>
      <c r="G143" s="7">
        <f>(100-39.5)/100</f>
        <v>0.60499999999999998</v>
      </c>
      <c r="H143" s="3">
        <f t="shared" si="11"/>
        <v>102454.33</v>
      </c>
      <c r="I143" s="12">
        <f t="shared" si="12"/>
        <v>0.21539948580016091</v>
      </c>
      <c r="J143" s="12">
        <f>SUM(I143:$I$145)</f>
        <v>1.4771510243056811</v>
      </c>
    </row>
    <row r="144" spans="1:10">
      <c r="A144" s="3" t="s">
        <v>26</v>
      </c>
      <c r="B144" s="3" t="s">
        <v>15</v>
      </c>
      <c r="C144" s="3" t="s">
        <v>13</v>
      </c>
      <c r="D144" s="3">
        <v>24625.040000000001</v>
      </c>
      <c r="E144" s="6">
        <v>105867</v>
      </c>
      <c r="F144" s="7">
        <f t="shared" si="10"/>
        <v>0.23260354973693409</v>
      </c>
      <c r="G144" s="7">
        <f>(100-41.8)/100</f>
        <v>0.58200000000000007</v>
      </c>
      <c r="H144" s="3">
        <f t="shared" si="11"/>
        <v>61614.594000000005</v>
      </c>
      <c r="I144" s="12">
        <f t="shared" si="12"/>
        <v>0.39966245659267025</v>
      </c>
      <c r="J144" s="12">
        <f>SUM(I144:$I$145)</f>
        <v>1.2617515385055202</v>
      </c>
    </row>
    <row r="145" spans="1:10">
      <c r="A145" s="3" t="s">
        <v>26</v>
      </c>
      <c r="B145" s="3" t="s">
        <v>15</v>
      </c>
      <c r="C145" s="3" t="s">
        <v>14</v>
      </c>
      <c r="D145" s="3">
        <v>28845.88</v>
      </c>
      <c r="E145" s="6">
        <v>62660</v>
      </c>
      <c r="F145" s="7">
        <f t="shared" si="10"/>
        <v>0.46035556974146186</v>
      </c>
      <c r="G145" s="7">
        <f>(100-46.6)/100</f>
        <v>0.53400000000000003</v>
      </c>
      <c r="H145" s="3">
        <f t="shared" si="11"/>
        <v>33460.44</v>
      </c>
      <c r="I145" s="12">
        <f t="shared" si="12"/>
        <v>0.86208908191284994</v>
      </c>
      <c r="J145" s="12">
        <f>SUM(I145:$I$145)</f>
        <v>0.86208908191284994</v>
      </c>
    </row>
  </sheetData>
  <autoFilter ref="A1:J14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0.5" style="3" bestFit="1" customWidth="1"/>
    <col min="2" max="2" width="20" style="3" bestFit="1" customWidth="1"/>
    <col min="3" max="3" width="10.6640625" style="3" bestFit="1" customWidth="1"/>
    <col min="4" max="4" width="32.83203125" style="3" bestFit="1" customWidth="1"/>
    <col min="5" max="16384" width="8.83203125" style="3"/>
  </cols>
  <sheetData>
    <row r="1" spans="1:4">
      <c r="A1" s="1" t="s">
        <v>110</v>
      </c>
      <c r="B1" s="1" t="s">
        <v>2</v>
      </c>
      <c r="C1" s="1" t="s">
        <v>109</v>
      </c>
      <c r="D1" s="1" t="s">
        <v>0</v>
      </c>
    </row>
    <row r="2" spans="1:4">
      <c r="A2" s="3">
        <v>1</v>
      </c>
      <c r="B2" s="3" t="s">
        <v>36</v>
      </c>
      <c r="C2" s="3">
        <v>1</v>
      </c>
      <c r="D2" s="3" t="s">
        <v>117</v>
      </c>
    </row>
    <row r="3" spans="1:4">
      <c r="A3" s="3">
        <v>2</v>
      </c>
      <c r="B3" s="3" t="s">
        <v>33</v>
      </c>
      <c r="C3" s="3">
        <v>2</v>
      </c>
      <c r="D3" s="3" t="s">
        <v>74</v>
      </c>
    </row>
    <row r="4" spans="1:4">
      <c r="A4" s="3">
        <v>3</v>
      </c>
      <c r="B4" s="3" t="s">
        <v>25</v>
      </c>
      <c r="C4" s="3">
        <v>3</v>
      </c>
      <c r="D4" s="3" t="s">
        <v>118</v>
      </c>
    </row>
    <row r="5" spans="1:4">
      <c r="A5" s="3">
        <v>4</v>
      </c>
      <c r="B5" s="3" t="s">
        <v>24</v>
      </c>
      <c r="C5" s="3">
        <v>4</v>
      </c>
      <c r="D5" s="3" t="s">
        <v>73</v>
      </c>
    </row>
    <row r="6" spans="1:4">
      <c r="A6" s="3">
        <v>5</v>
      </c>
      <c r="B6" s="3" t="s">
        <v>40</v>
      </c>
      <c r="C6" s="3">
        <v>5</v>
      </c>
      <c r="D6" s="3" t="s">
        <v>119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B1" workbookViewId="0">
      <selection activeCell="C19" sqref="C19"/>
    </sheetView>
  </sheetViews>
  <sheetFormatPr baseColWidth="10" defaultColWidth="8.83203125" defaultRowHeight="14" x14ac:dyDescent="0"/>
  <cols>
    <col min="1" max="1" width="38.1640625" bestFit="1" customWidth="1"/>
    <col min="2" max="2" width="34" bestFit="1" customWidth="1"/>
    <col min="3" max="3" width="19.6640625" bestFit="1" customWidth="1"/>
    <col min="4" max="4" width="35.83203125" bestFit="1" customWidth="1"/>
    <col min="5" max="5" width="49.5" bestFit="1" customWidth="1"/>
    <col min="6" max="6" width="8.5" bestFit="1" customWidth="1"/>
    <col min="7" max="7" width="79.5" bestFit="1" customWidth="1"/>
    <col min="9" max="9" width="8.83203125" style="3"/>
  </cols>
  <sheetData>
    <row r="1" spans="1:10" s="1" customFormat="1">
      <c r="A1" s="1" t="s">
        <v>44</v>
      </c>
      <c r="B1" s="1" t="s">
        <v>0</v>
      </c>
      <c r="C1" s="1" t="s">
        <v>45</v>
      </c>
      <c r="D1" s="1" t="s">
        <v>46</v>
      </c>
      <c r="E1" s="1" t="s">
        <v>37</v>
      </c>
      <c r="F1" s="1" t="s">
        <v>49</v>
      </c>
      <c r="G1" s="1" t="s">
        <v>54</v>
      </c>
      <c r="H1" s="1" t="s">
        <v>77</v>
      </c>
      <c r="I1" s="1" t="s">
        <v>98</v>
      </c>
      <c r="J1" s="1" t="s">
        <v>107</v>
      </c>
    </row>
    <row r="2" spans="1:10">
      <c r="A2" t="s">
        <v>41</v>
      </c>
      <c r="B2" t="s">
        <v>43</v>
      </c>
      <c r="C2" t="s">
        <v>47</v>
      </c>
      <c r="D2" t="s">
        <v>75</v>
      </c>
      <c r="E2" t="s">
        <v>50</v>
      </c>
      <c r="F2" s="13">
        <v>26</v>
      </c>
      <c r="G2" t="s">
        <v>55</v>
      </c>
      <c r="H2">
        <v>0</v>
      </c>
      <c r="J2">
        <f>ROUND(SUM($H$2:H2),1)</f>
        <v>0</v>
      </c>
    </row>
    <row r="3" spans="1:10">
      <c r="B3" t="s">
        <v>42</v>
      </c>
      <c r="C3" t="s">
        <v>48</v>
      </c>
      <c r="E3" t="s">
        <v>51</v>
      </c>
      <c r="F3" t="s">
        <v>76</v>
      </c>
      <c r="G3" t="s">
        <v>56</v>
      </c>
      <c r="H3">
        <v>0</v>
      </c>
      <c r="J3" s="3">
        <f>ROUND(SUM($H$2:H3),1)</f>
        <v>0</v>
      </c>
    </row>
    <row r="4" spans="1:10">
      <c r="A4" t="s">
        <v>57</v>
      </c>
      <c r="B4" t="s">
        <v>52</v>
      </c>
      <c r="C4" t="s">
        <v>53</v>
      </c>
      <c r="F4" t="s">
        <v>35</v>
      </c>
      <c r="G4" t="s">
        <v>68</v>
      </c>
      <c r="H4">
        <v>0</v>
      </c>
      <c r="I4" s="3" t="s">
        <v>99</v>
      </c>
      <c r="J4" s="3">
        <f>ROUND(SUM($H$2:H4),1)</f>
        <v>0</v>
      </c>
    </row>
    <row r="5" spans="1:10">
      <c r="A5" t="s">
        <v>58</v>
      </c>
      <c r="B5" t="s">
        <v>39</v>
      </c>
      <c r="C5" t="s">
        <v>53</v>
      </c>
      <c r="E5" t="s">
        <v>59</v>
      </c>
      <c r="F5" t="s">
        <v>32</v>
      </c>
      <c r="G5" t="s">
        <v>60</v>
      </c>
      <c r="H5">
        <f>Exp_Change_Tbl_Orig!J50</f>
        <v>1.0729806870983667</v>
      </c>
      <c r="I5" s="3" t="s">
        <v>1</v>
      </c>
      <c r="J5" s="3">
        <f>ROUND(SUM($H$2:H5),1)</f>
        <v>1.1000000000000001</v>
      </c>
    </row>
    <row r="6" spans="1:10">
      <c r="A6" t="s">
        <v>61</v>
      </c>
      <c r="B6" t="s">
        <v>62</v>
      </c>
      <c r="C6" t="s">
        <v>63</v>
      </c>
      <c r="D6" t="s">
        <v>64</v>
      </c>
      <c r="E6" t="s">
        <v>59</v>
      </c>
      <c r="F6" t="s">
        <v>32</v>
      </c>
      <c r="G6" t="s">
        <v>65</v>
      </c>
      <c r="H6" s="12">
        <f>Exp_Change_Tbl_Orig!J134</f>
        <v>1.6855858140149387</v>
      </c>
      <c r="I6" s="3" t="s">
        <v>100</v>
      </c>
      <c r="J6" s="3">
        <f>ROUND(SUM($H$2:H6),1)</f>
        <v>2.8</v>
      </c>
    </row>
    <row r="7" spans="1:10">
      <c r="A7" t="s">
        <v>66</v>
      </c>
      <c r="B7" t="s">
        <v>67</v>
      </c>
      <c r="C7" t="s">
        <v>53</v>
      </c>
      <c r="F7" t="s">
        <v>35</v>
      </c>
      <c r="G7" t="s">
        <v>69</v>
      </c>
      <c r="H7">
        <v>0</v>
      </c>
      <c r="I7" s="3" t="s">
        <v>101</v>
      </c>
      <c r="J7" s="3">
        <f>ROUND(SUM($H$2:H7),1)</f>
        <v>2.8</v>
      </c>
    </row>
    <row r="8" spans="1:10">
      <c r="A8" t="s">
        <v>70</v>
      </c>
      <c r="B8" t="s">
        <v>71</v>
      </c>
      <c r="C8" t="s">
        <v>53</v>
      </c>
      <c r="E8" t="s">
        <v>59</v>
      </c>
      <c r="F8" t="s">
        <v>35</v>
      </c>
      <c r="G8" t="s">
        <v>72</v>
      </c>
      <c r="H8" s="10">
        <f>Exp_Change_Tbl_Orig!J2</f>
        <v>1.2183972916293089</v>
      </c>
      <c r="I8" s="3" t="s">
        <v>102</v>
      </c>
      <c r="J8" s="3">
        <f>ROUND(SUM($H$2:H8),1)</f>
        <v>4</v>
      </c>
    </row>
    <row r="9" spans="1:10" s="3" customFormat="1">
      <c r="A9" s="3" t="s">
        <v>91</v>
      </c>
      <c r="B9" s="3" t="s">
        <v>89</v>
      </c>
      <c r="C9" s="3" t="s">
        <v>53</v>
      </c>
      <c r="F9" s="3" t="s">
        <v>35</v>
      </c>
      <c r="G9" s="3" t="s">
        <v>90</v>
      </c>
      <c r="H9" s="3">
        <v>0</v>
      </c>
      <c r="I9" s="3" t="s">
        <v>103</v>
      </c>
      <c r="J9" s="3">
        <f>ROUND(SUM($H$2:H9),1)</f>
        <v>4</v>
      </c>
    </row>
    <row r="10" spans="1:10">
      <c r="A10" t="s">
        <v>92</v>
      </c>
      <c r="B10" t="s">
        <v>73</v>
      </c>
      <c r="C10" t="s">
        <v>53</v>
      </c>
      <c r="E10" t="s">
        <v>59</v>
      </c>
      <c r="F10" t="s">
        <v>35</v>
      </c>
      <c r="G10" t="s">
        <v>78</v>
      </c>
      <c r="H10" s="10">
        <f>Exp_Change_Tbl_Orig!J110</f>
        <v>8.9434269791452508</v>
      </c>
      <c r="I10" s="3" t="s">
        <v>104</v>
      </c>
      <c r="J10" s="3">
        <f>ROUND(SUM($H$2:H10),1)</f>
        <v>12.9</v>
      </c>
    </row>
    <row r="11" spans="1:10">
      <c r="A11" t="s">
        <v>93</v>
      </c>
      <c r="B11" t="s">
        <v>94</v>
      </c>
      <c r="C11" t="s">
        <v>53</v>
      </c>
      <c r="E11" t="s">
        <v>59</v>
      </c>
      <c r="F11" t="s">
        <v>32</v>
      </c>
      <c r="G11" t="s">
        <v>95</v>
      </c>
      <c r="H11" s="10">
        <f>Exp_Change_Tbl_Orig!J122</f>
        <v>1.4284293302981373E-2</v>
      </c>
      <c r="I11" s="3" t="s">
        <v>105</v>
      </c>
      <c r="J11" s="3">
        <f>ROUND(SUM($H$2:H11),1)</f>
        <v>12.9</v>
      </c>
    </row>
    <row r="14" spans="1:10">
      <c r="G14" s="18" t="s">
        <v>96</v>
      </c>
      <c r="H14">
        <f>SUM(H2:H11)</f>
        <v>12.934675065190847</v>
      </c>
      <c r="I14" t="s">
        <v>97</v>
      </c>
    </row>
    <row r="15" spans="1:10">
      <c r="I15"/>
    </row>
    <row r="16" spans="1:10">
      <c r="I16"/>
    </row>
    <row r="26" spans="2:2">
      <c r="B26" s="14" t="s">
        <v>84</v>
      </c>
    </row>
    <row r="27" spans="2:2">
      <c r="B27" t="s">
        <v>79</v>
      </c>
    </row>
    <row r="28" spans="2:2">
      <c r="B28" t="s">
        <v>80</v>
      </c>
    </row>
    <row r="29" spans="2:2">
      <c r="B29" t="s">
        <v>81</v>
      </c>
    </row>
    <row r="30" spans="2:2">
      <c r="B30" t="s">
        <v>82</v>
      </c>
    </row>
    <row r="31" spans="2:2">
      <c r="B31" t="s">
        <v>83</v>
      </c>
    </row>
    <row r="32" spans="2:2" s="3" customFormat="1">
      <c r="B32" s="3" t="s">
        <v>86</v>
      </c>
    </row>
    <row r="33" spans="2:2">
      <c r="B33" t="s">
        <v>87</v>
      </c>
    </row>
    <row r="34" spans="2:2">
      <c r="B34" t="s">
        <v>85</v>
      </c>
    </row>
    <row r="35" spans="2:2">
      <c r="B35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baseColWidth="10" defaultRowHeight="14" x14ac:dyDescent="0"/>
  <cols>
    <col min="3" max="3" width="44" bestFit="1" customWidth="1"/>
  </cols>
  <sheetData>
    <row r="1" spans="1:3">
      <c r="A1" s="1" t="s">
        <v>108</v>
      </c>
      <c r="B1" s="1" t="s">
        <v>38</v>
      </c>
      <c r="C1" s="1" t="s">
        <v>37</v>
      </c>
    </row>
    <row r="2" spans="1:3">
      <c r="A2" s="3">
        <v>1</v>
      </c>
      <c r="B2" s="3" t="s">
        <v>32</v>
      </c>
      <c r="C2" s="3" t="s">
        <v>31</v>
      </c>
    </row>
    <row r="3" spans="1:3">
      <c r="A3" s="3">
        <v>2</v>
      </c>
      <c r="B3" s="3" t="s">
        <v>35</v>
      </c>
      <c r="C3" s="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4" sqref="B24"/>
    </sheetView>
  </sheetViews>
  <sheetFormatPr baseColWidth="10" defaultColWidth="8.83203125" defaultRowHeight="14" x14ac:dyDescent="0"/>
  <cols>
    <col min="1" max="1" width="6.5" bestFit="1" customWidth="1"/>
    <col min="2" max="2" width="94.1640625" bestFit="1" customWidth="1"/>
  </cols>
  <sheetData>
    <row r="1" spans="1:2">
      <c r="A1" s="25" t="s">
        <v>111</v>
      </c>
      <c r="B1" s="26" t="s">
        <v>122</v>
      </c>
    </row>
    <row r="2" spans="1:2">
      <c r="A2" s="27">
        <v>1</v>
      </c>
      <c r="B2" s="27" t="s">
        <v>132</v>
      </c>
    </row>
    <row r="3" spans="1:2">
      <c r="A3" s="27">
        <v>2</v>
      </c>
      <c r="B3" s="27" t="s">
        <v>123</v>
      </c>
    </row>
    <row r="4" spans="1:2">
      <c r="A4" s="27">
        <v>3</v>
      </c>
      <c r="B4" s="27" t="s">
        <v>124</v>
      </c>
    </row>
    <row r="5" spans="1:2">
      <c r="A5" s="27">
        <v>4</v>
      </c>
      <c r="B5" s="27" t="s">
        <v>125</v>
      </c>
    </row>
    <row r="6" spans="1:2">
      <c r="A6" s="27">
        <v>5</v>
      </c>
      <c r="B6" s="27" t="s">
        <v>126</v>
      </c>
    </row>
    <row r="7" spans="1:2">
      <c r="A7" s="27">
        <v>6</v>
      </c>
      <c r="B7" s="27" t="s">
        <v>127</v>
      </c>
    </row>
    <row r="8" spans="1:2">
      <c r="A8" s="27">
        <v>7</v>
      </c>
      <c r="B8" s="27" t="s">
        <v>128</v>
      </c>
    </row>
    <row r="9" spans="1:2">
      <c r="A9" s="27">
        <v>8</v>
      </c>
      <c r="B9" s="27" t="s">
        <v>129</v>
      </c>
    </row>
    <row r="10" spans="1:2">
      <c r="A10" s="27">
        <v>9</v>
      </c>
      <c r="B10" s="27" t="s">
        <v>130</v>
      </c>
    </row>
    <row r="11" spans="1:2">
      <c r="A11" s="2">
        <v>10</v>
      </c>
      <c r="B11" s="2" t="s">
        <v>133</v>
      </c>
    </row>
    <row r="12" spans="1:2">
      <c r="A12" s="27">
        <v>11</v>
      </c>
      <c r="B12" s="2" t="s">
        <v>134</v>
      </c>
    </row>
    <row r="13" spans="1:2">
      <c r="A13" s="2">
        <v>12</v>
      </c>
      <c r="B13" s="2" t="s">
        <v>135</v>
      </c>
    </row>
    <row r="14" spans="1:2">
      <c r="A14" s="27">
        <v>13</v>
      </c>
      <c r="B14" s="2" t="s">
        <v>136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3" sqref="A23"/>
    </sheetView>
  </sheetViews>
  <sheetFormatPr baseColWidth="10" defaultRowHeight="14" x14ac:dyDescent="0"/>
  <sheetData>
    <row r="1" spans="1:3">
      <c r="A1" t="s">
        <v>131</v>
      </c>
      <c r="B1" t="s">
        <v>109</v>
      </c>
      <c r="C1" t="s">
        <v>108</v>
      </c>
    </row>
    <row r="2" spans="1:3">
      <c r="A2">
        <v>1</v>
      </c>
      <c r="B2">
        <v>2</v>
      </c>
      <c r="C2">
        <v>2</v>
      </c>
    </row>
    <row r="3" spans="1:3">
      <c r="A3">
        <v>2</v>
      </c>
      <c r="B3">
        <v>2</v>
      </c>
      <c r="C3">
        <v>2</v>
      </c>
    </row>
    <row r="4" spans="1:3">
      <c r="A4" s="3">
        <v>3</v>
      </c>
      <c r="B4">
        <v>2</v>
      </c>
      <c r="C4">
        <v>1</v>
      </c>
    </row>
    <row r="5" spans="1:3">
      <c r="A5" s="3">
        <v>4</v>
      </c>
      <c r="B5">
        <v>3</v>
      </c>
      <c r="C5" s="3">
        <v>2</v>
      </c>
    </row>
    <row r="6" spans="1:3">
      <c r="A6" s="3">
        <v>5</v>
      </c>
      <c r="B6">
        <v>3</v>
      </c>
      <c r="C6" s="3">
        <v>2</v>
      </c>
    </row>
    <row r="7" spans="1:3">
      <c r="A7" s="3">
        <v>6</v>
      </c>
      <c r="B7">
        <v>3</v>
      </c>
      <c r="C7" s="3">
        <v>1</v>
      </c>
    </row>
    <row r="8" spans="1:3">
      <c r="A8" s="3">
        <v>7</v>
      </c>
      <c r="B8">
        <v>4</v>
      </c>
      <c r="C8" s="3">
        <v>2</v>
      </c>
    </row>
    <row r="9" spans="1:3">
      <c r="A9" s="3">
        <v>8</v>
      </c>
      <c r="B9">
        <v>4</v>
      </c>
      <c r="C9" s="3">
        <v>2</v>
      </c>
    </row>
    <row r="10" spans="1:3">
      <c r="A10" s="3">
        <v>9</v>
      </c>
      <c r="B10">
        <v>4</v>
      </c>
      <c r="C10" s="3">
        <v>1</v>
      </c>
    </row>
    <row r="11" spans="1:3">
      <c r="A11" s="3">
        <v>10</v>
      </c>
      <c r="B11">
        <v>5</v>
      </c>
      <c r="C11">
        <v>2</v>
      </c>
    </row>
    <row r="12" spans="1:3">
      <c r="A12" s="3">
        <v>11</v>
      </c>
      <c r="B12">
        <v>5</v>
      </c>
      <c r="C12">
        <v>2</v>
      </c>
    </row>
    <row r="13" spans="1:3">
      <c r="A13" s="3">
        <v>12</v>
      </c>
      <c r="B13">
        <v>1</v>
      </c>
      <c r="C13">
        <v>2</v>
      </c>
    </row>
    <row r="14" spans="1:3">
      <c r="A14" s="3">
        <v>13</v>
      </c>
      <c r="B14">
        <v>1</v>
      </c>
      <c r="C14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YLL_Tbl</vt:lpstr>
      <vt:lpstr>Exp_Change_Tbl_Orig</vt:lpstr>
      <vt:lpstr>Question_Tbl</vt:lpstr>
      <vt:lpstr>CONCEPTUALISATION</vt:lpstr>
      <vt:lpstr>Answer_Tbl</vt:lpstr>
      <vt:lpstr>Fact_Tbl</vt:lpstr>
      <vt:lpstr>Outcomes_Tbl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Marcus Jones</cp:lastModifiedBy>
  <dcterms:created xsi:type="dcterms:W3CDTF">2016-07-29T21:47:03Z</dcterms:created>
  <dcterms:modified xsi:type="dcterms:W3CDTF">2016-07-31T04:16:18Z</dcterms:modified>
</cp:coreProperties>
</file>