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ndy\Desktop\Analysis Projects\Kickstarter_Challenge\"/>
    </mc:Choice>
  </mc:AlternateContent>
  <xr:revisionPtr revIDLastSave="0" documentId="8_{C19CC1ED-9885-4E48-9973-C2E40F884FBF}" xr6:coauthVersionLast="47" xr6:coauthVersionMax="47" xr10:uidLastSave="{00000000-0000-0000-0000-000000000000}"/>
  <bookViews>
    <workbookView xWindow="10" yWindow="10" windowWidth="19180" windowHeight="10060" xr2:uid="{00000000-000D-0000-FFFF-FFFF00000000}"/>
  </bookViews>
  <sheets>
    <sheet name="Kickstarter" sheetId="1" r:id="rId1"/>
    <sheet name="Category Statistics" sheetId="6" r:id="rId2"/>
    <sheet name="Subcategory Statistics" sheetId="8" r:id="rId3"/>
    <sheet name="Edinburgh Research" sheetId="10" r:id="rId4"/>
    <sheet name="Outcomes Based on Launch Date" sheetId="9" r:id="rId5"/>
    <sheet name="Theater Outcomes by Launch Date" sheetId="3" r:id="rId6"/>
    <sheet name="Outcomes Based on Goals" sheetId="4" r:id="rId7"/>
  </sheets>
  <definedNames>
    <definedName name="_xlnm._FilterDatabase" localSheetId="0" hidden="1">Kickstarter!$R$1:$R$4115</definedName>
  </definedNames>
  <calcPr calcId="191029"/>
  <pivotCaches>
    <pivotCache cacheId="19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0" l="1"/>
  <c r="C4" i="10"/>
  <c r="C5" i="10"/>
  <c r="C6" i="10"/>
  <c r="C2" i="10"/>
  <c r="D3" i="10"/>
  <c r="D4" i="10"/>
  <c r="D5" i="10"/>
  <c r="D6" i="10"/>
  <c r="D2" i="10"/>
  <c r="B2" i="10"/>
  <c r="B3" i="10"/>
  <c r="B4" i="10"/>
  <c r="B5" i="10"/>
  <c r="D13" i="4"/>
  <c r="D12" i="4"/>
  <c r="D11" i="4"/>
  <c r="D10" i="4"/>
  <c r="D9" i="4"/>
  <c r="D8" i="4"/>
  <c r="D7" i="4"/>
  <c r="D6" i="4"/>
  <c r="D5" i="4"/>
  <c r="D4" i="4"/>
  <c r="D2" i="4"/>
  <c r="D3" i="4"/>
  <c r="C13" i="4"/>
  <c r="C12" i="4"/>
  <c r="C11" i="4"/>
  <c r="C10" i="4"/>
  <c r="C9" i="4"/>
  <c r="C8" i="4"/>
  <c r="C7" i="4"/>
  <c r="C6" i="4"/>
  <c r="C5" i="4"/>
  <c r="C4" i="4"/>
  <c r="C3" i="4"/>
  <c r="C2" i="4"/>
  <c r="B2" i="4"/>
  <c r="B13" i="4"/>
  <c r="B12" i="4"/>
  <c r="B11" i="4"/>
  <c r="B10" i="4"/>
  <c r="E10" i="4" s="1"/>
  <c r="B9" i="4"/>
  <c r="B8" i="4"/>
  <c r="B7" i="4"/>
  <c r="B6" i="4"/>
  <c r="B5" i="4"/>
  <c r="B4" i="4"/>
  <c r="B3" i="4"/>
  <c r="U4" i="1"/>
  <c r="U1129" i="1"/>
  <c r="U1445" i="1"/>
  <c r="U1644" i="1"/>
  <c r="U1816" i="1"/>
  <c r="U2067" i="1"/>
  <c r="U2180" i="1"/>
  <c r="U2296" i="1"/>
  <c r="U2392" i="1"/>
  <c r="U2615" i="1"/>
  <c r="U2690" i="1"/>
  <c r="U2762" i="1"/>
  <c r="U2836" i="1"/>
  <c r="U2883" i="1"/>
  <c r="U2907" i="1"/>
  <c r="U2927" i="1"/>
  <c r="U2947" i="1"/>
  <c r="U2963" i="1"/>
  <c r="U2975" i="1"/>
  <c r="U2991" i="1"/>
  <c r="U3020" i="1"/>
  <c r="U3034" i="1"/>
  <c r="U3045" i="1"/>
  <c r="U3059" i="1"/>
  <c r="U3072" i="1"/>
  <c r="U3084" i="1"/>
  <c r="U3098" i="1"/>
  <c r="U3109" i="1"/>
  <c r="U3123" i="1"/>
  <c r="U3136" i="1"/>
  <c r="U3148" i="1"/>
  <c r="U3162" i="1"/>
  <c r="U3173" i="1"/>
  <c r="U3187" i="1"/>
  <c r="U3200" i="1"/>
  <c r="U3212" i="1"/>
  <c r="U3226" i="1"/>
  <c r="U3237" i="1"/>
  <c r="U3251" i="1"/>
  <c r="U3264" i="1"/>
  <c r="U3276" i="1"/>
  <c r="U3290" i="1"/>
  <c r="U3301" i="1"/>
  <c r="U3315" i="1"/>
  <c r="U3328" i="1"/>
  <c r="U3340" i="1"/>
  <c r="U3354" i="1"/>
  <c r="U3365" i="1"/>
  <c r="U3379" i="1"/>
  <c r="U3392" i="1"/>
  <c r="U3404" i="1"/>
  <c r="U3418" i="1"/>
  <c r="U3429" i="1"/>
  <c r="U3443" i="1"/>
  <c r="U3456" i="1"/>
  <c r="U3468" i="1"/>
  <c r="U3482" i="1"/>
  <c r="U3493" i="1"/>
  <c r="U3507" i="1"/>
  <c r="U3520" i="1"/>
  <c r="U3532" i="1"/>
  <c r="U3546" i="1"/>
  <c r="U3557" i="1"/>
  <c r="U3571" i="1"/>
  <c r="U3584" i="1"/>
  <c r="U3596" i="1"/>
  <c r="U3610" i="1"/>
  <c r="U3621" i="1"/>
  <c r="U3635" i="1"/>
  <c r="U3648" i="1"/>
  <c r="U3660" i="1"/>
  <c r="U3674" i="1"/>
  <c r="U3685" i="1"/>
  <c r="U3699" i="1"/>
  <c r="U3712" i="1"/>
  <c r="U3724" i="1"/>
  <c r="U3738" i="1"/>
  <c r="U3749" i="1"/>
  <c r="U3762" i="1"/>
  <c r="U3770" i="1"/>
  <c r="U3778" i="1"/>
  <c r="U3786" i="1"/>
  <c r="U3794" i="1"/>
  <c r="U3802" i="1"/>
  <c r="U3810" i="1"/>
  <c r="U3818" i="1"/>
  <c r="U3826" i="1"/>
  <c r="U3834" i="1"/>
  <c r="U3842" i="1"/>
  <c r="U3850" i="1"/>
  <c r="U3858" i="1"/>
  <c r="U3866" i="1"/>
  <c r="U3874" i="1"/>
  <c r="U3882" i="1"/>
  <c r="U3890" i="1"/>
  <c r="U3898" i="1"/>
  <c r="U3906" i="1"/>
  <c r="U3914" i="1"/>
  <c r="U3922" i="1"/>
  <c r="U3930" i="1"/>
  <c r="U3938" i="1"/>
  <c r="U3946" i="1"/>
  <c r="U3954" i="1"/>
  <c r="U3962" i="1"/>
  <c r="U3970" i="1"/>
  <c r="U3978" i="1"/>
  <c r="U3986" i="1"/>
  <c r="U3994" i="1"/>
  <c r="U4002" i="1"/>
  <c r="U4010" i="1"/>
  <c r="U4018" i="1"/>
  <c r="U4026" i="1"/>
  <c r="U4034" i="1"/>
  <c r="U4042" i="1"/>
  <c r="U4050" i="1"/>
  <c r="U4058" i="1"/>
  <c r="U4066" i="1"/>
  <c r="U4074" i="1"/>
  <c r="U4082" i="1"/>
  <c r="U4090" i="1"/>
  <c r="U4098" i="1"/>
  <c r="U4106" i="1"/>
  <c r="U411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4" l="1"/>
  <c r="H13" i="4"/>
  <c r="E13" i="4"/>
  <c r="F13" i="4" s="1"/>
  <c r="E4" i="4"/>
  <c r="F4" i="4" s="1"/>
  <c r="E12" i="4"/>
  <c r="G12" i="4" s="1"/>
  <c r="G7" i="4"/>
  <c r="E8" i="4"/>
  <c r="G8" i="4" s="1"/>
  <c r="E5" i="4"/>
  <c r="G5" i="4" s="1"/>
  <c r="E9" i="4"/>
  <c r="H9" i="4" s="1"/>
  <c r="H7" i="4"/>
  <c r="F6" i="4"/>
  <c r="E7" i="4"/>
  <c r="F7" i="4" s="1"/>
  <c r="G10" i="4"/>
  <c r="E3" i="4"/>
  <c r="G3" i="4" s="1"/>
  <c r="H3" i="4"/>
  <c r="H10" i="4"/>
  <c r="E2" i="4"/>
  <c r="H2" i="4" s="1"/>
  <c r="E6" i="4"/>
  <c r="H6" i="4" s="1"/>
  <c r="F10" i="4"/>
  <c r="E11" i="4"/>
  <c r="F11" i="4" s="1"/>
  <c r="F8" i="4" l="1"/>
  <c r="G4" i="4"/>
  <c r="F3" i="4"/>
  <c r="F9" i="4"/>
  <c r="H4" i="4"/>
  <c r="H8" i="4"/>
  <c r="G9" i="4"/>
  <c r="F5" i="4"/>
  <c r="G6" i="4"/>
  <c r="H5" i="4"/>
  <c r="G11" i="4"/>
  <c r="H12" i="4"/>
  <c r="F2" i="4"/>
  <c r="G2" i="4"/>
  <c r="H11" i="4"/>
  <c r="F12" i="4"/>
</calcChain>
</file>

<file path=xl/sharedStrings.xml><?xml version="1.0" encoding="utf-8"?>
<sst xmlns="http://schemas.openxmlformats.org/spreadsheetml/2006/main" count="33079" uniqueCount="8403">
  <si>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</si>
  <si>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</si>
  <si>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</si>
  <si>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</si>
  <si>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</si>
  <si>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</si>
  <si>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</si>
  <si>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</si>
  <si>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</si>
  <si>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</si>
  <si>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</si>
  <si>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</si>
  <si>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</si>
  <si>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</si>
  <si>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</si>
  <si>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</si>
  <si>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</si>
  <si>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</si>
  <si>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</si>
  <si>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</si>
  <si>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</si>
  <si>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</si>
  <si>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</si>
  <si>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</si>
  <si>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</si>
  <si>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</si>
  <si>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</si>
  <si>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</si>
  <si>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</si>
  <si>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</si>
  <si>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</si>
  <si>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</si>
  <si>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</si>
  <si>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</si>
  <si>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</si>
  <si>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</si>
  <si>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</si>
  <si>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</si>
  <si>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</si>
  <si>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</si>
  <si>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</si>
  <si>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</si>
  <si>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</si>
  <si>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</si>
  <si>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</si>
  <si>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</si>
  <si>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</si>
  <si>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</si>
  <si>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</si>
  <si>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</si>
  <si>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</si>
  <si>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</si>
  <si>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</si>
  <si>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</si>
  <si>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</si>
  <si>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</si>
  <si>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</si>
  <si>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</si>
  <si>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</si>
  <si>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</si>
  <si>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</si>
  <si>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</si>
  <si>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</si>
  <si>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</si>
  <si>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</si>
  <si>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</si>
  <si>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</si>
  <si>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</si>
  <si>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</si>
  <si>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</si>
  <si>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</si>
  <si>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</si>
  <si>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</si>
  <si>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</si>
  <si>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</si>
  <si>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</si>
  <si>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</si>
  <si>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</si>
  <si>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</si>
  <si>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</si>
  <si>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</si>
  <si>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</si>
  <si>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</si>
  <si>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</si>
  <si>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</si>
  <si>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</si>
  <si>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</si>
  <si>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</si>
  <si>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</si>
  <si>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</si>
  <si>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</si>
  <si>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</si>
  <si>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</si>
  <si>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</si>
  <si>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</si>
  <si>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</si>
  <si>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</si>
  <si>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</si>
  <si>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</si>
  <si>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</si>
  <si>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</si>
  <si>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</si>
  <si>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</si>
  <si>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</si>
  <si>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</si>
  <si>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</si>
  <si>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</si>
  <si>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</si>
  <si>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</si>
  <si>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</si>
  <si>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</si>
  <si>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</si>
  <si>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</si>
  <si>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</si>
  <si>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</si>
  <si>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</si>
  <si>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</si>
  <si>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</si>
  <si>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</si>
  <si>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</si>
  <si>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</si>
  <si>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</si>
  <si>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</si>
  <si>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</si>
  <si>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</si>
  <si>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</si>
  <si>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</si>
  <si>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</si>
  <si>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</si>
  <si>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</si>
  <si>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</si>
  <si>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</si>
  <si>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</si>
  <si>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</si>
  <si>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</si>
  <si>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</si>
  <si>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</si>
  <si>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</si>
  <si>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</si>
  <si>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</si>
  <si>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</si>
  <si>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</si>
  <si>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</si>
  <si>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</si>
  <si>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</si>
  <si>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</si>
  <si>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</si>
  <si>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</si>
  <si>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</si>
  <si>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</si>
  <si>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</si>
  <si>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</si>
  <si>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</si>
  <si>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</si>
  <si>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</si>
  <si>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</si>
  <si>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</si>
  <si>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</si>
  <si>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</si>
  <si>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</si>
  <si>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</si>
  <si>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</si>
  <si>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</si>
  <si>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</si>
  <si>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</si>
  <si>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</si>
  <si>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</si>
  <si>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</si>
  <si>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</si>
  <si>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</si>
  <si>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</si>
  <si>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</si>
  <si>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</si>
  <si>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</si>
  <si>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</si>
  <si>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</si>
  <si>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</si>
  <si>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</si>
  <si>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</si>
  <si>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</si>
  <si>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</si>
  <si>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</si>
  <si>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</si>
  <si>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</si>
  <si>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</si>
  <si>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</si>
  <si>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</si>
  <si>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</si>
  <si>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</si>
  <si>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</si>
  <si>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</si>
  <si>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</si>
  <si>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</si>
  <si>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</si>
  <si>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</si>
  <si>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</si>
  <si>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</si>
  <si>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</si>
  <si>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</si>
  <si>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</si>
  <si>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</si>
  <si>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</si>
  <si>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</si>
  <si>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</si>
  <si>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</si>
  <si>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</si>
  <si>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</si>
  <si>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</si>
  <si>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</si>
  <si>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</si>
  <si>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</si>
  <si>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</si>
  <si>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</si>
  <si>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</si>
  <si>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</si>
  <si>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</si>
  <si>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</si>
  <si>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</si>
  <si>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</si>
  <si>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</si>
  <si>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</si>
  <si>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</si>
  <si>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</si>
  <si>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</si>
  <si>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</si>
  <si>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</si>
  <si>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</si>
  <si>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</si>
  <si>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</si>
  <si>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</si>
  <si>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</si>
  <si>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</si>
  <si>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</si>
  <si>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</si>
  <si>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</si>
  <si>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</si>
  <si>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</si>
  <si>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</si>
  <si>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</si>
  <si>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</si>
  <si>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</si>
  <si>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</si>
  <si>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</si>
  <si>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</si>
  <si>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</si>
  <si>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</si>
  <si>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</si>
  <si>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</si>
  <si>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</si>
  <si>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</si>
  <si>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</si>
  <si>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</si>
  <si>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</si>
  <si>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</si>
  <si>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</si>
  <si>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</si>
  <si>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</si>
  <si>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</si>
  <si>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</si>
  <si>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</si>
  <si>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</si>
  <si>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</si>
  <si>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</si>
  <si>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</si>
  <si>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</si>
  <si>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</si>
  <si>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</si>
  <si>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</si>
  <si>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</si>
  <si>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</si>
  <si>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</si>
  <si>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</si>
  <si>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</si>
  <si>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</si>
  <si>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</si>
  <si>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</si>
  <si>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</si>
  <si>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</si>
  <si>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</si>
  <si>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</si>
  <si>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</si>
  <si>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</si>
  <si>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</si>
  <si>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</si>
  <si>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</si>
  <si>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</si>
  <si>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</si>
  <si>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</si>
  <si>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</si>
  <si>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</si>
  <si>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</si>
  <si>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</si>
  <si>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</si>
  <si>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</si>
  <si>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</si>
  <si>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</si>
  <si>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</si>
  <si>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</si>
  <si>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</si>
  <si>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</si>
  <si>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</si>
  <si>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</si>
  <si>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</si>
  <si>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</si>
  <si>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</si>
  <si>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</si>
  <si>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</si>
  <si>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</si>
  <si>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</si>
  <si>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</si>
  <si>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</si>
  <si>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</si>
  <si>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</si>
  <si>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</si>
  <si>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</si>
  <si>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</si>
  <si>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</si>
  <si>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</si>
  <si>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</si>
  <si>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</si>
  <si>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</si>
  <si>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</si>
  <si>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</si>
  <si>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</si>
  <si>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</si>
  <si>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</si>
  <si>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</si>
  <si>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</si>
  <si>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</si>
  <si>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</si>
  <si>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</si>
  <si>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</si>
  <si>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</si>
  <si>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</si>
  <si>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</si>
  <si>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</si>
  <si>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</si>
  <si>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</si>
  <si>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</si>
  <si>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</si>
  <si>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</si>
  <si>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</si>
  <si>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</si>
  <si>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</si>
  <si>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</si>
  <si>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</si>
  <si>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</si>
  <si>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</si>
  <si>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</si>
  <si>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</si>
  <si>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</si>
  <si>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</si>
  <si>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</si>
  <si>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</si>
  <si>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</si>
  <si>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</si>
  <si>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</si>
  <si>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</si>
  <si>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</si>
  <si>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</si>
  <si>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</si>
  <si>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</si>
  <si>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</si>
  <si>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</si>
  <si>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</si>
  <si>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</si>
  <si>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</si>
  <si>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</si>
  <si>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</si>
  <si>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</si>
  <si>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</si>
  <si>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</si>
  <si>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</si>
  <si>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</si>
  <si>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</si>
  <si>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</si>
  <si>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</si>
  <si>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</si>
  <si>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</si>
  <si>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</si>
  <si>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</si>
  <si>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</si>
  <si>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</si>
  <si>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</si>
  <si>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</si>
  <si>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</si>
  <si>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</si>
  <si>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</si>
  <si>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</si>
  <si>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</si>
  <si>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</si>
  <si>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</si>
  <si>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</si>
  <si>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</si>
  <si>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</si>
  <si>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</si>
  <si>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</si>
  <si>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</si>
  <si>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</si>
  <si>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</si>
  <si>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</si>
  <si>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</si>
  <si>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</si>
  <si>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</si>
  <si>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</si>
  <si>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</si>
  <si>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</si>
  <si>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</si>
  <si>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</si>
  <si>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</si>
  <si>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</si>
  <si>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</si>
  <si>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</si>
  <si>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</si>
  <si>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</si>
  <si>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</si>
  <si>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</si>
  <si>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</si>
  <si>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</si>
  <si>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</si>
  <si>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</si>
  <si>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</si>
  <si>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</si>
  <si>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</si>
  <si>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</si>
  <si>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</si>
  <si>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</si>
  <si>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</si>
  <si>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</si>
  <si>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</si>
  <si>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</si>
  <si>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</si>
  <si>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</si>
  <si>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</si>
  <si>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</si>
  <si>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</si>
  <si>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</si>
  <si>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</si>
  <si>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</si>
  <si>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</si>
  <si>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</si>
  <si>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</si>
  <si>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</si>
  <si>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</si>
  <si>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</si>
  <si>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</si>
  <si>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</si>
  <si>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</si>
  <si>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</si>
  <si>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</si>
  <si>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</si>
  <si>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</si>
  <si>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</si>
  <si>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</si>
  <si>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</si>
  <si>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</si>
  <si>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</si>
  <si>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</si>
  <si>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</si>
  <si>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</si>
  <si>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</si>
  <si>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</si>
  <si>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</si>
  <si>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</si>
  <si>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</si>
  <si>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</si>
  <si>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</si>
  <si>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</si>
  <si>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</si>
  <si>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</si>
  <si>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</si>
  <si>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</si>
  <si>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</si>
  <si>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</si>
  <si>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</si>
  <si>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</si>
  <si>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</si>
  <si>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</si>
  <si>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</si>
  <si>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</si>
  <si>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</si>
  <si>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</si>
  <si>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</si>
  <si>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</si>
  <si>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</si>
  <si>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</si>
  <si>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</si>
  <si>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</si>
  <si>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</si>
  <si>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</si>
  <si>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</si>
  <si>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</si>
  <si>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</si>
  <si>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</si>
  <si>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</si>
  <si>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</si>
  <si>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</si>
  <si>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</si>
  <si>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</si>
  <si>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</si>
  <si>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</si>
  <si>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</si>
  <si>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</si>
  <si>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</si>
  <si>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</si>
  <si>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</si>
  <si>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</si>
  <si>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</si>
  <si>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</si>
  <si>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</si>
  <si>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</si>
  <si>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</si>
  <si>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</si>
  <si>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</si>
  <si>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</si>
  <si>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</si>
  <si>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</si>
  <si>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</si>
  <si>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</si>
  <si>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</si>
  <si>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</si>
  <si>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</si>
  <si>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</si>
  <si>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</si>
  <si>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</si>
  <si>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</si>
  <si>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</si>
  <si>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</si>
  <si>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</si>
  <si>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</si>
  <si>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</si>
  <si>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</si>
  <si>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</si>
  <si>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</si>
  <si>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</si>
  <si>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</si>
  <si>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</si>
  <si>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</si>
  <si>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</si>
  <si>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</si>
  <si>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</si>
  <si>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</si>
  <si>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</si>
  <si>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</si>
  <si>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</si>
  <si>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</si>
  <si>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</si>
  <si>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</si>
  <si>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</si>
  <si>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</si>
  <si>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</si>
  <si>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</si>
  <si>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</si>
  <si>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</si>
  <si>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</si>
  <si>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</si>
  <si>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</si>
  <si>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</si>
  <si>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</si>
  <si>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</si>
  <si>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</si>
  <si>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</si>
  <si>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</si>
  <si>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</si>
  <si>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</si>
  <si>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</si>
  <si>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</si>
  <si>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</si>
  <si>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</si>
  <si>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</si>
  <si>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</si>
  <si>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</si>
  <si>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</si>
  <si>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</si>
  <si>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</si>
  <si>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</si>
  <si>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</si>
  <si>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</si>
  <si>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</si>
  <si>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</si>
  <si>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</si>
  <si>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</si>
  <si>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</si>
  <si>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</si>
  <si>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</si>
  <si>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</si>
  <si>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</si>
  <si>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</si>
  <si>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</si>
  <si>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</si>
  <si>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</si>
  <si>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</si>
  <si>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</si>
  <si>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</si>
  <si>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</si>
  <si>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</si>
  <si>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</si>
  <si>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</si>
  <si>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</si>
  <si>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</si>
  <si>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</si>
  <si>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</si>
  <si>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</si>
  <si>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</si>
  <si>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</si>
  <si>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</si>
  <si>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</si>
  <si>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</si>
  <si>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</si>
  <si>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</si>
  <si>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</si>
  <si>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</si>
  <si>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</si>
  <si>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</si>
  <si>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</si>
  <si>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</si>
  <si>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</si>
  <si>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</si>
  <si>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</si>
  <si>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</si>
  <si>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</si>
  <si>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</si>
  <si>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</si>
  <si>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</si>
  <si>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</si>
  <si>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</si>
  <si>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</si>
  <si>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</si>
  <si>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</si>
  <si>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</si>
  <si>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</si>
  <si>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</si>
  <si>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</si>
  <si>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</si>
  <si>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</si>
  <si>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</si>
  <si>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</si>
  <si>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</si>
  <si>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</si>
  <si>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</si>
  <si>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</si>
  <si>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</si>
  <si>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</si>
  <si>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</si>
  <si>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</si>
  <si>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</si>
  <si>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</si>
  <si>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</si>
  <si>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</si>
  <si>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</si>
  <si>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</si>
  <si>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</si>
  <si>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</si>
  <si>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</si>
  <si>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</si>
  <si>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</si>
  <si>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</si>
  <si>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</si>
  <si>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</si>
  <si>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</si>
  <si>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</si>
  <si>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</si>
  <si>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</si>
  <si>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</si>
  <si>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</si>
  <si>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</si>
  <si>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</si>
  <si>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</si>
  <si>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</si>
  <si>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</si>
  <si>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</si>
  <si>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</si>
  <si>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</si>
  <si>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</si>
  <si>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</si>
  <si>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</si>
  <si>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</si>
  <si>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</si>
  <si>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</si>
  <si>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</si>
  <si>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</si>
  <si>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</si>
  <si>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</si>
  <si>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</si>
  <si>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</si>
  <si>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</si>
  <si>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</si>
  <si>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</si>
  <si>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</si>
  <si>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</si>
  <si>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</si>
  <si>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</si>
  <si>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</si>
  <si>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</si>
  <si>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</si>
  <si>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</si>
  <si>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</si>
  <si>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</si>
  <si>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</si>
  <si>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</si>
  <si>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</si>
  <si>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</si>
  <si>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</si>
  <si>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</si>
  <si>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</si>
  <si>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</si>
  <si>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</si>
  <si>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</si>
  <si>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</si>
  <si>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</si>
  <si>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</si>
  <si>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</si>
  <si>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</si>
  <si>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</si>
  <si>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</si>
  <si>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</si>
  <si>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</si>
  <si>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</si>
  <si>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</si>
  <si>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</si>
  <si>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</si>
  <si>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</si>
  <si>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</si>
  <si>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</si>
  <si>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</si>
  <si>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</si>
  <si>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</si>
  <si>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</si>
  <si>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</si>
  <si>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</si>
  <si>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</si>
  <si>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</si>
  <si>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</si>
  <si>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</si>
  <si>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</si>
  <si>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</si>
  <si>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</si>
  <si>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</si>
  <si>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</si>
  <si>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</si>
  <si>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</si>
  <si>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</si>
  <si>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</si>
  <si>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</si>
  <si>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</si>
  <si>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</si>
  <si>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</si>
  <si>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</si>
  <si>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</si>
  <si>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</si>
  <si>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</si>
  <si>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</si>
  <si>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</si>
  <si>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</si>
  <si>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</si>
  <si>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</si>
  <si>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</si>
  <si>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</si>
  <si>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</si>
  <si>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</si>
  <si>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</si>
  <si>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</si>
  <si>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</si>
  <si>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</si>
  <si>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</si>
  <si>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</si>
  <si>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</si>
  <si>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</si>
  <si>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</si>
  <si>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</si>
  <si>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</si>
  <si>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</si>
  <si>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</si>
  <si>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</si>
  <si>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</si>
  <si>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</si>
  <si>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</si>
  <si>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</si>
  <si>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</si>
  <si>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</si>
  <si>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</si>
  <si>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</si>
  <si>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</si>
  <si>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</si>
  <si>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</si>
  <si>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</si>
  <si>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</si>
  <si>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</si>
  <si>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</si>
  <si>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</si>
  <si>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</si>
  <si>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</si>
  <si>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</si>
  <si>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</si>
  <si>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</si>
  <si>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</si>
  <si>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</si>
  <si>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</si>
  <si>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</si>
  <si>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</si>
  <si>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</si>
  <si>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</si>
  <si>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</si>
  <si>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</si>
  <si>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</si>
  <si>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</si>
  <si>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</si>
  <si>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</si>
  <si>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</si>
  <si>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</si>
  <si>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</si>
  <si>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</si>
  <si>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</si>
  <si>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</si>
  <si>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</si>
  <si>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</si>
  <si>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</si>
  <si>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</si>
  <si>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</si>
  <si>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</si>
  <si>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</si>
  <si>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</si>
  <si>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</si>
  <si>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</si>
  <si>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</si>
  <si>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</si>
  <si>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</si>
  <si>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</si>
  <si>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</si>
  <si>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</si>
  <si>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</si>
  <si>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</si>
  <si>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</si>
  <si>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</si>
  <si>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</si>
  <si>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</si>
  <si>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</si>
  <si>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</si>
  <si>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</si>
  <si>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</si>
  <si>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</si>
  <si>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</si>
  <si>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</si>
  <si>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</si>
  <si>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</si>
  <si>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</si>
  <si>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</si>
  <si>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</si>
  <si>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</si>
  <si>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</si>
  <si>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</si>
  <si>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</si>
  <si>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</si>
  <si>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</si>
  <si>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</si>
  <si>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</si>
  <si>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</si>
  <si>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</si>
  <si>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</si>
  <si>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</si>
  <si>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</si>
  <si>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</si>
  <si>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</si>
  <si>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</si>
  <si>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</si>
  <si>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</si>
  <si>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</si>
  <si>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</si>
  <si>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</si>
  <si>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</si>
  <si>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</si>
  <si>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</si>
  <si>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</si>
  <si>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</si>
  <si>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</si>
  <si>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</si>
  <si>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</si>
  <si>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</si>
  <si>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</si>
  <si>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</si>
  <si>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</si>
  <si>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</si>
  <si>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</si>
  <si>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</si>
  <si>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</si>
  <si>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</si>
  <si>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</si>
  <si>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</si>
  <si>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</si>
  <si>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</si>
  <si>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</si>
  <si>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</si>
  <si>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</si>
  <si>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</si>
  <si>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</si>
  <si>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</si>
  <si>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</si>
  <si>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</si>
  <si>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</si>
  <si>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</si>
  <si>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</si>
  <si>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</si>
  <si>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</si>
  <si>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</si>
  <si>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</si>
  <si>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</si>
  <si>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</si>
  <si>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</si>
  <si>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</si>
  <si>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</si>
  <si>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</si>
  <si>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</si>
  <si>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</si>
  <si>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</si>
  <si>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</si>
  <si>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</si>
  <si>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</si>
  <si>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</si>
  <si>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</si>
  <si>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</si>
  <si>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</si>
  <si>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</si>
  <si>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</si>
  <si>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</si>
  <si>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</si>
  <si>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</si>
  <si>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</si>
  <si>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</si>
  <si>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</si>
  <si>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</si>
  <si>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</si>
  <si>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</si>
  <si>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</si>
  <si>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</si>
  <si>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</si>
  <si>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</si>
  <si>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</si>
  <si>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</si>
  <si>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</si>
  <si>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</si>
  <si>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</si>
  <si>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</si>
  <si>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</si>
  <si>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</si>
  <si>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</si>
  <si>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</si>
  <si>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</si>
  <si>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</si>
  <si>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</si>
  <si>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</si>
  <si>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</si>
  <si>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</si>
  <si>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</si>
  <si>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</si>
  <si>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</si>
  <si>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</si>
  <si>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</si>
  <si>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</si>
  <si>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</si>
  <si>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</si>
  <si>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</si>
  <si>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</si>
  <si>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</si>
  <si>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</si>
  <si>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</si>
  <si>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</si>
  <si>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</si>
  <si>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</si>
  <si>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</si>
  <si>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</si>
  <si>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</si>
  <si>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</si>
  <si>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</si>
  <si>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</si>
  <si>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</si>
  <si>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</si>
  <si>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</si>
  <si>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</si>
  <si>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</si>
  <si>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</si>
  <si>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</si>
  <si>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</si>
  <si>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</si>
  <si>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</si>
  <si>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</si>
  <si>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</si>
  <si>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</si>
  <si>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</si>
  <si>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</si>
  <si>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</si>
  <si>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</si>
  <si>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</si>
  <si>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</si>
  <si>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</si>
  <si>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</si>
  <si>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</si>
  <si>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</si>
  <si>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</si>
  <si>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</si>
  <si>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</si>
  <si>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</si>
  <si>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</si>
  <si>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</si>
  <si>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</si>
  <si>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</si>
  <si>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</si>
  <si>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</si>
  <si>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</si>
  <si>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</si>
  <si>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</si>
  <si>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</si>
  <si>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</si>
  <si>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</si>
  <si>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</si>
  <si>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</si>
  <si>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</si>
  <si>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</si>
  <si>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</si>
  <si>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</si>
  <si>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</si>
  <si>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</si>
  <si>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</si>
  <si>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</si>
  <si>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</si>
  <si>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</si>
  <si>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</si>
  <si>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</si>
  <si>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</si>
  <si>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</si>
  <si>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</si>
  <si>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</si>
  <si>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</si>
  <si>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</si>
  <si>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</si>
  <si>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</si>
  <si>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</si>
  <si>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</si>
  <si>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</si>
  <si>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</si>
  <si>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</si>
  <si>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</si>
  <si>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</si>
  <si>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</si>
  <si>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</si>
  <si>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</si>
  <si>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</si>
  <si>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</si>
  <si>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</si>
  <si>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</si>
  <si>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</si>
  <si>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</si>
  <si>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</si>
  <si>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</si>
  <si>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</si>
  <si>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</si>
  <si>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</si>
  <si>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</si>
  <si>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</si>
  <si>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</si>
  <si>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</si>
  <si>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</si>
  <si>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</si>
  <si>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</si>
  <si>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</si>
  <si>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</si>
  <si>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</si>
  <si>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</si>
  <si>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</si>
  <si>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</si>
  <si>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</si>
  <si>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</si>
  <si>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</si>
  <si>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</si>
  <si>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</si>
  <si>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</si>
  <si>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</si>
  <si>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</si>
  <si>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</si>
  <si>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</si>
  <si>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</si>
  <si>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</si>
  <si>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</si>
  <si>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</si>
  <si>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</si>
  <si>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</si>
  <si>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</si>
  <si>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</si>
  <si>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</si>
  <si>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</si>
  <si>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</si>
  <si>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</si>
  <si>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</si>
  <si>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</si>
  <si>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</si>
  <si>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</si>
  <si>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</si>
  <si>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</si>
  <si>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</si>
  <si>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</si>
  <si>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</si>
  <si>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</si>
  <si>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</si>
  <si>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</si>
  <si>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</si>
  <si>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</si>
  <si>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</si>
  <si>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</si>
  <si>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</si>
  <si>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</si>
  <si>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</si>
  <si>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</si>
  <si>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</si>
  <si>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</si>
  <si>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</si>
  <si>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</si>
  <si>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</si>
  <si>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</si>
  <si>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</si>
  <si>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</si>
  <si>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</si>
  <si>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</si>
  <si>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</si>
  <si>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</si>
  <si>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</si>
  <si>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</si>
  <si>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</si>
  <si>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</si>
  <si>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</si>
  <si>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</si>
  <si>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</si>
  <si>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</si>
  <si>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</si>
  <si>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</si>
  <si>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</si>
  <si>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</si>
  <si>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</si>
  <si>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</si>
  <si>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</si>
  <si>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</si>
  <si>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</si>
  <si>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</si>
  <si>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</si>
  <si>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</si>
  <si>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</si>
  <si>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</si>
  <si>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</si>
  <si>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</si>
  <si>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</si>
  <si>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</si>
  <si>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</si>
  <si>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</si>
  <si>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</si>
  <si>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</si>
  <si>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</si>
  <si>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</si>
  <si>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</si>
  <si>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</si>
  <si>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</si>
  <si>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</si>
  <si>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</si>
  <si>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</si>
  <si>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</si>
  <si>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</si>
  <si>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</si>
  <si>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</si>
  <si>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</si>
  <si>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</si>
  <si>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</si>
  <si>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</si>
  <si>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</si>
  <si>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</si>
  <si>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</si>
  <si>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</si>
  <si>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</si>
  <si>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</si>
  <si>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</si>
  <si>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</si>
  <si>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</si>
  <si>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</si>
  <si>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</si>
  <si>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</si>
  <si>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</si>
  <si>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</si>
  <si>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</si>
  <si>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</si>
  <si>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</si>
  <si>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</si>
  <si>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</si>
  <si>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</si>
  <si>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</si>
  <si>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</si>
  <si>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</si>
  <si>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</si>
  <si>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</si>
  <si>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</si>
  <si>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</si>
  <si>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</si>
  <si>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</si>
  <si>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</si>
  <si>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</si>
  <si>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</si>
  <si>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</si>
  <si>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</si>
  <si>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</si>
  <si>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</si>
  <si>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</si>
  <si>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</si>
  <si>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</si>
  <si>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</si>
  <si>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</si>
  <si>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</si>
  <si>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</si>
  <si>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</si>
  <si>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</si>
  <si>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</si>
  <si>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</si>
  <si>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</si>
  <si>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</si>
  <si>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</si>
  <si>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</si>
  <si>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</si>
  <si>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</si>
  <si>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</si>
  <si>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</si>
  <si>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</si>
  <si>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</si>
  <si>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</si>
  <si>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</si>
  <si>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</si>
  <si>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</si>
  <si>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</si>
  <si>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</si>
  <si>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</si>
  <si>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</si>
  <si>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</si>
  <si>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</si>
  <si>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</si>
  <si>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</si>
  <si>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</si>
  <si>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</si>
  <si>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</si>
  <si>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</si>
  <si>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</si>
  <si>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</si>
  <si>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</si>
  <si>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</si>
  <si>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</si>
  <si>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</si>
  <si>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</si>
  <si>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</si>
  <si>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</si>
  <si>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</si>
  <si>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</si>
  <si>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</si>
  <si>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</si>
  <si>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</si>
  <si>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</si>
  <si>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</si>
  <si>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</si>
  <si>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</si>
  <si>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</si>
  <si>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</si>
  <si>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</si>
  <si>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</si>
  <si>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</si>
  <si>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</si>
  <si>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</si>
  <si>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</si>
  <si>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</si>
  <si>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</si>
  <si>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</si>
  <si>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</si>
  <si>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</si>
  <si>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</si>
  <si>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</si>
  <si>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</si>
  <si>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</si>
  <si>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</si>
  <si>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</si>
  <si>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</si>
  <si>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</si>
  <si>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</si>
  <si>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</si>
  <si>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</si>
  <si>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</si>
  <si>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</si>
  <si>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</si>
  <si>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</si>
  <si>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</si>
  <si>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</si>
  <si>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</si>
  <si>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</si>
  <si>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</si>
  <si>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</si>
  <si>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</si>
  <si>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</si>
  <si>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</si>
  <si>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</si>
  <si>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</si>
  <si>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</si>
  <si>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</si>
  <si>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</si>
  <si>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</si>
  <si>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</si>
  <si>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</si>
  <si>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</si>
  <si>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</si>
  <si>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</si>
  <si>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</si>
  <si>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</si>
  <si>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</si>
  <si>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</si>
  <si>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</si>
  <si>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</si>
  <si>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</si>
  <si>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</si>
  <si>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</si>
  <si>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</si>
  <si>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</si>
  <si>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</si>
  <si>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</si>
  <si>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</si>
  <si>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</si>
  <si>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</si>
  <si>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</si>
  <si>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</si>
  <si>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</si>
  <si>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</si>
  <si>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</si>
  <si>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</si>
  <si>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</si>
  <si>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</si>
  <si>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</si>
  <si>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</si>
  <si>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</si>
  <si>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</si>
  <si>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</si>
  <si>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</si>
  <si>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</si>
  <si>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</si>
  <si>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</si>
  <si>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</si>
  <si>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</si>
  <si>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</si>
  <si>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</si>
  <si>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</si>
  <si>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</si>
  <si>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</si>
  <si>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</si>
  <si>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</si>
  <si>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</si>
  <si>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</si>
  <si>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</si>
  <si>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</si>
  <si>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</si>
  <si>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</si>
  <si>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</si>
  <si>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</si>
  <si>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</si>
  <si>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</si>
  <si>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</si>
  <si>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</si>
  <si>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</si>
  <si>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</si>
  <si>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</si>
  <si>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</si>
  <si>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</si>
  <si>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</si>
  <si>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</si>
  <si>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</si>
  <si>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</si>
  <si>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</si>
  <si>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</si>
  <si>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</si>
  <si>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</si>
  <si>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</si>
  <si>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</si>
  <si>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</si>
  <si>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</si>
  <si>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</si>
  <si>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</si>
  <si>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</si>
  <si>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</si>
  <si>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</si>
  <si>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</si>
  <si>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</si>
  <si>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</si>
  <si>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</si>
  <si>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</si>
  <si>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</si>
  <si>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</si>
  <si>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</si>
  <si>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</si>
  <si>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</si>
  <si>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</si>
  <si>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</si>
  <si>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</si>
  <si>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</si>
  <si>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</si>
  <si>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</si>
  <si>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</si>
  <si>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</si>
  <si>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</si>
  <si>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</si>
  <si>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</si>
  <si>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</si>
  <si>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</si>
  <si>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</si>
  <si>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</si>
  <si>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</si>
  <si>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</si>
  <si>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</si>
  <si>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</si>
  <si>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</si>
  <si>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</si>
  <si>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</si>
  <si>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</si>
  <si>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</si>
  <si>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</si>
  <si>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</si>
  <si>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</si>
  <si>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</si>
  <si>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</si>
  <si>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</si>
  <si>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</si>
  <si>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</si>
  <si>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</si>
  <si>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</si>
  <si>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</si>
  <si>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</si>
  <si>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</si>
  <si>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</si>
  <si>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</si>
  <si>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</si>
  <si>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</si>
  <si>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</si>
  <si>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</si>
  <si>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</si>
  <si>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</si>
  <si>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</si>
  <si>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</si>
  <si>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</si>
  <si>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</si>
  <si>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</si>
  <si>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</si>
  <si>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</si>
  <si>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</si>
  <si>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</si>
  <si>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</si>
  <si>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</si>
  <si>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</si>
  <si>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</si>
  <si>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</si>
  <si>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</si>
  <si>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</si>
  <si>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</si>
  <si>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</si>
  <si>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</si>
  <si>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</si>
  <si>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</si>
  <si>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</si>
  <si>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</si>
  <si>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</si>
  <si>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</si>
  <si>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</si>
  <si>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</si>
  <si>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</si>
  <si>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</si>
  <si>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</si>
  <si>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</si>
  <si>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</si>
  <si>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</si>
  <si>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</si>
  <si>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</si>
  <si>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</si>
  <si>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</si>
  <si>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</si>
  <si>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</si>
  <si>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</si>
  <si>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</si>
  <si>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</si>
  <si>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</si>
  <si>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</si>
  <si>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</si>
  <si>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</si>
  <si>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</si>
  <si>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</si>
  <si>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</si>
  <si>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</si>
  <si>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</si>
  <si>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</si>
  <si>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</si>
  <si>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</si>
  <si>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</si>
  <si>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</si>
  <si>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</si>
  <si>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</si>
  <si>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</si>
  <si>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</si>
  <si>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</si>
  <si>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</si>
  <si>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</si>
  <si>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</si>
  <si>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</si>
  <si>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</si>
  <si>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</si>
  <si>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</si>
  <si>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</si>
  <si>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</si>
  <si>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</si>
  <si>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</si>
  <si>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</si>
  <si>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</si>
  <si>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</si>
  <si>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</si>
  <si>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</si>
  <si>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</si>
  <si>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</si>
  <si>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</si>
  <si>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</si>
  <si>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</si>
  <si>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</si>
  <si>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</si>
  <si>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</si>
  <si>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</si>
  <si>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</si>
  <si>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</si>
  <si>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</si>
  <si>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</si>
  <si>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</si>
  <si>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</si>
  <si>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</si>
  <si>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</si>
  <si>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</si>
  <si>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</si>
  <si>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</si>
  <si>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</si>
  <si>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</si>
  <si>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</si>
  <si>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</si>
  <si>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</si>
  <si>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</si>
  <si>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</si>
  <si>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</si>
  <si>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</si>
  <si>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</si>
  <si>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</si>
  <si>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</si>
  <si>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</si>
  <si>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</si>
  <si>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</si>
  <si>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</si>
  <si>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</si>
  <si>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</si>
  <si>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</si>
  <si>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</si>
  <si>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</si>
  <si>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</si>
  <si>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</si>
  <si>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</si>
  <si>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</si>
  <si>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</si>
  <si>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</si>
  <si>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</si>
  <si>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</si>
  <si>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</si>
  <si>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</si>
  <si>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</si>
  <si>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</si>
  <si>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</si>
  <si>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</si>
  <si>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</si>
  <si>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</si>
  <si>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</si>
  <si>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</si>
  <si>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</si>
  <si>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</si>
  <si>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</si>
  <si>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</si>
  <si>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</si>
  <si>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</si>
  <si>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</si>
  <si>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</si>
  <si>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</si>
  <si>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</si>
  <si>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</si>
  <si>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</si>
  <si>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</si>
  <si>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</si>
  <si>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</si>
  <si>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</si>
  <si>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</si>
  <si>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</si>
  <si>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</si>
  <si>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</si>
  <si>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</si>
  <si>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</si>
  <si>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</si>
  <si>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</si>
  <si>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</si>
  <si>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</si>
  <si>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</si>
  <si>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</si>
  <si>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</si>
  <si>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</si>
  <si>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</si>
  <si>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</si>
  <si>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</si>
  <si>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</si>
  <si>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</si>
  <si>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</si>
  <si>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</si>
  <si>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</si>
  <si>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</si>
  <si>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</si>
  <si>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</si>
  <si>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</si>
  <si>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</si>
  <si>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</si>
  <si>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</si>
  <si>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</si>
  <si>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</si>
  <si>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</si>
  <si>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</si>
  <si>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</si>
  <si>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</si>
  <si>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</si>
  <si>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</si>
  <si>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</si>
  <si>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</si>
  <si>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</si>
  <si>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</si>
  <si>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</si>
  <si>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</si>
  <si>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</si>
  <si>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</si>
  <si>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</si>
  <si>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</si>
  <si>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</si>
  <si>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</si>
  <si>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</si>
  <si>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</si>
  <si>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</si>
  <si>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</si>
  <si>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</si>
  <si>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</si>
  <si>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</si>
  <si>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</si>
  <si>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</si>
  <si>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</si>
  <si>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</si>
  <si>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</si>
  <si>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</si>
  <si>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</si>
  <si>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</si>
  <si>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</si>
  <si>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</si>
  <si>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</si>
  <si>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</si>
  <si>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</si>
  <si>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</si>
  <si>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</si>
  <si>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</si>
  <si>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</si>
  <si>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</si>
  <si>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</si>
  <si>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</si>
  <si>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</si>
  <si>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</si>
  <si>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</si>
  <si>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</si>
  <si>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</si>
  <si>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</si>
  <si>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</si>
  <si>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</si>
  <si>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</si>
  <si>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</si>
  <si>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</si>
  <si>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</si>
  <si>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</si>
  <si>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</si>
  <si>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</si>
  <si>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</si>
  <si>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</si>
  <si>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</si>
  <si>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</si>
  <si>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</si>
  <si>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</si>
  <si>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</si>
  <si>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</si>
  <si>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</si>
  <si>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</si>
  <si>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</si>
  <si>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</si>
  <si>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</si>
  <si>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</si>
  <si>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</si>
  <si>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</si>
  <si>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</si>
  <si>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</si>
  <si>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</si>
  <si>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</si>
  <si>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</si>
  <si>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</si>
  <si>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</si>
  <si>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</si>
  <si>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</si>
  <si>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</si>
  <si>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</si>
  <si>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</si>
  <si>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</si>
  <si>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</si>
  <si>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</si>
  <si>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</si>
  <si>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</si>
  <si>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</si>
  <si>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</si>
  <si>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</si>
  <si>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</si>
  <si>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</si>
  <si>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</si>
  <si>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</si>
  <si>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</si>
  <si>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</si>
  <si>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</si>
  <si>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</si>
  <si>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</si>
  <si>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</si>
  <si>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</si>
  <si>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</si>
  <si>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</si>
  <si>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</si>
  <si>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</si>
  <si>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</si>
  <si>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</si>
  <si>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</si>
  <si>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</si>
  <si>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</si>
  <si>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</si>
  <si>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</si>
  <si>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</si>
  <si>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</si>
  <si>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</si>
  <si>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</si>
  <si>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</si>
  <si>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</si>
  <si>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</si>
  <si>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</si>
  <si>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</si>
  <si>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</si>
  <si>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</si>
  <si>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</si>
  <si>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</si>
  <si>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</si>
  <si>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</si>
  <si>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</si>
  <si>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</si>
  <si>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</si>
  <si>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</si>
  <si>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</si>
  <si>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</si>
  <si>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</si>
  <si>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</si>
  <si>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</si>
  <si>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</si>
  <si>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</si>
  <si>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</si>
  <si>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</si>
  <si>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</si>
  <si>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</si>
  <si>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</si>
  <si>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</si>
  <si>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</si>
  <si>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</si>
  <si>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</si>
  <si>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</si>
  <si>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</si>
  <si>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</si>
  <si>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</si>
  <si>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</si>
  <si>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</si>
  <si>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</si>
  <si>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</si>
  <si>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</si>
  <si>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</si>
  <si>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</si>
  <si>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</si>
  <si>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</si>
  <si>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</si>
  <si>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</si>
  <si>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</si>
  <si>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</si>
  <si>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</si>
  <si>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</si>
  <si>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</si>
  <si>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</si>
  <si>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</si>
  <si>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</si>
  <si>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</si>
  <si>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</si>
  <si>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</si>
  <si>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</si>
  <si>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</si>
  <si>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</si>
  <si>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</si>
  <si>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</si>
  <si>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</si>
  <si>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</si>
  <si>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</si>
  <si>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</si>
  <si>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</si>
  <si>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</si>
  <si>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</si>
  <si>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</si>
  <si>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</si>
  <si>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</si>
  <si>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</si>
  <si>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</si>
  <si>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</si>
  <si>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</si>
  <si>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</si>
  <si>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</si>
  <si>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</si>
  <si>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</si>
  <si>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</si>
  <si>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</si>
  <si>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</si>
  <si>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</si>
  <si>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</si>
  <si>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</si>
  <si>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</si>
  <si>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</si>
  <si>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</si>
  <si>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</si>
  <si>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</si>
  <si>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</si>
  <si>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</si>
  <si>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</si>
  <si>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</si>
  <si>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</si>
  <si>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</si>
  <si>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</si>
  <si>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</si>
  <si>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</si>
  <si>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</si>
  <si>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</si>
  <si>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</si>
  <si>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</si>
  <si>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</si>
  <si>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</si>
  <si>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</si>
  <si>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</si>
  <si>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</si>
  <si>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</si>
  <si>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</si>
  <si>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</si>
  <si>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</si>
  <si>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</si>
  <si>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</si>
  <si>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</si>
  <si>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</si>
  <si>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</si>
  <si>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</si>
  <si>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</si>
  <si>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</si>
  <si>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</si>
  <si>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</si>
  <si>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</si>
  <si>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</si>
  <si>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</si>
  <si>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</si>
  <si>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</si>
  <si>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</si>
  <si>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</si>
  <si>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</si>
  <si>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</si>
  <si>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</si>
  <si>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</si>
  <si>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</si>
  <si>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</si>
  <si>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</si>
  <si>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</si>
  <si>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</si>
  <si>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</si>
  <si>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</si>
  <si>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</si>
  <si>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</si>
  <si>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</si>
  <si>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</si>
  <si>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</si>
  <si>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</si>
  <si>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</si>
  <si>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</si>
  <si>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</si>
  <si>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</si>
  <si>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</si>
  <si>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</si>
  <si>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</si>
  <si>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</si>
  <si>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</si>
  <si>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</si>
  <si>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</si>
  <si>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</si>
  <si>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</si>
  <si>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</si>
  <si>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</si>
  <si>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</si>
  <si>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</si>
  <si>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</si>
  <si>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</si>
  <si>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</si>
  <si>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</si>
  <si>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</si>
  <si>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</si>
  <si>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</si>
  <si>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</si>
  <si>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</si>
  <si>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</si>
  <si>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</si>
  <si>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</si>
  <si>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</si>
  <si>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</si>
  <si>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</si>
  <si>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</si>
  <si>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</si>
  <si>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</si>
  <si>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</si>
  <si>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</si>
  <si>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</si>
  <si>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</si>
  <si>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</si>
  <si>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</si>
  <si>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</si>
  <si>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</si>
  <si>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</si>
  <si>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</si>
  <si>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</si>
  <si>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</si>
  <si>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</si>
  <si>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</si>
  <si>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</si>
  <si>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</si>
  <si>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</si>
  <si>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</si>
  <si>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</si>
  <si>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</si>
  <si>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</si>
  <si>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</si>
  <si>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</si>
  <si>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</si>
  <si>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</si>
  <si>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</si>
  <si>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</si>
  <si>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</si>
  <si>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</si>
  <si>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</si>
  <si>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</si>
  <si>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</si>
  <si>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</si>
  <si>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</si>
  <si>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</si>
  <si>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</si>
  <si>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</si>
  <si>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</si>
  <si>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</si>
  <si>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</si>
  <si>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</si>
  <si>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</si>
  <si>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</si>
  <si>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</si>
  <si>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</si>
  <si>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</si>
  <si>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</si>
  <si>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</si>
  <si>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</si>
  <si>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</si>
  <si>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</si>
  <si>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</si>
  <si>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</si>
  <si>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</si>
  <si>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</si>
  <si>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</si>
  <si>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</si>
  <si>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</si>
  <si>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</si>
  <si>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</si>
  <si>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</si>
  <si>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</si>
  <si>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</si>
  <si>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</si>
  <si>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</si>
  <si>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</si>
  <si>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</si>
  <si>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</si>
  <si>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</si>
  <si>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</si>
  <si>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</si>
  <si>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</si>
  <si>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</si>
  <si>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</si>
  <si>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</si>
  <si>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</si>
  <si>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</si>
  <si>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</si>
  <si>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</si>
  <si>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</si>
  <si>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</si>
  <si>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</si>
  <si>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</si>
  <si>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</si>
  <si>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</si>
  <si>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</si>
  <si>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</si>
  <si>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</si>
  <si>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</si>
  <si>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</si>
  <si>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</si>
  <si>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</si>
  <si>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</si>
  <si>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</si>
  <si>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</si>
  <si>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</si>
  <si>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</si>
  <si>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</si>
  <si>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</si>
  <si>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</si>
  <si>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</si>
  <si>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</si>
  <si>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</si>
  <si>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</si>
  <si>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</si>
  <si>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</si>
  <si>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</si>
  <si>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</si>
  <si>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</si>
  <si>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</si>
  <si>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</si>
  <si>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</si>
  <si>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</si>
  <si>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</si>
  <si>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</si>
  <si>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</si>
  <si>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</si>
  <si>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</si>
  <si>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</si>
  <si>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</si>
  <si>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</si>
  <si>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</si>
  <si>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</si>
  <si>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</si>
  <si>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</si>
  <si>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</si>
  <si>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</si>
  <si>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</si>
  <si>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</si>
  <si>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</si>
  <si>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</si>
  <si>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</si>
  <si>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</si>
  <si>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</si>
  <si>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</si>
  <si>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</si>
  <si>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</si>
  <si>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</si>
  <si>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</si>
  <si>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</si>
  <si>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</si>
  <si>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</si>
  <si>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</si>
  <si>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</si>
  <si>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</si>
  <si>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</si>
  <si>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</si>
  <si>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</si>
  <si>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</si>
  <si>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</si>
  <si>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</si>
  <si>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</si>
  <si>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</si>
  <si>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</si>
  <si>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</si>
  <si>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</si>
  <si>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</si>
  <si>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</si>
  <si>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</si>
  <si>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</si>
  <si>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</si>
  <si>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</si>
  <si>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</si>
  <si>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</si>
  <si>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</si>
  <si>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</si>
  <si>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</si>
  <si>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</si>
  <si>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</si>
  <si>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</si>
  <si>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</si>
  <si>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</si>
  <si>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</si>
  <si>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</si>
  <si>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</si>
  <si>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</si>
  <si>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</si>
  <si>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</si>
  <si>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</si>
  <si>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</si>
  <si>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</si>
  <si>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</si>
  <si>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</si>
  <si>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</si>
  <si>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</si>
  <si>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</si>
  <si>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</si>
  <si>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</si>
  <si>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</si>
  <si>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</si>
  <si>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</si>
  <si>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</si>
  <si>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</si>
  <si>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</si>
  <si>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</si>
  <si>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</si>
  <si>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</si>
  <si>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</si>
  <si>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</si>
  <si>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</si>
  <si>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</si>
  <si>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</si>
  <si>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</si>
  <si>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</si>
  <si>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</si>
  <si>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</si>
  <si>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</si>
  <si>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</si>
  <si>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</si>
  <si>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</si>
  <si>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</si>
  <si>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</si>
  <si>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</si>
  <si>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</si>
  <si>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</si>
  <si>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</si>
  <si>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</si>
  <si>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</si>
  <si>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</si>
  <si>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</si>
  <si>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</si>
  <si>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</si>
  <si>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</si>
  <si>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</si>
  <si>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</si>
  <si>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</si>
  <si>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</si>
  <si>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</si>
  <si>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</si>
  <si>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</si>
  <si>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</si>
  <si>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</si>
  <si>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</si>
  <si>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</si>
  <si>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</si>
  <si>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</si>
  <si>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</si>
  <si>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</si>
  <si>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</si>
  <si>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</si>
  <si>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</si>
  <si>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</si>
  <si>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</si>
  <si>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</si>
  <si>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</si>
  <si>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</si>
  <si>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</si>
  <si>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</si>
  <si>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</si>
  <si>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</si>
  <si>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</si>
  <si>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</si>
  <si>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</si>
  <si>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</si>
  <si>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</si>
  <si>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</si>
  <si>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</si>
  <si>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</si>
  <si>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</si>
  <si>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</si>
  <si>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</si>
  <si>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</si>
  <si>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</si>
  <si>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</si>
  <si>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</si>
  <si>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</si>
  <si>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</si>
  <si>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</si>
  <si>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</si>
  <si>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</si>
  <si>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</si>
  <si>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</si>
  <si>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</si>
  <si>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</si>
  <si>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</si>
  <si>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</si>
  <si>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</si>
  <si>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</si>
  <si>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</si>
  <si>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</si>
  <si>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</si>
  <si>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</si>
  <si>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</si>
  <si>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</si>
  <si>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</si>
  <si>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</si>
  <si>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</si>
  <si>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</si>
  <si>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</si>
  <si>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</si>
  <si>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</si>
  <si>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</si>
  <si>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</si>
  <si>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</si>
  <si>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</si>
  <si>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</si>
  <si>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</si>
  <si>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</si>
  <si>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</si>
  <si>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</si>
  <si>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</si>
  <si>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</si>
  <si>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</si>
  <si>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</si>
  <si>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</si>
  <si>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</si>
  <si>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</si>
  <si>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</si>
  <si>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</si>
  <si>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</si>
  <si>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</si>
  <si>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</si>
  <si>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</si>
  <si>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</si>
  <si>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</si>
  <si>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</si>
  <si>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</si>
  <si>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</si>
  <si>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</si>
  <si>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</si>
  <si>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</si>
  <si>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</si>
  <si>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</si>
  <si>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</si>
  <si>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</si>
  <si>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</si>
  <si>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</si>
  <si>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</si>
  <si>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</si>
  <si>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</si>
  <si>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</si>
  <si>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</si>
  <si>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</si>
  <si>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</si>
  <si>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</si>
  <si>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</si>
  <si>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</si>
  <si>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</si>
  <si>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</si>
  <si>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</si>
  <si>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</si>
  <si>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</si>
  <si>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</si>
  <si>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</si>
  <si>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</si>
  <si>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</si>
  <si>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</si>
  <si>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</si>
  <si>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</si>
  <si>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</si>
  <si>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</si>
  <si>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</si>
  <si>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</si>
  <si>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</si>
  <si>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</si>
  <si>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</si>
  <si>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</si>
  <si>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</si>
  <si>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</si>
  <si>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</si>
  <si>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</si>
  <si>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</si>
  <si>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</si>
  <si>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</si>
  <si>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</si>
  <si>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</si>
  <si>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</si>
  <si>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</si>
  <si>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</si>
  <si>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</si>
  <si>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</si>
  <si>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</si>
  <si>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</si>
  <si>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</si>
  <si>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</si>
  <si>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</si>
  <si>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</si>
  <si>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</si>
  <si>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</si>
  <si>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</si>
  <si>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</si>
  <si>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</si>
  <si>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</si>
  <si>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</si>
  <si>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</si>
  <si>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</si>
  <si>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</si>
  <si>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</si>
  <si>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</si>
  <si>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</si>
  <si>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</si>
  <si>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</si>
  <si>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</si>
  <si>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</si>
  <si>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</si>
  <si>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</si>
  <si>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</si>
  <si>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</si>
  <si>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</si>
  <si>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</si>
  <si>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</si>
  <si>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</si>
  <si>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</si>
  <si>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</si>
  <si>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</si>
  <si>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</si>
  <si>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</si>
  <si>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</si>
  <si>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</si>
  <si>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</si>
  <si>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</si>
  <si>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</si>
  <si>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</si>
  <si>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</si>
  <si>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</si>
  <si>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</si>
  <si>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</si>
  <si>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</si>
  <si>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</si>
  <si>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</si>
  <si>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</si>
  <si>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</si>
  <si>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</si>
  <si>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</si>
  <si>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</si>
  <si>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</si>
  <si>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</si>
  <si>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</si>
  <si>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</si>
  <si>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</si>
  <si>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</si>
  <si>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</si>
  <si>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</si>
  <si>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</si>
  <si>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</si>
  <si>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</si>
  <si>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</si>
  <si>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</si>
  <si>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</si>
  <si>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</si>
  <si>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</si>
  <si>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</si>
  <si>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</si>
  <si>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</si>
  <si>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</si>
  <si>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</si>
  <si>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</si>
  <si>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</si>
  <si>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</si>
  <si>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</si>
  <si>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</si>
  <si>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</si>
  <si>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</si>
  <si>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</si>
  <si>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</si>
  <si>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</si>
  <si>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</si>
  <si>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</si>
  <si>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</si>
  <si>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</si>
  <si>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</si>
  <si>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</si>
  <si>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</si>
  <si>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</si>
  <si>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</si>
  <si>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</si>
  <si>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</si>
  <si>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</si>
  <si>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</si>
  <si>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</si>
  <si>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</si>
  <si>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</si>
  <si>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</si>
  <si>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</si>
  <si>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</si>
  <si>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</si>
  <si>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</si>
  <si>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</si>
  <si>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</si>
  <si>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</si>
  <si>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</si>
  <si>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</si>
  <si>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</si>
  <si>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</si>
  <si>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</si>
  <si>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</si>
  <si>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</si>
  <si>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</si>
  <si>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</si>
  <si>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</si>
  <si>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</si>
  <si>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</si>
  <si>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</si>
  <si>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</si>
  <si>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</si>
  <si>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</si>
  <si>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</si>
  <si>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</si>
  <si>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</si>
  <si>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</si>
  <si>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</si>
  <si>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</si>
  <si>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</si>
  <si>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</si>
  <si>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</si>
  <si>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</si>
  <si>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</si>
  <si>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</si>
  <si>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</si>
  <si>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</si>
  <si>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</si>
  <si>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</si>
  <si>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</si>
  <si>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</si>
  <si>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</si>
  <si>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</si>
  <si>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</si>
  <si>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</si>
  <si>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</si>
  <si>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</si>
  <si>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</si>
  <si>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</si>
  <si>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</si>
  <si>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</si>
  <si>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</si>
  <si>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</si>
  <si>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</si>
  <si>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</si>
  <si>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</si>
  <si>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</si>
  <si>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</si>
  <si>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</si>
  <si>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</si>
  <si>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</si>
  <si>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</si>
  <si>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</si>
  <si>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</si>
  <si>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</si>
  <si>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</si>
  <si>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</si>
  <si>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</si>
  <si>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</si>
  <si>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</si>
  <si>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</si>
  <si>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</si>
  <si>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</si>
  <si>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</si>
  <si>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</si>
  <si>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</si>
  <si>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</si>
  <si>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</si>
  <si>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</si>
  <si>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</si>
  <si>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</si>
  <si>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</si>
  <si>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</si>
  <si>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</si>
  <si>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</si>
  <si>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</si>
  <si>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</si>
  <si>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</si>
  <si>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</si>
  <si>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</si>
  <si>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</si>
  <si>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</si>
  <si>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</si>
  <si>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</si>
  <si>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</si>
  <si>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</si>
  <si>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</si>
  <si>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</si>
  <si>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</si>
  <si>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</si>
  <si>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</si>
  <si>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</si>
  <si>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</si>
  <si>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</si>
  <si>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</si>
  <si>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</si>
  <si>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</si>
  <si>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</si>
  <si>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</si>
  <si>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</si>
  <si>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</si>
  <si>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</si>
  <si>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</si>
  <si>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</si>
  <si>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</si>
  <si>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</si>
  <si>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</si>
  <si>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</si>
  <si>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</si>
  <si>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</si>
  <si>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</si>
  <si>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</si>
  <si>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</si>
  <si>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</si>
  <si>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</si>
  <si>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</si>
  <si>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</si>
  <si>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</si>
  <si>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</si>
  <si>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</si>
  <si>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</si>
  <si>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</si>
  <si>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</si>
  <si>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</si>
  <si>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</si>
  <si>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</si>
  <si>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</si>
  <si>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</si>
  <si>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</si>
  <si>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</si>
  <si>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</si>
  <si>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</si>
  <si>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</si>
  <si>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</si>
  <si>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</si>
  <si>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</si>
  <si>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</si>
  <si>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</si>
  <si>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</si>
  <si>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</si>
  <si>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</si>
  <si>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</si>
  <si>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</si>
  <si>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</si>
  <si>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</si>
  <si>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</si>
  <si>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</si>
  <si>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</si>
  <si>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</si>
  <si>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</si>
  <si>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</si>
  <si>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</si>
  <si>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</si>
  <si>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</si>
  <si>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</si>
  <si>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</si>
  <si>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</si>
  <si>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</si>
  <si>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</si>
  <si>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</si>
  <si>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</si>
  <si>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</si>
  <si>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</si>
  <si>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</si>
  <si>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</si>
  <si>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</si>
  <si>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</si>
  <si>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</si>
  <si>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</si>
  <si>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</si>
  <si>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</si>
  <si>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</si>
  <si>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</si>
  <si>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</si>
  <si>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</si>
  <si>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</si>
  <si>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</si>
  <si>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</si>
  <si>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</si>
  <si>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</si>
  <si>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</si>
  <si>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</si>
  <si>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</si>
  <si>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</si>
  <si>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</si>
  <si>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</si>
  <si>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</si>
  <si>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</si>
  <si>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</si>
  <si>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</si>
  <si>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</si>
  <si>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</si>
  <si>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</si>
  <si>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</si>
  <si>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</si>
  <si>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</si>
  <si>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</si>
  <si>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</si>
  <si>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</si>
  <si>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</si>
  <si>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</si>
  <si>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</si>
  <si>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</si>
  <si>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</si>
  <si>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</si>
  <si>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</si>
  <si>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</si>
  <si>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</si>
  <si>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</si>
  <si>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</si>
  <si>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</si>
  <si>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</si>
  <si>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</si>
  <si>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</si>
  <si>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</si>
  <si>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</si>
  <si>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</si>
  <si>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</si>
  <si>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</si>
  <si>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</si>
  <si>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</si>
  <si>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</si>
  <si>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</si>
  <si>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</si>
  <si>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</si>
  <si>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</si>
  <si>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</si>
  <si>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</si>
  <si>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</si>
  <si>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</si>
  <si>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</si>
  <si>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</si>
  <si>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</si>
  <si>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</si>
  <si>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</si>
  <si>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</si>
  <si>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</si>
  <si>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</si>
  <si>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</si>
  <si>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</si>
  <si>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</si>
  <si>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</si>
  <si>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</si>
  <si>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</si>
  <si>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</si>
  <si>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</si>
  <si>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</si>
  <si>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</si>
  <si>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</si>
  <si>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</si>
  <si>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</si>
  <si>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</si>
  <si>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</si>
  <si>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</si>
  <si>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</si>
  <si>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</si>
  <si>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</si>
  <si>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</si>
  <si>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</si>
  <si>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</si>
  <si>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</si>
  <si>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</si>
  <si>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</si>
  <si>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</si>
  <si>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</si>
  <si>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</si>
  <si>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</si>
  <si>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</si>
  <si>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</si>
  <si>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</si>
  <si>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</si>
  <si>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</si>
  <si>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</si>
  <si>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</si>
  <si>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</si>
  <si>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</si>
  <si>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</si>
  <si>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</si>
  <si>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</si>
  <si>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</si>
  <si>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</si>
  <si>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</si>
  <si>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</si>
  <si>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</si>
  <si>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</si>
  <si>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</si>
  <si>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</si>
  <si>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</si>
  <si>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</si>
  <si>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</si>
  <si>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</si>
  <si>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</si>
  <si>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</si>
  <si>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</si>
  <si>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</si>
  <si>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</si>
  <si>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</si>
  <si>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</si>
  <si>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</si>
  <si>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</si>
  <si>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</si>
  <si>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</si>
  <si>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</si>
  <si>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</si>
  <si>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</si>
  <si>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</si>
  <si>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</si>
  <si>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</si>
  <si>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</si>
  <si>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</si>
  <si>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</si>
  <si>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</si>
  <si>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</si>
  <si>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</si>
  <si>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</si>
  <si>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</si>
  <si>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</si>
  <si>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</si>
  <si>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</si>
  <si>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</si>
  <si>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</si>
  <si>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</si>
  <si>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</si>
  <si>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</si>
  <si>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</si>
  <si>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</si>
  <si>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</si>
  <si>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</si>
  <si>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</si>
  <si>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</si>
  <si>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</si>
  <si>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</si>
  <si>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</si>
  <si>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</si>
  <si>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</si>
  <si>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</si>
  <si>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</si>
  <si>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</si>
  <si>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</si>
  <si>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</si>
  <si>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</si>
  <si>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</si>
  <si>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</si>
  <si>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</si>
  <si>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</si>
  <si>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</si>
  <si>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</si>
  <si>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</si>
  <si>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</si>
  <si>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</si>
  <si>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</si>
  <si>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</si>
  <si>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</si>
  <si>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</si>
  <si>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</si>
  <si>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</si>
  <si>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</si>
  <si>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</si>
  <si>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</si>
  <si>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</si>
  <si>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</si>
  <si>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</si>
  <si>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</si>
  <si>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</si>
  <si>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</si>
  <si>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</si>
  <si>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</si>
  <si>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</si>
  <si>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</si>
  <si>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</si>
  <si>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</si>
  <si>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</si>
  <si>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</si>
  <si>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</si>
  <si>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</si>
  <si>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</si>
  <si>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</si>
  <si>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</si>
  <si>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</si>
  <si>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</si>
  <si>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</si>
  <si>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</si>
  <si>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</si>
  <si>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</si>
  <si>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</si>
  <si>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</si>
  <si>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</si>
  <si>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</si>
  <si>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</si>
  <si>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</si>
  <si>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</si>
  <si>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</si>
  <si>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</si>
  <si>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</si>
  <si>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</si>
  <si>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</si>
  <si>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</si>
  <si>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</si>
  <si>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</si>
  <si>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</si>
  <si>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</si>
  <si>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</si>
  <si>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</si>
  <si>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</si>
  <si>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</si>
  <si>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</si>
  <si>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</si>
  <si>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</si>
  <si>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</si>
  <si>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</si>
  <si>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</si>
  <si>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</si>
  <si>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</si>
  <si>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</si>
  <si>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</si>
  <si>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</si>
  <si>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</si>
  <si>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</si>
  <si>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</si>
  <si>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</si>
  <si>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</si>
  <si>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</si>
  <si>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</si>
  <si>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</si>
  <si>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</si>
  <si>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</si>
  <si>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</si>
  <si>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</si>
  <si>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</si>
  <si>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</si>
  <si>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</si>
  <si>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</si>
  <si>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</si>
  <si>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</si>
  <si>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</si>
  <si>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</si>
  <si>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</si>
  <si>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</si>
  <si>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</si>
  <si>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</si>
  <si>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</si>
  <si>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</si>
  <si>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</si>
  <si>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</si>
  <si>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</si>
  <si>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</si>
  <si>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</si>
  <si>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</si>
  <si>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</si>
  <si>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</si>
  <si>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</si>
  <si>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</si>
  <si>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</si>
  <si>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</si>
  <si>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</si>
  <si>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</si>
  <si>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</si>
  <si>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</si>
  <si>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</si>
  <si>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</si>
  <si>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</si>
  <si>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</si>
  <si>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</si>
  <si>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</si>
  <si>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</si>
  <si>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</si>
  <si>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</si>
  <si>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</si>
  <si>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</si>
  <si>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</si>
  <si>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</si>
  <si>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</si>
  <si>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</si>
  <si>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</si>
  <si>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</si>
  <si>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</si>
  <si>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</si>
  <si>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</si>
  <si>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</si>
  <si>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</si>
  <si>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</si>
  <si>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</si>
  <si>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</si>
  <si>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</si>
  <si>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</si>
  <si>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</si>
  <si>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</si>
  <si>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</si>
  <si>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</si>
  <si>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</si>
  <si>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</si>
  <si>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</si>
  <si>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</si>
  <si>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</si>
  <si>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</si>
  <si>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</si>
  <si>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</si>
  <si>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</si>
  <si>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</si>
  <si>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</si>
  <si>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</si>
  <si>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</si>
  <si>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</si>
  <si>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</si>
  <si>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</si>
  <si>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</si>
  <si>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</si>
  <si>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</si>
  <si>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</si>
  <si>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</si>
  <si>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</si>
  <si>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</si>
  <si>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</si>
  <si>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</si>
  <si>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</si>
  <si>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</si>
  <si>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</si>
  <si>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</si>
  <si>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</si>
  <si>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</si>
  <si>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</si>
  <si>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</si>
  <si>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</si>
  <si>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</si>
  <si>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</si>
  <si>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</si>
  <si>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</si>
  <si>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</si>
  <si>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</si>
  <si>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</si>
  <si>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</si>
  <si>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</si>
  <si>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</si>
  <si>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</si>
  <si>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</si>
  <si>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</si>
  <si>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</si>
  <si>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</si>
  <si>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</si>
  <si>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</si>
  <si>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</si>
  <si>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</si>
  <si>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</si>
  <si>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</si>
  <si>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</si>
  <si>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</si>
  <si>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</si>
  <si>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</si>
  <si>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</si>
  <si>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</si>
  <si>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</si>
  <si>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</si>
  <si>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</si>
  <si>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</si>
  <si>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</si>
  <si>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</si>
  <si>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</si>
  <si>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</si>
  <si>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</si>
  <si>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</si>
  <si>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</si>
  <si>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</si>
  <si>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</si>
  <si>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</si>
  <si>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</si>
  <si>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</si>
  <si>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</si>
  <si>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</si>
  <si>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</si>
  <si>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</si>
  <si>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</si>
  <si>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</si>
  <si>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</si>
  <si>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</si>
  <si>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</si>
  <si>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</si>
  <si>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</si>
  <si>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</si>
  <si>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</si>
  <si>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</si>
  <si>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</si>
  <si>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</si>
  <si>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</si>
  <si>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</si>
  <si>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</si>
  <si>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</si>
  <si>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</si>
  <si>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</si>
  <si>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</si>
  <si>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</si>
  <si>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</si>
  <si>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</si>
  <si>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</si>
  <si>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</si>
  <si>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</si>
  <si>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</si>
  <si>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</si>
  <si>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</si>
  <si>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</si>
  <si>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</si>
  <si>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</si>
  <si>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</si>
  <si>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</si>
  <si>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</si>
  <si>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</si>
  <si>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</si>
  <si>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</si>
  <si>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</si>
  <si>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</si>
  <si>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</si>
  <si>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</si>
  <si>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</si>
  <si>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</si>
  <si>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</si>
  <si>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</si>
  <si>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</si>
  <si>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</si>
  <si>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</si>
  <si>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</si>
  <si>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</si>
  <si>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</si>
  <si>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</si>
  <si>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</si>
  <si>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</si>
  <si>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</si>
  <si>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</si>
  <si>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</si>
  <si>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</si>
  <si>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</si>
  <si>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</si>
  <si>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</si>
  <si>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</si>
  <si>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</si>
  <si>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</si>
  <si>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</si>
  <si>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</si>
  <si>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</si>
  <si>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</si>
  <si>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</si>
  <si>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</si>
  <si>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</si>
  <si>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</si>
  <si>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</si>
  <si>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</si>
  <si>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</si>
  <si>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</si>
  <si>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</si>
  <si>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</si>
  <si>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</si>
  <si>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</si>
  <si>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</si>
  <si>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</si>
  <si>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</si>
  <si>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</si>
  <si>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</si>
  <si>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</si>
  <si>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</si>
  <si>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</si>
  <si>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</si>
  <si>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</si>
  <si>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</si>
  <si>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</si>
  <si>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</si>
  <si>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</si>
  <si>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</si>
  <si>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</si>
  <si>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</si>
  <si>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</si>
  <si>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</si>
  <si>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</si>
  <si>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</si>
  <si>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</si>
  <si>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</si>
  <si>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</si>
  <si>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</si>
  <si>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</si>
  <si>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</si>
  <si>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</si>
  <si>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</si>
  <si>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</si>
  <si>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</si>
  <si>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</si>
  <si>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</si>
  <si>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</si>
  <si>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</si>
  <si>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</si>
  <si>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</si>
  <si>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</si>
  <si>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</si>
  <si>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</si>
  <si>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</si>
  <si>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</si>
  <si>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</si>
  <si>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</si>
  <si>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</si>
  <si>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</si>
  <si>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</si>
  <si>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</si>
  <si>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</si>
  <si>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</si>
  <si>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</si>
  <si>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</si>
  <si>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</si>
  <si>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</si>
  <si>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</si>
  <si>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</si>
  <si>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</si>
  <si>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</si>
  <si>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</si>
  <si>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</si>
  <si>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</si>
  <si>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</si>
  <si>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</si>
  <si>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</si>
  <si>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</si>
  <si>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</si>
  <si>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</si>
  <si>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</si>
  <si>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</si>
  <si>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</si>
  <si>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</si>
  <si>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</si>
  <si>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</si>
  <si>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</si>
  <si>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</si>
  <si>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</si>
  <si>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</si>
  <si>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</si>
  <si>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</si>
  <si>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</si>
  <si>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</si>
  <si>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</si>
  <si>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</si>
  <si>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</si>
  <si>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</si>
  <si>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</si>
  <si>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</si>
  <si>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</si>
  <si>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</si>
  <si>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</si>
  <si>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</si>
  <si>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</si>
  <si>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</si>
  <si>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</si>
  <si>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</si>
  <si>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</si>
  <si>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</si>
  <si>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</si>
  <si>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</si>
  <si>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</si>
  <si>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</si>
  <si>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</si>
  <si>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</si>
  <si>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</si>
  <si>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</si>
  <si>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</si>
  <si>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</si>
  <si>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</si>
  <si>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</si>
  <si>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</si>
  <si>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</si>
  <si>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</si>
  <si>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</si>
  <si>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</si>
  <si>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</si>
  <si>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</si>
  <si>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</si>
  <si>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</si>
  <si>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</si>
  <si>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</si>
  <si>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</si>
  <si>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</si>
  <si>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</si>
  <si>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</si>
  <si>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</si>
  <si>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</si>
  <si>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</si>
  <si>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</si>
  <si>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</si>
  <si>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</si>
  <si>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</si>
  <si>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</si>
  <si>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</si>
  <si>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</si>
  <si>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</si>
  <si>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</si>
  <si>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</si>
  <si>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</si>
  <si>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</si>
  <si>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</si>
  <si>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</si>
  <si>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</si>
  <si>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</si>
  <si>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</si>
  <si>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</si>
  <si>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</si>
  <si>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</si>
  <si>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</si>
  <si>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</si>
  <si>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</si>
  <si>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</si>
  <si>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</si>
  <si>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</si>
  <si>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</si>
  <si>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</si>
  <si>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</si>
  <si>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</si>
  <si>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</si>
  <si>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</si>
  <si>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</si>
  <si>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</si>
  <si>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</si>
  <si>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</si>
  <si>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</si>
  <si>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</si>
  <si>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</si>
  <si>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</si>
  <si>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</si>
  <si>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</si>
  <si>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</si>
  <si>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</si>
  <si>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</si>
  <si>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</si>
  <si>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</si>
  <si>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</si>
  <si>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</si>
  <si>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</si>
  <si>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</si>
  <si>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</si>
  <si>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</si>
  <si>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</si>
  <si>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</si>
  <si>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</si>
  <si>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</si>
  <si>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</si>
  <si>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</si>
  <si>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</si>
  <si>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</si>
  <si>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</si>
  <si>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</si>
  <si>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</si>
  <si>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</si>
  <si>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</si>
  <si>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</si>
  <si>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</si>
  <si>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</si>
  <si>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</si>
  <si>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</si>
  <si>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</si>
  <si>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</si>
  <si>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</si>
  <si>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</si>
  <si>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</si>
  <si>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</si>
  <si>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</si>
  <si>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</si>
  <si>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</si>
  <si>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</si>
  <si>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</si>
  <si>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</si>
  <si>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</si>
  <si>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</si>
  <si>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</si>
  <si>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</si>
  <si>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</si>
  <si>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</si>
  <si>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</si>
  <si>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</si>
  <si>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</si>
  <si>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</si>
  <si>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</si>
  <si>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</si>
  <si>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</si>
  <si>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</si>
  <si>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</si>
  <si>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</si>
  <si>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</si>
  <si>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</si>
  <si>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</si>
  <si>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</si>
  <si>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</si>
  <si>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</si>
  <si>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</si>
  <si>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</si>
  <si>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</si>
  <si>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</si>
  <si>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</si>
  <si>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</si>
  <si>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</si>
  <si>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</si>
  <si>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</si>
  <si>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</si>
  <si>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</si>
  <si>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</si>
  <si>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</si>
  <si>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</si>
  <si>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</si>
  <si>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</si>
  <si>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</si>
  <si>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</si>
  <si>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</si>
  <si>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</si>
  <si>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</si>
  <si>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</si>
  <si>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</si>
  <si>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</si>
  <si>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</si>
  <si>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</si>
  <si>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</si>
  <si>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</si>
  <si>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</si>
  <si>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</si>
  <si>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</si>
  <si>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</si>
  <si>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</si>
  <si>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</si>
  <si>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</si>
  <si>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</si>
  <si>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</si>
  <si>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</si>
  <si>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</si>
  <si>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</si>
  <si>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</si>
  <si>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</si>
  <si>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</si>
  <si>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</si>
  <si>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</si>
  <si>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</si>
  <si>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</si>
  <si>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</si>
  <si>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</si>
  <si>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</si>
  <si>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</si>
  <si>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</si>
  <si>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</si>
  <si>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</si>
  <si>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</si>
  <si>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</si>
  <si>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</si>
  <si>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</si>
  <si>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</si>
  <si>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</si>
  <si>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</si>
  <si>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</si>
  <si>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</si>
  <si>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</si>
  <si>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</si>
  <si>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</si>
  <si>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</si>
  <si>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</si>
  <si>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</si>
  <si>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</si>
  <si>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</si>
  <si>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</si>
  <si>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</si>
  <si>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</si>
  <si>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</si>
  <si>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</si>
  <si>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</si>
  <si>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</si>
  <si>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</si>
  <si>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</si>
  <si>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</si>
  <si>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</si>
  <si>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</si>
  <si>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</si>
  <si>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</si>
  <si>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</si>
  <si>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</si>
  <si>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</si>
  <si>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</si>
  <si>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</si>
  <si>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</si>
  <si>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</si>
  <si>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</si>
  <si>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</si>
  <si>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</si>
  <si>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</si>
  <si>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</si>
  <si>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</si>
  <si>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</si>
  <si>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</si>
  <si>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</si>
  <si>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</si>
  <si>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</si>
  <si>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</si>
  <si>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</si>
  <si>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</si>
  <si>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</si>
  <si>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</si>
  <si>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</si>
  <si>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</si>
  <si>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</si>
  <si>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</si>
  <si>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</si>
  <si>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</si>
  <si>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</si>
  <si>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</si>
  <si>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</si>
  <si>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</si>
  <si>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</si>
  <si>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</si>
  <si>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</si>
  <si>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</si>
  <si>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</si>
  <si>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</si>
  <si>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</si>
  <si>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</si>
  <si>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</si>
  <si>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</si>
  <si>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</si>
  <si>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</si>
  <si>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</si>
  <si>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</si>
  <si>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</si>
  <si>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</si>
  <si>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</si>
  <si>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</si>
  <si>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</si>
  <si>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</si>
  <si>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</si>
  <si>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</si>
  <si>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</si>
  <si>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</si>
  <si>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</si>
  <si>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</si>
  <si>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</si>
  <si>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</si>
  <si>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</si>
  <si>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</si>
  <si>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</si>
  <si>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</si>
  <si>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</si>
  <si>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</si>
  <si>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</si>
  <si>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</si>
  <si>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</si>
  <si>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</si>
  <si>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</si>
  <si>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</si>
  <si>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</si>
  <si>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</si>
  <si>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</si>
  <si>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</si>
  <si>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</si>
  <si>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</si>
  <si>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</si>
  <si>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</si>
  <si>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</si>
  <si>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</si>
  <si>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</si>
  <si>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</si>
  <si>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</si>
  <si>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</si>
  <si>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</si>
  <si>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</si>
  <si>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</si>
  <si>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</si>
  <si>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</si>
  <si>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</si>
  <si>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</si>
  <si>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</si>
  <si>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</si>
  <si>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</si>
  <si>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</si>
  <si>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</si>
  <si>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</si>
  <si>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</si>
  <si>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</si>
  <si>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</si>
  <si>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</si>
  <si>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</si>
  <si>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</si>
  <si>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</si>
  <si>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</si>
  <si>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</si>
  <si>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</si>
  <si>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</si>
  <si>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</si>
  <si>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</si>
  <si>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</si>
  <si>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</si>
  <si>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</si>
  <si>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</si>
  <si>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</si>
  <si>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</si>
  <si>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</si>
  <si>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</si>
  <si>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</si>
  <si>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</si>
  <si>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</si>
  <si>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</si>
  <si>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</si>
  <si>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</si>
  <si>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</si>
  <si>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</si>
  <si>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</si>
  <si>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</si>
  <si>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</si>
  <si>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</si>
  <si>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</si>
  <si>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</si>
  <si>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</si>
  <si>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</si>
  <si>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</si>
  <si>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</si>
  <si>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</si>
  <si>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</si>
  <si>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</si>
  <si>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</si>
  <si>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</si>
  <si>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</si>
  <si>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</si>
  <si>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</si>
  <si>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</si>
  <si>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</si>
  <si>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</si>
  <si>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</si>
  <si>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</si>
  <si>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</si>
  <si>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</si>
  <si>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</si>
  <si>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</si>
  <si>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</si>
  <si>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</si>
  <si>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</si>
  <si>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</si>
  <si>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</si>
  <si>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</si>
  <si>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</si>
  <si>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</si>
  <si>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</si>
  <si>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</si>
  <si>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</si>
  <si>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</si>
  <si>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</si>
  <si>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</si>
  <si>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</si>
  <si>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</si>
  <si>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</si>
  <si>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</si>
  <si>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</si>
  <si>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</si>
  <si>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</si>
  <si>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</si>
  <si>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</si>
  <si>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</si>
  <si>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</si>
  <si>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</si>
  <si>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</si>
  <si>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</si>
  <si>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</si>
  <si>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</si>
  <si>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</si>
  <si>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</si>
  <si>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</si>
  <si>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</si>
  <si>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</si>
  <si>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</si>
  <si>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</si>
  <si>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</si>
  <si>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</si>
  <si>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</si>
  <si>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</si>
  <si>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</si>
  <si>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</si>
  <si>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</si>
  <si>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</si>
  <si>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</si>
  <si>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</si>
  <si>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</si>
  <si>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</si>
  <si>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</si>
  <si>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</si>
  <si>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</si>
  <si>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</si>
  <si>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</si>
  <si>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</si>
  <si>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</si>
  <si>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</si>
  <si>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</si>
  <si>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</si>
  <si>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</si>
  <si>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</si>
  <si>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</si>
  <si>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</si>
  <si>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</si>
  <si>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</si>
  <si>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</si>
  <si>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</si>
  <si>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</si>
  <si>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</si>
  <si>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</si>
  <si>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</si>
  <si>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</si>
  <si>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</si>
  <si>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</si>
  <si>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</si>
  <si>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</si>
  <si>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</si>
  <si>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</si>
  <si>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</si>
  <si>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</si>
  <si>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</si>
  <si>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</si>
  <si>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</si>
  <si>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</si>
  <si>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</si>
  <si>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</si>
  <si>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</si>
  <si>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</si>
  <si>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</si>
  <si>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</si>
  <si>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</si>
  <si>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</si>
  <si>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</si>
  <si>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</si>
  <si>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</si>
  <si>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</si>
  <si>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</si>
  <si>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</si>
  <si>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</si>
  <si>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</si>
  <si>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</si>
  <si>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</si>
  <si>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</si>
  <si>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</si>
  <si>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</si>
  <si>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</si>
  <si>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</si>
  <si>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</si>
  <si>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</si>
  <si>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</si>
  <si>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</si>
  <si>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</si>
  <si>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</si>
  <si>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</si>
  <si>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</si>
  <si>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</si>
  <si>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</si>
  <si>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</si>
  <si>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</si>
  <si>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</si>
  <si>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</si>
  <si>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</si>
  <si>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</si>
  <si>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</si>
  <si>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</si>
  <si>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</si>
  <si>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</si>
  <si>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</si>
  <si>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</si>
  <si>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</si>
  <si>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</si>
  <si>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</si>
  <si>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</si>
  <si>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</si>
  <si>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</si>
  <si>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</si>
  <si>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</si>
  <si>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</si>
  <si>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</si>
  <si>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</si>
  <si>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</si>
  <si>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</si>
  <si>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</si>
  <si>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</si>
  <si>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</si>
  <si>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</si>
  <si>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</si>
  <si>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</si>
  <si>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</si>
  <si>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</si>
  <si>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</si>
  <si>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</si>
  <si>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</si>
  <si>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</si>
  <si>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</si>
  <si>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</si>
  <si>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</si>
  <si>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</si>
  <si>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</si>
  <si>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</si>
  <si>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</si>
  <si>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</si>
  <si>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</si>
  <si>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</si>
  <si>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</si>
  <si>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</si>
  <si>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</si>
  <si>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</si>
  <si>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</si>
  <si>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</si>
  <si>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</si>
  <si>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</si>
  <si>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</si>
  <si>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</si>
  <si>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</si>
  <si>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</si>
  <si>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</si>
  <si>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</si>
  <si>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</si>
  <si>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</si>
  <si>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</si>
  <si>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</si>
  <si>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</si>
  <si>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</si>
  <si>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</si>
  <si>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</si>
  <si>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</si>
  <si>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</si>
  <si>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</si>
  <si>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</si>
  <si>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</si>
  <si>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</si>
  <si>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</si>
  <si>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</si>
  <si>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</si>
  <si>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</si>
  <si>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</si>
  <si>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</si>
  <si>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</si>
  <si>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</si>
  <si>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</si>
  <si>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</si>
  <si>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</si>
  <si>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</si>
  <si>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</si>
  <si>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</si>
  <si>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</si>
  <si>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</si>
  <si>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</si>
  <si>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</si>
  <si>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</si>
  <si>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</si>
  <si>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</si>
  <si>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</si>
  <si>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</si>
  <si>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</si>
  <si>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</si>
  <si>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</si>
  <si>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</si>
  <si>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</si>
  <si>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</si>
  <si>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</si>
  <si>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</si>
  <si>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</si>
  <si>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</si>
  <si>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</si>
  <si>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</si>
  <si>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</si>
  <si>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</si>
  <si>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</si>
  <si>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</si>
  <si>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</si>
  <si>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</si>
  <si>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</si>
  <si>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</si>
  <si>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</si>
  <si>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</si>
  <si>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</si>
  <si>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</si>
  <si>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</si>
  <si>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</si>
  <si>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</si>
  <si>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</si>
  <si>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</si>
  <si>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</si>
  <si>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</si>
  <si>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</si>
  <si>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</si>
  <si>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</si>
  <si>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</si>
  <si>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</si>
  <si>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</si>
  <si>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</si>
  <si>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</si>
  <si>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</si>
  <si>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</si>
  <si>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</si>
  <si>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</si>
  <si>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</si>
  <si>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</si>
  <si>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</si>
  <si>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</si>
  <si>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</si>
  <si>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</si>
  <si>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</si>
  <si>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</si>
  <si>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</si>
  <si>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</si>
  <si>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</si>
  <si>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</si>
  <si>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</si>
  <si>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</si>
  <si>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</si>
  <si>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</si>
  <si>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</si>
  <si>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</si>
  <si>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</si>
  <si>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</si>
  <si>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</si>
  <si>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</si>
  <si>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</si>
  <si>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</si>
  <si>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</si>
  <si>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</si>
  <si>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</si>
  <si>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</si>
  <si>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</si>
  <si>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</si>
  <si>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</si>
  <si>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</si>
  <si>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</si>
  <si>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</si>
  <si>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</si>
  <si>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</si>
  <si>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</si>
  <si>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</si>
  <si>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</si>
  <si>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</si>
  <si>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</si>
  <si>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</si>
  <si>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</si>
  <si>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</si>
  <si>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</si>
  <si>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</si>
  <si>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</si>
  <si>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</si>
  <si>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</si>
  <si>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</si>
  <si>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</si>
  <si>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</si>
  <si>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</si>
  <si>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</si>
  <si>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</si>
  <si>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</si>
  <si>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</si>
  <si>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</si>
  <si>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</si>
  <si>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</si>
  <si>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</si>
  <si>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</si>
  <si>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</si>
  <si>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</si>
  <si>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</si>
  <si>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</si>
  <si>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</si>
  <si>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</si>
  <si>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</si>
  <si>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</si>
  <si>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</si>
  <si>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</si>
  <si>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</si>
  <si>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</si>
  <si>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</si>
  <si>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</si>
  <si>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</si>
  <si>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</si>
  <si>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</si>
  <si>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</si>
  <si>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</si>
  <si>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</si>
  <si>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</si>
  <si>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</si>
  <si>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</si>
  <si>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</si>
  <si>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</si>
  <si>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</si>
  <si>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</si>
  <si>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</si>
  <si>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</si>
  <si>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</si>
  <si>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</si>
  <si>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</si>
  <si>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</si>
  <si>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</si>
  <si>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</si>
  <si>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</si>
  <si>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</si>
  <si>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</si>
  <si>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</si>
  <si>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</si>
  <si>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</si>
  <si>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</si>
  <si>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</si>
  <si>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</si>
  <si>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</si>
  <si>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</si>
  <si>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</si>
  <si>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</si>
  <si>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</si>
  <si>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</si>
  <si>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</si>
  <si>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</si>
  <si>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</si>
  <si>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</si>
  <si>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</si>
  <si>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</si>
  <si>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</si>
  <si>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</si>
  <si>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</si>
  <si>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</si>
  <si>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</si>
  <si>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</si>
  <si>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</si>
  <si>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</si>
  <si>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</si>
  <si>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</si>
  <si>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</si>
  <si>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</si>
  <si>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</si>
  <si>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</si>
  <si>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</si>
  <si>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</si>
  <si>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</si>
  <si>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</si>
  <si>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</si>
  <si>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</si>
  <si>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</si>
  <si>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</si>
  <si>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</si>
  <si>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</si>
  <si>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</si>
  <si>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</si>
  <si>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</si>
  <si>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</si>
  <si>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</si>
  <si>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</si>
  <si>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</si>
  <si>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</si>
  <si>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</si>
  <si>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</si>
  <si>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</si>
  <si>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</si>
  <si>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</si>
  <si>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</si>
  <si>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</si>
  <si>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</si>
  <si>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</si>
  <si>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</si>
  <si>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</si>
  <si>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</si>
  <si>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</si>
  <si>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</si>
  <si>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</si>
  <si>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</si>
  <si>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</si>
  <si>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</si>
  <si>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</si>
  <si>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</si>
  <si>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</si>
  <si>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</si>
  <si>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</si>
  <si>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</si>
  <si>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</si>
  <si>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</si>
  <si>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</si>
  <si>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</si>
  <si>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</si>
  <si>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</si>
  <si>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</si>
  <si>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</si>
  <si>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</si>
  <si>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</si>
  <si>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</si>
  <si>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</si>
  <si>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</si>
  <si>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</si>
  <si>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</si>
  <si>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</si>
  <si>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</si>
  <si>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</si>
  <si>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</si>
  <si>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</si>
  <si>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</si>
  <si>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</si>
  <si>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</si>
  <si>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</si>
  <si>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</si>
  <si>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</si>
  <si>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</si>
  <si>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</si>
  <si>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</si>
  <si>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</si>
  <si>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</si>
  <si>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</si>
  <si>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</si>
  <si>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</si>
  <si>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</si>
  <si>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</si>
  <si>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</si>
  <si>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</si>
  <si>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</si>
  <si>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</si>
  <si>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</si>
  <si>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</si>
  <si>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</si>
  <si>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</si>
  <si>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</si>
  <si>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</si>
  <si>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</si>
  <si>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</si>
  <si>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</si>
  <si>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</si>
  <si>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</si>
  <si>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</si>
  <si>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</si>
  <si>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</si>
  <si>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</si>
  <si>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</si>
  <si>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</si>
  <si>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</si>
  <si>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</si>
  <si>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</si>
  <si>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</si>
  <si>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</si>
  <si>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</si>
  <si>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</si>
  <si>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</si>
  <si>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</si>
  <si>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</si>
  <si>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</si>
  <si>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</si>
  <si>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</si>
  <si>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</si>
  <si>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</si>
  <si>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</si>
  <si>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</si>
  <si>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</si>
  <si>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</si>
  <si>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</si>
  <si>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</si>
  <si>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</si>
  <si>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</si>
  <si>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</si>
  <si>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</si>
  <si>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</si>
  <si>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</si>
  <si>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</si>
  <si>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</si>
  <si>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</si>
  <si>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</si>
  <si>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</si>
  <si>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</si>
  <si>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</si>
  <si>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</si>
  <si>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</si>
  <si>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</si>
  <si>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</si>
  <si>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</si>
  <si>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</si>
  <si>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</si>
  <si>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</si>
  <si>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</si>
  <si>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</si>
  <si>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</si>
  <si>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</si>
  <si>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</si>
  <si>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</si>
  <si>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</si>
  <si>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</si>
  <si>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</si>
  <si>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</si>
  <si>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</si>
  <si>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</si>
  <si>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</si>
  <si>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</si>
  <si>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</si>
  <si>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</si>
  <si>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</si>
  <si>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</si>
  <si>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</si>
  <si>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</si>
  <si>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</si>
  <si>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</si>
  <si>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</si>
  <si>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</si>
  <si>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</si>
  <si>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</si>
  <si>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</si>
  <si>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</si>
  <si>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</si>
  <si>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</si>
  <si>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</si>
  <si>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</si>
  <si>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</si>
  <si>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</si>
  <si>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</si>
  <si>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</si>
  <si>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</si>
  <si>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</si>
  <si>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</si>
  <si>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</si>
  <si>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</si>
  <si>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</si>
  <si>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</si>
  <si>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</si>
  <si>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</si>
  <si>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</si>
  <si>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</si>
  <si>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</si>
  <si>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</si>
  <si>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</si>
  <si>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</si>
  <si>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</si>
  <si>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</si>
  <si>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</si>
  <si>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</si>
  <si>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</si>
  <si>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</si>
  <si>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</si>
  <si>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</si>
  <si>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</si>
  <si>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</si>
  <si>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</si>
  <si>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</si>
  <si>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</si>
  <si>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</si>
  <si>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</si>
  <si>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</si>
  <si>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</si>
  <si>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</si>
  <si>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</si>
  <si>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</si>
  <si>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</si>
  <si>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</si>
  <si>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</si>
  <si>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</si>
  <si>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</si>
  <si>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</si>
  <si>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</si>
  <si>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</si>
  <si>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</si>
  <si>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</si>
  <si>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</si>
  <si>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</si>
  <si>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</si>
  <si>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</si>
  <si>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</si>
  <si>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</si>
  <si>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</si>
  <si>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</si>
  <si>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</si>
  <si>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</si>
  <si>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</si>
  <si>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</si>
  <si>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</si>
  <si>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</si>
  <si>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</si>
  <si>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</si>
  <si>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</si>
  <si>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</si>
  <si>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</si>
  <si>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</si>
  <si>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</si>
  <si>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</si>
  <si>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</si>
  <si>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</si>
  <si>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</si>
  <si>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</si>
  <si>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</si>
  <si>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</si>
  <si>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</si>
  <si>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</si>
  <si>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</si>
  <si>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</si>
  <si>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</si>
  <si>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</si>
  <si>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</si>
  <si>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</si>
  <si>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</si>
  <si>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</si>
  <si>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</si>
  <si>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</si>
  <si>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</si>
  <si>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</si>
  <si>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</si>
  <si>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</si>
  <si>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</si>
  <si>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</si>
  <si>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</si>
  <si>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</si>
  <si>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</si>
  <si>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</si>
  <si>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</si>
  <si>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</si>
  <si>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</si>
  <si>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</si>
  <si>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</si>
  <si>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</si>
  <si>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</si>
  <si>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</si>
  <si>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</si>
  <si>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</si>
  <si>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</si>
  <si>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</si>
  <si>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</si>
  <si>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</si>
  <si>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</si>
  <si>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</si>
  <si>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</si>
  <si>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</si>
  <si>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</si>
  <si>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</si>
  <si>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</si>
  <si>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</si>
  <si>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</si>
  <si>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</si>
  <si>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</si>
  <si>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</si>
  <si>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</si>
  <si>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</si>
  <si>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</si>
  <si>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</si>
  <si>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</si>
  <si>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</si>
  <si>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</si>
  <si>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</si>
  <si>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</si>
  <si>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</si>
  <si>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</si>
  <si>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</si>
  <si>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</si>
  <si>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</si>
  <si>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</si>
  <si>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</si>
  <si>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</si>
  <si>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</si>
  <si>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</si>
  <si>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</si>
  <si>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</si>
  <si>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</si>
  <si>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</si>
  <si>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</si>
  <si>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</si>
  <si>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</si>
  <si>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</si>
  <si>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</si>
  <si>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</si>
  <si>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</si>
  <si>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</si>
  <si>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</si>
  <si>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</si>
  <si>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</si>
  <si>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</si>
  <si>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</si>
  <si>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</si>
  <si>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</si>
  <si>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</si>
  <si>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</si>
  <si>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</si>
  <si>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</si>
  <si>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</si>
  <si>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</si>
  <si>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</si>
  <si>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</si>
  <si>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</si>
  <si>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</si>
  <si>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</si>
  <si>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</si>
  <si>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</si>
  <si>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</si>
  <si>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</si>
  <si>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</si>
  <si>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</si>
  <si>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</si>
  <si>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</si>
  <si>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</si>
  <si>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</si>
  <si>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</si>
  <si>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</si>
  <si>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</si>
  <si>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</si>
  <si>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</si>
  <si>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</si>
  <si>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</si>
  <si>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</si>
  <si>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</si>
  <si>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</si>
  <si>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</si>
  <si>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</si>
  <si>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</si>
  <si>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</si>
  <si>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</si>
  <si>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</si>
  <si>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</si>
  <si>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</si>
  <si>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</si>
  <si>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</si>
  <si>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</si>
  <si>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</si>
  <si>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</si>
  <si>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</si>
  <si>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</si>
  <si>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</si>
  <si>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</si>
  <si>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</si>
  <si>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</si>
  <si>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</si>
  <si>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</si>
  <si>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</si>
  <si>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</si>
  <si>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</si>
  <si>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</si>
  <si>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</si>
  <si>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</si>
  <si>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</si>
  <si>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</si>
  <si>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</si>
  <si>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</si>
  <si>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</si>
  <si>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</si>
  <si>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</si>
  <si>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</si>
  <si>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</si>
  <si>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</si>
  <si>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</si>
  <si>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</si>
  <si>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</si>
  <si>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</si>
  <si>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</si>
  <si>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</si>
  <si>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</si>
  <si>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</si>
  <si>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</si>
  <si>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</si>
  <si>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</si>
  <si>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</si>
  <si>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</si>
  <si>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</si>
  <si>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</si>
  <si>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</si>
  <si>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</si>
  <si>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</si>
  <si>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</si>
  <si>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</si>
  <si>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</si>
  <si>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</si>
  <si>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</si>
  <si>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</si>
  <si>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</si>
  <si>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</si>
  <si>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</si>
  <si>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</si>
  <si>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</si>
  <si>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</si>
  <si>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</si>
  <si>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</si>
  <si>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</si>
  <si>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</si>
  <si>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</si>
  <si>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</si>
  <si>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</si>
  <si>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</si>
  <si>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</si>
  <si>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</si>
  <si>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</si>
  <si>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</si>
  <si>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</si>
  <si>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</si>
  <si>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</si>
  <si>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</si>
  <si>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</si>
  <si>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</si>
  <si>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</si>
  <si>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</si>
  <si>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</si>
  <si>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</si>
  <si>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</si>
  <si>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</si>
  <si>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</si>
  <si>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</si>
  <si>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</si>
  <si>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</si>
  <si>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</si>
  <si>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</si>
  <si>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</si>
  <si>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</si>
  <si>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</si>
  <si>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</si>
  <si>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</si>
  <si>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</si>
  <si>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</si>
  <si>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</si>
  <si>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</si>
  <si>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</si>
  <si>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</si>
  <si>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</si>
  <si>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</si>
  <si>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</si>
  <si>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</si>
  <si>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</si>
  <si>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</si>
  <si>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</si>
  <si>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</si>
  <si>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</si>
  <si>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</si>
  <si>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</si>
  <si>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</si>
  <si>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</si>
  <si>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</si>
  <si>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</si>
  <si>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</si>
  <si>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</si>
  <si>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</si>
  <si>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</si>
  <si>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</si>
  <si>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</si>
  <si>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</si>
  <si>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</si>
  <si>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</si>
  <si>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</si>
  <si>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</si>
  <si>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</si>
  <si>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</si>
  <si>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</si>
  <si>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</si>
  <si>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</si>
  <si>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</si>
  <si>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</si>
  <si>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</si>
  <si>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</si>
  <si>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</si>
  <si>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</si>
  <si>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</si>
  <si>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</si>
  <si>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</si>
  <si>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</si>
  <si>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</si>
  <si>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</si>
  <si>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</si>
  <si>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</si>
  <si>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</si>
  <si>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</si>
  <si>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</si>
  <si>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</si>
  <si>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</si>
  <si>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</si>
  <si>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</si>
  <si>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</si>
  <si>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</si>
  <si>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</si>
  <si>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</si>
  <si>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</si>
  <si>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</si>
  <si>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</si>
  <si>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</si>
  <si>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</si>
  <si>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</si>
  <si>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</si>
  <si>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</si>
  <si>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</si>
  <si>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</si>
  <si>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</si>
  <si>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</si>
  <si>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</si>
  <si>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</si>
  <si>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</si>
  <si>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</si>
  <si>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</si>
  <si>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</si>
  <si>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</si>
  <si>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</si>
  <si>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</si>
  <si>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</si>
  <si>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</si>
  <si>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</si>
  <si>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</si>
  <si>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</si>
  <si>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</si>
  <si>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</si>
  <si>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</si>
  <si>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</si>
  <si>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</si>
  <si>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</si>
  <si>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</si>
  <si>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</si>
  <si>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</si>
  <si>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</si>
  <si>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</si>
  <si>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</si>
  <si>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</si>
  <si>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</si>
  <si>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</si>
  <si>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</si>
  <si>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</si>
  <si>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</si>
  <si>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</si>
  <si>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</si>
  <si>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</si>
  <si>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</si>
  <si>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</si>
  <si>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</si>
  <si>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</si>
  <si>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</si>
  <si>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</si>
  <si>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</si>
  <si>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</si>
  <si>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</si>
  <si>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</si>
  <si>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</si>
  <si>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</si>
  <si>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</si>
  <si>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</si>
  <si>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</si>
  <si>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</si>
  <si>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</si>
  <si>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</si>
  <si>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</si>
  <si>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</si>
  <si>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</si>
  <si>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</si>
  <si>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</si>
  <si>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</si>
  <si>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</si>
  <si>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</si>
  <si>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</si>
  <si>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</si>
  <si>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</si>
  <si>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</si>
  <si>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</si>
  <si>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</si>
  <si>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</si>
  <si>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</si>
  <si>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</si>
  <si>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</si>
  <si>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</si>
  <si>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</si>
  <si>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</si>
  <si>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</si>
  <si>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</si>
  <si>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</si>
  <si>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</si>
  <si>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</si>
  <si>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</si>
  <si>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</si>
  <si>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</si>
  <si>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</si>
  <si>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</si>
  <si>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</si>
  <si>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</si>
  <si>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</si>
  <si>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</si>
  <si>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</si>
  <si>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</si>
  <si>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</si>
  <si>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</si>
  <si>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</si>
  <si>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</si>
  <si>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</si>
  <si>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</si>
  <si>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</si>
  <si>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</si>
  <si>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</si>
  <si>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</si>
  <si>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</si>
  <si>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</si>
  <si>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</si>
  <si>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</si>
  <si>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</si>
  <si>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</si>
  <si>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</si>
  <si>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</si>
  <si>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</si>
  <si>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</si>
  <si>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</si>
  <si>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</si>
  <si>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</si>
  <si>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</si>
  <si>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</si>
  <si>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</si>
  <si>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</si>
  <si>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</si>
  <si>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</si>
  <si>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</si>
  <si>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</si>
  <si>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</si>
  <si>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</si>
  <si>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</si>
  <si>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</si>
  <si>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</si>
  <si>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</si>
  <si>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</si>
  <si>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</si>
  <si>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</si>
  <si>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</si>
  <si>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</si>
  <si>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</si>
  <si>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</si>
  <si>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</si>
  <si>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</si>
  <si>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</si>
  <si>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</si>
  <si>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</si>
  <si>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</si>
  <si>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</si>
  <si>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</si>
  <si>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</si>
  <si>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</si>
  <si>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</si>
  <si>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</si>
  <si>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</si>
  <si>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</si>
  <si>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</si>
  <si>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</si>
  <si>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</si>
  <si>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</si>
  <si>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</si>
  <si>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</si>
  <si>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</si>
  <si>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</si>
  <si>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</si>
  <si>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</si>
  <si>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</si>
  <si>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</si>
  <si>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</si>
  <si>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</si>
  <si>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</si>
  <si>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</si>
  <si>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</si>
  <si>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</si>
  <si>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</si>
  <si>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</si>
  <si>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</si>
  <si>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</si>
  <si>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</si>
  <si>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</si>
  <si>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</si>
  <si>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</si>
  <si>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</si>
  <si>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</si>
  <si>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</si>
  <si>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</si>
  <si>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</si>
  <si>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</si>
  <si>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</si>
  <si>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</si>
  <si>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</si>
  <si>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</si>
  <si>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</si>
  <si>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</si>
  <si>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</si>
  <si>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</si>
  <si>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</si>
  <si>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</si>
  <si>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</si>
  <si>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</si>
  <si>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</si>
  <si>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</si>
  <si>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</si>
  <si>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</si>
  <si>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</si>
  <si>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</si>
  <si>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</si>
  <si>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</si>
  <si>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</si>
  <si>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</si>
  <si>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</si>
  <si>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</si>
  <si>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</si>
  <si>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</si>
  <si>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</si>
  <si>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</si>
  <si>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</si>
  <si>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</si>
  <si>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</si>
  <si>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</si>
  <si>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</si>
  <si>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</si>
  <si>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</si>
  <si>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</si>
  <si>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</si>
  <si>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</si>
  <si>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</si>
  <si>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</si>
  <si>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</si>
  <si>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</si>
  <si>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</si>
  <si>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</si>
  <si>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</si>
  <si>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</si>
  <si>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</si>
  <si>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</si>
  <si>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</si>
  <si>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</si>
  <si>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</si>
  <si>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</si>
  <si>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</si>
  <si>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</si>
  <si>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</si>
  <si>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</si>
  <si>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</si>
  <si>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</si>
  <si>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</si>
  <si>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</si>
  <si>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</si>
  <si>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</si>
  <si>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</si>
  <si>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</si>
  <si>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</si>
  <si>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</si>
  <si>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</si>
  <si>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</si>
  <si>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</si>
  <si>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</si>
  <si>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</si>
  <si>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</si>
  <si>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</si>
  <si>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</si>
  <si>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</si>
  <si>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</si>
  <si>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</si>
  <si>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</si>
  <si>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</si>
  <si>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</si>
  <si>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</si>
  <si>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</si>
  <si>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</si>
  <si>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</si>
  <si>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</si>
  <si>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</si>
  <si>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</si>
  <si>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</si>
  <si>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</si>
  <si>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</si>
  <si>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</si>
  <si>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</si>
  <si>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</si>
  <si>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</si>
  <si>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</si>
  <si>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</si>
  <si>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</si>
  <si>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</si>
  <si>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</si>
  <si>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</si>
  <si>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</si>
  <si>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</si>
  <si>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</si>
  <si>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</si>
  <si>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</si>
  <si>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</si>
  <si>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</si>
  <si>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</si>
  <si>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</si>
  <si>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</si>
  <si>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</si>
  <si>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</si>
  <si>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</si>
  <si>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</si>
  <si>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</si>
  <si>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</si>
  <si>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</si>
  <si>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</si>
  <si>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</si>
  <si>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</si>
  <si>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</si>
  <si>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</si>
  <si>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</si>
  <si>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</si>
  <si>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</si>
  <si>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</si>
  <si>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</si>
  <si>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</si>
  <si>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</si>
  <si>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</si>
  <si>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</si>
  <si>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</si>
  <si>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</si>
  <si>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</si>
  <si>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</si>
  <si>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</si>
  <si>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</si>
  <si>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</si>
  <si>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</si>
  <si>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</si>
  <si>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</si>
  <si>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</si>
  <si>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</si>
  <si>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</si>
  <si>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</si>
  <si>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</si>
  <si>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</si>
  <si>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</si>
  <si>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</si>
  <si>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</si>
  <si>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</si>
  <si>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</si>
  <si>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</si>
  <si>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</si>
  <si>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</si>
  <si>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</si>
  <si>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</si>
  <si>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</si>
  <si>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</si>
  <si>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</si>
  <si>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</si>
  <si>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</si>
  <si>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</si>
  <si>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</si>
  <si>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</si>
  <si>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</si>
  <si>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</si>
  <si>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</si>
  <si>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</si>
  <si>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</si>
  <si>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</si>
  <si>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</si>
  <si>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</si>
  <si>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</si>
  <si>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</si>
  <si>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</si>
  <si>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</si>
  <si>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</si>
  <si>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</si>
  <si>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</si>
  <si>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</si>
  <si>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</si>
  <si>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</si>
  <si>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</si>
  <si>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</si>
  <si>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</si>
  <si>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</si>
  <si>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</si>
  <si>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</si>
  <si>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</si>
  <si>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</si>
  <si>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</si>
  <si>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</si>
  <si>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</si>
  <si>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</si>
  <si>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</si>
  <si>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</si>
  <si>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</si>
  <si>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</si>
  <si>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</si>
  <si>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</si>
  <si>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</si>
  <si>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</si>
  <si>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</si>
  <si>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</si>
  <si>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</si>
  <si>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</si>
  <si>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</si>
  <si>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</si>
  <si>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</si>
  <si>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</si>
  <si>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</si>
  <si>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</si>
  <si>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</si>
  <si>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</si>
  <si>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</si>
  <si>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</si>
  <si>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</si>
  <si>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</si>
  <si>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</si>
  <si>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</si>
  <si>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</si>
  <si>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</si>
  <si>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</si>
  <si>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</si>
  <si>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</si>
  <si>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</si>
  <si>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</si>
  <si>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</si>
  <si>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</si>
  <si>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</si>
  <si>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</si>
  <si>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</si>
  <si>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</si>
  <si>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</si>
  <si>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</si>
  <si>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</si>
  <si>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</si>
  <si>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</si>
  <si>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</si>
  <si>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</si>
  <si>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</si>
  <si>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</si>
  <si>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</si>
  <si>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</si>
  <si>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</si>
  <si>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</si>
  <si>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</si>
  <si>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</si>
  <si>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</si>
  <si>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</si>
  <si>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</si>
  <si>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</si>
  <si>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</si>
  <si>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</si>
  <si>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</si>
  <si>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</si>
  <si>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</si>
  <si>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</si>
  <si>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</si>
  <si>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</si>
  <si>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</si>
  <si>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</si>
  <si>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</si>
  <si>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</si>
  <si>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</si>
  <si>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</si>
  <si>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</si>
  <si>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</si>
  <si>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</si>
  <si>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</si>
  <si>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</si>
  <si>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</si>
  <si>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</si>
  <si>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</si>
  <si>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</si>
  <si>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</si>
  <si>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</si>
  <si>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</si>
  <si>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</si>
  <si>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</si>
  <si>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</si>
  <si>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</si>
  <si>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</si>
  <si>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</si>
  <si>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</si>
  <si>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</si>
  <si>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</si>
  <si>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</si>
  <si>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</si>
  <si>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</si>
  <si>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</si>
  <si>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</si>
  <si>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</si>
  <si>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</si>
  <si>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</si>
  <si>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</si>
  <si>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</si>
  <si>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</si>
  <si>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</si>
  <si>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</si>
  <si>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</si>
  <si>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</si>
  <si>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</si>
  <si>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</si>
  <si>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</si>
  <si>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</si>
  <si>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</si>
  <si>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</si>
  <si>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</si>
  <si>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</si>
  <si>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</si>
  <si>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</si>
  <si>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</si>
  <si>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</si>
  <si>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</si>
  <si>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</si>
  <si>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</si>
  <si>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</si>
  <si>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</si>
  <si>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</si>
  <si>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</si>
  <si>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</si>
  <si>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</si>
  <si>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</si>
  <si>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</si>
  <si>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</si>
  <si>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</si>
  <si>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</si>
  <si>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</si>
  <si>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</si>
  <si>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</si>
  <si>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</si>
  <si>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</si>
  <si>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</si>
  <si>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</si>
  <si>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</si>
  <si>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</si>
  <si>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</si>
  <si>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</si>
  <si>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</si>
  <si>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</si>
  <si>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</si>
  <si>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</si>
  <si>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</si>
  <si>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</si>
  <si>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</si>
  <si>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</si>
  <si>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</si>
  <si>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</si>
  <si>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</si>
  <si>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</si>
  <si>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</si>
  <si>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</si>
  <si>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</si>
  <si>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</si>
  <si>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</si>
  <si>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</si>
  <si>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</si>
  <si>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</si>
  <si>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</si>
  <si>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</si>
  <si>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</si>
  <si>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</si>
  <si>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</si>
  <si>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</si>
  <si>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</si>
  <si>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</si>
  <si>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</si>
  <si>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</si>
  <si>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</si>
  <si>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</si>
  <si>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</si>
  <si>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</si>
  <si>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</si>
  <si>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</si>
  <si>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</si>
  <si>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</si>
  <si>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</si>
  <si>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</si>
  <si>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</si>
  <si>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</si>
  <si>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</si>
  <si>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</si>
  <si>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</si>
  <si>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</si>
  <si>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</si>
  <si>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</si>
  <si>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</si>
  <si>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</si>
  <si>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</si>
  <si>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</si>
  <si>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</si>
  <si>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</si>
  <si>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</si>
  <si>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</si>
  <si>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</si>
  <si>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</si>
  <si>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</si>
  <si>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</si>
  <si>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</si>
  <si>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</si>
  <si>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</si>
  <si>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</si>
  <si>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</si>
  <si>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</si>
  <si>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</si>
  <si>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</si>
  <si>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</si>
  <si>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</si>
  <si>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</si>
  <si>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</si>
  <si>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</si>
  <si>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</si>
  <si>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</si>
  <si>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</si>
  <si>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</si>
  <si>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</si>
  <si>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</si>
  <si>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</si>
  <si>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</si>
  <si>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</si>
  <si>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</si>
  <si>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</si>
  <si>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</si>
  <si>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</si>
  <si>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</si>
  <si>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</si>
  <si>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</si>
  <si>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</si>
  <si>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</si>
  <si>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</si>
  <si>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</si>
  <si>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</si>
  <si>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</si>
  <si>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</si>
  <si>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</si>
  <si>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</si>
  <si>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</si>
  <si>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</si>
  <si>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</si>
  <si>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</si>
  <si>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</si>
  <si>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</si>
  <si>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</si>
  <si>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</si>
  <si>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</si>
  <si>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</si>
  <si>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</si>
  <si>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</si>
  <si>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</si>
  <si>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</si>
  <si>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</si>
  <si>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</si>
  <si>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</si>
  <si>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</si>
  <si>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</si>
  <si>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</si>
  <si>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</si>
  <si>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</si>
  <si>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</si>
  <si>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</si>
  <si>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</si>
  <si>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</si>
  <si>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</si>
  <si>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</si>
  <si>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</si>
  <si>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</si>
  <si>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</si>
  <si>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</si>
  <si>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</si>
  <si>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</si>
  <si>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</si>
  <si>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</si>
  <si>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</si>
  <si>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</si>
  <si>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</si>
  <si>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</si>
  <si>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</si>
  <si>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</si>
  <si>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</si>
  <si>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</si>
  <si>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</si>
  <si>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</si>
  <si>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</si>
  <si>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</si>
  <si>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</si>
  <si>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</si>
  <si>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</si>
  <si>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</si>
  <si>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</si>
  <si>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</si>
  <si>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</si>
  <si>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</si>
  <si>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</si>
  <si>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</si>
  <si>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</si>
  <si>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</si>
  <si>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</si>
  <si>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</si>
  <si>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</si>
  <si>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</si>
  <si>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</si>
  <si>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</si>
  <si>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</si>
  <si>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</si>
  <si>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</si>
  <si>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</si>
  <si>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</si>
  <si>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</si>
  <si>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</si>
  <si>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</si>
  <si>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</si>
  <si>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</si>
  <si>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</si>
  <si>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</si>
  <si>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</si>
  <si>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</si>
  <si>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</si>
  <si>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</si>
  <si>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</si>
  <si>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</si>
  <si>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</si>
  <si>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</si>
  <si>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</si>
  <si>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</si>
  <si>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</si>
  <si>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</si>
  <si>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</si>
  <si>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</si>
  <si>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</si>
  <si>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</si>
  <si>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</si>
  <si>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</si>
  <si>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</si>
  <si>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</si>
  <si>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</si>
  <si>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</si>
  <si>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</si>
  <si>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</si>
  <si>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</si>
  <si>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</si>
  <si>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</si>
  <si>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</si>
  <si>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</si>
  <si>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</si>
  <si>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</si>
  <si>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</si>
  <si>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</si>
  <si>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</si>
  <si>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</si>
  <si>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</si>
  <si>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</si>
  <si>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</si>
  <si>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</si>
  <si>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</si>
  <si>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</si>
  <si>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</si>
  <si>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</si>
  <si>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</si>
  <si>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</si>
  <si>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</si>
  <si>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</si>
  <si>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</si>
  <si>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</si>
  <si>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</si>
  <si>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</si>
  <si>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</si>
  <si>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</si>
  <si>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</si>
  <si>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</si>
  <si>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</si>
  <si>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</si>
  <si>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</si>
  <si>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</si>
  <si>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</si>
  <si>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</si>
  <si>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</si>
  <si>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</si>
  <si>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</si>
  <si>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</si>
  <si>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</si>
  <si>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</si>
  <si>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</si>
  <si>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</si>
  <si>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</si>
  <si>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</si>
  <si>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</si>
  <si>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</si>
  <si>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</si>
  <si>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</si>
  <si>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</si>
  <si>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</si>
  <si>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</si>
  <si>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</si>
  <si>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</si>
  <si>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</si>
  <si>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</si>
  <si>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</si>
  <si>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</si>
  <si>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</si>
  <si>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</si>
  <si>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</si>
  <si>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</si>
  <si>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</si>
  <si>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</si>
  <si>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</si>
  <si>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</si>
  <si>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</si>
  <si>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</si>
  <si>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</si>
  <si>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</si>
  <si>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</si>
  <si>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</si>
  <si>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</si>
  <si>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</si>
  <si>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</si>
  <si>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</si>
  <si>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</si>
  <si>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</si>
  <si>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</si>
  <si>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</si>
  <si>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</si>
  <si>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</si>
  <si>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</si>
  <si>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</si>
  <si>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</si>
  <si>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</si>
  <si>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</si>
  <si>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</si>
  <si>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</si>
  <si>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</si>
  <si>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</si>
  <si>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</si>
  <si>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</si>
  <si>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</si>
  <si>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</si>
  <si>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</si>
  <si>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</si>
  <si>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</si>
  <si>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</si>
  <si>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</si>
  <si>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</si>
  <si>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</si>
  <si>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</si>
  <si>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</si>
  <si>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</si>
  <si>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</si>
  <si>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</si>
  <si>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</si>
  <si>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</si>
  <si>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</si>
  <si>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</si>
  <si>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</si>
  <si>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</si>
  <si>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</si>
  <si>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</si>
  <si>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</si>
  <si>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</si>
  <si>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</si>
  <si>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</si>
  <si>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</si>
  <si>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</si>
  <si>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</si>
  <si>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</si>
  <si>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</si>
  <si>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</si>
  <si>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</si>
  <si>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</si>
  <si>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</si>
  <si>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</si>
  <si>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</si>
  <si>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</si>
  <si>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</si>
  <si>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</si>
  <si>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</si>
  <si>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</si>
  <si>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</si>
  <si>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</si>
  <si>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</si>
  <si>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</si>
  <si>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</si>
  <si>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</si>
  <si>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</si>
  <si>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</si>
  <si>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</si>
  <si>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</si>
  <si>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</si>
  <si>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</si>
  <si>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</si>
  <si>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</si>
  <si>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</si>
  <si>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</si>
  <si>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</si>
  <si>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</si>
  <si>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</si>
  <si>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</si>
  <si>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</si>
  <si>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</si>
  <si>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</si>
  <si>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</si>
  <si>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</si>
  <si>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</si>
  <si>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</si>
  <si>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</si>
  <si>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</si>
  <si>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</si>
  <si>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</si>
  <si>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</si>
  <si>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</si>
  <si>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</si>
  <si>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</si>
  <si>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</si>
  <si>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</si>
  <si>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</si>
  <si>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</si>
  <si>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</si>
  <si>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</si>
  <si>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</si>
  <si>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</si>
  <si>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</si>
  <si>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</si>
  <si>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</si>
  <si>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</si>
  <si>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</si>
  <si>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</si>
  <si>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</si>
  <si>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</si>
  <si>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</si>
  <si>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</si>
  <si>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</si>
  <si>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</si>
  <si>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</si>
  <si>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</si>
  <si>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</si>
  <si>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</si>
  <si>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</si>
  <si>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</si>
  <si>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</si>
  <si>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</si>
  <si>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</si>
  <si>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</si>
  <si>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</si>
  <si>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</si>
  <si>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</si>
  <si>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</si>
  <si>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</si>
  <si>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</si>
  <si>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</si>
  <si>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</si>
  <si>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</si>
  <si>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</si>
  <si>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</si>
  <si>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</si>
  <si>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</si>
  <si>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</si>
  <si>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</si>
  <si>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</si>
  <si>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</si>
  <si>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</si>
  <si>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</si>
  <si>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</si>
  <si>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</si>
  <si>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</si>
  <si>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</si>
  <si>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</si>
  <si>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</si>
  <si>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</si>
  <si>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</si>
  <si>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</si>
  <si>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</si>
  <si>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</si>
  <si>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</si>
  <si>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</si>
  <si>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</si>
  <si>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</si>
  <si>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</si>
  <si>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</si>
  <si>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</si>
  <si>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</si>
  <si>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</si>
  <si>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</si>
  <si>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</si>
  <si>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</si>
  <si>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</si>
  <si>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</si>
  <si>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</si>
  <si>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</si>
  <si>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</si>
  <si>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</si>
  <si>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</si>
  <si>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</si>
  <si>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</si>
  <si>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</si>
  <si>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</si>
  <si>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</si>
  <si>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</si>
  <si>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</si>
  <si>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</si>
  <si>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</si>
  <si>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</si>
  <si>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</si>
  <si>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</si>
  <si>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</si>
  <si>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</si>
  <si>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</si>
  <si>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</si>
  <si>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</si>
  <si>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</si>
  <si>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</si>
  <si>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</si>
  <si>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</si>
  <si>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</si>
  <si>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</si>
  <si>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</si>
  <si>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</si>
  <si>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</si>
  <si>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</si>
  <si>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</si>
  <si>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</si>
  <si>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</si>
  <si>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</si>
  <si>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</si>
  <si>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</si>
  <si>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</si>
  <si>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</si>
  <si>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</si>
  <si>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</si>
  <si>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</si>
  <si>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</si>
  <si>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</si>
  <si>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</si>
  <si>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</si>
  <si>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</si>
  <si>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</si>
  <si>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</si>
  <si>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</si>
  <si>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</si>
  <si>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</si>
  <si>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</si>
  <si>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</si>
  <si>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</si>
  <si>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</si>
  <si>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</si>
  <si>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</si>
  <si>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</si>
  <si>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</si>
  <si>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</si>
  <si>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</si>
  <si>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</si>
  <si>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</si>
  <si>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</si>
  <si>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</si>
  <si>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</si>
  <si>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</si>
  <si>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</si>
  <si>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</si>
  <si>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</si>
  <si>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</si>
  <si>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</si>
  <si>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</si>
  <si>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</si>
  <si>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</si>
  <si>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</si>
  <si>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</si>
  <si>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</si>
  <si>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</si>
  <si>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</si>
  <si>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</si>
  <si>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</si>
  <si>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</si>
  <si>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</si>
  <si>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</si>
  <si>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</si>
  <si>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</si>
  <si>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</si>
  <si>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</si>
  <si>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</si>
  <si>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</si>
  <si>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</si>
  <si>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</si>
  <si>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</si>
  <si>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</si>
  <si>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</si>
  <si>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</si>
  <si>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</si>
  <si>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</si>
  <si>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</si>
  <si>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</si>
  <si>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</si>
  <si>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</si>
  <si>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</si>
  <si>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</si>
  <si>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</si>
  <si>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</si>
  <si>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</si>
  <si>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</si>
  <si>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</si>
  <si>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</si>
  <si>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</si>
  <si>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</si>
  <si>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</si>
  <si>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</si>
  <si>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</si>
  <si>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</si>
  <si>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</si>
  <si>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</si>
  <si>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</si>
  <si>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</si>
  <si>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</si>
  <si>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</si>
  <si>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</si>
  <si>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</si>
  <si>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</si>
  <si>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</si>
  <si>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</si>
  <si>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</si>
  <si>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</si>
  <si>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</si>
  <si>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</si>
  <si>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</si>
  <si>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</si>
  <si>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</si>
  <si>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</si>
  <si>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</si>
  <si>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</si>
  <si>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</si>
  <si>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</si>
  <si>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</si>
  <si>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</si>
  <si>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</si>
  <si>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</si>
  <si>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</si>
  <si>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</si>
  <si>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</si>
  <si>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</si>
  <si>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</si>
  <si>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</si>
  <si>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</si>
  <si>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</si>
  <si>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</si>
  <si>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</si>
  <si>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</si>
  <si>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</si>
  <si>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</si>
  <si>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</si>
  <si>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</si>
  <si>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</si>
  <si>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</si>
  <si>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</si>
  <si>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</si>
  <si>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</si>
  <si>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</si>
  <si>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</si>
  <si>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</si>
  <si>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</si>
  <si>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</si>
  <si>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</si>
  <si>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</si>
  <si>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</si>
  <si>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</si>
  <si>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</si>
  <si>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</si>
  <si>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</si>
  <si>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</si>
  <si>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</si>
  <si>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</si>
  <si>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</si>
  <si>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</si>
  <si>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</si>
  <si>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</si>
  <si>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</si>
  <si>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</si>
  <si>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</si>
  <si>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</si>
  <si>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</si>
  <si>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</si>
  <si>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</si>
  <si>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</si>
  <si>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</si>
  <si>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</si>
  <si>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</si>
  <si>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</si>
  <si>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</si>
  <si>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</si>
  <si>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</si>
  <si>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</si>
  <si>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</si>
  <si>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</si>
  <si>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</si>
  <si>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</si>
  <si>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</si>
  <si>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</si>
  <si>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</si>
  <si>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</si>
  <si>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</si>
  <si>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</si>
  <si>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</si>
  <si>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</si>
  <si>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</si>
  <si>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</si>
  <si>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</si>
  <si>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</si>
  <si>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</si>
  <si>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</si>
  <si>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</si>
  <si>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</si>
  <si>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</si>
  <si>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</si>
  <si>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</si>
  <si>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</si>
  <si>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</si>
  <si>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</si>
  <si>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</si>
  <si>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</si>
  <si>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</si>
  <si>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</si>
  <si>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</si>
  <si>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</si>
  <si>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</si>
  <si>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</si>
  <si>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</si>
  <si>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</si>
  <si>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</si>
  <si>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</si>
  <si>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</si>
  <si>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</si>
  <si>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</si>
  <si>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</si>
  <si>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</si>
  <si>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</si>
  <si>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</si>
  <si>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</si>
  <si>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</si>
  <si>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</si>
  <si>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</si>
  <si>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</si>
  <si>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</si>
  <si>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</si>
  <si>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</si>
  <si>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</si>
  <si>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</si>
  <si>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</si>
  <si>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</si>
  <si>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</si>
  <si>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</si>
  <si>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</si>
  <si>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</si>
  <si>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</si>
  <si>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</si>
  <si>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</si>
  <si>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</si>
  <si>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</si>
  <si>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</si>
  <si>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</si>
  <si>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</si>
  <si>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</si>
  <si>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</si>
  <si>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</si>
  <si>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</si>
  <si>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</si>
  <si>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</si>
  <si>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</si>
  <si>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</si>
  <si>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</si>
  <si>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</si>
  <si>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</si>
  <si>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</si>
  <si>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</si>
  <si>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</si>
  <si>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</si>
  <si>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</si>
  <si>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</si>
  <si>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</si>
  <si>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</si>
  <si>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</si>
  <si>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</si>
  <si>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</si>
  <si>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</si>
  <si>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</si>
  <si>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</si>
  <si>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</si>
  <si>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</si>
  <si>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</si>
  <si>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</si>
  <si>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</si>
  <si>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</si>
  <si>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</si>
  <si>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</si>
  <si>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</si>
  <si>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</si>
  <si>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</si>
  <si>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</si>
  <si>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</si>
  <si>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</si>
  <si>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</si>
  <si>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</si>
  <si>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</si>
  <si>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</si>
  <si>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</si>
  <si>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</si>
  <si>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</si>
  <si>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</si>
  <si>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</si>
  <si>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</si>
  <si>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</si>
  <si>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</si>
  <si>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</si>
  <si>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</si>
  <si>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</si>
  <si>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</si>
  <si>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</si>
  <si>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</si>
  <si>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</si>
  <si>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</si>
  <si>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</si>
  <si>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</si>
  <si>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</si>
  <si>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</si>
  <si>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</si>
  <si>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</si>
  <si>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</si>
  <si>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</si>
  <si>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</si>
  <si>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</si>
  <si>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</si>
  <si>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</si>
  <si>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</si>
  <si>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</si>
  <si>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</si>
  <si>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</si>
  <si>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</si>
  <si>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</si>
  <si>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</si>
  <si>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</si>
  <si>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</si>
  <si>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</si>
  <si>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</si>
  <si>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</si>
  <si>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</si>
  <si>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</si>
  <si>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</si>
  <si>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</si>
  <si>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</si>
  <si>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</si>
  <si>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</si>
  <si>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</si>
  <si>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</si>
  <si>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</si>
  <si>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</si>
  <si>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</si>
  <si>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</si>
  <si>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</si>
  <si>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</si>
  <si>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</si>
  <si>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</si>
  <si>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</si>
  <si>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</si>
  <si>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</si>
  <si>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</si>
  <si>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</si>
  <si>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</si>
  <si>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</si>
  <si>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</si>
  <si>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</si>
  <si>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</si>
  <si>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</si>
  <si>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</si>
  <si>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</si>
  <si>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</si>
  <si>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</si>
  <si>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</si>
  <si>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</si>
  <si>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</si>
  <si>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</si>
  <si>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</si>
  <si>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</si>
  <si>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</si>
  <si>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</si>
  <si>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</si>
  <si>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</si>
  <si>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</si>
  <si>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</si>
  <si>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</si>
  <si>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</si>
  <si>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</si>
  <si>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</si>
  <si>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</si>
  <si>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</si>
  <si>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</si>
  <si>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</si>
  <si>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</si>
  <si>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</si>
  <si>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</si>
  <si>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</si>
  <si>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</si>
  <si>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</si>
  <si>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</si>
  <si>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</si>
  <si>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</si>
  <si>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</si>
  <si>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</si>
  <si>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</si>
  <si>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</si>
  <si>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</si>
  <si>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</si>
  <si>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</si>
  <si>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</si>
  <si>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</si>
  <si>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</si>
  <si>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</si>
  <si>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</si>
  <si>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</si>
  <si>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</si>
  <si>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</si>
  <si>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</si>
  <si>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</si>
  <si>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</si>
  <si>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</si>
  <si>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</si>
  <si>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</si>
  <si>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</si>
  <si>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</si>
  <si>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</si>
  <si>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</si>
  <si>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</si>
  <si>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</si>
  <si>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</si>
  <si>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</si>
  <si>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</si>
  <si>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</si>
  <si>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</si>
  <si>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</si>
  <si>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</si>
  <si>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</si>
  <si>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</si>
  <si>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</si>
  <si>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</si>
  <si>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</si>
  <si>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</si>
  <si>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</si>
  <si>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</si>
  <si>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</si>
  <si>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</si>
  <si>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</si>
  <si>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</si>
  <si>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</si>
  <si>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</si>
  <si>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</si>
  <si>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</si>
  <si>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</si>
  <si>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</si>
  <si>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</si>
  <si>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</si>
  <si>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</si>
  <si>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</si>
  <si>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</si>
  <si>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</si>
  <si>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</si>
  <si>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</si>
  <si>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</si>
  <si>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</si>
  <si>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</si>
  <si>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</si>
  <si>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</si>
  <si>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</si>
  <si>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</si>
  <si>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</si>
  <si>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</si>
  <si>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</si>
  <si>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</si>
  <si>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</si>
  <si>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</si>
  <si>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</si>
  <si>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</si>
  <si>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</si>
  <si>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</si>
  <si>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</si>
  <si>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</si>
  <si>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</si>
  <si>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</si>
  <si>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</si>
  <si>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</si>
  <si>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</si>
  <si>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</si>
  <si>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</si>
  <si>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</si>
  <si>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</si>
  <si>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</si>
  <si>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</si>
  <si>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</si>
  <si>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</si>
  <si>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</si>
  <si>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</si>
  <si>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</si>
  <si>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</si>
  <si>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</si>
  <si>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</si>
  <si>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</si>
  <si>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</si>
  <si>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</si>
  <si>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</si>
  <si>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</si>
  <si>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</si>
  <si>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</si>
  <si>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</si>
  <si>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</si>
  <si>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</si>
  <si>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</si>
  <si>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</si>
  <si>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</si>
  <si>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</si>
  <si>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</si>
  <si>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</si>
  <si>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</si>
  <si>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</si>
  <si>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</si>
  <si>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</si>
  <si>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</si>
  <si>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</si>
  <si>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</si>
  <si>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</si>
  <si>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</si>
  <si>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</si>
  <si>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</si>
  <si>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</si>
  <si>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</si>
  <si>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</si>
  <si>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</si>
  <si>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</si>
  <si>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</si>
  <si>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</si>
  <si>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</si>
  <si>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</si>
  <si>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</si>
  <si>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</si>
  <si>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</si>
  <si>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</si>
  <si>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</si>
  <si>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</si>
  <si>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</si>
  <si>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</si>
  <si>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</si>
  <si>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</si>
  <si>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</si>
  <si>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</si>
  <si>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</si>
  <si>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</si>
  <si>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</si>
  <si>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</si>
  <si>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</si>
  <si>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</si>
  <si>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</si>
  <si>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</si>
  <si>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</si>
  <si>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</si>
  <si>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</si>
  <si>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</si>
  <si>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</si>
  <si>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</si>
  <si>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</si>
  <si>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</si>
  <si>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</si>
  <si>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</si>
  <si>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</si>
  <si>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</si>
  <si>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</si>
  <si>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</si>
  <si>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</si>
  <si>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</si>
  <si>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</si>
  <si>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</si>
  <si>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</si>
  <si>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</si>
  <si>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</si>
  <si>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</si>
  <si>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</si>
  <si>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</si>
  <si>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</si>
  <si>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</si>
  <si>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</si>
  <si>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</si>
  <si>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</si>
  <si>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</si>
  <si>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</si>
  <si>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</si>
  <si>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</si>
  <si>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</si>
  <si>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</si>
  <si>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</si>
  <si>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</si>
  <si>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</si>
  <si>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</si>
  <si>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</si>
  <si>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</si>
  <si>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</si>
  <si>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</si>
  <si>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</si>
  <si>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</si>
  <si>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</si>
  <si>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</si>
  <si>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</si>
  <si>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</si>
  <si>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</si>
  <si>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</si>
  <si>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</si>
  <si>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</si>
  <si>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</si>
  <si>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</si>
  <si>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</si>
  <si>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</si>
  <si>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</si>
  <si>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</si>
  <si>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</si>
  <si>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</si>
  <si>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</si>
  <si>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</si>
  <si>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</si>
  <si>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</si>
  <si>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</si>
  <si>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</si>
  <si>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</si>
  <si>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</si>
  <si>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</si>
  <si>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</si>
  <si>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</si>
  <si>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</si>
  <si>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</si>
  <si>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</si>
  <si>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</si>
  <si>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</si>
  <si>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</si>
  <si>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</si>
  <si>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</si>
  <si>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</si>
  <si>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</si>
  <si>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</si>
  <si>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</si>
  <si>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</si>
  <si>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</si>
  <si>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</si>
  <si>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</si>
  <si>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</si>
  <si>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</si>
  <si>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</si>
  <si>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</si>
  <si>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</si>
  <si>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</si>
  <si>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</si>
  <si>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</si>
  <si>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</si>
  <si>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</si>
  <si>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</si>
  <si>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</si>
  <si>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</si>
  <si>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</si>
  <si>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</si>
  <si>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</si>
  <si>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</si>
  <si>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</si>
  <si>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</si>
  <si>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</si>
  <si>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</si>
  <si>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</si>
  <si>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</si>
  <si>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</si>
  <si>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</si>
  <si>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</si>
  <si>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</si>
  <si>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</si>
  <si>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</si>
  <si>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</si>
  <si>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</si>
  <si>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</si>
  <si>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</si>
  <si>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</si>
  <si>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</si>
  <si>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</si>
  <si>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</si>
  <si>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</si>
  <si>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</si>
  <si>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</si>
  <si>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</si>
  <si>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</si>
  <si>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</si>
  <si>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</si>
  <si>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</si>
  <si>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</si>
  <si>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</si>
  <si>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</si>
  <si>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</si>
  <si>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</si>
  <si>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</si>
  <si>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</si>
  <si>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</si>
  <si>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</si>
  <si>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</si>
  <si>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</si>
  <si>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</si>
  <si>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</si>
  <si>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</si>
  <si>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</si>
  <si>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</si>
  <si>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</si>
  <si>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</si>
  <si>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</si>
  <si>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</si>
  <si>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</si>
  <si>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</si>
  <si>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</si>
  <si>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</si>
  <si>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</si>
  <si>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</si>
  <si>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</si>
  <si>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</si>
  <si>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</si>
  <si>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</si>
  <si>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</si>
  <si>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</si>
  <si>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</si>
  <si>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</si>
  <si>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</si>
  <si>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</si>
  <si>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</si>
  <si>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</si>
  <si>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</si>
  <si>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</si>
  <si>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</si>
  <si>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</si>
  <si>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</si>
  <si>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</si>
  <si>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</si>
  <si>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</si>
  <si>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</si>
  <si>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</si>
  <si>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</si>
  <si>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</si>
  <si>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</si>
  <si>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</si>
  <si>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</si>
  <si>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</si>
  <si>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</si>
  <si>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</si>
  <si>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</si>
  <si>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</si>
  <si>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</si>
  <si>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</si>
  <si>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</si>
  <si>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</si>
  <si>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</si>
  <si>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</si>
  <si>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</si>
  <si>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</si>
  <si>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</si>
  <si>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</si>
  <si>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</si>
  <si>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</si>
  <si>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</si>
  <si>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</si>
  <si>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</si>
  <si>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</si>
  <si>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</si>
  <si>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</si>
  <si>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</si>
  <si>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</si>
  <si>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</si>
  <si>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</si>
  <si>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</si>
  <si>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</si>
  <si>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</si>
  <si>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</si>
  <si>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</si>
  <si>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</si>
  <si>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</si>
  <si>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</si>
  <si>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</si>
  <si>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</si>
  <si>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</si>
  <si>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</si>
  <si>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</si>
  <si>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</si>
  <si>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</si>
  <si>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</si>
  <si>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</si>
  <si>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</si>
  <si>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</si>
  <si>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</si>
  <si>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</si>
  <si>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</si>
  <si>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</si>
  <si>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</si>
  <si>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</si>
  <si>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</si>
  <si>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</si>
  <si>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</si>
  <si>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</si>
  <si>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</si>
  <si>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</si>
  <si>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</si>
  <si>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</si>
  <si>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</si>
  <si>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</si>
  <si>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</si>
  <si>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</si>
  <si>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</si>
  <si>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</si>
  <si>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</si>
  <si>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</si>
  <si>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</si>
  <si>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</si>
  <si>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</si>
  <si>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</si>
  <si>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</si>
  <si>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</si>
  <si>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</si>
  <si>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</si>
  <si>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</si>
  <si>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</si>
  <si>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</si>
  <si>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</si>
  <si>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</si>
  <si>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</si>
  <si>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</si>
  <si>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</si>
  <si>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</si>
  <si>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</si>
  <si>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</si>
  <si>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</si>
  <si>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</si>
  <si>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</si>
  <si>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</si>
  <si>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</si>
  <si>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</si>
  <si>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</si>
  <si>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</si>
  <si>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</si>
  <si>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</si>
  <si>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</si>
  <si>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</si>
  <si>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</si>
  <si>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</si>
  <si>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</si>
  <si>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</si>
  <si>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</si>
  <si>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</si>
  <si>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</si>
  <si>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</si>
  <si>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</si>
  <si>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</si>
  <si>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</si>
  <si>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</si>
  <si>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</si>
  <si>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</si>
  <si>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</si>
  <si>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</si>
  <si>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</si>
  <si>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</si>
  <si>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</si>
  <si>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</si>
  <si>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</si>
  <si>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</si>
  <si>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</si>
  <si>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</si>
  <si>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</si>
  <si>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</si>
  <si>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</si>
  <si>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</si>
  <si>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</si>
  <si>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</si>
  <si>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</si>
  <si>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</si>
  <si>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</si>
  <si>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</si>
  <si>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</si>
  <si>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</si>
  <si>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</si>
  <si>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</si>
  <si>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</si>
  <si>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</si>
  <si>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</si>
  <si>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</si>
  <si>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</si>
  <si>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</si>
  <si>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</si>
  <si>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</si>
  <si>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</si>
  <si>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</si>
  <si>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</si>
  <si>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</si>
  <si>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</si>
  <si>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</si>
  <si>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</si>
  <si>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</si>
  <si>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</si>
  <si>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</si>
  <si>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</si>
  <si>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</si>
  <si>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</si>
  <si>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</si>
  <si>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</si>
  <si>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</si>
  <si>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</si>
  <si>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</si>
  <si>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</si>
  <si>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</si>
  <si>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</si>
  <si>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</si>
  <si>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</si>
  <si>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</si>
  <si>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</si>
  <si>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</si>
  <si>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</si>
  <si>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</si>
  <si>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</si>
  <si>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</si>
  <si>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</si>
  <si>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</si>
  <si>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</si>
  <si>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</si>
  <si>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</si>
  <si>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</si>
  <si>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</si>
  <si>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</si>
  <si>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</si>
  <si>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</si>
  <si>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</si>
  <si>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</si>
  <si>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</si>
  <si>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</si>
  <si>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</si>
  <si>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</si>
  <si>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</si>
  <si>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</si>
  <si>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</si>
  <si>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</si>
  <si>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</si>
  <si>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</si>
  <si>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</si>
  <si>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</si>
  <si>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</si>
  <si>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</si>
  <si>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</si>
  <si>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</si>
  <si>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</si>
  <si>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</si>
  <si>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</si>
  <si>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</si>
  <si>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</si>
  <si>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</si>
  <si>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</si>
  <si>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</si>
  <si>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</si>
  <si>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</si>
  <si>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</si>
  <si>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</si>
  <si>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</si>
  <si>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</si>
  <si>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</si>
  <si>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</si>
  <si>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</si>
  <si>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</si>
  <si>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</si>
  <si>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</si>
  <si>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</si>
  <si>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</si>
  <si>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</si>
  <si>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</si>
  <si>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</si>
  <si>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</si>
  <si>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</si>
  <si>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</si>
  <si>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</si>
  <si>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</si>
  <si>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</si>
  <si>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</si>
  <si>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</si>
  <si>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</si>
  <si>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</si>
  <si>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</si>
  <si>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</si>
  <si>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</si>
  <si>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</si>
  <si>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</si>
  <si>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</si>
  <si>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</si>
  <si>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</si>
  <si>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</si>
  <si>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</si>
  <si>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</si>
  <si>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</si>
  <si>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</si>
  <si>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</si>
  <si>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</si>
  <si>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</si>
  <si>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</si>
  <si>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</si>
  <si>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</si>
  <si>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</si>
  <si>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</si>
  <si>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</si>
  <si>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</si>
  <si>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</si>
  <si>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</si>
  <si>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</si>
  <si>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</si>
  <si>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</si>
  <si>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</si>
  <si>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</si>
  <si>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</si>
  <si>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</si>
  <si>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</si>
  <si>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</si>
  <si>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</si>
  <si>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</si>
  <si>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</si>
  <si>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</si>
  <si>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</si>
  <si>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</si>
  <si>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</si>
  <si>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</si>
  <si>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</si>
  <si>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</si>
  <si>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</si>
  <si>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</si>
  <si>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</si>
  <si>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</si>
  <si>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</si>
  <si>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</si>
  <si>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</si>
  <si>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</si>
  <si>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</si>
  <si>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</si>
  <si>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</si>
  <si>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</si>
  <si>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</si>
  <si>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</si>
  <si>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</si>
  <si>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</si>
  <si>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</si>
  <si>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</si>
  <si>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</si>
  <si>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</si>
  <si>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</si>
  <si>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</si>
  <si>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</si>
  <si>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</si>
  <si>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</si>
  <si>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</si>
  <si>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</si>
  <si>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</si>
  <si>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</si>
  <si>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</si>
  <si>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</si>
  <si>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</si>
  <si>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</si>
  <si>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</si>
  <si>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</si>
  <si>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</si>
  <si>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</si>
  <si>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</si>
  <si>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</si>
  <si>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</si>
  <si>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</si>
  <si>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</si>
  <si>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</si>
  <si>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</si>
  <si>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</si>
  <si>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</si>
  <si>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</si>
  <si>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</si>
  <si>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</si>
  <si>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</si>
  <si>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</si>
  <si>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</si>
  <si>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</si>
  <si>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</si>
  <si>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</si>
  <si>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</si>
  <si>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</si>
  <si>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</si>
  <si>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</si>
  <si>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</si>
  <si>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</si>
  <si>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</si>
  <si>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</si>
  <si>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</si>
  <si>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</si>
  <si>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</si>
  <si>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</si>
  <si>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</si>
  <si>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</si>
  <si>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</si>
  <si>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</si>
  <si>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</si>
  <si>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</si>
  <si>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</si>
  <si>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</si>
  <si>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</si>
  <si>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</si>
  <si>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</si>
  <si>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</si>
  <si>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</si>
  <si>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</si>
  <si>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</si>
  <si>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</si>
  <si>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</si>
  <si>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</si>
  <si>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</si>
  <si>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</si>
  <si>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</si>
  <si>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</si>
  <si>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</si>
  <si>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</si>
  <si>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</si>
  <si>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</si>
  <si>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</si>
  <si>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</si>
  <si>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</si>
  <si>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</si>
  <si>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</si>
  <si>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</si>
  <si>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</si>
  <si>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</si>
  <si>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</si>
  <si>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</si>
  <si>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</si>
  <si>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</si>
  <si>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</si>
  <si>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</si>
  <si>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</si>
  <si>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</si>
  <si>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</si>
  <si>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</si>
  <si>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</si>
  <si>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</si>
  <si>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</si>
  <si>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</si>
  <si>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</si>
  <si>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</si>
  <si>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</si>
  <si>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</si>
  <si>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</si>
  <si>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</si>
  <si>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</si>
  <si>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</si>
  <si>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</si>
  <si>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</si>
  <si>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</si>
  <si>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</si>
  <si>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</si>
  <si>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</si>
  <si>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</si>
  <si>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</si>
  <si>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</si>
  <si>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</si>
  <si>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</si>
  <si>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</si>
  <si>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</si>
  <si>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</si>
  <si>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</si>
  <si>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</si>
  <si>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</si>
  <si>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</si>
  <si>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</si>
  <si>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</si>
  <si>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</si>
  <si>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</si>
  <si>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</si>
  <si>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</si>
  <si>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</si>
  <si>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</si>
  <si>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</si>
  <si>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</si>
  <si>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</si>
  <si>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</si>
  <si>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</si>
  <si>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</si>
  <si>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</si>
  <si>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</si>
  <si>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</si>
  <si>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</si>
  <si>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</si>
  <si>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</si>
  <si>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</si>
  <si>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</si>
  <si>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</si>
  <si>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</si>
  <si>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</si>
  <si>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</si>
  <si>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</si>
  <si>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</si>
  <si>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</si>
  <si>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</si>
  <si>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</si>
  <si>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</si>
  <si>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</si>
  <si>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</si>
  <si>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</si>
  <si>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</si>
  <si>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</si>
  <si>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</si>
  <si>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</si>
  <si>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</si>
  <si>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</si>
  <si>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</si>
  <si>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</si>
  <si>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</si>
  <si>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</si>
  <si>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</si>
  <si>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</si>
  <si>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</si>
  <si>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</si>
  <si>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</si>
  <si>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</si>
  <si>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</si>
  <si>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</si>
  <si>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</si>
  <si>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</si>
  <si>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</si>
  <si>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</si>
  <si>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</si>
  <si>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</si>
  <si>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</si>
  <si>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</si>
  <si>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</si>
  <si>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</si>
  <si>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</si>
  <si>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</si>
  <si>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</si>
  <si>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</si>
  <si>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</si>
  <si>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</si>
  <si>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</si>
  <si>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</si>
  <si>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</si>
  <si>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</si>
  <si>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</si>
  <si>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</si>
  <si>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</si>
  <si>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</si>
  <si>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</si>
  <si>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</si>
  <si>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</si>
  <si>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</si>
  <si>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</si>
  <si>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</si>
  <si>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</si>
  <si>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</si>
  <si>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</si>
  <si>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</si>
  <si>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</si>
  <si>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</si>
  <si>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</si>
  <si>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</si>
  <si>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</si>
  <si>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</si>
  <si>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</si>
  <si>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</si>
  <si>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</si>
  <si>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</si>
  <si>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</si>
  <si>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</si>
  <si>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</si>
  <si>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</si>
  <si>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</si>
  <si>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</si>
  <si>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</si>
  <si>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</si>
  <si>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</si>
  <si>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</si>
  <si>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</si>
  <si>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</si>
  <si>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</si>
  <si>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</si>
  <si>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</si>
  <si>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</si>
  <si>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</si>
  <si>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</si>
  <si>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</si>
  <si>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</si>
  <si>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</si>
  <si>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</si>
  <si>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</si>
  <si>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</si>
  <si>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</si>
  <si>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</si>
  <si>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</si>
  <si>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</si>
  <si>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</si>
  <si>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</si>
  <si>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</si>
  <si>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</si>
  <si>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</si>
  <si>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</si>
  <si>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</si>
  <si>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</si>
  <si>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</si>
  <si>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</si>
  <si>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</si>
  <si>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</si>
  <si>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</si>
  <si>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</si>
  <si>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</si>
  <si>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</si>
  <si>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</si>
  <si>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</si>
  <si>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</si>
  <si>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</si>
  <si>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</si>
  <si>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</si>
  <si>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</si>
  <si>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</si>
  <si>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</si>
  <si>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</si>
  <si>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</si>
  <si>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</si>
  <si>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</si>
  <si>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</si>
  <si>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</si>
  <si>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</si>
  <si>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</si>
  <si>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</si>
  <si>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</si>
  <si>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</si>
  <si>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</si>
  <si>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</si>
  <si>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</si>
  <si>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</si>
  <si>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</si>
  <si>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</si>
  <si>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</si>
  <si>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</si>
  <si>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</si>
  <si>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</si>
  <si>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</si>
  <si>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</si>
  <si>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</si>
  <si>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</si>
  <si>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</si>
  <si>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</si>
  <si>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</si>
  <si>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</si>
  <si>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</si>
  <si>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</si>
  <si>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</si>
  <si>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</si>
  <si>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</si>
  <si>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</si>
  <si>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</si>
  <si>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</si>
  <si>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</si>
  <si>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</si>
  <si>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</si>
  <si>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</si>
  <si>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</si>
  <si>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</si>
  <si>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</si>
  <si>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</si>
  <si>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</si>
  <si>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</si>
  <si>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</si>
  <si>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</si>
  <si>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</si>
  <si>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</si>
  <si>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</si>
  <si>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</si>
  <si>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</si>
  <si>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</si>
  <si>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</si>
  <si>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</si>
  <si>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</si>
  <si>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</si>
  <si>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</si>
  <si>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</si>
  <si>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</si>
  <si>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</si>
  <si>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</si>
  <si>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</si>
  <si>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</si>
  <si>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</si>
  <si>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</si>
  <si>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</si>
  <si>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</si>
  <si>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</si>
  <si>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</si>
  <si>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</si>
  <si>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</si>
  <si>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</si>
  <si>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</si>
  <si>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</si>
  <si>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</si>
  <si>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</si>
  <si>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</si>
  <si>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</si>
  <si>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</si>
  <si>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</si>
  <si>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</si>
  <si>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</si>
  <si>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</si>
  <si>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</si>
  <si>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</si>
  <si>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</si>
  <si>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</si>
  <si>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</si>
  <si>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</si>
  <si>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</si>
  <si>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</si>
  <si>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</si>
  <si>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</si>
  <si>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</si>
  <si>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</si>
  <si>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</si>
  <si>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</si>
  <si>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</si>
  <si>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</si>
  <si>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</si>
  <si>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</si>
  <si>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</si>
  <si>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</si>
  <si>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</si>
  <si>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</si>
  <si>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</si>
  <si>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</si>
  <si>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</si>
  <si>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</si>
  <si>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</si>
  <si>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</si>
  <si>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</si>
  <si>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</si>
  <si>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</si>
  <si>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</si>
  <si>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</si>
  <si>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</si>
  <si>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</si>
  <si>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</si>
  <si>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</si>
  <si>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</si>
  <si>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</si>
  <si>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</si>
  <si>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</si>
  <si>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</si>
  <si>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</si>
  <si>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</si>
  <si>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</si>
  <si>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</si>
  <si>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</si>
  <si>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</si>
  <si>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</si>
  <si>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</si>
  <si>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</si>
  <si>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</si>
  <si>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</si>
  <si>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</si>
  <si>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</si>
  <si>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</si>
  <si>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</si>
  <si>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</si>
  <si>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</si>
  <si>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</si>
  <si>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</si>
  <si>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</si>
  <si>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</si>
  <si>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</si>
  <si>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</si>
  <si>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</si>
  <si>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</si>
  <si>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</si>
  <si>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</si>
  <si>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</si>
  <si>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</si>
  <si>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</si>
  <si>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</si>
  <si>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</si>
  <si>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</si>
  <si>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</si>
  <si>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</si>
  <si>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</si>
  <si>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</si>
  <si>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</si>
  <si>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</si>
  <si>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</si>
  <si>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</si>
  <si>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</si>
  <si>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</si>
  <si>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</si>
  <si>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</si>
  <si>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</si>
  <si>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</si>
  <si>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</si>
  <si>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</si>
  <si>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</si>
  <si>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</si>
  <si>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</si>
  <si>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</si>
  <si>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</si>
  <si>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</si>
  <si>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</si>
  <si>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</si>
  <si>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</si>
  <si>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</si>
  <si>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</si>
  <si>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</si>
  <si>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</si>
  <si>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</si>
  <si>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</si>
  <si>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</si>
  <si>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</si>
  <si>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</si>
  <si>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</si>
  <si>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</si>
  <si>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</si>
  <si>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</si>
  <si>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</si>
  <si>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</si>
  <si>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</si>
  <si>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</si>
  <si>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</si>
  <si>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</si>
  <si>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</si>
  <si>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</si>
  <si>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</si>
  <si>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</si>
  <si>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</si>
  <si>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</si>
  <si>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</si>
  <si>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</si>
  <si>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</si>
  <si>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</si>
  <si>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</si>
  <si>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</si>
  <si>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</si>
  <si>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</si>
  <si>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</si>
  <si>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</si>
  <si>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</si>
  <si>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</si>
  <si>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</si>
  <si>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</si>
  <si>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</si>
  <si>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</si>
  <si>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</si>
  <si>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</si>
  <si>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</si>
  <si>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</si>
  <si>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</si>
  <si>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</si>
  <si>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</si>
  <si>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</si>
  <si>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</si>
  <si>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</si>
  <si>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</si>
  <si>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</si>
  <si>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</si>
  <si>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</si>
  <si>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</si>
  <si>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</si>
  <si>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</si>
  <si>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</si>
  <si>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</si>
  <si>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</si>
  <si>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</si>
  <si>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</si>
  <si>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</si>
  <si>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</si>
  <si>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</si>
  <si>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</si>
  <si>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</si>
  <si>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</si>
  <si>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</si>
  <si>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</si>
  <si>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</si>
  <si>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</si>
  <si>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</si>
  <si>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</si>
  <si>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</si>
  <si>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</si>
  <si>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</si>
  <si>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</si>
  <si>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</si>
  <si>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</si>
  <si>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</si>
  <si>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</si>
  <si>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</si>
  <si>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</si>
  <si>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</si>
  <si>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</si>
  <si>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</si>
  <si>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</si>
  <si>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</si>
  <si>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</si>
  <si>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</si>
  <si>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</si>
  <si>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</si>
  <si>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</si>
  <si>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</si>
  <si>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</si>
  <si>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</si>
  <si>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</si>
  <si>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</si>
  <si>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</si>
  <si>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</si>
  <si>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</si>
  <si>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</si>
  <si>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</si>
  <si>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</si>
  <si>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</si>
  <si>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</si>
  <si>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</si>
  <si>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</si>
  <si>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</si>
  <si>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</si>
  <si>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</si>
  <si>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</si>
  <si>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</si>
  <si>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</si>
  <si>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</si>
  <si>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</si>
  <si>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</si>
  <si>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</si>
  <si>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</si>
  <si>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</si>
  <si>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</si>
  <si>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</si>
  <si>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</si>
  <si>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</si>
  <si>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</si>
  <si>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</si>
  <si>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</si>
  <si>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</si>
  <si>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</si>
  <si>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</si>
  <si>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</si>
  <si>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</si>
  <si>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</si>
  <si>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</si>
  <si>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</si>
  <si>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</si>
  <si>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</si>
  <si>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</si>
  <si>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</si>
  <si>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</si>
  <si>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</si>
  <si>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</si>
  <si>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</si>
  <si>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</si>
  <si>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</si>
  <si>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</si>
  <si>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</si>
  <si>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</si>
  <si>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</si>
  <si>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</si>
  <si>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</si>
  <si>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</si>
  <si>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</si>
  <si>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</si>
  <si>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</si>
  <si>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</si>
  <si>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</si>
  <si>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</si>
  <si>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</si>
  <si>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</si>
  <si>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</si>
  <si>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</si>
  <si>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</si>
  <si>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</si>
  <si>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</si>
  <si>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</si>
  <si>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</si>
  <si>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</si>
  <si>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</si>
  <si>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</si>
  <si>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</si>
  <si>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</si>
  <si>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</si>
  <si>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</si>
  <si>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</si>
  <si>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</si>
  <si>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</si>
  <si>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</si>
  <si>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</si>
  <si>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</si>
  <si>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</si>
  <si>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</si>
  <si>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</si>
  <si>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</si>
  <si>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</si>
  <si>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</si>
  <si>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</si>
  <si>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</si>
  <si>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</si>
  <si>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</si>
  <si>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</si>
  <si>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</si>
  <si>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</si>
  <si>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</si>
  <si>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</si>
  <si>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</si>
  <si>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</si>
  <si>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</si>
  <si>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</si>
  <si>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</si>
  <si>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</si>
  <si>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</si>
  <si>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</si>
  <si>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</si>
  <si>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</si>
  <si>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</si>
  <si>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</si>
  <si>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</si>
  <si>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</si>
  <si>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</si>
  <si>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</si>
  <si>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</si>
  <si>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</si>
  <si>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</si>
  <si>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</si>
  <si>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</si>
  <si>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</si>
  <si>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</si>
  <si>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</si>
  <si>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</si>
  <si>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</si>
  <si>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</si>
  <si>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</si>
  <si>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</si>
  <si>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</si>
  <si>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</si>
  <si>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</si>
  <si>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</si>
  <si>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</si>
  <si>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</si>
  <si>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</si>
  <si>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</si>
  <si>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</si>
  <si>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</si>
  <si>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</si>
  <si>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</si>
  <si>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</si>
  <si>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</si>
  <si>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</si>
  <si>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</si>
  <si>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</si>
  <si>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</si>
  <si>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</si>
  <si>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</si>
  <si>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</si>
  <si>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</si>
  <si>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</si>
  <si>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</si>
  <si>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</si>
  <si>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</si>
  <si>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</si>
  <si>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</si>
  <si>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</si>
  <si>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</si>
  <si>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</si>
  <si>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</si>
  <si>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</si>
  <si>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</si>
  <si>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</si>
  <si>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</si>
  <si>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</si>
  <si>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</si>
  <si>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</si>
  <si>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</si>
  <si>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</si>
  <si>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</si>
  <si>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</si>
  <si>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</si>
  <si>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</si>
  <si>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</si>
  <si>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</si>
  <si>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</si>
  <si>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</si>
  <si>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</si>
  <si>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</si>
  <si>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</si>
  <si>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</si>
  <si>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</si>
  <si>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</si>
  <si>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</si>
  <si>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</si>
  <si>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</si>
  <si>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</si>
  <si>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</si>
  <si>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</si>
  <si>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</si>
  <si>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</si>
  <si>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</si>
  <si>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</si>
  <si>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</si>
  <si>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</si>
  <si>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</si>
  <si>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</si>
  <si>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</si>
  <si>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</si>
  <si>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</si>
  <si>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</si>
  <si>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</si>
  <si>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</si>
  <si>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</si>
  <si>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</si>
  <si>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</si>
  <si>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</si>
  <si>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</si>
  <si>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</si>
  <si>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</si>
  <si>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</si>
  <si>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</si>
  <si>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</si>
  <si>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</si>
  <si>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</si>
  <si>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</si>
  <si>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</si>
  <si>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</si>
  <si>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</si>
  <si>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</si>
  <si>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</si>
  <si>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</si>
  <si>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</si>
  <si>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</si>
  <si>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</si>
  <si>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</si>
  <si>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</si>
  <si>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</si>
  <si>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</si>
  <si>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</si>
  <si>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</si>
  <si>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</si>
  <si>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</si>
  <si>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</si>
  <si>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</si>
  <si>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</si>
  <si>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</si>
  <si>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</si>
  <si>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</si>
  <si>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</si>
  <si>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</si>
  <si>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</si>
  <si>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</si>
  <si>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</si>
  <si>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</si>
  <si>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</si>
  <si>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</si>
  <si>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</si>
  <si>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</si>
  <si>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</si>
  <si>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</si>
  <si>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</si>
  <si>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</si>
  <si>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</si>
  <si>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</si>
  <si>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</si>
  <si>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</si>
  <si>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</si>
  <si>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</si>
  <si>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</si>
  <si>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</si>
  <si>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</si>
  <si>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</si>
  <si>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</si>
  <si>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</si>
  <si>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</si>
  <si>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</si>
  <si>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</si>
  <si>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</si>
  <si>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</si>
  <si>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</si>
  <si>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</si>
  <si>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</si>
  <si>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</si>
  <si>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</si>
  <si>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</si>
  <si>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</si>
  <si>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</si>
  <si>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</si>
  <si>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</si>
  <si>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</si>
  <si>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</si>
  <si>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</si>
  <si>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</si>
  <si>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</si>
  <si>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</si>
  <si>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</si>
  <si>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</si>
  <si>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</si>
  <si>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</si>
  <si>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</si>
  <si>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</si>
  <si>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</si>
  <si>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</si>
  <si>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</si>
  <si>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</si>
  <si>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</si>
  <si>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</si>
  <si>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</si>
  <si>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</si>
  <si>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</si>
  <si>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</si>
  <si>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</si>
  <si>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</si>
  <si>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</si>
  <si>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</si>
  <si>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</si>
  <si>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</si>
  <si>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</si>
  <si>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</si>
  <si>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</si>
  <si>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</si>
  <si>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</si>
  <si>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</si>
  <si>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</si>
  <si>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</si>
  <si>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</si>
  <si>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</si>
  <si>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</si>
  <si>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</si>
  <si>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</si>
  <si>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</si>
  <si>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</si>
  <si>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</si>
  <si>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</si>
  <si>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</si>
  <si>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</si>
  <si>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</si>
  <si>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</si>
  <si>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</si>
  <si>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</si>
  <si>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</si>
  <si>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</si>
  <si>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</si>
  <si>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</si>
  <si>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</si>
  <si>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</si>
  <si>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</si>
  <si>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</si>
  <si>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</si>
  <si>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</si>
  <si>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</si>
  <si>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</si>
  <si>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</si>
  <si>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</si>
  <si>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</si>
  <si>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</si>
  <si>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</si>
  <si>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</si>
  <si>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</si>
  <si>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</si>
  <si>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</si>
  <si>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</si>
  <si>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</si>
  <si>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</si>
  <si>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</si>
  <si>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</si>
  <si>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</si>
  <si>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</si>
  <si>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</si>
  <si>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</si>
  <si>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</si>
  <si>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</si>
  <si>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</si>
  <si>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</si>
  <si>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</si>
  <si>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</si>
  <si>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</si>
  <si>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</si>
  <si>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</si>
  <si>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</si>
  <si>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</si>
  <si>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</si>
  <si>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</si>
  <si>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</si>
  <si>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</si>
  <si>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</si>
  <si>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</si>
  <si>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</si>
  <si>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</si>
  <si>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</si>
  <si>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</si>
  <si>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</si>
  <si>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</si>
  <si>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</si>
  <si>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</si>
  <si>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</si>
  <si>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</si>
  <si>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</si>
  <si>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</si>
  <si>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</si>
  <si>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</si>
  <si>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</si>
  <si>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</si>
  <si>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</si>
  <si>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</si>
  <si>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</si>
  <si>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</si>
  <si>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</si>
  <si>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</si>
  <si>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</si>
  <si>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</si>
  <si>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</si>
  <si>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</si>
  <si>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</si>
  <si>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</si>
  <si>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</si>
  <si>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</si>
  <si>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</si>
  <si>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</si>
  <si>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</si>
  <si>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</si>
  <si>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</si>
  <si>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</si>
  <si>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</si>
  <si>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</si>
  <si>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</si>
  <si>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</si>
  <si>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</si>
  <si>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</si>
  <si>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</si>
  <si>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</si>
  <si>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</si>
  <si>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</si>
  <si>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</si>
  <si>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</si>
  <si>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</si>
  <si>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</si>
  <si>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</si>
  <si>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</si>
  <si>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</si>
  <si>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</si>
  <si>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</si>
  <si>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</si>
  <si>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</si>
  <si>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</si>
  <si>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</si>
  <si>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</si>
  <si>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</si>
  <si>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</si>
  <si>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</si>
  <si>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</si>
  <si>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</si>
  <si>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</si>
  <si>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</si>
  <si>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</si>
  <si>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</si>
  <si>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</si>
  <si>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</si>
  <si>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</si>
  <si>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</si>
  <si>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</si>
  <si>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</si>
  <si>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</si>
  <si>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</si>
  <si>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</si>
  <si>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</si>
  <si>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</si>
  <si>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</si>
  <si>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</si>
  <si>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</si>
  <si>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</si>
  <si>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</si>
  <si>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</si>
  <si>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</si>
  <si>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</si>
  <si>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</si>
  <si>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</si>
  <si>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</si>
  <si>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</si>
  <si>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</si>
  <si>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</si>
  <si>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</si>
  <si>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</si>
  <si>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</si>
  <si>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</si>
  <si>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</si>
  <si>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</si>
  <si>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</si>
  <si>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</si>
  <si>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</si>
  <si>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</si>
  <si>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</si>
  <si>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</si>
  <si>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</si>
  <si>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</si>
  <si>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</si>
  <si>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</si>
  <si>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</si>
  <si>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</si>
  <si>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</si>
  <si>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</si>
  <si>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</si>
  <si>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</si>
  <si>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</si>
  <si>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</si>
  <si>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</si>
  <si>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</si>
  <si>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</si>
  <si>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</si>
  <si>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</si>
  <si>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</si>
  <si>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</si>
  <si>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</si>
  <si>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</si>
  <si>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</si>
  <si>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</si>
  <si>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</si>
  <si>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</si>
  <si>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</si>
  <si>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</si>
  <si>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</si>
  <si>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</si>
  <si>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</si>
  <si>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</si>
  <si>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</si>
  <si>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</si>
  <si>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</si>
  <si>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</si>
  <si>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</si>
  <si>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</si>
  <si>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</si>
  <si>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</si>
  <si>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</si>
  <si>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</si>
  <si>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</si>
  <si>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</si>
  <si>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</si>
  <si>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</si>
  <si>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</si>
  <si>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</si>
  <si>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</si>
  <si>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</si>
  <si>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</si>
  <si>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</si>
  <si>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</si>
  <si>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</si>
  <si>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</si>
  <si>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</si>
  <si>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</si>
  <si>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</si>
  <si>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</si>
  <si>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</si>
  <si>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</si>
  <si>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</si>
  <si>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</si>
  <si>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</si>
  <si>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</si>
  <si>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</si>
  <si>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</si>
  <si>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</si>
  <si>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</si>
  <si>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</si>
  <si>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</si>
  <si>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</si>
  <si>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</si>
  <si>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</si>
  <si>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</si>
  <si>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</si>
  <si>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</si>
  <si>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</si>
  <si>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</si>
  <si>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</si>
  <si>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</si>
  <si>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</si>
  <si>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</si>
  <si>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</si>
  <si>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</si>
  <si>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</si>
  <si>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</si>
  <si>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</si>
  <si>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</si>
  <si>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</si>
  <si>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</si>
  <si>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</si>
  <si>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</si>
  <si>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</si>
  <si>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</si>
  <si>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</si>
  <si>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</si>
  <si>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</si>
  <si>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</si>
  <si>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</si>
  <si>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</si>
  <si>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</si>
  <si>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</si>
  <si>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</si>
  <si>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</si>
  <si>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</si>
  <si>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</si>
  <si>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</si>
  <si>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</si>
  <si>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</si>
  <si>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</si>
  <si>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</si>
  <si>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</si>
  <si>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</si>
  <si>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</si>
  <si>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</si>
  <si>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</si>
  <si>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</si>
  <si>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</si>
  <si>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</si>
  <si>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</si>
  <si>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</si>
  <si>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</si>
  <si>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</si>
  <si>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</si>
  <si>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</si>
  <si>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</si>
  <si>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</si>
  <si>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</si>
  <si>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</si>
  <si>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</si>
  <si>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</si>
  <si>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</si>
  <si>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</si>
  <si>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</si>
  <si>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</si>
  <si>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</si>
  <si>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</si>
  <si>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</si>
  <si>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</si>
  <si>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</si>
  <si>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</si>
  <si>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</si>
  <si>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</si>
  <si>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</si>
  <si>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</si>
  <si>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</si>
  <si>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</si>
  <si>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</si>
  <si>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</si>
  <si>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</si>
  <si>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</si>
  <si>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</si>
  <si>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</si>
  <si>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</si>
  <si>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</si>
  <si>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</si>
  <si>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</si>
  <si>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</si>
  <si>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</si>
  <si>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</si>
  <si>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</si>
  <si>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</si>
  <si>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</si>
  <si>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</si>
  <si>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</si>
  <si>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</si>
  <si>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</si>
  <si>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</si>
  <si>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</si>
  <si>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</si>
  <si>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</si>
  <si>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</si>
  <si>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</si>
  <si>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</si>
  <si>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</si>
  <si>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</si>
  <si>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</si>
  <si>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</si>
  <si>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</si>
  <si>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</si>
  <si>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</si>
  <si>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</si>
  <si>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</si>
  <si>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</si>
  <si>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</si>
  <si>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</si>
  <si>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</si>
  <si>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</si>
  <si>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</si>
  <si>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</si>
  <si>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</si>
  <si>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</si>
  <si>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</si>
  <si>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</si>
  <si>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</si>
  <si>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</si>
  <si>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</si>
  <si>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</si>
  <si>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</si>
  <si>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</si>
  <si>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</si>
  <si>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</si>
  <si>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</si>
  <si>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</si>
  <si>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</si>
  <si>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</si>
  <si>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</si>
  <si>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</si>
  <si>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</si>
  <si>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</si>
  <si>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</si>
  <si>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</si>
  <si>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</si>
  <si>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</si>
  <si>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</si>
  <si>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</si>
  <si>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</si>
  <si>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</si>
  <si>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</si>
  <si>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</si>
  <si>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</si>
  <si>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</si>
  <si>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</si>
  <si>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</si>
  <si>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</si>
  <si>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</si>
  <si>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</si>
  <si>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</si>
  <si>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</si>
  <si>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</si>
  <si>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</si>
  <si>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</si>
  <si>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</si>
  <si>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</si>
  <si>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</si>
  <si>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</si>
  <si>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</si>
  <si>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</si>
  <si>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</si>
  <si>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</si>
  <si>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</si>
  <si>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</si>
  <si>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</si>
  <si>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</si>
  <si>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</si>
  <si>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</si>
  <si>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</si>
  <si>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</si>
  <si>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</si>
  <si>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</si>
  <si>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</si>
  <si>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</si>
  <si>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</si>
  <si>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</si>
  <si>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</si>
  <si>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</si>
  <si>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</si>
  <si>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</si>
  <si>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</si>
  <si>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</si>
  <si>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</si>
  <si>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</si>
  <si>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</si>
  <si>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</si>
  <si>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</si>
  <si>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</si>
  <si>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</si>
  <si>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</si>
  <si>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</si>
  <si>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</si>
  <si>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</si>
  <si>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</si>
  <si>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</si>
  <si>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</si>
  <si>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</si>
  <si>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</si>
  <si>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</si>
  <si>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</si>
  <si>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</si>
  <si>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</si>
  <si>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</si>
  <si>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</si>
  <si>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</si>
  <si>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</si>
  <si>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</si>
  <si>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</si>
  <si>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</si>
  <si>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</si>
  <si>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</si>
  <si>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</si>
  <si>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</si>
  <si>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</si>
  <si>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</si>
  <si>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</si>
  <si>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</si>
  <si>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</si>
  <si>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</si>
  <si>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</si>
  <si>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</si>
  <si>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</si>
  <si>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</si>
  <si>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</si>
  <si>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</si>
  <si>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</si>
  <si>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</si>
  <si>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</si>
  <si>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</si>
  <si>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</si>
  <si>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</si>
  <si>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</si>
  <si>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</si>
  <si>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</si>
  <si>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</si>
  <si>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</si>
  <si>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</si>
  <si>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</si>
  <si>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</si>
  <si>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</si>
  <si>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</si>
  <si>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</si>
  <si>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</si>
  <si>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</si>
  <si>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</si>
  <si>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</si>
  <si>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</si>
  <si>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</si>
  <si>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</si>
  <si>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</si>
  <si>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</si>
  <si>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</si>
  <si>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</si>
  <si>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</si>
  <si>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</si>
  <si>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</si>
  <si>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</si>
  <si>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</si>
  <si>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</si>
  <si>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</si>
  <si>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</si>
  <si>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</si>
  <si>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</si>
  <si>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</si>
  <si>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</si>
  <si>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</si>
  <si>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</si>
  <si>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</si>
  <si>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</si>
  <si>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</si>
  <si>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</si>
  <si>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</si>
  <si>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</si>
  <si>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</si>
  <si>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</si>
  <si>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</si>
  <si>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</si>
  <si>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</si>
  <si>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</si>
  <si>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</si>
  <si>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</si>
  <si>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</si>
  <si>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</si>
  <si>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</si>
  <si>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</si>
  <si>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</si>
  <si>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</si>
  <si>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</si>
  <si>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</si>
  <si>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</si>
  <si>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</si>
  <si>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</si>
  <si>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</si>
  <si>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</si>
  <si>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</si>
  <si>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</si>
  <si>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</si>
  <si>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</si>
  <si>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</si>
  <si>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</si>
  <si>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</si>
  <si>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</si>
  <si>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</si>
  <si>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</si>
  <si>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</si>
  <si>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</si>
  <si>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</si>
  <si>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</si>
  <si>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</si>
  <si>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</si>
  <si>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</si>
  <si>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</si>
  <si>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</si>
  <si>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</si>
  <si>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</si>
  <si>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</si>
  <si>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</si>
  <si>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</si>
  <si>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</si>
  <si>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</si>
  <si>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</si>
  <si>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</si>
  <si>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</si>
  <si>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</si>
  <si>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</si>
  <si>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</si>
  <si>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</si>
  <si>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</si>
  <si>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</si>
  <si>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</si>
  <si>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</si>
  <si>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</si>
  <si>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</si>
  <si>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</si>
  <si>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</si>
  <si>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</si>
  <si>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</si>
  <si>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</si>
  <si>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</si>
  <si>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</si>
  <si>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</si>
  <si>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</si>
  <si>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</si>
  <si>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</si>
  <si>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</si>
  <si>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</si>
  <si>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</si>
  <si>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</si>
  <si>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</si>
  <si>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</si>
  <si>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</si>
  <si>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</si>
  <si>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</si>
  <si>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</si>
  <si>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</si>
  <si>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</si>
  <si>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</si>
  <si>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</si>
  <si>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</si>
  <si>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</si>
  <si>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</si>
  <si>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</si>
  <si>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</si>
  <si>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</si>
  <si>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</si>
  <si>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</si>
  <si>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</si>
  <si>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</si>
  <si>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</si>
  <si>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</si>
  <si>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</si>
  <si>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</si>
  <si>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</si>
  <si>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</si>
  <si>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</si>
  <si>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</si>
  <si>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</si>
  <si>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</si>
  <si>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</si>
  <si>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</si>
  <si>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</si>
  <si>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</si>
  <si>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</si>
  <si>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</si>
  <si>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</si>
  <si>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</si>
  <si>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</si>
  <si>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</si>
  <si>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</si>
  <si>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</si>
  <si>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</si>
  <si>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</si>
  <si>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</si>
  <si>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</si>
  <si>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</si>
  <si>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</si>
  <si>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</si>
  <si>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</si>
  <si>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</si>
  <si>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</si>
  <si>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</si>
  <si>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</si>
  <si>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</si>
  <si>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</si>
  <si>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</si>
  <si>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</si>
  <si>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</si>
  <si>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</si>
  <si>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</si>
  <si>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</si>
  <si>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</si>
  <si>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</si>
  <si>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</si>
  <si>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</si>
  <si>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</si>
  <si>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</si>
  <si>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</si>
  <si>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</si>
  <si>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</si>
  <si>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</si>
  <si>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</si>
  <si>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</si>
  <si>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</si>
  <si>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</si>
  <si>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</si>
  <si>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</si>
  <si>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</si>
  <si>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</si>
  <si>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</si>
  <si>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</si>
  <si>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</si>
  <si>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</si>
  <si>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</si>
  <si>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</si>
  <si>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</si>
  <si>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</si>
  <si>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</si>
  <si>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</si>
  <si>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</si>
  <si>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</si>
  <si>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</si>
  <si>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</si>
  <si>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</si>
  <si>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</si>
  <si>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</si>
  <si>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</si>
  <si>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</si>
  <si>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</si>
  <si>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</si>
  <si>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</si>
  <si>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</si>
  <si>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</si>
  <si>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</si>
  <si>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</si>
  <si>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</si>
  <si>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</si>
  <si>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</si>
  <si>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</si>
  <si>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</si>
  <si>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</si>
  <si>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</si>
  <si>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</si>
  <si>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</si>
  <si>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</si>
  <si>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</si>
  <si>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</si>
  <si>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</si>
  <si>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</si>
  <si>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</si>
  <si>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</si>
  <si>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</si>
  <si>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</si>
  <si>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</si>
  <si>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</si>
  <si>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</si>
  <si>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</si>
  <si>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</si>
  <si>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</si>
  <si>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</si>
  <si>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</si>
  <si>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</si>
  <si>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</si>
  <si>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</si>
  <si>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</si>
  <si>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</si>
  <si>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</si>
  <si>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</si>
  <si>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</si>
  <si>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</si>
  <si>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</si>
  <si>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</si>
  <si>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</si>
  <si>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</si>
  <si>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</si>
  <si>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</si>
  <si>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</si>
  <si>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</si>
  <si>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</si>
  <si>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</si>
  <si>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</si>
  <si>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</si>
  <si>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</si>
  <si>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</si>
  <si>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</si>
  <si>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</si>
  <si>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</si>
  <si>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</si>
  <si>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</si>
  <si>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</si>
  <si>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</si>
  <si>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</si>
  <si>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</si>
  <si>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</si>
  <si>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</si>
  <si>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</si>
  <si>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</si>
  <si>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</si>
  <si>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</si>
  <si>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</si>
  <si>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</si>
  <si>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</si>
  <si>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</si>
  <si>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</si>
  <si>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</si>
  <si>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</si>
  <si>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</si>
  <si>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</si>
  <si>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</si>
  <si>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</si>
  <si>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</si>
  <si>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</si>
  <si>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</si>
  <si>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</si>
  <si>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</si>
  <si>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</si>
  <si>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</si>
  <si>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</si>
  <si>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</si>
  <si>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</si>
  <si>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</si>
  <si>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</si>
  <si>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</si>
  <si>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</si>
  <si>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</si>
  <si>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</si>
  <si>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</si>
  <si>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</si>
  <si>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</si>
  <si>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</si>
  <si>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</si>
  <si>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</si>
  <si>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</si>
  <si>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</si>
  <si>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</si>
  <si>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</si>
  <si>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</si>
  <si>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</si>
  <si>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</si>
  <si>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</si>
  <si>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</si>
  <si>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</si>
  <si>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</si>
  <si>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</si>
  <si>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</si>
  <si>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</si>
  <si>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</si>
  <si>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</si>
  <si>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</si>
  <si>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</si>
  <si>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</si>
  <si>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</si>
  <si>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</si>
  <si>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</si>
  <si>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</si>
  <si>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</si>
  <si>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</si>
  <si>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</si>
  <si>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</si>
  <si>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</si>
  <si>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</si>
  <si>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</si>
  <si>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</si>
  <si>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</si>
  <si>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</si>
  <si>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</si>
  <si>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</si>
  <si>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</si>
  <si>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</si>
  <si>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</si>
  <si>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</si>
  <si>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</si>
  <si>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</si>
  <si>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</si>
  <si>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</si>
  <si>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</si>
  <si>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</si>
  <si>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</si>
  <si>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</si>
  <si>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</si>
  <si>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</si>
  <si>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</si>
  <si>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</si>
  <si>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</si>
  <si>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</si>
  <si>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</si>
  <si>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</si>
  <si>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</si>
  <si>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</si>
  <si>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</si>
  <si>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</si>
  <si>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</si>
  <si>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</si>
  <si>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</si>
  <si>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</si>
  <si>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</si>
  <si>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</si>
  <si>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</si>
  <si>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</si>
  <si>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</si>
  <si>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</si>
  <si>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</si>
  <si>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</si>
  <si>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</si>
  <si>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</si>
  <si>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</si>
  <si>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</si>
  <si>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</si>
  <si>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</si>
  <si>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</si>
  <si>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</si>
  <si>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</si>
  <si>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</si>
  <si>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</si>
  <si>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</si>
  <si>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</si>
  <si>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</si>
  <si>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</si>
  <si>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</si>
  <si>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</si>
  <si>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</si>
  <si>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</si>
  <si>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</si>
  <si>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</si>
  <si>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</si>
  <si>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</si>
  <si>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</si>
  <si>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</si>
  <si>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</si>
  <si>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</si>
  <si>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</si>
  <si>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</si>
  <si>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</si>
  <si>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</si>
  <si>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</si>
  <si>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</si>
  <si>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</si>
  <si>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</si>
  <si>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</si>
  <si>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</si>
  <si>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</si>
  <si>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</si>
  <si>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</si>
  <si>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</si>
  <si>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</si>
  <si>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</si>
  <si>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</si>
  <si>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</si>
  <si>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</si>
  <si>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</si>
  <si>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</si>
  <si>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</si>
  <si>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</si>
  <si>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</si>
  <si>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</si>
  <si>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</si>
  <si>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</si>
  <si>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</si>
  <si>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</si>
  <si>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</si>
  <si>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</si>
  <si>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</si>
  <si>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</si>
  <si>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</si>
  <si>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</si>
  <si>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</si>
  <si>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</si>
  <si>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</si>
  <si>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</si>
  <si>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</si>
  <si>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</si>
  <si>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</si>
  <si>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</si>
  <si>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</si>
  <si>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</si>
  <si>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</si>
  <si>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</si>
  <si>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</si>
  <si>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</si>
  <si>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</si>
  <si>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</si>
  <si>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</si>
  <si>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</si>
  <si>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</si>
  <si>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</si>
  <si>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</si>
  <si>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</si>
  <si>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</si>
  <si>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</si>
  <si>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</si>
  <si>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</si>
  <si>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</si>
  <si>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</si>
  <si>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</si>
  <si>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</si>
  <si>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</si>
  <si>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</si>
  <si>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</si>
  <si>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</si>
  <si>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</si>
  <si>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</si>
  <si>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</si>
  <si>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</si>
  <si>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</si>
  <si>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</si>
  <si>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</si>
  <si>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</si>
  <si>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</si>
  <si>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</si>
  <si>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</si>
  <si>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</si>
  <si>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</si>
  <si>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</si>
  <si>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</si>
  <si>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</si>
  <si>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</si>
  <si>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</si>
  <si>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</si>
  <si>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</si>
  <si>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</si>
  <si>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</si>
  <si>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</si>
  <si>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</si>
  <si>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</si>
  <si>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</si>
  <si>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</si>
  <si>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</si>
  <si>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</si>
  <si>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</si>
  <si>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</si>
  <si>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</si>
  <si>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</si>
  <si>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</si>
  <si>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</si>
  <si>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</si>
  <si>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</si>
  <si>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</si>
  <si>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</si>
  <si>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</si>
  <si>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Column Labels</t>
  </si>
  <si>
    <t>Grand Total</t>
  </si>
  <si>
    <t>Count of outcomes</t>
  </si>
  <si>
    <t>Year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</si>
  <si>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</si>
  <si>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</si>
  <si>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</si>
  <si>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</si>
  <si>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</si>
  <si>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</si>
  <si>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</si>
  <si>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</si>
  <si>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</si>
  <si>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</si>
  <si>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</si>
  <si>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</si>
  <si>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</si>
  <si>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</si>
  <si>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</si>
  <si>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</si>
  <si>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</si>
  <si>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</si>
  <si>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</si>
  <si>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</si>
  <si>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</si>
  <si>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</si>
  <si>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</si>
  <si>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</si>
  <si>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</si>
  <si>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</si>
  <si>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</si>
  <si>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</si>
  <si>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</si>
  <si>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</si>
  <si>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</si>
  <si>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</si>
  <si>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</si>
  <si>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</si>
  <si>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Name</t>
  </si>
  <si>
    <t>Blurb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</si>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</sst>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5">
    <dxf>
      <fill>
        <patternFill>
          <bgColor rgb="FFF2F4A4"/>
        </patternFill>
      </fill>
    </dxf>
    <dxf>
      <fill>
        <patternFill>
          <bgColor rgb="FFFFC7CE"/>
        </patternFill>
      </fill>
    </dxf>
    <dxf>
      <fill>
        <patternFill>
          <fgColor rgb="FFFD5555"/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D5555"/>
      <color rgb="FFF2F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026377952755904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7-4FB3-9C2E-EA4CA0E605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37-4FB3-9C2E-EA4CA0E6052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37-4FB3-9C2E-EA4CA0E6052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37-4FB3-9C2E-EA4CA0E60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7330592"/>
        <c:axId val="897330176"/>
      </c:barChart>
      <c:catAx>
        <c:axId val="89733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0176"/>
        <c:crosses val="autoZero"/>
        <c:auto val="1"/>
        <c:lblAlgn val="ctr"/>
        <c:lblOffset val="100"/>
        <c:noMultiLvlLbl val="0"/>
      </c:catAx>
      <c:valAx>
        <c:axId val="89733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3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19-46C9-863A-2C2B3E506F3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19-46C9-863A-2C2B3E506F3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19-46C9-863A-2C2B3E506F3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19-46C9-863A-2C2B3E506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4168912"/>
        <c:axId val="1290315504"/>
      </c:barChart>
      <c:catAx>
        <c:axId val="62416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15504"/>
        <c:crosses val="autoZero"/>
        <c:auto val="1"/>
        <c:lblAlgn val="ctr"/>
        <c:lblOffset val="100"/>
        <c:noMultiLvlLbl val="0"/>
      </c:catAx>
      <c:valAx>
        <c:axId val="129031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6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38-4B74-99AF-2A252EC49F7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38-4B74-99AF-2A252EC49F7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38-4B74-99AF-2A252EC49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765728"/>
        <c:axId val="611857600"/>
      </c:lineChart>
      <c:catAx>
        <c:axId val="8997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857600"/>
        <c:crosses val="autoZero"/>
        <c:auto val="1"/>
        <c:lblAlgn val="ctr"/>
        <c:lblOffset val="100"/>
        <c:noMultiLvlLbl val="0"/>
      </c:catAx>
      <c:valAx>
        <c:axId val="6118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76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</a:p>
        </c:rich>
      </c:tx>
      <c:layout>
        <c:manualLayout>
          <c:xMode val="edge"/>
          <c:yMode val="edge"/>
          <c:x val="0.22554155730533682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C-4ED1-B922-1DF26E9767B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C-4ED1-B922-1DF26E9767B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EC-4ED1-B922-1DF26E97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6669056"/>
        <c:axId val="906680704"/>
      </c:lineChart>
      <c:catAx>
        <c:axId val="9066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680704"/>
        <c:crosses val="autoZero"/>
        <c:auto val="1"/>
        <c:lblAlgn val="ctr"/>
        <c:lblOffset val="100"/>
        <c:noMultiLvlLbl val="0"/>
      </c:catAx>
      <c:valAx>
        <c:axId val="90668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66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93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AE-48CF-81D2-C6625B94B1E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AE-48CF-81D2-C6625B94B1E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67</c:v>
                </c:pt>
                <c:pt idx="11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AE-48CF-81D2-C6625B94B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486256"/>
        <c:axId val="984476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5AE-48CF-81D2-C6625B94B1E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28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5AE-48CF-81D2-C6625B94B1E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5AE-48CF-81D2-C6625B94B1E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416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5AE-48CF-81D2-C6625B94B1EC}"/>
                  </c:ext>
                </c:extLst>
              </c15:ser>
            </c15:filteredLineSeries>
          </c:ext>
        </c:extLst>
      </c:lineChart>
      <c:catAx>
        <c:axId val="98448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76272"/>
        <c:crosses val="autoZero"/>
        <c:auto val="1"/>
        <c:lblAlgn val="ctr"/>
        <c:lblOffset val="100"/>
        <c:noMultiLvlLbl val="0"/>
      </c:catAx>
      <c:valAx>
        <c:axId val="98447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8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0</xdr:row>
      <xdr:rowOff>158750</xdr:rowOff>
    </xdr:from>
    <xdr:to>
      <xdr:col>13</xdr:col>
      <xdr:colOff>434975</xdr:colOff>
      <xdr:row>15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206BB-0C4F-4641-9A25-1256F88A1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</xdr:row>
      <xdr:rowOff>34925</xdr:rowOff>
    </xdr:from>
    <xdr:to>
      <xdr:col>14</xdr:col>
      <xdr:colOff>479425</xdr:colOff>
      <xdr:row>15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2BF82-A044-498D-8A0E-07D90FEDF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111125</xdr:colOff>
      <xdr:row>1</xdr:row>
      <xdr:rowOff>28575</xdr:rowOff>
    </xdr:from>
    <xdr:to>
      <xdr:col>14</xdr:col>
      <xdr:colOff>295275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FB37B-FE5A-4120-98BE-1205038A2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457201</xdr:colOff>
      <xdr:row>1</xdr:row>
      <xdr:rowOff>50800</xdr:rowOff>
    </xdr:from>
    <xdr:to>
      <xdr:col>13</xdr:col>
      <xdr:colOff>304801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3125D1-5676-4B8D-B1F4-D43F1BB1C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1196974</xdr:colOff>
      <xdr:row>13</xdr:row>
      <xdr:rowOff>161924</xdr:rowOff>
    </xdr:from>
    <xdr:to>
      <xdr:col>6</xdr:col>
      <xdr:colOff>857249</xdr:colOff>
      <xdr:row>30</xdr:row>
      <xdr:rowOff>177799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8B970C-7202-4180-961C-B1A1D6F6A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dy" refreshedDate="44548.568307870373" createdVersion="7" refreshedVersion="7" minRefreshableVersion="3" recordCount="4114" xr:uid="{DBF28A9F-F372-4B01-A44F-E6E7502606C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6117A-E141-4F42-AFEE-D4B58F456C0E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693AC-293D-498D-8695-4BE0547630EE}" name="PivotTable5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5AA52-2CF2-4CA9-9683-1D3B82FB726B}" name="PivotTable6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C73B5-2E46-43AD-A362-B812C461BC99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22" baseItem="1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topLeftCell="G3221" zoomScale="95" zoomScaleNormal="95" workbookViewId="0">
      <selection activeCell="C3223" sqref="C322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5703125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style="12" bestFit="1" customWidth="1"/>
    <col min="20" max="20" width="22" bestFit="1" customWidth="1"/>
    <col min="21" max="21" width="6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1" t="s">
        <v>8360</v>
      </c>
      <c r="T1" s="11" t="s">
        <v>8361</v>
      </c>
      <c r="U1" s="11" t="s">
        <v>8365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0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0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 2), 0)</f>
        <v>132.05000000000001</v>
      </c>
      <c r="Q67" s="10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 2), 0)</f>
        <v>0</v>
      </c>
      <c r="Q131" s="10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 2), 0)</f>
        <v>0</v>
      </c>
      <c r="Q195" s="10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 2), 0)</f>
        <v>66.7</v>
      </c>
      <c r="Q259" s="10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 2), 0)</f>
        <v>106.62</v>
      </c>
      <c r="Q323" s="10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 2), 0)</f>
        <v>111.8</v>
      </c>
      <c r="Q387" s="10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 2), 0)</f>
        <v>9</v>
      </c>
      <c r="Q451" s="10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 2), 0)</f>
        <v>102.38</v>
      </c>
      <c r="Q515" s="10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 2), 0)</f>
        <v>10</v>
      </c>
      <c r="Q579" s="10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 2), 0)</f>
        <v>151.32</v>
      </c>
      <c r="Q643" s="10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 2), 0)</f>
        <v>195.4</v>
      </c>
      <c r="Q707" s="10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 2), 0)</f>
        <v>31.85</v>
      </c>
      <c r="Q771" s="10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 2), 0)</f>
        <v>148.78</v>
      </c>
      <c r="Q835" s="10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 2), 0)</f>
        <v>0</v>
      </c>
      <c r="Q899" s="10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 2), 0)</f>
        <v>364.35</v>
      </c>
      <c r="Q963" s="10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 2), 0)</f>
        <v>71.849999999999994</v>
      </c>
      <c r="Q1027" s="10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 2), 0)</f>
        <v>23.96</v>
      </c>
      <c r="Q1091" s="10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 2), 0)</f>
        <v>50</v>
      </c>
      <c r="Q1155" s="10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 2), 0)</f>
        <v>148.57</v>
      </c>
      <c r="Q1219" s="10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 2), 0)</f>
        <v>104.73</v>
      </c>
      <c r="Q1283" s="10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 2), 0)</f>
        <v>53.57</v>
      </c>
      <c r="Q1347" s="10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 2), 0)</f>
        <v>0</v>
      </c>
      <c r="Q1411" s="10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 2), 0)</f>
        <v>38.46</v>
      </c>
      <c r="Q1475" s="10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 2), 0)</f>
        <v>96.38</v>
      </c>
      <c r="Q1539" s="10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 2), 0)</f>
        <v>48.33</v>
      </c>
      <c r="Q1603" s="10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 2), 0)</f>
        <v>44.96</v>
      </c>
      <c r="Q1667" s="10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 2), 0)</f>
        <v>0</v>
      </c>
      <c r="Q1731" s="10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 2), 0)</f>
        <v>20</v>
      </c>
      <c r="Q1795" s="10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 2), 0)</f>
        <v>136.36000000000001</v>
      </c>
      <c r="Q1859" s="10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 2), 0)</f>
        <v>54</v>
      </c>
      <c r="Q1923" s="10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 2), 0)</f>
        <v>12.75</v>
      </c>
      <c r="Q1987" s="10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 2), 0)</f>
        <v>80.989999999999995</v>
      </c>
      <c r="Q2051" s="10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 2), 0)</f>
        <v>68.599999999999994</v>
      </c>
      <c r="Q2115" s="10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 2), 0)</f>
        <v>65.87</v>
      </c>
      <c r="Q2179" s="10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 2), 0)</f>
        <v>49.47</v>
      </c>
      <c r="Q2243" s="10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 2), 0)</f>
        <v>109.11</v>
      </c>
      <c r="Q2307" s="10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 2), 0)</f>
        <v>0</v>
      </c>
      <c r="Q2371" s="10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 2), 0)</f>
        <v>0</v>
      </c>
      <c r="Q2435" s="10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 2), 0)</f>
        <v>80.55</v>
      </c>
      <c r="Q2499" s="10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 2), 0)</f>
        <v>0</v>
      </c>
      <c r="Q2563" s="10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 2), 0)</f>
        <v>27.58</v>
      </c>
      <c r="Q2627" s="10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 2), 0)</f>
        <v>1</v>
      </c>
      <c r="Q2691" s="10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 2), 0)</f>
        <v>47.5</v>
      </c>
      <c r="Q2755" s="10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 2), 0)</f>
        <v>23.64</v>
      </c>
      <c r="Q2819" s="10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>
        <f t="shared" ref="P2883:P2946" si="226">IFERROR(ROUND(E2883/L2883, 2), 0)</f>
        <v>0</v>
      </c>
      <c r="Q2883" s="10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>
        <f t="shared" ref="P2947:P3010" si="231">IFERROR(ROUND(E2947/L2947, 2), 0)</f>
        <v>0</v>
      </c>
      <c r="Q2947" s="10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 0)</f>
        <v>120</v>
      </c>
      <c r="P3011">
        <f t="shared" ref="P3011:P3074" si="236">IFERROR(ROUND(E3011/L3011, 2), 0)</f>
        <v>233.9</v>
      </c>
      <c r="Q3011" s="10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 0)</f>
        <v>0</v>
      </c>
      <c r="P3075">
        <f t="shared" ref="P3075:P3138" si="241">IFERROR(ROUND(E3075/L3075, 2), 0)</f>
        <v>92.14</v>
      </c>
      <c r="Q3075" s="10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 0)</f>
        <v>3</v>
      </c>
      <c r="P3139">
        <f t="shared" ref="P3139:P3202" si="246">IFERROR(ROUND(E3139/L3139, 2), 0)</f>
        <v>50</v>
      </c>
      <c r="Q3139" s="10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 0)</f>
        <v>1</v>
      </c>
      <c r="P3203">
        <f t="shared" ref="P3203:P3266" si="251">IFERROR(ROUND(E3203/L3203, 2), 0)</f>
        <v>12.5</v>
      </c>
      <c r="Q3203" s="10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 0)</f>
        <v>164</v>
      </c>
      <c r="P3267">
        <f t="shared" ref="P3267:P3330" si="256">IFERROR(ROUND(E3267/L3267, 2), 0)</f>
        <v>70.290000000000006</v>
      </c>
      <c r="Q3267" s="10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 0)</f>
        <v>117</v>
      </c>
      <c r="P3331">
        <f t="shared" ref="P3331:P3394" si="261">IFERROR(ROUND(E3331/L3331, 2), 0)</f>
        <v>44.92</v>
      </c>
      <c r="Q3331" s="10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>
        <f t="shared" ref="P3395:P3458" si="266">IFERROR(ROUND(E3395/L3395, 2), 0)</f>
        <v>36.07</v>
      </c>
      <c r="Q3395" s="10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 0)</f>
        <v>140</v>
      </c>
      <c r="P3459">
        <f t="shared" ref="P3459:P3522" si="271">IFERROR(ROUND(E3459/L3459, 2), 0)</f>
        <v>50.98</v>
      </c>
      <c r="Q3459" s="10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 0)</f>
        <v>169</v>
      </c>
      <c r="P3523">
        <f t="shared" ref="P3523:P3586" si="276">IFERROR(ROUND(E3523/L3523, 2), 0)</f>
        <v>45.62</v>
      </c>
      <c r="Q3523" s="10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 0)</f>
        <v>119</v>
      </c>
      <c r="P3587">
        <f t="shared" ref="P3587:P3650" si="281">IFERROR(ROUND(E3587/L3587, 2), 0)</f>
        <v>176.09</v>
      </c>
      <c r="Q3587" s="10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 0)</f>
        <v>104</v>
      </c>
      <c r="P3651">
        <f t="shared" ref="P3651:P3714" si="286">IFERROR(ROUND(E3651/L3651, 2), 0)</f>
        <v>97.5</v>
      </c>
      <c r="Q3651" s="10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 0)</f>
        <v>102</v>
      </c>
      <c r="P3715">
        <f t="shared" ref="P3715:P3778" si="291">IFERROR(ROUND(E3715/L3715, 2), 0)</f>
        <v>106.84</v>
      </c>
      <c r="Q3715" s="10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 0)</f>
        <v>143</v>
      </c>
      <c r="P3779">
        <f t="shared" ref="P3779:P3842" si="296">IFERROR(ROUND(E3779/L3779, 2), 0)</f>
        <v>48.54</v>
      </c>
      <c r="Q3779" s="10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 0)</f>
        <v>9</v>
      </c>
      <c r="P3843">
        <f t="shared" ref="P3843:P3906" si="301">IFERROR(ROUND(E3843/L3843, 2), 0)</f>
        <v>25.65</v>
      </c>
      <c r="Q3843" s="10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 0)</f>
        <v>12</v>
      </c>
      <c r="P3907">
        <f t="shared" ref="P3907:P3970" si="306">IFERROR(ROUND(E3907/L3907, 2), 0)</f>
        <v>24.71</v>
      </c>
      <c r="Q3907" s="10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 0)</f>
        <v>7</v>
      </c>
      <c r="P3971">
        <f t="shared" ref="P3971:P4034" si="311">IFERROR(ROUND(E3971/L3971, 2), 0)</f>
        <v>35.17</v>
      </c>
      <c r="Q3971" s="10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 0)</f>
        <v>26</v>
      </c>
      <c r="P4035">
        <f t="shared" ref="P4035:P4098" si="316">IFERROR(ROUND(E4035/L4035, 2), 0)</f>
        <v>65.34</v>
      </c>
      <c r="Q4035" s="10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 0)</f>
        <v>0</v>
      </c>
      <c r="P4099">
        <f t="shared" ref="P4099:P4115" si="321">IFERROR(ROUND(E4099/L4099, 2), 0)</f>
        <v>0</v>
      </c>
      <c r="Q4099" s="10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F1:F1048576">
    <cfRule type="cellIs" dxfId="4" priority="6" operator="equal">
      <formula>"live"</formula>
    </cfRule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">
    <cfRule type="colorScale" priority="1">
      <colorScale>
        <cfvo type="min"/>
        <cfvo type="percent" val="90"/>
        <color rgb="FFFD5555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2CEAD-FDAC-478B-A5A8-F68E7E2FE7B8}">
  <sheetPr codeName="Sheet5"/>
  <dimension ref="A1:F14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8379</v>
      </c>
    </row>
    <row r="3" spans="1:6" x14ac:dyDescent="0.25">
      <c r="A3" s="13" t="s">
        <v>8364</v>
      </c>
      <c r="B3" s="13" t="s">
        <v>8362</v>
      </c>
    </row>
    <row r="4" spans="1:6" x14ac:dyDescent="0.25">
      <c r="A4" s="13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6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6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6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6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6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6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6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6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6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6" t="s">
        <v>8363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45631-06CE-4CC7-9075-BC3F72204F33}">
  <sheetPr codeName="Sheet7"/>
  <dimension ref="A1:F43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8358</v>
      </c>
      <c r="B2" t="s">
        <v>8379</v>
      </c>
    </row>
    <row r="4" spans="1:6" x14ac:dyDescent="0.25">
      <c r="A4" s="13" t="s">
        <v>8364</v>
      </c>
      <c r="B4" s="13" t="s">
        <v>8362</v>
      </c>
    </row>
    <row r="5" spans="1:6" x14ac:dyDescent="0.25">
      <c r="A5" s="13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6" t="s">
        <v>8314</v>
      </c>
      <c r="B6" s="14"/>
      <c r="C6" s="14">
        <v>14</v>
      </c>
      <c r="D6" s="14"/>
      <c r="E6" s="14"/>
      <c r="F6" s="14">
        <v>14</v>
      </c>
    </row>
    <row r="7" spans="1:6" x14ac:dyDescent="0.25">
      <c r="A7" s="16" t="s">
        <v>8342</v>
      </c>
      <c r="B7" s="14">
        <v>3</v>
      </c>
      <c r="C7" s="14"/>
      <c r="D7" s="14"/>
      <c r="E7" s="14"/>
      <c r="F7" s="14">
        <v>3</v>
      </c>
    </row>
    <row r="8" spans="1:6" x14ac:dyDescent="0.25">
      <c r="A8" s="16" t="s">
        <v>8356</v>
      </c>
      <c r="B8" s="14"/>
      <c r="C8" s="14">
        <v>2</v>
      </c>
      <c r="D8" s="14"/>
      <c r="E8" s="14"/>
      <c r="F8" s="14">
        <v>2</v>
      </c>
    </row>
    <row r="9" spans="1:6" x14ac:dyDescent="0.25">
      <c r="A9" s="16" t="s">
        <v>8352</v>
      </c>
      <c r="B9" s="14"/>
      <c r="C9" s="14"/>
      <c r="D9" s="14"/>
      <c r="E9" s="14">
        <v>5</v>
      </c>
      <c r="F9" s="14">
        <v>5</v>
      </c>
    </row>
    <row r="10" spans="1:6" x14ac:dyDescent="0.25">
      <c r="A10" s="16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6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6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6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6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6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6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6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6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6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6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6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6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6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6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6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6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6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6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6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6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6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6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6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6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6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6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6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6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6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6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6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6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6" t="s">
        <v>8363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0B80D-B713-436C-AA75-A9C808A59408}">
  <sheetPr codeName="Sheet9"/>
  <dimension ref="A1:D6"/>
  <sheetViews>
    <sheetView workbookViewId="0">
      <selection activeCell="E1" sqref="E1"/>
    </sheetView>
  </sheetViews>
  <sheetFormatPr defaultRowHeight="15" x14ac:dyDescent="0.25"/>
  <cols>
    <col min="1" max="1" width="34.42578125" customWidth="1"/>
    <col min="2" max="2" width="106" customWidth="1"/>
  </cols>
  <sheetData>
    <row r="1" spans="1:4" x14ac:dyDescent="0.25">
      <c r="A1" t="s">
        <v>8400</v>
      </c>
      <c r="B1" t="s">
        <v>8401</v>
      </c>
      <c r="C1" t="s">
        <v>8380</v>
      </c>
      <c r="D1" t="s">
        <v>8402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</row>
    <row r="6" spans="1:4" ht="45" x14ac:dyDescent="0.25">
      <c r="A6" t="s">
        <v>3221</v>
      </c>
      <c r="B6" s="3" t="s">
        <v>7331</v>
      </c>
      <c r="C6">
        <f>VLOOKUP(A6, Kickstarter!B:E, 3, 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F21D0-1DA3-43F2-A999-8C422D10CDD1}">
  <sheetPr codeName="Sheet8"/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8365</v>
      </c>
      <c r="B2" t="s">
        <v>8379</v>
      </c>
    </row>
    <row r="4" spans="1:5" x14ac:dyDescent="0.25">
      <c r="A4" s="13" t="s">
        <v>8364</v>
      </c>
      <c r="B4" s="13" t="s">
        <v>8362</v>
      </c>
    </row>
    <row r="5" spans="1:5" x14ac:dyDescent="0.25">
      <c r="A5" s="13" t="s">
        <v>8366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5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5406A-D6E0-4A4F-B165-4A953C185533}">
  <sheetPr codeName="Sheet2"/>
  <dimension ref="A1:E18"/>
  <sheetViews>
    <sheetView topLeftCell="A7" workbookViewId="0">
      <selection activeCell="P8" sqref="P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8365</v>
      </c>
      <c r="B2" t="s">
        <v>8379</v>
      </c>
    </row>
    <row r="4" spans="1:5" x14ac:dyDescent="0.25">
      <c r="A4" s="13" t="s">
        <v>8364</v>
      </c>
      <c r="B4" s="13" t="s">
        <v>8362</v>
      </c>
    </row>
    <row r="5" spans="1:5" x14ac:dyDescent="0.25">
      <c r="A5" s="13" t="s">
        <v>8366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15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5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5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5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5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5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5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5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5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5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FB173-3CD9-4182-AEBB-03057F8A6EDB}">
  <sheetPr codeName="Sheet3"/>
  <dimension ref="A1:H13"/>
  <sheetViews>
    <sheetView zoomScaleNormal="100" workbookViewId="0">
      <selection activeCell="H17" sqref="H17"/>
    </sheetView>
  </sheetViews>
  <sheetFormatPr defaultRowHeight="15" x14ac:dyDescent="0.25"/>
  <cols>
    <col min="1" max="1" width="2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COUNTIFS(Kickstarter!F:F, Kickstarter!F2, Kickstarter!D:D, "&lt;1000", Kickstarter!R:R, Kickstarter!R2910)</f>
        <v>141</v>
      </c>
      <c r="C2">
        <f>COUNTIFS(Kickstarter!F:F, Kickstarter!F212, Kickstarter!D:D, "&lt;1000", Kickstarter!R:R, "plays")</f>
        <v>45</v>
      </c>
      <c r="D2">
        <f>COUNTIFS(Kickstarter!F:F,Kickstarter!F122, Kickstarter!D:D, "&lt;1000", Kickstarter!R:R, Kickstarter!R1297)</f>
        <v>0</v>
      </c>
      <c r="E2">
        <f>SUM(B2,C2,D2)</f>
        <v>186</v>
      </c>
      <c r="F2">
        <f>ROUND((B2/E2)*100, 0)</f>
        <v>76</v>
      </c>
      <c r="G2">
        <f>ROUND((C2/E2)*100, 0)</f>
        <v>24</v>
      </c>
      <c r="H2">
        <f>ROUND((D2/E2)*100,0)</f>
        <v>0</v>
      </c>
    </row>
    <row r="3" spans="1:8" x14ac:dyDescent="0.25">
      <c r="A3" t="s">
        <v>8389</v>
      </c>
      <c r="B3">
        <f>COUNTIFS(Kickstarter!F:F, Kickstarter!F3, Kickstarter!D:D, "&gt;=1000", Kickstarter!R:R, Kickstarter!R2911, Kickstarter!D:D, "&lt;=4999" )</f>
        <v>388</v>
      </c>
      <c r="C3">
        <f>COUNTIFS(Kickstarter!F:F, Kickstarter!F213, Kickstarter!D:D, "&gt;=1000", Kickstarter!R:R, "plays", Kickstarter!D:D, "&lt;=1499")</f>
        <v>28</v>
      </c>
      <c r="D3">
        <f>COUNTIFS(Kickstarter!F:F,Kickstarter!F122, Kickstarter!D:D, "&gt;=1000", Kickstarter!R:R, Kickstarter!R1297, Kickstarter!D:D, "&lt;=4999")</f>
        <v>0</v>
      </c>
      <c r="E3">
        <f t="shared" ref="E3:E13" si="0">SUM(B3,C3,D3)</f>
        <v>416</v>
      </c>
      <c r="F3">
        <f t="shared" ref="F3:F13" si="1">ROUND((B3/E3)*100, 0)</f>
        <v>93</v>
      </c>
      <c r="G3">
        <f t="shared" ref="G3:G13" si="2">ROUND((C3/E3)*100, 0)</f>
        <v>7</v>
      </c>
      <c r="H3">
        <f t="shared" ref="H3:H13" si="3">ROUND((D3/E3)*100,0)</f>
        <v>0</v>
      </c>
    </row>
    <row r="4" spans="1:8" x14ac:dyDescent="0.25">
      <c r="A4" t="s">
        <v>8390</v>
      </c>
      <c r="B4">
        <f>COUNTIFS(Kickstarter!F:F, Kickstarter!F4, Kickstarter!D:D, "&gt;=5000", Kickstarter!R:R, Kickstarter!R2912, Kickstarter!D:D, "&lt;=9999" )</f>
        <v>93</v>
      </c>
      <c r="C4">
        <f>COUNTIFS(Kickstarter!F:F, Kickstarter!F214, Kickstarter!D:D, "&gt;=5000", Kickstarter!R:R, "plays", Kickstarter!D:D, "&lt;=9999")</f>
        <v>76</v>
      </c>
      <c r="D4">
        <f>COUNTIFS(Kickstarter!F:F,Kickstarter!F123, Kickstarter!D:D, "&gt;=5000", Kickstarter!R:R, Kickstarter!R1298, Kickstarter!D:D,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8391</v>
      </c>
      <c r="B5">
        <f>COUNTIFS(Kickstarter!F:F, Kickstarter!F5, Kickstarter!D:D, "&gt;=10000", Kickstarter!R:R, Kickstarter!R2913, Kickstarter!D:D, "&lt;=14999" )</f>
        <v>39</v>
      </c>
      <c r="C5">
        <f>COUNTIFS(Kickstarter!F:F, Kickstarter!F215, Kickstarter!D:D, "&gt;=10000", Kickstarter!R:R, "plays", Kickstarter!D:D, "&lt;=14999")</f>
        <v>33</v>
      </c>
      <c r="D5">
        <f>COUNTIFS(Kickstarter!F:F,Kickstarter!F124, Kickstarter!D:D, "&gt;=10000", Kickstarter!R:R, Kickstarter!R1299, Kickstarter!D:D, 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8392</v>
      </c>
      <c r="B6">
        <f>COUNTIFS(Kickstarter!F:F, Kickstarter!F6, Kickstarter!D:D, "&gt;=15000", Kickstarter!R:R, Kickstarter!R2914, Kickstarter!D:D, "&lt;=19999" )</f>
        <v>12</v>
      </c>
      <c r="C6">
        <f>COUNTIFS(Kickstarter!F:F, Kickstarter!F216, Kickstarter!D:D, "&gt;=15000", Kickstarter!R:R, "plays", Kickstarter!D:D, "&lt;=19999")</f>
        <v>12</v>
      </c>
      <c r="D6">
        <f>COUNTIFS(Kickstarter!F:F,Kickstarter!F125, Kickstarter!D:D, "&gt;=15000", Kickstarter!R:R, Kickstarter!R1300, Kickstarter!D:D,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8393</v>
      </c>
      <c r="B7">
        <f>COUNTIFS(Kickstarter!F:F, Kickstarter!F7, Kickstarter!D:D, "&gt;=20000", Kickstarter!R:R, Kickstarter!R2915, Kickstarter!D:D, "&lt;=24999" )</f>
        <v>9</v>
      </c>
      <c r="C7">
        <f>COUNTIFS(Kickstarter!F:F, Kickstarter!F217, Kickstarter!D:D, "&gt;=20000", Kickstarter!R:R, "plays", Kickstarter!D:D, "&lt;=24999")</f>
        <v>11</v>
      </c>
      <c r="D7">
        <f>COUNTIFS(Kickstarter!F:F,Kickstarter!F126, Kickstarter!D:D, "&gt;=20000", Kickstarter!R:R, Kickstarter!R1301, Kickstarter!D:D,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8394</v>
      </c>
      <c r="B8">
        <f>COUNTIFS(Kickstarter!F:F, Kickstarter!F8, Kickstarter!D:D, "&gt;=25000", Kickstarter!R:R, Kickstarter!R2916, Kickstarter!D:D, "&lt;=29999" )</f>
        <v>1</v>
      </c>
      <c r="C8">
        <f>COUNTIFS(Kickstarter!F:F, Kickstarter!F218, Kickstarter!D:D, "&gt;=25000", Kickstarter!R:R, "plays", Kickstarter!D:D, "&lt;=29999")</f>
        <v>4</v>
      </c>
      <c r="D8">
        <f>COUNTIFS(Kickstarter!F:F,Kickstarter!F127, Kickstarter!D:D, "&gt;=25000", Kickstarter!R:R, Kickstarter!R1302, Kickstarter!D:D,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8395</v>
      </c>
      <c r="B9">
        <f>COUNTIFS(Kickstarter!F:F, Kickstarter!F9, Kickstarter!D:D, "&gt;=30000", Kickstarter!R:R, Kickstarter!R2917, Kickstarter!D:D, "&lt;=34999" )</f>
        <v>3</v>
      </c>
      <c r="C9">
        <f>COUNTIFS(Kickstarter!F:F, Kickstarter!F219, Kickstarter!D:D, "&gt;=30000", Kickstarter!R:R, "plays", Kickstarter!D:D, "&lt;=34999")</f>
        <v>8</v>
      </c>
      <c r="D9">
        <f>COUNTIFS(Kickstarter!F:F,Kickstarter!F128, Kickstarter!D:D, "&gt;=30000", Kickstarter!R:R, Kickstarter!R1303, Kickstarter!D:D, 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8396</v>
      </c>
      <c r="B10">
        <f>COUNTIFS(Kickstarter!F:F, Kickstarter!F10, Kickstarter!D:D, "&gt;=35000", Kickstarter!R:R, Kickstarter!R2918, Kickstarter!D:D, "&lt;=39999" )</f>
        <v>4</v>
      </c>
      <c r="C10">
        <f>COUNTIFS(Kickstarter!F:F, Kickstarter!F220, Kickstarter!D:D, "&gt;=35000", Kickstarter!R:R, "plays", Kickstarter!D:D, "&lt;=39999")</f>
        <v>2</v>
      </c>
      <c r="D10">
        <f>COUNTIFS(Kickstarter!F:F,Kickstarter!F129, Kickstarter!D:D, "&gt;=35000", Kickstarter!R:R, Kickstarter!R1304, Kickstarter!D:D, 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8397</v>
      </c>
      <c r="B11">
        <f>COUNTIFS(Kickstarter!F:F, Kickstarter!F11, Kickstarter!D:D, "&gt;=40000", Kickstarter!R:R, Kickstarter!R2919, Kickstarter!D:D, "&lt;=44999" )</f>
        <v>2</v>
      </c>
      <c r="C11">
        <f>COUNTIFS(Kickstarter!F:F, Kickstarter!F221, Kickstarter!D:D, "&gt;=40000", Kickstarter!R:R, "plays", Kickstarter!D:D, "&lt;=44999")</f>
        <v>1</v>
      </c>
      <c r="D11">
        <f>COUNTIFS(Kickstarter!F:F,Kickstarter!F130, Kickstarter!D:D, "&gt;=40000", Kickstarter!R:R, Kickstarter!R1305, Kickstarter!D:D, 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8398</v>
      </c>
      <c r="B12">
        <f>COUNTIFS(Kickstarter!F:F, Kickstarter!F12, Kickstarter!D:D, "&gt;=45000", Kickstarter!R:R, Kickstarter!R2920, Kickstarter!D:D, "&lt;=49999" )</f>
        <v>0</v>
      </c>
      <c r="C12">
        <f>COUNTIFS(Kickstarter!F:F, Kickstarter!F222, Kickstarter!D:D, "&gt;=45000", Kickstarter!R:R, "plays", Kickstarter!D:D, "&lt;=49999")</f>
        <v>1</v>
      </c>
      <c r="D12">
        <f>COUNTIFS(Kickstarter!F:F,Kickstarter!F131, Kickstarter!D:D, "&gt;=45000", Kickstarter!R:R, Kickstarter!R1306, Kickstarter!D:D, "&lt;=49999")</f>
        <v>2</v>
      </c>
      <c r="E12">
        <f t="shared" si="0"/>
        <v>3</v>
      </c>
      <c r="F12">
        <f t="shared" si="1"/>
        <v>0</v>
      </c>
      <c r="G12">
        <f t="shared" si="2"/>
        <v>33</v>
      </c>
      <c r="H12">
        <f t="shared" si="3"/>
        <v>67</v>
      </c>
    </row>
    <row r="13" spans="1:8" x14ac:dyDescent="0.25">
      <c r="A13" t="s">
        <v>8399</v>
      </c>
      <c r="B13">
        <f>COUNTIFS(Kickstarter!F:F, Kickstarter!F13, Kickstarter!D:D, "&gt;50000", Kickstarter!R:R, Kickstarter!R2921 )</f>
        <v>2</v>
      </c>
      <c r="C13">
        <f>COUNTIFS(Kickstarter!F:F, Kickstarter!F223, Kickstarter!D:D, "&gt;=50000", Kickstarter!R:R, "plays")</f>
        <v>14</v>
      </c>
      <c r="D13">
        <f>COUNTIFS(Kickstarter!F:F,Kickstarter!F132, Kickstarter!D:D, "&gt;50000", Kickstarter!R:R, Kickstarter!R1307)</f>
        <v>19</v>
      </c>
      <c r="E13">
        <f t="shared" si="0"/>
        <v>35</v>
      </c>
      <c r="F13">
        <f t="shared" si="1"/>
        <v>6</v>
      </c>
      <c r="G13">
        <f t="shared" si="2"/>
        <v>40</v>
      </c>
      <c r="H13">
        <f t="shared" si="3"/>
        <v>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Edinburgh Research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Mandy Lynch</cp:lastModifiedBy>
  <dcterms:created xsi:type="dcterms:W3CDTF">2017-04-20T15:17:24Z</dcterms:created>
  <dcterms:modified xsi:type="dcterms:W3CDTF">2022-01-06T02:20:30Z</dcterms:modified>
</cp:coreProperties>
</file>