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Data\z003hpax\Documents\Personal docs\finance\BM\"/>
    </mc:Choice>
  </mc:AlternateContent>
  <xr:revisionPtr revIDLastSave="0" documentId="13_ncr:1_{8D7D28C0-27B0-4099-9460-BD305102AC8D}" xr6:coauthVersionLast="45" xr6:coauthVersionMax="45" xr10:uidLastSave="{00000000-0000-0000-0000-000000000000}"/>
  <bookViews>
    <workbookView xWindow="-120" yWindow="-120" windowWidth="29040" windowHeight="15840" tabRatio="568" activeTab="6" xr2:uid="{00000000-000D-0000-FFFF-FFFF00000000}"/>
  </bookViews>
  <sheets>
    <sheet name="Index" sheetId="1" r:id="rId1"/>
    <sheet name="Contributors" sheetId="8" r:id="rId2"/>
    <sheet name="Summary - Person" sheetId="2" r:id="rId3"/>
    <sheet name="Summary - Month" sheetId="3" r:id="rId4"/>
    <sheet name="Summary - Expenditures" sheetId="4" r:id="rId5"/>
    <sheet name="Natural Disaster fund" sheetId="11" r:id="rId6"/>
    <sheet name="Summary - Overall" sheetId="5" r:id="rId7"/>
    <sheet name="Archive (Old Data)" sheetId="6" r:id="rId8"/>
    <sheet name="Archive Requests" sheetId="12" r:id="rId9"/>
    <sheet name="Formulas" sheetId="7" r:id="rId10"/>
  </sheets>
  <definedNames>
    <definedName name="_xlnm._FilterDatabase" localSheetId="4" hidden="1">'Summary - Expenditures'!$R$1:$R$59</definedName>
    <definedName name="_xlnm._FilterDatabase" localSheetId="2" hidden="1">'Summary - Person'!$A$1:$H$26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52" i="5" l="1"/>
  <c r="G57" i="5"/>
  <c r="E57" i="5"/>
  <c r="G54" i="5"/>
  <c r="E54" i="5"/>
  <c r="E52" i="5"/>
  <c r="G53" i="5"/>
  <c r="E53" i="5"/>
  <c r="G51" i="5"/>
  <c r="E51" i="5"/>
  <c r="F57" i="5"/>
  <c r="G56" i="5"/>
  <c r="F56" i="5"/>
  <c r="G55" i="5"/>
  <c r="F55" i="5"/>
  <c r="F54" i="5"/>
  <c r="F53" i="5"/>
  <c r="F52" i="5"/>
  <c r="F51" i="5"/>
  <c r="E56" i="5"/>
  <c r="E55" i="5"/>
  <c r="G47" i="5" l="1"/>
  <c r="G46" i="5"/>
  <c r="G45" i="5"/>
  <c r="G44" i="5"/>
  <c r="G43" i="5"/>
  <c r="G42" i="5"/>
  <c r="G41" i="5"/>
  <c r="F47" i="5"/>
  <c r="F46" i="5"/>
  <c r="F45" i="5"/>
  <c r="F44" i="5"/>
  <c r="F43" i="5"/>
  <c r="E47" i="5"/>
  <c r="E46" i="5"/>
  <c r="E45" i="5"/>
  <c r="E44" i="5"/>
  <c r="E43" i="5"/>
  <c r="F42" i="5"/>
  <c r="F41" i="5"/>
  <c r="E42" i="5"/>
  <c r="E41" i="5"/>
  <c r="O59" i="4" l="1"/>
  <c r="J59" i="4"/>
  <c r="H59" i="4"/>
  <c r="G59" i="4"/>
  <c r="O58" i="4"/>
  <c r="J58" i="4"/>
  <c r="H58" i="4"/>
  <c r="G58" i="4"/>
  <c r="O57" i="4"/>
  <c r="J57" i="4"/>
  <c r="H57" i="4"/>
  <c r="G57" i="4"/>
  <c r="B25" i="11" l="1"/>
  <c r="B423" i="2" l="1"/>
  <c r="D21" i="11"/>
  <c r="B21" i="11"/>
  <c r="E20" i="11"/>
  <c r="C21" i="11"/>
  <c r="D20" i="11"/>
  <c r="O56" i="4" l="1"/>
  <c r="J56" i="4"/>
  <c r="H56" i="4"/>
  <c r="G56" i="4"/>
  <c r="O55" i="4"/>
  <c r="J55" i="4"/>
  <c r="H55" i="4"/>
  <c r="G55" i="4"/>
  <c r="O54" i="4"/>
  <c r="J54" i="4"/>
  <c r="H54" i="4"/>
  <c r="G54" i="4"/>
  <c r="E18" i="11"/>
  <c r="E19" i="11"/>
  <c r="D19" i="11"/>
  <c r="D18" i="11" l="1"/>
  <c r="E7" i="11" l="1"/>
  <c r="D7" i="11"/>
  <c r="O53" i="4"/>
  <c r="J53" i="4"/>
  <c r="H53" i="4"/>
  <c r="G53" i="4"/>
  <c r="O52" i="4"/>
  <c r="J52" i="4"/>
  <c r="H52" i="4"/>
  <c r="G52" i="4"/>
  <c r="O51" i="4"/>
  <c r="J51" i="4"/>
  <c r="H51" i="4"/>
  <c r="G51" i="4"/>
  <c r="E17" i="11"/>
  <c r="D17" i="11"/>
  <c r="C25" i="11"/>
  <c r="D8" i="11"/>
  <c r="D9" i="11"/>
  <c r="D10" i="11"/>
  <c r="D11" i="11"/>
  <c r="D12" i="11"/>
  <c r="D13" i="11"/>
  <c r="D14" i="11"/>
  <c r="D15" i="11"/>
  <c r="D16" i="11"/>
  <c r="D6" i="11"/>
  <c r="O50" i="4"/>
  <c r="J50" i="4"/>
  <c r="H50" i="4"/>
  <c r="G50" i="4"/>
  <c r="O49" i="4"/>
  <c r="J49" i="4"/>
  <c r="H49" i="4"/>
  <c r="G49" i="4"/>
  <c r="C26" i="11" l="1"/>
  <c r="B26" i="11"/>
  <c r="E16" i="11"/>
  <c r="E15" i="11" l="1"/>
  <c r="E14" i="11"/>
  <c r="O48" i="4" l="1"/>
  <c r="J48" i="4"/>
  <c r="H48" i="4"/>
  <c r="G48" i="4"/>
  <c r="E12" i="11"/>
  <c r="E13" i="11"/>
  <c r="E11" i="11"/>
  <c r="E10" i="11"/>
  <c r="E9" i="11"/>
  <c r="E8" i="11"/>
  <c r="O47" i="4"/>
  <c r="J47" i="4"/>
  <c r="H47" i="4"/>
  <c r="O46" i="4"/>
  <c r="J46" i="4"/>
  <c r="H46" i="4"/>
  <c r="O45" i="4"/>
  <c r="J45" i="4"/>
  <c r="H45" i="4"/>
  <c r="O44" i="4" l="1"/>
  <c r="J44" i="4"/>
  <c r="H44" i="4"/>
  <c r="G44" i="4"/>
  <c r="O43" i="4" l="1"/>
  <c r="J43" i="4"/>
  <c r="H43" i="4"/>
  <c r="G43" i="4"/>
  <c r="O42" i="4"/>
  <c r="J42" i="4"/>
  <c r="H42" i="4"/>
  <c r="G42" i="4"/>
  <c r="O41" i="4"/>
  <c r="J41" i="4"/>
  <c r="H41" i="4"/>
  <c r="G41" i="4"/>
  <c r="O40" i="4"/>
  <c r="J40" i="4"/>
  <c r="H40" i="4"/>
  <c r="G40" i="4"/>
  <c r="O39" i="4"/>
  <c r="J39" i="4"/>
  <c r="H39" i="4"/>
  <c r="G39" i="4"/>
  <c r="C429" i="2"/>
  <c r="B429" i="2"/>
  <c r="A429" i="2"/>
  <c r="C397" i="2" l="1"/>
  <c r="B123" i="2"/>
  <c r="C123" i="2"/>
  <c r="C149" i="2"/>
  <c r="E6" i="11"/>
  <c r="E16" i="5" l="1"/>
  <c r="J36" i="4"/>
  <c r="O38" i="4" l="1"/>
  <c r="J38" i="4"/>
  <c r="H38" i="4"/>
  <c r="G38"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4" i="4"/>
  <c r="O35" i="4"/>
  <c r="O36" i="4"/>
  <c r="O37" i="4"/>
  <c r="O3" i="4"/>
  <c r="J37" i="4" l="1"/>
  <c r="H37" i="4"/>
  <c r="G37" i="4"/>
  <c r="H36" i="4" l="1"/>
  <c r="G36" i="4"/>
  <c r="B397" i="2"/>
  <c r="A397" i="2"/>
  <c r="J35" i="4" l="1"/>
  <c r="H35" i="4"/>
  <c r="G35" i="4"/>
  <c r="J34" i="4" l="1"/>
  <c r="G34" i="4"/>
  <c r="H34" i="4" s="1"/>
  <c r="B366" i="2"/>
  <c r="A366" i="2"/>
  <c r="J33" i="4" l="1"/>
  <c r="H33" i="4"/>
  <c r="G33" i="4"/>
  <c r="O33" i="4" l="1"/>
  <c r="J32" i="4"/>
  <c r="H32" i="4"/>
  <c r="G32" i="4"/>
  <c r="J31" i="4"/>
  <c r="H31" i="4"/>
  <c r="G31" i="4"/>
  <c r="B338" i="2"/>
  <c r="A338" i="2"/>
  <c r="J30" i="4" l="1"/>
  <c r="H30" i="4"/>
  <c r="G30" i="4"/>
  <c r="J29" i="4" l="1"/>
  <c r="H29" i="4"/>
  <c r="G29" i="4"/>
  <c r="B310" i="2"/>
  <c r="A310" i="2"/>
  <c r="J28" i="4" l="1"/>
  <c r="H28" i="4"/>
  <c r="G28" i="4"/>
  <c r="J27" i="4"/>
  <c r="H27" i="4"/>
  <c r="G27" i="4"/>
  <c r="J26" i="4"/>
  <c r="H26" i="4"/>
  <c r="G26" i="4"/>
  <c r="J25" i="4" l="1"/>
  <c r="H25" i="4"/>
  <c r="G25" i="4"/>
  <c r="B283" i="2" l="1"/>
  <c r="B256" i="2"/>
  <c r="J24" i="4"/>
  <c r="G24" i="4"/>
  <c r="A283" i="2"/>
  <c r="A256" i="2"/>
  <c r="A229" i="2" l="1"/>
  <c r="B229" i="2"/>
  <c r="J23" i="4"/>
  <c r="H23" i="4"/>
  <c r="G23" i="4"/>
  <c r="G22" i="4"/>
  <c r="J22" i="4"/>
  <c r="H22" i="4"/>
  <c r="J21" i="4" l="1"/>
  <c r="H21" i="4"/>
  <c r="G21" i="4"/>
  <c r="J20" i="4" l="1"/>
  <c r="G20" i="4"/>
  <c r="H20" i="4" s="1"/>
  <c r="J19" i="4"/>
  <c r="H19" i="4"/>
  <c r="G19" i="4"/>
  <c r="J18" i="4"/>
  <c r="H18" i="4"/>
  <c r="G18" i="4"/>
  <c r="G17" i="4" l="1"/>
  <c r="J17" i="4"/>
  <c r="H17" i="4"/>
  <c r="J16" i="4" l="1"/>
  <c r="H16" i="4"/>
  <c r="G16" i="4"/>
  <c r="J15" i="4"/>
  <c r="H15" i="4"/>
  <c r="G15" i="4"/>
  <c r="J14" i="4"/>
  <c r="B149" i="2"/>
  <c r="H24" i="4" l="1"/>
  <c r="H12" i="4"/>
  <c r="H13" i="4"/>
  <c r="H14" i="4"/>
  <c r="G14" i="4"/>
  <c r="G4" i="4" l="1"/>
  <c r="G5" i="4"/>
  <c r="G6" i="4"/>
  <c r="G7" i="4"/>
  <c r="G8" i="4"/>
  <c r="G9" i="4"/>
  <c r="G10" i="4"/>
  <c r="G11" i="4"/>
  <c r="G12" i="4"/>
  <c r="G13" i="4"/>
  <c r="G3" i="4"/>
  <c r="J13" i="4" l="1"/>
  <c r="J12" i="4"/>
  <c r="B202" i="2" l="1"/>
  <c r="A202" i="2"/>
  <c r="B175" i="2"/>
  <c r="A175" i="2"/>
  <c r="A149" i="2"/>
  <c r="A123" i="2" l="1"/>
  <c r="B97" i="2" l="1"/>
  <c r="A97" i="2"/>
  <c r="J11" i="4" l="1"/>
  <c r="H11" i="4"/>
  <c r="J10" i="4" l="1"/>
  <c r="B73" i="2" l="1"/>
  <c r="A73" i="2"/>
  <c r="J9" i="4"/>
  <c r="J8" i="4" l="1"/>
  <c r="J7" i="4" l="1"/>
  <c r="H7" i="4"/>
  <c r="J6" i="4" l="1"/>
  <c r="J5" i="4" l="1"/>
  <c r="B49" i="2"/>
  <c r="A49" i="2"/>
  <c r="F20" i="6" l="1"/>
  <c r="F19" i="6"/>
  <c r="F18" i="6"/>
  <c r="F21" i="6" l="1"/>
  <c r="J4" i="4"/>
  <c r="E11" i="5" l="1"/>
  <c r="E10" i="5"/>
  <c r="K3" i="3"/>
  <c r="K7" i="3"/>
  <c r="K11" i="3"/>
  <c r="K15" i="3"/>
  <c r="K2" i="3"/>
  <c r="K5" i="3"/>
  <c r="K13" i="3"/>
  <c r="K10" i="3"/>
  <c r="K18" i="3"/>
  <c r="K4" i="3"/>
  <c r="K8" i="3"/>
  <c r="K12" i="3"/>
  <c r="K16" i="3"/>
  <c r="K9" i="3"/>
  <c r="K17" i="3"/>
  <c r="K6" i="3"/>
  <c r="K14" i="3"/>
  <c r="J2" i="3"/>
  <c r="I3" i="3"/>
  <c r="I7" i="3"/>
  <c r="I11" i="3"/>
  <c r="I15" i="3"/>
  <c r="I2" i="3"/>
  <c r="H6" i="3"/>
  <c r="H10" i="3"/>
  <c r="H14" i="3"/>
  <c r="H18" i="3"/>
  <c r="I9" i="3"/>
  <c r="I13" i="3"/>
  <c r="H4" i="3"/>
  <c r="H12" i="3"/>
  <c r="I10" i="3"/>
  <c r="I18" i="3"/>
  <c r="H9" i="3"/>
  <c r="H17" i="3"/>
  <c r="I4" i="3"/>
  <c r="I8" i="3"/>
  <c r="I12" i="3"/>
  <c r="I16" i="3"/>
  <c r="H3" i="3"/>
  <c r="H7" i="3"/>
  <c r="H11" i="3"/>
  <c r="H15" i="3"/>
  <c r="H2" i="3"/>
  <c r="I5" i="3"/>
  <c r="I17" i="3"/>
  <c r="H8" i="3"/>
  <c r="H16" i="3"/>
  <c r="I6" i="3"/>
  <c r="I14" i="3"/>
  <c r="H5" i="3"/>
  <c r="H13" i="3"/>
  <c r="J16" i="3"/>
  <c r="J13" i="3"/>
  <c r="J9" i="3"/>
  <c r="J6" i="3"/>
  <c r="J17" i="3"/>
  <c r="J15" i="3"/>
  <c r="J12" i="3"/>
  <c r="J14" i="3"/>
  <c r="J10" i="3"/>
  <c r="J11" i="3"/>
  <c r="J18" i="3"/>
  <c r="J7" i="3"/>
  <c r="J8" i="3"/>
  <c r="E9" i="5"/>
  <c r="F13" i="6"/>
  <c r="I19" i="3"/>
  <c r="H19" i="3"/>
  <c r="K19" i="3"/>
  <c r="B3" i="2" l="1"/>
  <c r="A3" i="2"/>
  <c r="J3" i="3"/>
  <c r="A26" i="2" l="1"/>
  <c r="E12" i="3" s="1"/>
  <c r="B26" i="2"/>
  <c r="J5" i="3"/>
  <c r="H4" i="4"/>
  <c r="H5" i="4"/>
  <c r="H6" i="4"/>
  <c r="H8" i="4"/>
  <c r="H9" i="4"/>
  <c r="G5" i="3" l="1"/>
  <c r="G11" i="3"/>
  <c r="G6" i="3"/>
  <c r="G8" i="3"/>
  <c r="F3" i="3"/>
  <c r="F15" i="3"/>
  <c r="E15" i="3"/>
  <c r="G9" i="3"/>
  <c r="G18" i="3"/>
  <c r="G12" i="3"/>
  <c r="G2" i="3"/>
  <c r="F7" i="3"/>
  <c r="E18" i="3"/>
  <c r="E4" i="3"/>
  <c r="E10" i="3"/>
  <c r="G7" i="3"/>
  <c r="F4" i="3"/>
  <c r="F14" i="3"/>
  <c r="E6" i="3"/>
  <c r="G10" i="3"/>
  <c r="F8" i="3"/>
  <c r="E7" i="3"/>
  <c r="F16" i="3"/>
  <c r="G17" i="3"/>
  <c r="F13" i="3"/>
  <c r="F6" i="3"/>
  <c r="E17" i="3"/>
  <c r="F5" i="3"/>
  <c r="E16" i="3"/>
  <c r="E14" i="3"/>
  <c r="F17" i="3"/>
  <c r="G15" i="3"/>
  <c r="F11" i="3"/>
  <c r="G14" i="3"/>
  <c r="F10" i="3"/>
  <c r="G4" i="3"/>
  <c r="E2" i="3"/>
  <c r="E5" i="3"/>
  <c r="E9" i="3"/>
  <c r="E11" i="3"/>
  <c r="E8" i="3"/>
  <c r="G16" i="3"/>
  <c r="F12" i="3"/>
  <c r="G13" i="3"/>
  <c r="F9" i="3"/>
  <c r="F2" i="3"/>
  <c r="E13" i="3"/>
  <c r="F18" i="3"/>
  <c r="E3" i="3"/>
  <c r="G3" i="3"/>
  <c r="J4" i="3"/>
  <c r="E19" i="3"/>
  <c r="J19" i="3"/>
  <c r="G19" i="3"/>
  <c r="F19" i="3"/>
  <c r="E17" i="5" l="1"/>
  <c r="E20" i="3"/>
  <c r="E19" i="5" s="1"/>
  <c r="E13" i="5"/>
  <c r="E18" i="5"/>
  <c r="E12" i="5"/>
  <c r="E15" i="5"/>
  <c r="E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A3" authorId="0" shapeId="0" xr:uid="{00000000-0006-0000-0200-000001000000}">
      <text>
        <r>
          <rPr>
            <b/>
            <sz val="9"/>
            <color indexed="81"/>
            <rFont val="Tahoma"/>
            <family val="2"/>
          </rPr>
          <t>Kaleem, Mohammed Rafi:</t>
        </r>
        <r>
          <rPr>
            <sz val="9"/>
            <color indexed="81"/>
            <rFont val="Tahoma"/>
            <family val="2"/>
          </rPr>
          <t xml:space="preserve">
=CONCATENATE("TOTAL(", D2,")")</t>
        </r>
      </text>
    </comment>
    <comment ref="B3" authorId="0" shapeId="0" xr:uid="{00000000-0006-0000-0200-000002000000}">
      <text>
        <r>
          <rPr>
            <b/>
            <sz val="9"/>
            <color indexed="81"/>
            <rFont val="Tahoma"/>
            <family val="2"/>
          </rPr>
          <t>Kaleem, Mohammed Rafi:</t>
        </r>
        <r>
          <rPr>
            <sz val="9"/>
            <color indexed="81"/>
            <rFont val="Tahoma"/>
            <family val="2"/>
          </rPr>
          <t xml:space="preserve">
=SUMIF(D:D, "Feb-19", B:B)</t>
        </r>
      </text>
    </comment>
    <comment ref="A26" authorId="0" shapeId="0" xr:uid="{00000000-0006-0000-0200-000003000000}">
      <text>
        <r>
          <rPr>
            <b/>
            <sz val="9"/>
            <color indexed="81"/>
            <rFont val="Tahoma"/>
            <family val="2"/>
          </rPr>
          <t>Kaleem, Mohammed Rafi:</t>
        </r>
        <r>
          <rPr>
            <sz val="9"/>
            <color indexed="81"/>
            <rFont val="Tahoma"/>
            <family val="2"/>
          </rPr>
          <t xml:space="preserve">
=CONCATENATE("TOTAL(", D2,")")</t>
        </r>
      </text>
    </comment>
    <comment ref="B26" authorId="0" shapeId="0" xr:uid="{00000000-0006-0000-0200-000004000000}">
      <text>
        <r>
          <rPr>
            <b/>
            <sz val="9"/>
            <color indexed="81"/>
            <rFont val="Tahoma"/>
            <family val="2"/>
          </rPr>
          <t>Kaleem, Mohammed Rafi:</t>
        </r>
        <r>
          <rPr>
            <sz val="9"/>
            <color indexed="81"/>
            <rFont val="Tahoma"/>
            <family val="2"/>
          </rPr>
          <t xml:space="preserve">
=SUMIF(D:D, "Feb-19", B:B)</t>
        </r>
      </text>
    </comment>
    <comment ref="A49" authorId="0" shapeId="0" xr:uid="{00000000-0006-0000-0200-000005000000}">
      <text>
        <r>
          <rPr>
            <b/>
            <sz val="9"/>
            <color indexed="81"/>
            <rFont val="Tahoma"/>
            <family val="2"/>
          </rPr>
          <t>Kaleem, Mohammed Rafi:</t>
        </r>
        <r>
          <rPr>
            <sz val="9"/>
            <color indexed="81"/>
            <rFont val="Tahoma"/>
            <family val="2"/>
          </rPr>
          <t xml:space="preserve">
=CONCATENATE("TOTAL(", D2,")")</t>
        </r>
      </text>
    </comment>
    <comment ref="B49" authorId="0" shapeId="0" xr:uid="{00000000-0006-0000-0200-000006000000}">
      <text>
        <r>
          <rPr>
            <b/>
            <sz val="9"/>
            <color indexed="81"/>
            <rFont val="Tahoma"/>
            <family val="2"/>
          </rPr>
          <t>Kaleem, Mohammed Rafi:</t>
        </r>
        <r>
          <rPr>
            <sz val="9"/>
            <color indexed="81"/>
            <rFont val="Tahoma"/>
            <family val="2"/>
          </rPr>
          <t xml:space="preserve">
=SUMIF(D:D, "Feb-19", B:B)</t>
        </r>
      </text>
    </comment>
    <comment ref="A73" authorId="0" shapeId="0" xr:uid="{0394AB78-3939-4B96-B1CB-6538DEC2E89F}">
      <text>
        <r>
          <rPr>
            <b/>
            <sz val="9"/>
            <color indexed="81"/>
            <rFont val="Tahoma"/>
            <family val="2"/>
          </rPr>
          <t>Kaleem, Mohammed Rafi:</t>
        </r>
        <r>
          <rPr>
            <sz val="9"/>
            <color indexed="81"/>
            <rFont val="Tahoma"/>
            <family val="2"/>
          </rPr>
          <t xml:space="preserve">
=CONCATENATE("TOTAL(", D2,")")</t>
        </r>
      </text>
    </comment>
    <comment ref="B73" authorId="0" shapeId="0" xr:uid="{CD170E4A-FE10-4BB6-8510-9D3846277043}">
      <text>
        <r>
          <rPr>
            <b/>
            <sz val="9"/>
            <color indexed="81"/>
            <rFont val="Tahoma"/>
            <family val="2"/>
          </rPr>
          <t>Kaleem, Mohammed Rafi:</t>
        </r>
        <r>
          <rPr>
            <sz val="9"/>
            <color indexed="81"/>
            <rFont val="Tahoma"/>
            <family val="2"/>
          </rPr>
          <t xml:space="preserve">
=SUMIF(D:D, "Feb-19", B:B)</t>
        </r>
      </text>
    </comment>
    <comment ref="A97" authorId="0" shapeId="0" xr:uid="{5FACF3EE-3C51-44A2-9D63-FECD51520059}">
      <text>
        <r>
          <rPr>
            <b/>
            <sz val="9"/>
            <color indexed="81"/>
            <rFont val="Tahoma"/>
            <family val="2"/>
          </rPr>
          <t>Kaleem, Mohammed Rafi:</t>
        </r>
        <r>
          <rPr>
            <sz val="9"/>
            <color indexed="81"/>
            <rFont val="Tahoma"/>
            <family val="2"/>
          </rPr>
          <t xml:space="preserve">
=CONCATENATE("TOTAL(", D2,")")</t>
        </r>
      </text>
    </comment>
    <comment ref="B97" authorId="0" shapeId="0" xr:uid="{019FA07E-B248-47F0-AA6B-0878DB01B4AA}">
      <text>
        <r>
          <rPr>
            <b/>
            <sz val="9"/>
            <color indexed="81"/>
            <rFont val="Tahoma"/>
            <family val="2"/>
          </rPr>
          <t>Kaleem, Mohammed Rafi:</t>
        </r>
        <r>
          <rPr>
            <sz val="9"/>
            <color indexed="81"/>
            <rFont val="Tahoma"/>
            <family val="2"/>
          </rPr>
          <t xml:space="preserve">
=SUMIF(D:D, "Feb-19", B:B)</t>
        </r>
      </text>
    </comment>
    <comment ref="A123" authorId="0" shapeId="0" xr:uid="{986E37FC-77AD-461C-A1D8-722E26110357}">
      <text>
        <r>
          <rPr>
            <b/>
            <sz val="9"/>
            <color indexed="81"/>
            <rFont val="Tahoma"/>
            <family val="2"/>
          </rPr>
          <t>Kaleem, Mohammed Rafi:</t>
        </r>
        <r>
          <rPr>
            <sz val="9"/>
            <color indexed="81"/>
            <rFont val="Tahoma"/>
            <family val="2"/>
          </rPr>
          <t xml:space="preserve">
=CONCATENATE("TOTAL(", D2,")")</t>
        </r>
      </text>
    </comment>
    <comment ref="B123" authorId="0" shapeId="0" xr:uid="{0B42271E-8F40-47B8-B9C8-AAE62E4FD2E8}">
      <text>
        <r>
          <rPr>
            <b/>
            <sz val="9"/>
            <color indexed="81"/>
            <rFont val="Tahoma"/>
            <family val="2"/>
          </rPr>
          <t>Kaleem, Mohammed Rafi:</t>
        </r>
        <r>
          <rPr>
            <sz val="9"/>
            <color indexed="81"/>
            <rFont val="Tahoma"/>
            <family val="2"/>
          </rPr>
          <t xml:space="preserve">
=SUMIF(D:D, "Feb-19", B:B)</t>
        </r>
      </text>
    </comment>
    <comment ref="A149" authorId="0" shapeId="0" xr:uid="{1ED00FBF-A3E3-4175-9C35-BFF6201EA2AC}">
      <text>
        <r>
          <rPr>
            <b/>
            <sz val="9"/>
            <color indexed="81"/>
            <rFont val="Tahoma"/>
            <family val="2"/>
          </rPr>
          <t>Kaleem, Mohammed Rafi:</t>
        </r>
        <r>
          <rPr>
            <sz val="9"/>
            <color indexed="81"/>
            <rFont val="Tahoma"/>
            <family val="2"/>
          </rPr>
          <t xml:space="preserve">
=CONCATENATE("TOTAL(", D2,")")</t>
        </r>
      </text>
    </comment>
    <comment ref="B149" authorId="0" shapeId="0" xr:uid="{A4C13878-E9E7-4202-B1C7-81F3859773E0}">
      <text>
        <r>
          <rPr>
            <b/>
            <sz val="9"/>
            <color indexed="81"/>
            <rFont val="Tahoma"/>
            <family val="2"/>
          </rPr>
          <t>Kaleem, Mohammed Rafi:</t>
        </r>
        <r>
          <rPr>
            <sz val="9"/>
            <color indexed="81"/>
            <rFont val="Tahoma"/>
            <family val="2"/>
          </rPr>
          <t xml:space="preserve">
=SUMIF(D:D, "Feb-19", B:B)</t>
        </r>
      </text>
    </comment>
    <comment ref="C149" authorId="0" shapeId="0" xr:uid="{80B19943-B2AE-4A26-994A-41A76B18E61E}">
      <text>
        <r>
          <rPr>
            <b/>
            <sz val="9"/>
            <color indexed="81"/>
            <rFont val="Tahoma"/>
            <family val="2"/>
          </rPr>
          <t>Kaleem, Mohammed Rafi:</t>
        </r>
        <r>
          <rPr>
            <sz val="9"/>
            <color indexed="81"/>
            <rFont val="Tahoma"/>
            <family val="2"/>
          </rPr>
          <t xml:space="preserve">
=SUMIF(D:D, "Feb-19", B:B)</t>
        </r>
      </text>
    </comment>
    <comment ref="A175" authorId="0" shapeId="0" xr:uid="{57B1BA1E-945E-41EC-A0FD-65F6950DC760}">
      <text>
        <r>
          <rPr>
            <b/>
            <sz val="9"/>
            <color indexed="81"/>
            <rFont val="Tahoma"/>
            <family val="2"/>
          </rPr>
          <t>Kaleem, Mohammed Rafi:</t>
        </r>
        <r>
          <rPr>
            <sz val="9"/>
            <color indexed="81"/>
            <rFont val="Tahoma"/>
            <family val="2"/>
          </rPr>
          <t xml:space="preserve">
=CONCATENATE("TOTAL(", D2,")")</t>
        </r>
      </text>
    </comment>
    <comment ref="B175" authorId="0" shapeId="0" xr:uid="{0F1BF97C-495B-4476-829E-1A899DC965EC}">
      <text>
        <r>
          <rPr>
            <b/>
            <sz val="9"/>
            <color indexed="81"/>
            <rFont val="Tahoma"/>
            <family val="2"/>
          </rPr>
          <t>Kaleem, Mohammed Rafi:</t>
        </r>
        <r>
          <rPr>
            <sz val="9"/>
            <color indexed="81"/>
            <rFont val="Tahoma"/>
            <family val="2"/>
          </rPr>
          <t xml:space="preserve">
=SUMIF(D:D, "Feb-19", B:B)</t>
        </r>
      </text>
    </comment>
    <comment ref="A202" authorId="0" shapeId="0" xr:uid="{D18C1E30-E089-4957-A009-9FDF7A8C51FC}">
      <text>
        <r>
          <rPr>
            <b/>
            <sz val="9"/>
            <color indexed="81"/>
            <rFont val="Tahoma"/>
            <family val="2"/>
          </rPr>
          <t>Kaleem, Mohammed Rafi:</t>
        </r>
        <r>
          <rPr>
            <sz val="9"/>
            <color indexed="81"/>
            <rFont val="Tahoma"/>
            <family val="2"/>
          </rPr>
          <t xml:space="preserve">
=CONCATENATE("TOTAL(", D2,")")</t>
        </r>
      </text>
    </comment>
    <comment ref="B202" authorId="0" shapeId="0" xr:uid="{A4B6876B-5E87-4207-9CCB-B405789F6A82}">
      <text>
        <r>
          <rPr>
            <b/>
            <sz val="9"/>
            <color indexed="81"/>
            <rFont val="Tahoma"/>
            <family val="2"/>
          </rPr>
          <t>Kaleem, Mohammed Rafi:</t>
        </r>
        <r>
          <rPr>
            <sz val="9"/>
            <color indexed="81"/>
            <rFont val="Tahoma"/>
            <family val="2"/>
          </rPr>
          <t xml:space="preserve">
=SUMIF(D:D, "Feb-19", B:B)</t>
        </r>
      </text>
    </comment>
    <comment ref="A229" authorId="0" shapeId="0" xr:uid="{83ACBC5B-FDA7-4E86-9183-368C4CFAB61B}">
      <text>
        <r>
          <rPr>
            <b/>
            <sz val="9"/>
            <color indexed="81"/>
            <rFont val="Tahoma"/>
            <family val="2"/>
          </rPr>
          <t>Kaleem, Mohammed Rafi:</t>
        </r>
        <r>
          <rPr>
            <sz val="9"/>
            <color indexed="81"/>
            <rFont val="Tahoma"/>
            <family val="2"/>
          </rPr>
          <t xml:space="preserve">
=CONCATENATE("TOTAL(", D2,")")</t>
        </r>
      </text>
    </comment>
    <comment ref="B229" authorId="0" shapeId="0" xr:uid="{D41FD032-EB5E-4C11-A181-A313C544C8E2}">
      <text>
        <r>
          <rPr>
            <b/>
            <sz val="9"/>
            <color indexed="81"/>
            <rFont val="Tahoma"/>
            <family val="2"/>
          </rPr>
          <t>Kaleem, Mohammed Rafi:</t>
        </r>
        <r>
          <rPr>
            <sz val="9"/>
            <color indexed="81"/>
            <rFont val="Tahoma"/>
            <family val="2"/>
          </rPr>
          <t xml:space="preserve">
=SUMIF(D:D, "Feb-19", B:B)</t>
        </r>
      </text>
    </comment>
    <comment ref="A256" authorId="0" shapeId="0" xr:uid="{294AD5A3-81DE-4484-BD45-C57CD0EC132D}">
      <text>
        <r>
          <rPr>
            <b/>
            <sz val="9"/>
            <color indexed="81"/>
            <rFont val="Tahoma"/>
            <family val="2"/>
          </rPr>
          <t>Kaleem, Mohammed Rafi:</t>
        </r>
        <r>
          <rPr>
            <sz val="9"/>
            <color indexed="81"/>
            <rFont val="Tahoma"/>
            <family val="2"/>
          </rPr>
          <t xml:space="preserve">
=CONCATENATE("TOTAL(", D2,")")</t>
        </r>
      </text>
    </comment>
    <comment ref="B256" authorId="0" shapeId="0" xr:uid="{CE63E6D7-FFDE-435D-815D-A44FCA2AEDFF}">
      <text>
        <r>
          <rPr>
            <b/>
            <sz val="9"/>
            <color indexed="81"/>
            <rFont val="Tahoma"/>
            <family val="2"/>
          </rPr>
          <t>Kaleem, Mohammed Rafi:</t>
        </r>
        <r>
          <rPr>
            <sz val="9"/>
            <color indexed="81"/>
            <rFont val="Tahoma"/>
            <family val="2"/>
          </rPr>
          <t xml:space="preserve">
=SUMIF(D:D, "Feb-19", B:B)</t>
        </r>
      </text>
    </comment>
    <comment ref="A283" authorId="0" shapeId="0" xr:uid="{B71FFB62-8A85-44B3-BB09-2ED652A68814}">
      <text>
        <r>
          <rPr>
            <b/>
            <sz val="9"/>
            <color indexed="81"/>
            <rFont val="Tahoma"/>
            <family val="2"/>
          </rPr>
          <t>Kaleem, Mohammed Rafi:</t>
        </r>
        <r>
          <rPr>
            <sz val="9"/>
            <color indexed="81"/>
            <rFont val="Tahoma"/>
            <family val="2"/>
          </rPr>
          <t xml:space="preserve">
=CONCATENATE("TOTAL(", D2,")")</t>
        </r>
      </text>
    </comment>
    <comment ref="B283" authorId="0" shapeId="0" xr:uid="{E09DBF7E-7068-4DBC-B4C2-400065A804E6}">
      <text>
        <r>
          <rPr>
            <b/>
            <sz val="9"/>
            <color indexed="81"/>
            <rFont val="Tahoma"/>
            <family val="2"/>
          </rPr>
          <t>Kaleem, Mohammed Rafi:</t>
        </r>
        <r>
          <rPr>
            <sz val="9"/>
            <color indexed="81"/>
            <rFont val="Tahoma"/>
            <family val="2"/>
          </rPr>
          <t xml:space="preserve">
=SUMIF(D:D, "Feb-19", B:B)</t>
        </r>
      </text>
    </comment>
    <comment ref="A310" authorId="0" shapeId="0" xr:uid="{83EB79A0-F6AA-41D0-841E-C487913A8C92}">
      <text>
        <r>
          <rPr>
            <b/>
            <sz val="9"/>
            <color indexed="81"/>
            <rFont val="Tahoma"/>
            <family val="2"/>
          </rPr>
          <t>Kaleem, Mohammed Rafi:</t>
        </r>
        <r>
          <rPr>
            <sz val="9"/>
            <color indexed="81"/>
            <rFont val="Tahoma"/>
            <family val="2"/>
          </rPr>
          <t xml:space="preserve">
=CONCATENATE("TOTAL(", D2,")")</t>
        </r>
      </text>
    </comment>
    <comment ref="B310" authorId="0" shapeId="0" xr:uid="{7D79B3EA-988E-4A20-AD4F-49F25D68867E}">
      <text>
        <r>
          <rPr>
            <b/>
            <sz val="9"/>
            <color indexed="81"/>
            <rFont val="Tahoma"/>
            <family val="2"/>
          </rPr>
          <t>Kaleem, Mohammed Rafi:</t>
        </r>
        <r>
          <rPr>
            <sz val="9"/>
            <color indexed="81"/>
            <rFont val="Tahoma"/>
            <family val="2"/>
          </rPr>
          <t xml:space="preserve">
=SUMIF(D:D, "Feb-19", B:B)</t>
        </r>
      </text>
    </comment>
    <comment ref="A338" authorId="0" shapeId="0" xr:uid="{2AE0CBF3-1993-49C4-85F0-3C73A4D0B43F}">
      <text>
        <r>
          <rPr>
            <b/>
            <sz val="9"/>
            <color indexed="81"/>
            <rFont val="Tahoma"/>
            <family val="2"/>
          </rPr>
          <t>Kaleem, Mohammed Rafi:</t>
        </r>
        <r>
          <rPr>
            <sz val="9"/>
            <color indexed="81"/>
            <rFont val="Tahoma"/>
            <family val="2"/>
          </rPr>
          <t xml:space="preserve">
=CONCATENATE("TOTAL(", D2,")")</t>
        </r>
      </text>
    </comment>
    <comment ref="B338" authorId="0" shapeId="0" xr:uid="{04976C1F-B2A9-4C32-9947-419A3FE4179A}">
      <text>
        <r>
          <rPr>
            <b/>
            <sz val="9"/>
            <color indexed="81"/>
            <rFont val="Tahoma"/>
            <family val="2"/>
          </rPr>
          <t>Kaleem, Mohammed Rafi:</t>
        </r>
        <r>
          <rPr>
            <sz val="9"/>
            <color indexed="81"/>
            <rFont val="Tahoma"/>
            <family val="2"/>
          </rPr>
          <t xml:space="preserve">
=SUMIF(D:D, "Feb-19", B:B)</t>
        </r>
      </text>
    </comment>
    <comment ref="A366" authorId="0" shapeId="0" xr:uid="{1A51747B-AA27-46D8-8511-56002633F60D}">
      <text>
        <r>
          <rPr>
            <b/>
            <sz val="9"/>
            <color indexed="81"/>
            <rFont val="Tahoma"/>
            <family val="2"/>
          </rPr>
          <t>Kaleem, Mohammed Rafi:</t>
        </r>
        <r>
          <rPr>
            <sz val="9"/>
            <color indexed="81"/>
            <rFont val="Tahoma"/>
            <family val="2"/>
          </rPr>
          <t xml:space="preserve">
=CONCATENATE("TOTAL(", D2,")")</t>
        </r>
      </text>
    </comment>
    <comment ref="B366" authorId="0" shapeId="0" xr:uid="{2CC92DE6-896A-4255-BC74-7C2625F3284A}">
      <text>
        <r>
          <rPr>
            <b/>
            <sz val="9"/>
            <color indexed="81"/>
            <rFont val="Tahoma"/>
            <family val="2"/>
          </rPr>
          <t>Kaleem, Mohammed Rafi:</t>
        </r>
        <r>
          <rPr>
            <sz val="9"/>
            <color indexed="81"/>
            <rFont val="Tahoma"/>
            <family val="2"/>
          </rPr>
          <t xml:space="preserve">
=SUMIF(D:D, "Feb-19", B:B)</t>
        </r>
      </text>
    </comment>
    <comment ref="A397" authorId="0" shapeId="0" xr:uid="{C4804464-3DED-4419-A11D-3669F1F2EA4C}">
      <text>
        <r>
          <rPr>
            <b/>
            <sz val="9"/>
            <color indexed="81"/>
            <rFont val="Tahoma"/>
            <family val="2"/>
          </rPr>
          <t>Kaleem, Mohammed Rafi:</t>
        </r>
        <r>
          <rPr>
            <sz val="9"/>
            <color indexed="81"/>
            <rFont val="Tahoma"/>
            <family val="2"/>
          </rPr>
          <t xml:space="preserve">
=CONCATENATE("TOTAL(", D2,")")</t>
        </r>
      </text>
    </comment>
    <comment ref="B397" authorId="0" shapeId="0" xr:uid="{EC95776E-3A0E-45EF-A41B-BDBAB367B313}">
      <text>
        <r>
          <rPr>
            <b/>
            <sz val="9"/>
            <color indexed="81"/>
            <rFont val="Tahoma"/>
            <family val="2"/>
          </rPr>
          <t>Kaleem, Mohammed Rafi:</t>
        </r>
        <r>
          <rPr>
            <sz val="9"/>
            <color indexed="81"/>
            <rFont val="Tahoma"/>
            <family val="2"/>
          </rPr>
          <t xml:space="preserve">
=SUMIF(D:D, "Feb-19", B:B)</t>
        </r>
      </text>
    </comment>
    <comment ref="A429" authorId="0" shapeId="0" xr:uid="{CE92C3BC-9CA6-4689-ABE1-0FD4C90BC5AA}">
      <text>
        <r>
          <rPr>
            <b/>
            <sz val="9"/>
            <color indexed="81"/>
            <rFont val="Tahoma"/>
            <family val="2"/>
          </rPr>
          <t>Kaleem, Mohammed Rafi:</t>
        </r>
        <r>
          <rPr>
            <sz val="9"/>
            <color indexed="81"/>
            <rFont val="Tahoma"/>
            <family val="2"/>
          </rPr>
          <t xml:space="preserve">
=CONCATENATE("TOTAL(", D2,")")</t>
        </r>
      </text>
    </comment>
    <comment ref="B429" authorId="0" shapeId="0" xr:uid="{AAAD70ED-158D-468C-ADF6-DFF2BBE5665F}">
      <text>
        <r>
          <rPr>
            <b/>
            <sz val="9"/>
            <color indexed="81"/>
            <rFont val="Tahoma"/>
            <family val="2"/>
          </rPr>
          <t>Kaleem, Mohammed Rafi:</t>
        </r>
        <r>
          <rPr>
            <sz val="9"/>
            <color indexed="81"/>
            <rFont val="Tahoma"/>
            <family val="2"/>
          </rPr>
          <t xml:space="preserve">
=SUMIF(D:D, "Feb-19", B:B)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G1" authorId="0" shapeId="0" xr:uid="{00000000-0006-0000-0300-000001000000}">
      <text>
        <r>
          <rPr>
            <sz val="9"/>
            <color indexed="81"/>
            <rFont val="Tahoma"/>
            <family val="2"/>
          </rPr>
          <t>SUMIF('Summary - Person'!A:A,CONCAT("Total(",D7,")"),'Summary - Person'!B:G)</t>
        </r>
      </text>
    </comment>
    <comment ref="J1" authorId="0" shapeId="0" xr:uid="{00000000-0006-0000-0300-000002000000}">
      <text>
        <r>
          <rPr>
            <b/>
            <sz val="9"/>
            <color indexed="81"/>
            <rFont val="Tahoma"/>
            <family val="2"/>
          </rPr>
          <t xml:space="preserve">Kaleem, Mohammed Rafi:
</t>
        </r>
        <r>
          <rPr>
            <sz val="9"/>
            <color indexed="81"/>
            <rFont val="Tahoma"/>
            <family val="2"/>
          </rPr>
          <t>=SUMIF('Summary - Expenditures'!H3:H1048576, D6, 'Summary - Expenditures'!E3:E1048576)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B1" authorId="0" shapeId="0" xr:uid="{00000000-0006-0000-0400-000001000000}">
      <text>
        <r>
          <rPr>
            <b/>
            <sz val="9"/>
            <color indexed="81"/>
            <rFont val="Tahoma"/>
            <family val="2"/>
          </rPr>
          <t>Kaleem, Mohammed Rafi:</t>
        </r>
        <r>
          <rPr>
            <sz val="9"/>
            <color indexed="81"/>
            <rFont val="Tahoma"/>
            <family val="2"/>
          </rPr>
          <t xml:space="preserve">
To be updated from Chief Secretary</t>
        </r>
      </text>
    </comment>
    <comment ref="J1" authorId="0" shapeId="0" xr:uid="{00000000-0006-0000-0400-000002000000}">
      <text>
        <r>
          <rPr>
            <b/>
            <sz val="9"/>
            <color indexed="81"/>
            <rFont val="Tahoma"/>
            <family val="2"/>
          </rPr>
          <t>Kaleem, Mohammed Rafi:</t>
        </r>
        <r>
          <rPr>
            <sz val="9"/>
            <color indexed="81"/>
            <rFont val="Tahoma"/>
            <family val="2"/>
          </rPr>
          <t xml:space="preserve">
TEXT(I3,"mmm-yy")</t>
        </r>
      </text>
    </comment>
    <comment ref="H2" authorId="0" shapeId="0" xr:uid="{00000000-0006-0000-0400-000003000000}">
      <text>
        <r>
          <rPr>
            <b/>
            <sz val="9"/>
            <color indexed="81"/>
            <rFont val="Tahoma"/>
            <family val="2"/>
          </rPr>
          <t>Kaleem, Mohammed Rafi:</t>
        </r>
        <r>
          <rPr>
            <sz val="9"/>
            <color indexed="81"/>
            <rFont val="Tahoma"/>
            <family val="2"/>
          </rPr>
          <t xml:space="preserve">
D*E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E8" authorId="0" shapeId="0" xr:uid="{00000000-0006-0000-0500-000001000000}">
      <text>
        <r>
          <rPr>
            <b/>
            <sz val="9"/>
            <color indexed="81"/>
            <rFont val="Tahoma"/>
            <family val="2"/>
          </rPr>
          <t>Kaleem, Mohammed Rafi:</t>
        </r>
        <r>
          <rPr>
            <sz val="9"/>
            <color indexed="81"/>
            <rFont val="Tahoma"/>
            <family val="2"/>
          </rPr>
          <t xml:space="preserve">
TO BE CONFIRMED WITH AMEER</t>
        </r>
      </text>
    </comment>
    <comment ref="E9" authorId="0" shapeId="0" xr:uid="{00000000-0006-0000-0500-000002000000}">
      <text>
        <r>
          <rPr>
            <b/>
            <sz val="9"/>
            <color indexed="81"/>
            <rFont val="Tahoma"/>
            <family val="2"/>
          </rPr>
          <t>Kaleem, Mohammed Rafi:</t>
        </r>
        <r>
          <rPr>
            <sz val="9"/>
            <color indexed="81"/>
            <rFont val="Tahoma"/>
            <family val="2"/>
          </rPr>
          <t xml:space="preserve">
To be updated from Chief Secretary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Kaleem, Mohammed Rafi</author>
  </authors>
  <commentList>
    <comment ref="D12" authorId="0" shapeId="0" xr:uid="{00000000-0006-0000-0600-000001000000}">
      <text>
        <r>
          <rPr>
            <b/>
            <sz val="9"/>
            <color indexed="81"/>
            <rFont val="Tahoma"/>
            <family val="2"/>
          </rPr>
          <t>Kaleem, Mohammed Rafi:</t>
        </r>
        <r>
          <rPr>
            <sz val="9"/>
            <color indexed="81"/>
            <rFont val="Tahoma"/>
            <family val="2"/>
          </rPr>
          <t xml:space="preserve">
To round off</t>
        </r>
      </text>
    </comment>
  </commentList>
</comments>
</file>

<file path=xl/sharedStrings.xml><?xml version="1.0" encoding="utf-8"?>
<sst xmlns="http://schemas.openxmlformats.org/spreadsheetml/2006/main" count="1461" uniqueCount="423">
  <si>
    <t>Sheet</t>
  </si>
  <si>
    <t>Description</t>
  </si>
  <si>
    <t>Summary - Person</t>
  </si>
  <si>
    <t>Summary - Month</t>
  </si>
  <si>
    <t>Expenditures</t>
  </si>
  <si>
    <t>WU - Western Union</t>
  </si>
  <si>
    <t>Ack - Acknowledgement</t>
  </si>
  <si>
    <t>Summary - Overall</t>
  </si>
  <si>
    <t>Has details about each month total contribution and expenditure</t>
  </si>
  <si>
    <t>Archive</t>
  </si>
  <si>
    <t>Old sheet maintained by previous treasurers (Afsar Bhai and Nagoor Bhai)</t>
  </si>
  <si>
    <t>Abbreviations</t>
  </si>
  <si>
    <t>In the name of Allah! MN Baithul Maal - Accounts</t>
  </si>
  <si>
    <t>Has details about overall total contributions and expenditures, # of contributors, # of expenditures</t>
  </si>
  <si>
    <t>Amount spend from BM (Sent to Requestor, Amount, Date, WU Transfer Rate, Received By Entity, Entity Received Date, Request Id, Ack Ref)</t>
  </si>
  <si>
    <t>Date</t>
  </si>
  <si>
    <t>Amount</t>
  </si>
  <si>
    <t>Pay Type</t>
  </si>
  <si>
    <t>Has details about each person contribution every month (Amount, Date, Pay Type, Comments)</t>
  </si>
  <si>
    <t>Comments</t>
  </si>
  <si>
    <t>Nizar</t>
  </si>
  <si>
    <t>Nisar</t>
  </si>
  <si>
    <t>Jamesha</t>
  </si>
  <si>
    <t>Afsar</t>
  </si>
  <si>
    <t>Muhsin</t>
  </si>
  <si>
    <t>Mohammed Rafi</t>
  </si>
  <si>
    <t>Imran Shah</t>
  </si>
  <si>
    <t>Imran Jani</t>
  </si>
  <si>
    <t>Cash</t>
  </si>
  <si>
    <t>App</t>
  </si>
  <si>
    <t>Total</t>
  </si>
  <si>
    <t>Formulas</t>
  </si>
  <si>
    <t>SUM(INDIRECT("B3:B"&amp;ROW()-1))</t>
  </si>
  <si>
    <t>To sum rows, even dynamically added</t>
  </si>
  <si>
    <t>Reminder</t>
  </si>
  <si>
    <t>Contributor Name</t>
  </si>
  <si>
    <t>Month-Year</t>
  </si>
  <si>
    <t>Expenditure</t>
  </si>
  <si>
    <t>Feb-19</t>
  </si>
  <si>
    <t>Mar-19</t>
  </si>
  <si>
    <t>Apr-19</t>
  </si>
  <si>
    <t>May-19</t>
  </si>
  <si>
    <t>Request Id</t>
  </si>
  <si>
    <t xml:space="preserve">Send to Requestor </t>
  </si>
  <si>
    <t>Rupees (INR)</t>
  </si>
  <si>
    <t>WU Transfer Rate</t>
  </si>
  <si>
    <t>$ to INR</t>
  </si>
  <si>
    <t>Received By Entity</t>
  </si>
  <si>
    <t>Transaction</t>
  </si>
  <si>
    <t>Month/Year</t>
  </si>
  <si>
    <t>Overall BM Balance</t>
  </si>
  <si>
    <t>Riaz</t>
  </si>
  <si>
    <t>Ithrish</t>
  </si>
  <si>
    <t>Mydeen</t>
  </si>
  <si>
    <t>Rahim</t>
  </si>
  <si>
    <t>Shamiullah</t>
  </si>
  <si>
    <t>Yasar</t>
  </si>
  <si>
    <t>TEXT(C2,"mmm-yy")</t>
  </si>
  <si>
    <t>To get the date as Month-Year format</t>
  </si>
  <si>
    <t>To sum based on the text</t>
  </si>
  <si>
    <t>SUMIF(A:A,"Total(Feb-19)",B:G)</t>
  </si>
  <si>
    <t>D3*E3</t>
  </si>
  <si>
    <t>To multiply values</t>
  </si>
  <si>
    <t>Number of Members</t>
  </si>
  <si>
    <t>Minimum Contribution per member</t>
  </si>
  <si>
    <t>Fazrudeen</t>
  </si>
  <si>
    <t>BM - Baithul Maal</t>
  </si>
  <si>
    <t>S.No</t>
  </si>
  <si>
    <t>R1 - Week 1</t>
  </si>
  <si>
    <t>Escalated - Week 4</t>
  </si>
  <si>
    <t>R3 - Week 3</t>
  </si>
  <si>
    <t>R2 - Week 2</t>
  </si>
  <si>
    <t>Status</t>
  </si>
  <si>
    <t>Transaction Status</t>
  </si>
  <si>
    <t>Ack - Pending</t>
  </si>
  <si>
    <t>Ack - Received</t>
  </si>
  <si>
    <t>To be Started</t>
  </si>
  <si>
    <t>Start Date</t>
  </si>
  <si>
    <t>#NZAPXEP</t>
  </si>
  <si>
    <t>Aug-18 to Jan-19</t>
  </si>
  <si>
    <t>Bhuvaneshwar</t>
  </si>
  <si>
    <t>Umar Sheriff</t>
  </si>
  <si>
    <t>Umar (India)</t>
  </si>
  <si>
    <t>Arief (India)</t>
  </si>
  <si>
    <t>Kamaal (India)</t>
  </si>
  <si>
    <t>Nagoor</t>
  </si>
  <si>
    <t>N/A</t>
  </si>
  <si>
    <t>Needy people</t>
  </si>
  <si>
    <t>Overall Collection</t>
  </si>
  <si>
    <t>Overall expenditures</t>
  </si>
  <si>
    <t>Aashiq Ali</t>
  </si>
  <si>
    <t>BM Members</t>
  </si>
  <si>
    <t>Cash 
&amp;
App</t>
  </si>
  <si>
    <r>
      <t xml:space="preserve">BM_Accounts - Aug 18 to Jan 19 
</t>
    </r>
    <r>
      <rPr>
        <b/>
        <sz val="11"/>
        <color theme="1"/>
        <rFont val="Calibri"/>
        <family val="2"/>
        <scheme val="minor"/>
      </rPr>
      <t>(Old data for reference)</t>
    </r>
  </si>
  <si>
    <t>Total Contributions</t>
  </si>
  <si>
    <t>Total Expenditures</t>
  </si>
  <si>
    <r>
      <t xml:space="preserve">BM Status Report
</t>
    </r>
    <r>
      <rPr>
        <b/>
        <i/>
        <sz val="10"/>
        <color theme="1"/>
        <rFont val="Cambria"/>
        <family val="1"/>
      </rPr>
      <t>Since June 2018</t>
    </r>
  </si>
  <si>
    <t>Collection</t>
  </si>
  <si>
    <t>Sheet 1</t>
  </si>
  <si>
    <t>Spendings</t>
  </si>
  <si>
    <t>Sheet 2</t>
  </si>
  <si>
    <t>Grand Total</t>
  </si>
  <si>
    <t>Collection - Spendings + Nagoor bhai Added</t>
  </si>
  <si>
    <t>In Shaa Allah! To Help People in India</t>
  </si>
  <si>
    <r>
      <t xml:space="preserve">
Nagoor bhai transferred me the below details he had during the Treasurer work transfer KT in his home during Eesha.
1. BM_accounts.xlsx sheet
2. BM Balance Amount as below:
</t>
    </r>
    <r>
      <rPr>
        <b/>
        <sz val="10"/>
        <color theme="1"/>
        <rFont val="Cambria"/>
        <family val="1"/>
      </rPr>
      <t>Cash:</t>
    </r>
    <r>
      <rPr>
        <sz val="10"/>
        <color theme="1"/>
        <rFont val="Cambria"/>
        <family val="1"/>
      </rPr>
      <t xml:space="preserve"> 1470
</t>
    </r>
    <r>
      <rPr>
        <b/>
        <sz val="10"/>
        <color theme="1"/>
        <rFont val="Cambria"/>
        <family val="1"/>
      </rPr>
      <t>App:</t>
    </r>
    <r>
      <rPr>
        <sz val="10"/>
        <color theme="1"/>
        <rFont val="Cambria"/>
        <family val="1"/>
      </rPr>
      <t xml:space="preserve"> 67 (#NC4K0PT)
----------------------------
</t>
    </r>
    <r>
      <rPr>
        <b/>
        <sz val="10"/>
        <color theme="1"/>
        <rFont val="Cambria"/>
        <family val="1"/>
      </rPr>
      <t xml:space="preserve">Total: </t>
    </r>
    <r>
      <rPr>
        <sz val="10"/>
        <color theme="1"/>
        <rFont val="Cambria"/>
        <family val="1"/>
      </rPr>
      <t xml:space="preserve">1537
</t>
    </r>
    <r>
      <rPr>
        <b/>
        <i/>
        <sz val="10"/>
        <color theme="1"/>
        <rFont val="Cambria"/>
        <family val="1"/>
      </rPr>
      <t>Refer sheet "Archive (Old Data) file - Sheet 1" for any details</t>
    </r>
    <r>
      <rPr>
        <b/>
        <sz val="10"/>
        <color theme="1"/>
        <rFont val="Cambria"/>
        <family val="1"/>
      </rPr>
      <t xml:space="preserve">
</t>
    </r>
  </si>
  <si>
    <t>PFC - Pending for Cash Conversion</t>
  </si>
  <si>
    <t>Cash &amp; App</t>
  </si>
  <si>
    <t>$30 - Cash Feb-2019 | $30 - App (#3SBBH0P) Jan-2019</t>
  </si>
  <si>
    <t>End Date</t>
  </si>
  <si>
    <t>#NFQRG31 | Sep 2018 to Feb 2018 | # of months: 6 * $30 = $180</t>
  </si>
  <si>
    <t>#0HQGHC1</t>
  </si>
  <si>
    <t>#N6AG7FN</t>
  </si>
  <si>
    <t>#NHNGSAA</t>
  </si>
  <si>
    <t>#NCQG59W</t>
  </si>
  <si>
    <t>#NFAGZAB</t>
  </si>
  <si>
    <t>#5XK2H5K</t>
  </si>
  <si>
    <t>TOT</t>
  </si>
  <si>
    <t>Mohammed Tharif Thaha AADHAR #: 
2874 2782 4485</t>
  </si>
  <si>
    <t>Rafeek
+91-9444-694-855</t>
  </si>
  <si>
    <t>Ashiq
+1-612-757-3760</t>
  </si>
  <si>
    <t>Muhsin
+1-603-285-2240</t>
  </si>
  <si>
    <t>Afsar (India)</t>
  </si>
  <si>
    <t>Imran Jani
+1-615-870-9383</t>
  </si>
  <si>
    <t>20190210_AshiqBhai_Req13_SendToIndia.jpg</t>
  </si>
  <si>
    <t>Afsar(India)</t>
  </si>
  <si>
    <t>KATHEEJA - 
IOB Bank
SAKEENA BEGUM - 
Canara Bank
AJEMMA BEGUM - 
Central Bank of India</t>
  </si>
  <si>
    <r>
      <t>20190302_ImranJaniBhai_Req15_001.jpg
20190302_ImranJaniBhai_Req15_002.jpg</t>
    </r>
    <r>
      <rPr>
        <b/>
        <sz val="10"/>
        <color theme="1"/>
        <rFont val="Cambria"/>
        <family val="1"/>
      </rPr>
      <t xml:space="preserve">
Paid to entity: </t>
    </r>
    <r>
      <rPr>
        <sz val="10"/>
        <color theme="1"/>
        <rFont val="Cambria"/>
        <family val="1"/>
      </rPr>
      <t>INR 9000 (INR 3000 per person)</t>
    </r>
    <r>
      <rPr>
        <b/>
        <sz val="10"/>
        <color theme="1"/>
        <rFont val="Cambria"/>
        <family val="1"/>
      </rPr>
      <t xml:space="preserve">
WU Rate: </t>
    </r>
    <r>
      <rPr>
        <sz val="10"/>
        <color theme="1"/>
        <rFont val="Cambria"/>
        <family val="1"/>
      </rPr>
      <t>70</t>
    </r>
    <r>
      <rPr>
        <sz val="10"/>
        <color theme="1"/>
        <rFont val="Cambria"/>
        <family val="1"/>
      </rPr>
      <t xml:space="preserve">
</t>
    </r>
    <r>
      <rPr>
        <b/>
        <sz val="10"/>
        <color theme="1"/>
        <rFont val="Cambria"/>
        <family val="1"/>
      </rPr>
      <t>Estimated to be given from BM:</t>
    </r>
    <r>
      <rPr>
        <sz val="10"/>
        <color theme="1"/>
        <rFont val="Cambria"/>
        <family val="1"/>
      </rPr>
      <t xml:space="preserve"> $128.57
</t>
    </r>
    <r>
      <rPr>
        <b/>
        <sz val="10"/>
        <color theme="1"/>
        <rFont val="Cambria"/>
        <family val="1"/>
      </rPr>
      <t>Requestor Preference:</t>
    </r>
    <r>
      <rPr>
        <sz val="10"/>
        <color theme="1"/>
        <rFont val="Cambria"/>
        <family val="1"/>
      </rPr>
      <t xml:space="preserve"> $125
</t>
    </r>
  </si>
  <si>
    <r>
      <t xml:space="preserve">
20190224_MuhsinBhai_Req14_Ack.pdf
</t>
    </r>
    <r>
      <rPr>
        <b/>
        <sz val="10"/>
        <color theme="1"/>
        <rFont val="Cambria"/>
        <family val="1"/>
      </rPr>
      <t xml:space="preserve">Paid to entity: </t>
    </r>
    <r>
      <rPr>
        <sz val="10"/>
        <color theme="1"/>
        <rFont val="Cambria"/>
        <family val="1"/>
      </rPr>
      <t xml:space="preserve">INR 40000
</t>
    </r>
    <r>
      <rPr>
        <b/>
        <sz val="10"/>
        <color theme="1"/>
        <rFont val="Cambria"/>
        <family val="1"/>
      </rPr>
      <t>WU Rate:</t>
    </r>
    <r>
      <rPr>
        <sz val="10"/>
        <color theme="1"/>
        <rFont val="Cambria"/>
        <family val="1"/>
      </rPr>
      <t xml:space="preserve"> 70
</t>
    </r>
    <r>
      <rPr>
        <b/>
        <sz val="10"/>
        <color theme="1"/>
        <rFont val="Cambria"/>
        <family val="1"/>
      </rPr>
      <t>Estimated to be given from BM:</t>
    </r>
    <r>
      <rPr>
        <sz val="10"/>
        <color theme="1"/>
        <rFont val="Cambria"/>
        <family val="1"/>
      </rPr>
      <t xml:space="preserve"> $571.4285 
</t>
    </r>
    <r>
      <rPr>
        <b/>
        <sz val="10"/>
        <color theme="1"/>
        <rFont val="Cambria"/>
        <family val="1"/>
      </rPr>
      <t>Requestor Preference</t>
    </r>
    <r>
      <rPr>
        <sz val="10"/>
        <color theme="1"/>
        <rFont val="Cambria"/>
        <family val="1"/>
      </rPr>
      <t xml:space="preserve">: $570
</t>
    </r>
  </si>
  <si>
    <t xml:space="preserve">
KATHEEJA - 
IOB Bank
SAKEENA BEGUM - 
Canara Bank
AJEMMA BEGUM - 
Central Bank of India
</t>
  </si>
  <si>
    <t># of Requests Taken</t>
  </si>
  <si>
    <t>Reverted Bro - Karthik</t>
  </si>
  <si>
    <t>Nagoor Bhai Contributed</t>
  </si>
  <si>
    <t xml:space="preserve">Navas Shahul Hameed
+1-614-973-1636
</t>
  </si>
  <si>
    <t>Mohammed Rafi
+1-224-413-0942</t>
  </si>
  <si>
    <t>Brother Rafi - Abdul Wahid Friend</t>
  </si>
  <si>
    <t>20190408_MohammedRafi_Req19.jpg
Money was sent through Fundraiser: 
https://www.ketto.org/fundraiser/help-rafik</t>
  </si>
  <si>
    <r>
      <t>20190413_ImranJaniBhai_Req20.jpg</t>
    </r>
    <r>
      <rPr>
        <b/>
        <sz val="10"/>
        <color theme="1"/>
        <rFont val="Cambria"/>
        <family val="1"/>
      </rPr>
      <t xml:space="preserve">
Pending:
</t>
    </r>
    <r>
      <rPr>
        <sz val="10"/>
        <color theme="1"/>
        <rFont val="Cambria"/>
        <family val="1"/>
      </rPr>
      <t>1.</t>
    </r>
    <r>
      <rPr>
        <b/>
        <sz val="10"/>
        <color theme="1"/>
        <rFont val="Cambria"/>
        <family val="1"/>
      </rPr>
      <t xml:space="preserve"> </t>
    </r>
    <r>
      <rPr>
        <sz val="10"/>
        <color theme="1"/>
        <rFont val="Cambria"/>
        <family val="1"/>
      </rPr>
      <t xml:space="preserve">Acknowledgement
</t>
    </r>
  </si>
  <si>
    <t>20190312_ImranJaniBhai_Req17_001.jpg</t>
  </si>
  <si>
    <t>Muhammed Ali</t>
  </si>
  <si>
    <t xml:space="preserve">
Velachery
Young Brother
</t>
  </si>
  <si>
    <t>Jun-19</t>
  </si>
  <si>
    <t>Jul-19</t>
  </si>
  <si>
    <t>Aug-19</t>
  </si>
  <si>
    <t>Muhammad Ali</t>
  </si>
  <si>
    <t>Umar Sherif</t>
  </si>
  <si>
    <t>S.NO</t>
  </si>
  <si>
    <t>Kamaludeen</t>
  </si>
  <si>
    <t>Ameen</t>
  </si>
  <si>
    <t>Sep-19</t>
  </si>
  <si>
    <t>Oct-19</t>
  </si>
  <si>
    <t>Nov-19</t>
  </si>
  <si>
    <t>Dec-19</t>
  </si>
  <si>
    <t>Jan-20</t>
  </si>
  <si>
    <t>Feb-20</t>
  </si>
  <si>
    <t>Mar-20</t>
  </si>
  <si>
    <t>Apr-20</t>
  </si>
  <si>
    <t>May-20</t>
  </si>
  <si>
    <r>
      <t xml:space="preserve">Acknowledgement - Yet to receive from previous Treasurers (Nagroor or Afsar bros). 
</t>
    </r>
    <r>
      <rPr>
        <b/>
        <i/>
        <sz val="10"/>
        <color theme="1"/>
        <rFont val="Cambria"/>
        <family val="1"/>
      </rPr>
      <t>Refer sheet "Archive (Old Data) file - Sheet 2" for any details</t>
    </r>
    <r>
      <rPr>
        <sz val="10"/>
        <color theme="1"/>
        <rFont val="Cambria"/>
        <family val="1"/>
      </rPr>
      <t xml:space="preserve">
</t>
    </r>
    <r>
      <rPr>
        <b/>
        <sz val="10"/>
        <color theme="1"/>
        <rFont val="Cambria"/>
        <family val="1"/>
      </rPr>
      <t># of requests: 12</t>
    </r>
    <r>
      <rPr>
        <sz val="10"/>
        <color theme="1"/>
        <rFont val="Cambria"/>
        <family val="1"/>
      </rPr>
      <t xml:space="preserve">
</t>
    </r>
    <r>
      <rPr>
        <i/>
        <sz val="10"/>
        <color theme="1"/>
        <rFont val="Cambria"/>
        <family val="1"/>
      </rPr>
      <t>Acknowledgements - In the attachment - Archive (Old Data) file - Sheet 2</t>
    </r>
    <r>
      <rPr>
        <b/>
        <i/>
        <sz val="10"/>
        <color theme="1"/>
        <rFont val="Cambria"/>
        <family val="1"/>
      </rPr>
      <t xml:space="preserve">
</t>
    </r>
  </si>
  <si>
    <r>
      <t>20190331_ImranJaniBhai_Req18.jpg</t>
    </r>
    <r>
      <rPr>
        <sz val="10"/>
        <color theme="1"/>
        <rFont val="Cambria"/>
        <family val="1"/>
      </rPr>
      <t xml:space="preserve">
</t>
    </r>
  </si>
  <si>
    <t>Added $3 which is pending to be given to him. Req #18 balance</t>
  </si>
  <si>
    <t>Money Collectors</t>
  </si>
  <si>
    <t>Zakat amount</t>
  </si>
  <si>
    <t>Any amount</t>
  </si>
  <si>
    <t xml:space="preserve">
Ameen
+1-952-228-5612 
</t>
  </si>
  <si>
    <r>
      <t>20190528_AmeenBhai_Req21_001.jpg
20190528_AmeenBhai_Req21_002.jpg</t>
    </r>
    <r>
      <rPr>
        <b/>
        <sz val="10"/>
        <color theme="1"/>
        <rFont val="Cambria"/>
        <family val="1"/>
      </rPr>
      <t xml:space="preserve">
Paid to entity: </t>
    </r>
    <r>
      <rPr>
        <sz val="10"/>
        <color theme="1"/>
        <rFont val="Cambria"/>
        <family val="1"/>
      </rPr>
      <t>INR 25000</t>
    </r>
    <r>
      <rPr>
        <b/>
        <sz val="10"/>
        <color theme="1"/>
        <rFont val="Cambria"/>
        <family val="1"/>
      </rPr>
      <t xml:space="preserve">
Used Zoom rate</t>
    </r>
    <r>
      <rPr>
        <sz val="10"/>
        <color theme="1"/>
        <rFont val="Cambria"/>
        <family val="1"/>
      </rPr>
      <t xml:space="preserve">
</t>
    </r>
    <r>
      <rPr>
        <b/>
        <sz val="10"/>
        <color theme="1"/>
        <rFont val="Cambria"/>
        <family val="1"/>
      </rPr>
      <t>Estimated to be given from BM:</t>
    </r>
    <r>
      <rPr>
        <sz val="10"/>
        <color theme="1"/>
        <rFont val="Cambria"/>
        <family val="1"/>
      </rPr>
      <t xml:space="preserve"> $365
</t>
    </r>
    <r>
      <rPr>
        <b/>
        <sz val="10"/>
        <color theme="1"/>
        <rFont val="Cambria"/>
        <family val="1"/>
      </rPr>
      <t>Requestor Preference:</t>
    </r>
    <r>
      <rPr>
        <sz val="10"/>
        <color theme="1"/>
        <rFont val="Cambria"/>
        <family val="1"/>
      </rPr>
      <t xml:space="preserve"> $365
</t>
    </r>
  </si>
  <si>
    <t xml:space="preserve">
Riaz 
+1-847-754-4377 
</t>
  </si>
  <si>
    <t>Zakat</t>
  </si>
  <si>
    <t>Sathaqa</t>
  </si>
  <si>
    <t>Sathaqa Contribution</t>
  </si>
  <si>
    <t>Zakat Contribution</t>
  </si>
  <si>
    <t>Zakat Contributions</t>
  </si>
  <si>
    <t>Sathaqa Contributions</t>
  </si>
  <si>
    <t>Total Available Balance</t>
  </si>
  <si>
    <t>Available Zakat Balance</t>
  </si>
  <si>
    <t>Available Sathaqa Balance</t>
  </si>
  <si>
    <t>Total Dollars ($)</t>
  </si>
  <si>
    <t>Amount Approved</t>
  </si>
  <si>
    <t>Total Contribution</t>
  </si>
  <si>
    <t>Sathaqa Expenditure</t>
  </si>
  <si>
    <t>Zakat Expenditure</t>
  </si>
  <si>
    <t># of Requests Taken this month</t>
  </si>
  <si>
    <t>Contribution this month</t>
  </si>
  <si>
    <r>
      <t>20190531_RiazBhai_Req22_001.jpg
20190531_RiazBhai_Req22_002.jpg</t>
    </r>
    <r>
      <rPr>
        <b/>
        <sz val="10"/>
        <color theme="1"/>
        <rFont val="Cambria"/>
        <family val="1"/>
      </rPr>
      <t xml:space="preserve">
Total : 20000
Paid to entity: </t>
    </r>
    <r>
      <rPr>
        <sz val="10"/>
        <color theme="1"/>
        <rFont val="Cambria"/>
        <family val="1"/>
      </rPr>
      <t xml:space="preserve">INR </t>
    </r>
    <r>
      <rPr>
        <b/>
        <sz val="10"/>
        <color theme="1"/>
        <rFont val="Cambria"/>
        <family val="1"/>
      </rPr>
      <t xml:space="preserve">
Used WU rate : 69.52</t>
    </r>
    <r>
      <rPr>
        <sz val="10"/>
        <color theme="1"/>
        <rFont val="Cambria"/>
        <family val="1"/>
      </rPr>
      <t xml:space="preserve">
</t>
    </r>
    <r>
      <rPr>
        <b/>
        <sz val="10"/>
        <color theme="1"/>
        <rFont val="Cambria"/>
        <family val="1"/>
      </rPr>
      <t>Estimated to be given from BM:</t>
    </r>
    <r>
      <rPr>
        <sz val="10"/>
        <color theme="1"/>
        <rFont val="Cambria"/>
        <family val="1"/>
      </rPr>
      <t xml:space="preserve"> $286
</t>
    </r>
    <r>
      <rPr>
        <b/>
        <sz val="10"/>
        <color theme="1"/>
        <rFont val="Cambria"/>
        <family val="1"/>
      </rPr>
      <t>Requestor Preference:</t>
    </r>
    <r>
      <rPr>
        <sz val="10"/>
        <color theme="1"/>
        <rFont val="Cambria"/>
        <family val="1"/>
      </rPr>
      <t xml:space="preserve"> $286
</t>
    </r>
  </si>
  <si>
    <t>A.Thasleema banu</t>
  </si>
  <si>
    <t>Athaullah</t>
  </si>
  <si>
    <t>Bhuvaneshwar(India)</t>
  </si>
  <si>
    <t>Atiya</t>
  </si>
  <si>
    <t>Abdul baseeth</t>
  </si>
  <si>
    <r>
      <t xml:space="preserve">
20190616_Zubairbhai_Req23 - Atiya</t>
    </r>
    <r>
      <rPr>
        <b/>
        <sz val="10"/>
        <color theme="1"/>
        <rFont val="Cambria"/>
        <family val="1"/>
      </rPr>
      <t xml:space="preserve">
Total : 300
Paid to entity: in $</t>
    </r>
    <r>
      <rPr>
        <sz val="10"/>
        <color theme="1"/>
        <rFont val="Cambria"/>
        <family val="1"/>
      </rPr>
      <t xml:space="preserve"> </t>
    </r>
    <r>
      <rPr>
        <b/>
        <sz val="10"/>
        <color theme="1"/>
        <rFont val="Cambria"/>
        <family val="1"/>
      </rPr>
      <t xml:space="preserve">
Used WU rate : -</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</si>
  <si>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r>
      <t>20190621_Mydeenbhai_Req24</t>
    </r>
    <r>
      <rPr>
        <b/>
        <sz val="10"/>
        <color theme="1"/>
        <rFont val="Cambria"/>
        <family val="1"/>
      </rPr>
      <t xml:space="preserve">
Total : 360
Paid to entity: in INR
Used WU rate : 69.2638</t>
    </r>
    <r>
      <rPr>
        <sz val="10"/>
        <color theme="1"/>
        <rFont val="Cambria"/>
        <family val="1"/>
      </rPr>
      <t xml:space="preserve">
</t>
    </r>
    <r>
      <rPr>
        <b/>
        <sz val="10"/>
        <color theme="1"/>
        <rFont val="Cambria"/>
        <family val="1"/>
      </rPr>
      <t>Estimated to be given from BM:</t>
    </r>
    <r>
      <rPr>
        <sz val="10"/>
        <color theme="1"/>
        <rFont val="Cambria"/>
        <family val="1"/>
      </rPr>
      <t xml:space="preserve"> $360
</t>
    </r>
    <r>
      <rPr>
        <b/>
        <sz val="10"/>
        <color theme="1"/>
        <rFont val="Cambria"/>
        <family val="1"/>
      </rPr>
      <t>Requestor Preference:</t>
    </r>
    <r>
      <rPr>
        <sz val="10"/>
        <color theme="1"/>
        <rFont val="Cambria"/>
        <family val="1"/>
      </rPr>
      <t xml:space="preserve"> $360
</t>
    </r>
  </si>
  <si>
    <t xml:space="preserve">
Nagoor
+1-847-754-4377 
</t>
  </si>
  <si>
    <t xml:space="preserve">
Mohammed Mydeen 
+1-612-354-9343
</t>
  </si>
  <si>
    <t xml:space="preserve">
Zubair 
+1-952-486-2195 
</t>
  </si>
  <si>
    <t>Jenifer fathima</t>
  </si>
  <si>
    <r>
      <t>20190708_Nagoorbhai_Req25</t>
    </r>
    <r>
      <rPr>
        <b/>
        <sz val="10"/>
        <color theme="1"/>
        <rFont val="Cambria"/>
        <family val="1"/>
      </rPr>
      <t xml:space="preserve">
</t>
    </r>
    <r>
      <rPr>
        <sz val="10"/>
        <color theme="1"/>
        <rFont val="Cambria"/>
        <family val="1"/>
      </rPr>
      <t>No bills for mess and food</t>
    </r>
    <r>
      <rPr>
        <b/>
        <sz val="10"/>
        <color theme="1"/>
        <rFont val="Cambria"/>
        <family val="1"/>
      </rPr>
      <t xml:space="preserve"> . </t>
    </r>
    <r>
      <rPr>
        <sz val="10"/>
        <color theme="1"/>
        <rFont val="Cambria"/>
        <family val="1"/>
      </rPr>
      <t xml:space="preserve"> Bills for 10 k available</t>
    </r>
    <r>
      <rPr>
        <b/>
        <sz val="10"/>
        <color theme="1"/>
        <rFont val="Cambria"/>
        <family val="1"/>
      </rPr>
      <t xml:space="preserve">
Total : 360
Paid to entity: in INR
Used WU rate : 68.82</t>
    </r>
    <r>
      <rPr>
        <sz val="10"/>
        <color theme="1"/>
        <rFont val="Cambria"/>
        <family val="1"/>
      </rPr>
      <t xml:space="preserve">
</t>
    </r>
    <r>
      <rPr>
        <b/>
        <sz val="10"/>
        <color theme="1"/>
        <rFont val="Cambria"/>
        <family val="1"/>
      </rPr>
      <t>Estimated to be given from BM:</t>
    </r>
    <r>
      <rPr>
        <sz val="10"/>
        <color theme="1"/>
        <rFont val="Cambria"/>
        <family val="1"/>
      </rPr>
      <t xml:space="preserve"> $203
</t>
    </r>
    <r>
      <rPr>
        <b/>
        <sz val="10"/>
        <color theme="1"/>
        <rFont val="Cambria"/>
        <family val="1"/>
      </rPr>
      <t>Requestor Preference:</t>
    </r>
    <r>
      <rPr>
        <sz val="10"/>
        <color theme="1"/>
        <rFont val="Cambria"/>
        <family val="1"/>
      </rPr>
      <t xml:space="preserve"> $200
</t>
    </r>
  </si>
  <si>
    <r>
      <t>20190725_rafibhai_Req26
paid 170$ and recorded 30$ for august month. Total paid 200$</t>
    </r>
    <r>
      <rPr>
        <b/>
        <sz val="10"/>
        <color theme="1"/>
        <rFont val="Cambria"/>
        <family val="1"/>
      </rPr>
      <t xml:space="preserve">
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</si>
  <si>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 xml:space="preserve">
Rafi
+1-224-413-0942 
</t>
  </si>
  <si>
    <t>Rameeja bheevi</t>
  </si>
  <si>
    <t>Baby Faizy</t>
  </si>
  <si>
    <t>Khaleel</t>
  </si>
  <si>
    <r>
      <t>20190910_rafibhai_Req27
Total paid 205$ . 5$ from personal account</t>
    </r>
    <r>
      <rPr>
        <b/>
        <sz val="10"/>
        <color theme="1"/>
        <rFont val="Cambria"/>
        <family val="1"/>
      </rPr>
      <t xml:space="preserve">
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</si>
  <si>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r>
      <rPr>
        <b/>
        <sz val="10"/>
        <color theme="1"/>
        <rFont val="Cambria"/>
        <family val="1"/>
      </rPr>
      <t xml:space="preserve">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Pending: 
Apr'19: </t>
    </r>
    <r>
      <rPr>
        <sz val="10"/>
        <color theme="1"/>
        <rFont val="Cambria"/>
        <family val="1"/>
      </rPr>
      <t>20190328_ImranJaniBhai_Req16_Apr2019.jpg</t>
    </r>
    <r>
      <rPr>
        <b/>
        <sz val="10"/>
        <color theme="1"/>
        <rFont val="Cambria"/>
        <family val="1"/>
      </rPr>
      <t xml:space="preserve">
May'19: </t>
    </r>
    <r>
      <rPr>
        <sz val="10"/>
        <color theme="1"/>
        <rFont val="Cambria"/>
        <family val="1"/>
      </rPr>
      <t xml:space="preserve">20190501_ImranJaniBhai_Req16_May2019.jpg </t>
    </r>
    <r>
      <rPr>
        <b/>
        <sz val="10"/>
        <color theme="1"/>
        <rFont val="Cambria"/>
        <family val="1"/>
      </rPr>
      <t xml:space="preserve">
Jun'19: </t>
    </r>
    <r>
      <rPr>
        <sz val="10"/>
        <color theme="1"/>
        <rFont val="Cambria"/>
        <family val="1"/>
      </rPr>
      <t>20190601_ImranJaniBhai_Req16_Jun2019.jpg</t>
    </r>
    <r>
      <rPr>
        <b/>
        <sz val="10"/>
        <color theme="1"/>
        <rFont val="Cambria"/>
        <family val="1"/>
      </rPr>
      <t xml:space="preserve">
Jul'19:transaction.jpeg
Aug'19:transaction.jpeg
Total: </t>
    </r>
    <r>
      <rPr>
        <sz val="10"/>
        <color theme="1"/>
        <rFont val="Cambria"/>
        <family val="1"/>
      </rPr>
      <t xml:space="preserve">INR 45,000 (INR 9000 per month)
</t>
    </r>
    <r>
      <rPr>
        <b/>
        <sz val="10"/>
        <color theme="1"/>
        <rFont val="Cambria"/>
        <family val="1"/>
      </rPr>
      <t>WU Rate:</t>
    </r>
    <r>
      <rPr>
        <sz val="10"/>
        <color theme="1"/>
        <rFont val="Cambria"/>
        <family val="1"/>
      </rPr>
      <t xml:space="preserve"> 69.61
</t>
    </r>
    <r>
      <rPr>
        <b/>
        <sz val="10"/>
        <color theme="1"/>
        <rFont val="Cambria"/>
        <family val="1"/>
      </rPr>
      <t>Estimated to be given from BM:</t>
    </r>
    <r>
      <rPr>
        <sz val="10"/>
        <color theme="1"/>
        <rFont val="Cambria"/>
        <family val="1"/>
      </rPr>
      <t xml:space="preserve"> $646.459
</t>
    </r>
    <r>
      <rPr>
        <b/>
        <sz val="10"/>
        <color theme="1"/>
        <rFont val="Cambria"/>
        <family val="1"/>
      </rPr>
      <t>Requestor Preference:</t>
    </r>
    <r>
      <rPr>
        <sz val="10"/>
        <color theme="1"/>
        <rFont val="Cambria"/>
        <family val="1"/>
      </rPr>
      <t xml:space="preserve"> $645
</t>
    </r>
  </si>
  <si>
    <r>
      <t>20190910_Imranbhai_Req28</t>
    </r>
    <r>
      <rPr>
        <b/>
        <sz val="10"/>
        <color theme="1"/>
        <rFont val="Cambria"/>
        <family val="1"/>
      </rPr>
      <t xml:space="preserve">
Total : 210
Paid to entity: in Rs 40000. includes collection from MN makkal too.
Used WU rate : 70.74</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</si>
  <si>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xxxx</t>
  </si>
  <si>
    <r>
      <t xml:space="preserve">20190918_rafibhai_Req30
Total paid 270$ subtractinmg next month 30$ from rafi </t>
    </r>
    <r>
      <rPr>
        <b/>
        <sz val="10"/>
        <color theme="1"/>
        <rFont val="Cambria"/>
        <family val="1"/>
      </rPr>
      <t xml:space="preserve">
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</si>
  <si>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t>Kalemulla syed</t>
  </si>
  <si>
    <t>kalemulla syed</t>
  </si>
  <si>
    <t>Mohammed Mustafa</t>
  </si>
  <si>
    <r>
      <t xml:space="preserve">20191022_Muhsinbhai_Req33
Total paid 300$ ( 200$ through cash collected in october and 100 $ collected Muhsin as his contribution ) 
</t>
    </r>
    <r>
      <rPr>
        <b/>
        <sz val="10"/>
        <color theme="1"/>
        <rFont val="Cambria"/>
        <family val="1"/>
      </rPr>
      <t>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t>
    </r>
  </si>
  <si>
    <t xml:space="preserve">
Umar Sherif
+1-612-532-9812 
</t>
  </si>
  <si>
    <r>
      <t xml:space="preserve">20191108_Umarbhai_Req35
Total paid 200$ ( Through cash app)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</si>
  <si>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r>
      <t xml:space="preserve">20191108_Navazbhai_Req37
Total paid 250$ ( through cash app )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</si>
  <si>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t xml:space="preserve">
Fazrudeen
+1-612-615-6202
</t>
  </si>
  <si>
    <r>
      <t xml:space="preserve">20191108_Imranbhai_Req36
Total paid 250$ ( 220$ through cash app. 30 $ subtracted for that month baitul mall ) . The request came from Riaz bhai. Imran bhai facilitated the transfer.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</si>
  <si>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r>
      <t xml:space="preserve">2019101_mydeenbhai_Req32
Total paid 200$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photos and bank transaction collected. Voice messages has details. </t>
    </r>
  </si>
  <si>
    <t xml:space="preserve">Nadeem Alarnji
</t>
  </si>
  <si>
    <r>
      <t xml:space="preserve">20200103_Ameenbhai_Req39
Total paid 350$ ( through cash app ).  
</t>
    </r>
    <r>
      <rPr>
        <b/>
        <sz val="10"/>
        <color theme="1"/>
        <rFont val="Cambria"/>
        <family val="1"/>
      </rPr>
      <t>Total : 350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$350
</t>
    </r>
    <r>
      <rPr>
        <b/>
        <sz val="10"/>
        <color theme="1"/>
        <rFont val="Cambria"/>
        <family val="1"/>
      </rPr>
      <t>Requestor Preference:</t>
    </r>
    <r>
      <rPr>
        <sz val="10"/>
        <color theme="1"/>
        <rFont val="Cambria"/>
        <family val="1"/>
      </rPr>
      <t xml:space="preserve"> $350
</t>
    </r>
  </si>
  <si>
    <r>
      <t xml:space="preserve">2020114_rafibhai_Req41
Total paid 200$ . 170$ paid. 30$ for feb month baitul mall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
    </r>
  </si>
  <si>
    <t>Ameer Khan</t>
  </si>
  <si>
    <t>Yasar
+1-763-227-7014</t>
  </si>
  <si>
    <r>
      <t>20200120_Mydeenbhai_Req42</t>
    </r>
    <r>
      <rPr>
        <b/>
        <sz val="10"/>
        <color theme="1"/>
        <rFont val="Cambria"/>
        <family val="1"/>
      </rPr>
      <t xml:space="preserve">
Total : 260
Paid to entity: in INR
Used WU rate : 71.15</t>
    </r>
    <r>
      <rPr>
        <sz val="10"/>
        <color theme="1"/>
        <rFont val="Cambria"/>
        <family val="1"/>
      </rPr>
      <t xml:space="preserve">
</t>
    </r>
    <r>
      <rPr>
        <b/>
        <sz val="10"/>
        <color theme="1"/>
        <rFont val="Cambria"/>
        <family val="1"/>
      </rPr>
      <t>Estimated to be given from BM:</t>
    </r>
    <r>
      <rPr>
        <sz val="10"/>
        <color theme="1"/>
        <rFont val="Cambria"/>
        <family val="1"/>
      </rPr>
      <t xml:space="preserve"> $260
</t>
    </r>
    <r>
      <rPr>
        <b/>
        <sz val="10"/>
        <color theme="1"/>
        <rFont val="Cambria"/>
        <family val="1"/>
      </rPr>
      <t>Requestor Preference:</t>
    </r>
    <r>
      <rPr>
        <sz val="10"/>
        <color theme="1"/>
        <rFont val="Cambria"/>
        <family val="1"/>
      </rPr>
      <t xml:space="preserve"> $260
</t>
    </r>
  </si>
  <si>
    <t>Haja</t>
  </si>
  <si>
    <t>Haja Navaz</t>
  </si>
  <si>
    <r>
      <t xml:space="preserve">2019101_rafibhai_Req31
Total paid 200$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$200
</t>
    </r>
    <r>
      <rPr>
        <b/>
        <sz val="10"/>
        <color theme="1"/>
        <rFont val="Cambria"/>
        <family val="1"/>
      </rPr>
      <t>Requestor Preference:</t>
    </r>
    <r>
      <rPr>
        <sz val="10"/>
        <color theme="1"/>
        <rFont val="Cambria"/>
        <family val="1"/>
      </rPr>
      <t xml:space="preserve"> $200
the contribution went to the family as the person died. Mashoora was held and decided to collect evidence for only 2 months. more details in the screenshot. </t>
    </r>
  </si>
  <si>
    <t>azarudeen abbas</t>
  </si>
  <si>
    <r>
      <t xml:space="preserve">20191225_Fazbhai_Req38
Request is not closed as only transaction proof is recieved . still yet to get the marriage certificate or a letter. 
Total paid 220$ ( through cash app ). 30 $ subtracted from next month.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t>
    </r>
  </si>
  <si>
    <r>
      <t xml:space="preserve">20200111_Yasarbhai_Req40
Total paid 300$ ( 60 $ subtracted for yasar bhai and ithrish bhai and 240$ through cashapp to ithrish).  
</t>
    </r>
    <r>
      <rPr>
        <b/>
        <sz val="10"/>
        <color theme="1"/>
        <rFont val="Cambria"/>
        <family val="1"/>
      </rPr>
      <t>Total : 300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$300
</t>
    </r>
    <r>
      <rPr>
        <b/>
        <sz val="10"/>
        <color theme="1"/>
        <rFont val="Cambria"/>
        <family val="1"/>
      </rPr>
      <t>Requestor Preference:</t>
    </r>
    <r>
      <rPr>
        <sz val="10"/>
        <color theme="1"/>
        <rFont val="Cambria"/>
        <family val="1"/>
      </rPr>
      <t xml:space="preserve"> $300
Request is not closed as the transaction page is not recieved. </t>
    </r>
  </si>
  <si>
    <r>
      <rPr>
        <b/>
        <sz val="10"/>
        <color theme="1"/>
        <rFont val="Cambria"/>
        <family val="1"/>
      </rPr>
      <t xml:space="preserve">20190910_ImranJanibhai_Req29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20190910_Imranbhai_Req29
Pending: 
Sep'19:transacation.jpg 
Oct'19: </t>
    </r>
    <r>
      <rPr>
        <sz val="10"/>
        <color theme="1"/>
        <rFont val="Cambria"/>
        <family val="1"/>
      </rPr>
      <t>transaction.jpeg</t>
    </r>
    <r>
      <rPr>
        <b/>
        <sz val="10"/>
        <color theme="1"/>
        <rFont val="Cambria"/>
        <family val="1"/>
      </rPr>
      <t xml:space="preserve">
Nov'19:transaction.jpeg 
Dec'19:transaction.jpeg
Jan'19: transaction.jpeg
Feb'19: transaction.jpeg
Total: </t>
    </r>
    <r>
      <rPr>
        <sz val="10"/>
        <color theme="1"/>
        <rFont val="Cambria"/>
        <family val="1"/>
      </rPr>
      <t xml:space="preserve">INR 54,000 (INR 9000 per month)
</t>
    </r>
    <r>
      <rPr>
        <b/>
        <sz val="10"/>
        <color theme="1"/>
        <rFont val="Cambria"/>
        <family val="1"/>
      </rPr>
      <t>WU Rate:</t>
    </r>
    <r>
      <rPr>
        <sz val="10"/>
        <color theme="1"/>
        <rFont val="Cambria"/>
        <family val="1"/>
      </rPr>
      <t xml:space="preserve"> 70.74
</t>
    </r>
    <r>
      <rPr>
        <b/>
        <sz val="10"/>
        <color theme="1"/>
        <rFont val="Cambria"/>
        <family val="1"/>
      </rPr>
      <t>Estimated to be given from BM:</t>
    </r>
    <r>
      <rPr>
        <sz val="10"/>
        <color theme="1"/>
        <rFont val="Cambria"/>
        <family val="1"/>
      </rPr>
      <t xml:space="preserve"> $760
</t>
    </r>
    <r>
      <rPr>
        <b/>
        <sz val="10"/>
        <color theme="1"/>
        <rFont val="Cambria"/>
        <family val="1"/>
      </rPr>
      <t>Requestor Preference:</t>
    </r>
    <r>
      <rPr>
        <sz val="10"/>
        <color theme="1"/>
        <rFont val="Cambria"/>
        <family val="1"/>
      </rPr>
      <t xml:space="preserve"> $760
</t>
    </r>
  </si>
  <si>
    <r>
      <t xml:space="preserve">20191108_Nagoorbhai_Req34
Total paid 250$ ( 140$ paid through cash, 110 $ transferred by Imran shah, Jameesha, Ameen ) 
</t>
    </r>
    <r>
      <rPr>
        <b/>
        <sz val="10"/>
        <color theme="1"/>
        <rFont val="Cambria"/>
        <family val="1"/>
      </rPr>
      <t>Total : 250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$250
</t>
    </r>
    <r>
      <rPr>
        <b/>
        <sz val="10"/>
        <color theme="1"/>
        <rFont val="Cambria"/>
        <family val="1"/>
      </rPr>
      <t>Requestor Preference:</t>
    </r>
    <r>
      <rPr>
        <sz val="10"/>
        <color theme="1"/>
        <rFont val="Cambria"/>
        <family val="1"/>
      </rPr>
      <t xml:space="preserve"> $250
request is not closed as we are waiting for transaction proof</t>
    </r>
  </si>
  <si>
    <t>ayisha parveen</t>
  </si>
  <si>
    <r>
      <rPr>
        <b/>
        <sz val="10"/>
        <color theme="1"/>
        <rFont val="Cambria"/>
        <family val="1"/>
      </rPr>
      <t xml:space="preserve">20200303_ImranJanibhai_Req43
</t>
    </r>
    <r>
      <rPr>
        <b/>
        <u/>
        <sz val="10"/>
        <color theme="1"/>
        <rFont val="Cambria"/>
        <family val="1"/>
      </rPr>
      <t xml:space="preserve">Monthly Help: 
</t>
    </r>
    <r>
      <rPr>
        <b/>
        <sz val="10"/>
        <color theme="1"/>
        <rFont val="Cambria"/>
        <family val="1"/>
      </rPr>
      <t xml:space="preserve">Requested amount per month: 
</t>
    </r>
    <r>
      <rPr>
        <sz val="10"/>
        <color theme="1"/>
        <rFont val="Cambria"/>
        <family val="1"/>
      </rPr>
      <t>INR 9000 (INR 3000 per person)</t>
    </r>
    <r>
      <rPr>
        <b/>
        <sz val="10"/>
        <color theme="1"/>
        <rFont val="Cambria"/>
        <family val="1"/>
      </rPr>
      <t xml:space="preserve">
20200303_Imranbhai_Req43
Pending: 
March to August : 
Total: </t>
    </r>
    <r>
      <rPr>
        <sz val="10"/>
        <color theme="1"/>
        <rFont val="Cambria"/>
        <family val="1"/>
      </rPr>
      <t xml:space="preserve">INR 54,000 (INR 9000 per month)
</t>
    </r>
    <r>
      <rPr>
        <b/>
        <sz val="10"/>
        <color theme="1"/>
        <rFont val="Cambria"/>
        <family val="1"/>
      </rPr>
      <t>WU Rate:</t>
    </r>
    <r>
      <rPr>
        <sz val="10"/>
        <color theme="1"/>
        <rFont val="Cambria"/>
        <family val="1"/>
      </rPr>
      <t xml:space="preserve"> 72.28
</t>
    </r>
    <r>
      <rPr>
        <b/>
        <sz val="10"/>
        <color theme="1"/>
        <rFont val="Cambria"/>
        <family val="1"/>
      </rPr>
      <t>Estimated to be given from BM:</t>
    </r>
    <r>
      <rPr>
        <sz val="10"/>
        <color theme="1"/>
        <rFont val="Cambria"/>
        <family val="1"/>
      </rPr>
      <t xml:space="preserve"> $680 ( 2 months contribution is subtracted )
</t>
    </r>
    <r>
      <rPr>
        <b/>
        <sz val="10"/>
        <color theme="1"/>
        <rFont val="Cambria"/>
        <family val="1"/>
      </rPr>
      <t>Requestor Preference:</t>
    </r>
    <r>
      <rPr>
        <sz val="10"/>
        <color theme="1"/>
        <rFont val="Cambria"/>
        <family val="1"/>
      </rPr>
      <t xml:space="preserve"> $680
</t>
    </r>
  </si>
  <si>
    <r>
      <t xml:space="preserve">
</t>
    </r>
    <r>
      <rPr>
        <b/>
        <sz val="10"/>
        <color theme="1"/>
        <rFont val="Cambria"/>
        <family val="1"/>
      </rPr>
      <t xml:space="preserve">Total : 200$ . Paid 140$ subtracting march &amp; april baitul mall
Paid to entity: </t>
    </r>
    <r>
      <rPr>
        <sz val="10"/>
        <color theme="1"/>
        <rFont val="Cambria"/>
        <family val="1"/>
      </rPr>
      <t xml:space="preserve">INR </t>
    </r>
    <r>
      <rPr>
        <b/>
        <sz val="10"/>
        <color theme="1"/>
        <rFont val="Cambria"/>
        <family val="1"/>
      </rPr>
      <t xml:space="preserve">
</t>
    </r>
    <r>
      <rPr>
        <sz val="10"/>
        <color theme="1"/>
        <rFont val="Cambria"/>
        <family val="1"/>
      </rPr>
      <t xml:space="preserve">
</t>
    </r>
  </si>
  <si>
    <t>Money Received back</t>
  </si>
  <si>
    <t>Profit/loss realized</t>
  </si>
  <si>
    <t>Money received back</t>
  </si>
  <si>
    <t>Overall BM Balance = CONTRIBUTION - EXPENDITURE+Money Received back</t>
  </si>
  <si>
    <r>
      <t xml:space="preserve">20200330_rafibhai_Req47
Total paid 100$ . 70$ paid. 30$ for april month baitul mall
</t>
    </r>
    <r>
      <rPr>
        <b/>
        <sz val="10"/>
        <color theme="1"/>
        <rFont val="Cambria"/>
        <family val="1"/>
      </rPr>
      <t>Total : 100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$70
</t>
    </r>
    <r>
      <rPr>
        <b/>
        <sz val="10"/>
        <color theme="1"/>
        <rFont val="Cambria"/>
        <family val="1"/>
      </rPr>
      <t>Requestor Preference:</t>
    </r>
    <r>
      <rPr>
        <sz val="10"/>
        <color theme="1"/>
        <rFont val="Cambria"/>
        <family val="1"/>
      </rPr>
      <t xml:space="preserve"> $70
</t>
    </r>
  </si>
  <si>
    <t>Yaseer</t>
  </si>
  <si>
    <r>
      <t>20200312_Mydeenbhai_Req44</t>
    </r>
    <r>
      <rPr>
        <b/>
        <sz val="10"/>
        <color theme="1"/>
        <rFont val="Cambria"/>
        <family val="1"/>
      </rPr>
      <t xml:space="preserve">
Total : 185
Paid to entity: in INR
Used WU rate : </t>
    </r>
    <r>
      <rPr>
        <sz val="10"/>
        <color theme="1"/>
        <rFont val="Cambria"/>
        <family val="1"/>
      </rPr>
      <t xml:space="preserve">
</t>
    </r>
    <r>
      <rPr>
        <b/>
        <sz val="10"/>
        <color theme="1"/>
        <rFont val="Cambria"/>
        <family val="1"/>
      </rPr>
      <t>Estimated to be given from BM:</t>
    </r>
    <r>
      <rPr>
        <sz val="10"/>
        <color theme="1"/>
        <rFont val="Cambria"/>
        <family val="1"/>
      </rPr>
      <t xml:space="preserve"> $185
</t>
    </r>
    <r>
      <rPr>
        <b/>
        <sz val="10"/>
        <color theme="1"/>
        <rFont val="Cambria"/>
        <family val="1"/>
      </rPr>
      <t>Requestor Preference:</t>
    </r>
    <r>
      <rPr>
        <sz val="10"/>
        <color theme="1"/>
        <rFont val="Cambria"/>
        <family val="1"/>
      </rPr>
      <t xml:space="preserve"> $185
</t>
    </r>
  </si>
  <si>
    <t>Natural Disaster / Emergency fund collection</t>
  </si>
  <si>
    <t>Corona Virus Fund collection 1/4/2020</t>
  </si>
  <si>
    <t>Member</t>
  </si>
  <si>
    <t>Sathaqa Collected</t>
  </si>
  <si>
    <t>zakat Collected</t>
  </si>
  <si>
    <t xml:space="preserve">Date </t>
  </si>
  <si>
    <t>Corona collection</t>
  </si>
  <si>
    <r>
      <t xml:space="preserve">20200330_Muhsinbhai_Req48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</si>
  <si>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Muhsin </t>
  </si>
  <si>
    <t>Navaz</t>
  </si>
  <si>
    <t>REQ.NO</t>
  </si>
  <si>
    <t>MONTH</t>
  </si>
  <si>
    <t>CATEGORY</t>
  </si>
  <si>
    <t>MNM MEMBER</t>
  </si>
  <si>
    <t>RECEIVED SOURCE</t>
  </si>
  <si>
    <t>REQUEST FROM</t>
  </si>
  <si>
    <t>CONTACT NUMBER</t>
  </si>
  <si>
    <t>RELATIONSHIP B/W FROM &amp; FOR</t>
  </si>
  <si>
    <t>REQUEST FOR</t>
  </si>
  <si>
    <t>AGE</t>
  </si>
  <si>
    <t>VERIFIED WITH</t>
  </si>
  <si>
    <t>FAMILY  DETAILS</t>
  </si>
  <si>
    <t>JOINT FAMILY/LIVING ALONE</t>
  </si>
  <si>
    <t>JOINT FAMILY COUNT</t>
  </si>
  <si>
    <t>RENT/OWN  HOUSE</t>
  </si>
  <si>
    <t>RENT AMOUNT</t>
  </si>
  <si>
    <t>CURRENT JOB</t>
  </si>
  <si>
    <t>CURRENT SOURCE OF INCOM</t>
  </si>
  <si>
    <t>ADDRESS</t>
  </si>
  <si>
    <t>REQUEST DESCRIPTION</t>
  </si>
  <si>
    <t>PERIOD OF ASSISTANCE</t>
  </si>
  <si>
    <t>BANK DETAILS</t>
  </si>
  <si>
    <t>AMOUNT NEEDED</t>
  </si>
  <si>
    <t>PRIORITY</t>
  </si>
  <si>
    <t>SELF VERIFICATION</t>
  </si>
  <si>
    <t>AMIR CONFIRMATION</t>
  </si>
  <si>
    <t>REQUEST STATUS</t>
  </si>
  <si>
    <t>Category</t>
  </si>
  <si>
    <t>Aug</t>
  </si>
  <si>
    <t>Food Assistance(Food, Family and medical)</t>
  </si>
  <si>
    <t>Whatsapp Group</t>
  </si>
  <si>
    <t>Jahabar Sathik</t>
  </si>
  <si>
    <t>9500920846</t>
  </si>
  <si>
    <t>TNTJ</t>
  </si>
  <si>
    <t>Alaviikutty</t>
  </si>
  <si>
    <t>9447352849 - Askar
9487111093 - Alaviikutty</t>
  </si>
  <si>
    <t>Alavikutty</t>
  </si>
  <si>
    <t xml:space="preserve">Currently living with Mother, Wife and 2 Kids(Boys)
1st Kids age - 5 1/2
2nd Kids age - 1 1/2
</t>
  </si>
  <si>
    <t>ALONE</t>
  </si>
  <si>
    <t>NA</t>
  </si>
  <si>
    <t>OWN</t>
  </si>
  <si>
    <t>Rubber Cutting + Muezzin</t>
  </si>
  <si>
    <t>1. 350/Day in rubber cutting (Season Based).
2. 600/Month - Muezzin Work</t>
  </si>
  <si>
    <t>9/48 A  S/o Sanakal Muhammad,
Valai thuvalai,
Palkulam post,
Kanyakumari District - 629851</t>
  </si>
  <si>
    <t>1. Alavikutty is 35 years old who is working as Muezzin and also he is working in rubber cutting.
2. He recently lost his hand in electric shock accident.
3. He going to continue to work as Muezzin and his father was also Muezzin in the same masjid in the past, so he want to continue this job.
4. He gets 600 INR/Month, because there is no source of incom to the masjid.
5. The medical expense as of now 120000 INR(Aug 4).
6. He is expecting 10000 INR/Month to lead his family.</t>
  </si>
  <si>
    <t>Onetime</t>
  </si>
  <si>
    <t>Saburabeevi H,
SBI Thadikarankonam,
A/C: 32393737720
IFSC Code: SBIN0007057</t>
  </si>
  <si>
    <t>30000 INR</t>
  </si>
  <si>
    <t>Verified</t>
  </si>
  <si>
    <t>Approved</t>
  </si>
  <si>
    <t>Completed</t>
  </si>
  <si>
    <t>Basic Needs Assistancte</t>
  </si>
  <si>
    <t>BM Kerala Fund</t>
  </si>
  <si>
    <t>60000 INR</t>
  </si>
  <si>
    <t>Flood Relief</t>
  </si>
  <si>
    <t>Sep</t>
  </si>
  <si>
    <t xml:space="preserve"> Finacial Support during Illness</t>
  </si>
  <si>
    <t xml:space="preserve"> Mohamed Navaz</t>
  </si>
  <si>
    <t xml:space="preserve"> Ameen Basha</t>
  </si>
  <si>
    <t xml:space="preserve"> 9522285612</t>
  </si>
  <si>
    <t xml:space="preserve">Ameen's In-laws relative </t>
  </si>
  <si>
    <t>Ubaidullah</t>
  </si>
  <si>
    <t xml:space="preserve"> +91 9382897716</t>
  </si>
  <si>
    <t>MNM Member</t>
  </si>
  <si>
    <t xml:space="preserve"> Living alone</t>
  </si>
  <si>
    <t xml:space="preserve"> NA</t>
  </si>
  <si>
    <t>Running a Tyre Puncture shop in Adambakkam</t>
  </si>
  <si>
    <t>Earnings from the shop</t>
  </si>
  <si>
    <t xml:space="preserve"> 7/2B, Laskar St, Alandur,Che-21</t>
  </si>
  <si>
    <t xml:space="preserve"> He met with an accident a month back when he was working in his shop. An auto ran over his leg and  leaving multiple fractures. He is the only bread winner for his home and now he is finding to pay for Hospital visits, living needs and rent pay for his non fuctioning garage.
 Total Family members 3 including Wife and daughter. Wife is home maker and Daughter is gudying in College..He is having elder daughter who is married</t>
  </si>
  <si>
    <t xml:space="preserve"> Indian Overseas Bank - Alandur Branch. Acc.No- 165301000008917, IFSC code- IOBA0001653</t>
  </si>
  <si>
    <t>Medical</t>
  </si>
  <si>
    <t xml:space="preserve"> Education</t>
  </si>
  <si>
    <t>10000 INR</t>
  </si>
  <si>
    <t>Education</t>
  </si>
  <si>
    <t>15000 INR</t>
  </si>
  <si>
    <t>Oct</t>
  </si>
  <si>
    <t>Indonesia</t>
  </si>
  <si>
    <t>320$</t>
  </si>
  <si>
    <t>Nov</t>
  </si>
  <si>
    <t xml:space="preserve"> House rent</t>
  </si>
  <si>
    <t xml:space="preserve"> Farookh Azeez </t>
  </si>
  <si>
    <t xml:space="preserve"> Family member </t>
  </si>
  <si>
    <t>Farookh Azeez</t>
  </si>
  <si>
    <t>2133087860</t>
  </si>
  <si>
    <t xml:space="preserve">Cousin Brother </t>
  </si>
  <si>
    <t>Ms. Faizu</t>
  </si>
  <si>
    <t>Husband , wife , Son</t>
  </si>
  <si>
    <t xml:space="preserve"> Living alone </t>
  </si>
  <si>
    <t>Rent</t>
  </si>
  <si>
    <t xml:space="preserve"> 3500 + 500</t>
  </si>
  <si>
    <t xml:space="preserve"> Unemployed </t>
  </si>
  <si>
    <t xml:space="preserve"> No Job but Husband is Furniture Maker</t>
  </si>
  <si>
    <t>Address:No:25/1,    Thillai nayagam pillai,6th street,sembiam, perambur, Chennai=11.</t>
  </si>
  <si>
    <t xml:space="preserve"> Assalamu alaikum Imran bhai  my cousin sister name Ms. Faizu has a family with one son and her house rental payment is late by 3 months and her husband has no job ( furniture maker) from the past 4 months and she seeks 10000 INR .  I have already helped 10000 to pay some before months payments and for house hold needs and I also take care of her son school payment for whole year   She would seek help as she no other source of funds .. she instead want to get it on interest  or dundaaal which high interest ..   I can provide all the details of contact number and my cousin Mr.Sharfudeen  who can be the contact and he is in Jamaat (Tamil nadu muslim munnetra kalagam - TMMK)  and works for - Nawab khaurunnisa begum sahiba endowment - dr.khadriin chennai .... who can further give you more details ..   Faizu # +91 98844 34144 and Sharfudeen # +91 96771 95761 ..   please take necessary steps of investigation and help at the earliest as they might be told to leave the house because of no payments </t>
  </si>
  <si>
    <t xml:space="preserve"> 3 months </t>
  </si>
  <si>
    <t>Account No:0914101170062.  CANARA BANK,        IFSC CODE:CNRB0000914.</t>
  </si>
  <si>
    <t xml:space="preserve"> 10000 INR</t>
  </si>
  <si>
    <t>Gaja relief</t>
  </si>
  <si>
    <t>Whatsapp</t>
  </si>
  <si>
    <t>Abul hassan</t>
  </si>
  <si>
    <t>9597739200</t>
  </si>
  <si>
    <t>Friend</t>
  </si>
  <si>
    <t>Gaja relief to tamil nadu</t>
  </si>
  <si>
    <t>MN member transferred</t>
  </si>
  <si>
    <t>Relative</t>
  </si>
  <si>
    <t>Ajmal</t>
  </si>
  <si>
    <t>9176530740</t>
  </si>
  <si>
    <t>Yasar Hussan</t>
  </si>
  <si>
    <t>8939237732</t>
  </si>
  <si>
    <t>Not Sure</t>
  </si>
  <si>
    <t>13 peryair sheet
anyanvaram
tamil nadu 
cehnai</t>
  </si>
  <si>
    <t>Medical request for the baby</t>
  </si>
  <si>
    <t xml:space="preserve"> Indian Overseas Bank. 
Acc.No-  173901000007652, IFSC code- IOBA0001739</t>
  </si>
  <si>
    <t>50000 INR</t>
  </si>
  <si>
    <t>0+D15</t>
  </si>
  <si>
    <t>141$</t>
  </si>
  <si>
    <t>Category of the Request</t>
  </si>
  <si>
    <t>Archive Requests</t>
  </si>
  <si>
    <t xml:space="preserve">Medical </t>
  </si>
  <si>
    <t>Basic needs</t>
  </si>
  <si>
    <t>Natural Disaster</t>
  </si>
  <si>
    <t>Marriage</t>
  </si>
  <si>
    <t>Sub Category</t>
  </si>
  <si>
    <t>Flood relief</t>
  </si>
  <si>
    <t xml:space="preserve">Corona Virus </t>
  </si>
  <si>
    <t>Recurring monthly support</t>
  </si>
  <si>
    <t>Masjid &amp; Madrasa help</t>
  </si>
  <si>
    <t>Bhaitul Mall help</t>
  </si>
  <si>
    <t xml:space="preserve">Employment aid </t>
  </si>
  <si>
    <t xml:space="preserve">Nizar </t>
  </si>
  <si>
    <t>Mohamed Najib</t>
  </si>
  <si>
    <r>
      <t xml:space="preserve">20200330_Ameenbhai_Req57
Total paid 200$ . Paid by Jameesha bhai who held baitul mall 200$ cash after feburary collection
</t>
    </r>
    <r>
      <rPr>
        <b/>
        <sz val="10"/>
        <color theme="1"/>
        <rFont val="Cambria"/>
        <family val="1"/>
      </rPr>
      <t>Total : 200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</si>
  <si>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20200426_Fazbhai_Req59
Transfer facilitated by .
</t>
    </r>
    <r>
      <rPr>
        <b/>
        <sz val="10"/>
        <color theme="1"/>
        <rFont val="Cambria"/>
        <family val="1"/>
      </rPr>
      <t>Total : 196
Used google rate : 76.32</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</si>
  <si>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Total </t>
  </si>
  <si>
    <t xml:space="preserve">Expenditure </t>
  </si>
  <si>
    <t>Balance to spend</t>
  </si>
  <si>
    <t xml:space="preserve">
Nisar ahmed
+1-612-244-0939 
</t>
  </si>
  <si>
    <r>
      <t xml:space="preserve">20200426_Nisarbhai_Req60
Transfer facilitated by Ameen bhai . Sent 450 $ to Ameen bhai for req 60 and Req 61
</t>
    </r>
    <r>
      <rPr>
        <b/>
        <sz val="10"/>
        <color theme="1"/>
        <rFont val="Cambria"/>
        <family val="1"/>
      </rPr>
      <t>Total : 200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</si>
  <si>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20200426_Ameenbhai_Req61
Transfer facilitated by Ameen bhai . Sent 450 $ to Ameen bhai for req 60 and Req 61
</t>
    </r>
    <r>
      <rPr>
        <b/>
        <sz val="10"/>
        <color theme="1"/>
        <rFont val="Cambria"/>
        <family val="1"/>
      </rPr>
      <t>Total : 250$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</si>
  <si>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
Nagoor
+1-952-228-5612 
</t>
  </si>
  <si>
    <r>
      <t xml:space="preserve">20200426_Nagoorbhai_Req62
</t>
    </r>
    <r>
      <rPr>
        <b/>
        <sz val="10"/>
        <color theme="1"/>
        <rFont val="Cambria"/>
        <family val="1"/>
      </rPr>
      <t>Total : 250$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</si>
  <si>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Nizar(Rafi friend)</t>
  </si>
  <si>
    <r>
      <t xml:space="preserve">20200501_rahimbhai_Req63
</t>
    </r>
    <r>
      <rPr>
        <b/>
        <sz val="10"/>
        <color theme="1"/>
        <rFont val="Cambria"/>
        <family val="1"/>
      </rPr>
      <t>Total : 250$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</si>
  <si>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
Rahim
+1-612-242-9738 
</t>
  </si>
  <si>
    <r>
      <t xml:space="preserve">20200501_Najibbhai_Req64
</t>
    </r>
    <r>
      <rPr>
        <b/>
        <sz val="10"/>
        <color theme="1"/>
        <rFont val="Cambria"/>
        <family val="1"/>
      </rPr>
      <t>Total : 250$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</si>
  <si>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
Mohamed Najib
+1-678-848-2232 
</t>
  </si>
  <si>
    <r>
      <t xml:space="preserve">20200426_Muhsinbhai_Req58
Transfer facilitated by Imran Jani bhai .
</t>
    </r>
    <r>
      <rPr>
        <b/>
        <sz val="10"/>
        <color theme="1"/>
        <rFont val="Cambria"/>
        <family val="1"/>
      </rPr>
      <t xml:space="preserve">Total : 
Used google rate :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</si>
  <si>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20200502_rahimbhai_Req65
</t>
    </r>
    <r>
      <rPr>
        <b/>
        <sz val="10"/>
        <color theme="1"/>
        <rFont val="Cambria"/>
        <family val="1"/>
      </rPr>
      <t>Total : 250$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</si>
  <si>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Ghouse</t>
  </si>
  <si>
    <t>Self</t>
  </si>
  <si>
    <t>Mohamed Idris</t>
  </si>
  <si>
    <r>
      <t xml:space="preserve">20200418_Muhsinbhai_Req54
</t>
    </r>
    <r>
      <rPr>
        <b/>
        <sz val="10"/>
        <color theme="1"/>
        <rFont val="Cambria"/>
        <family val="1"/>
      </rPr>
      <t>Total : 100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</si>
  <si>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20200418_umarbhai_Req55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</si>
  <si>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20200416_Imranjanibhai_Req53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</si>
  <si>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20200412_ImranJanibhai_Req50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</si>
  <si>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20200412_Mydeenbhai_Req51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</si>
  <si>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20200412_Navazbhai_Req52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</si>
  <si>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20200418_Rafibhai_Req56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</si>
  <si>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20200103_Ameenbhai_Req45
Total paid: 170$ ( subtracted 1 month of baitul mall )   
</t>
    </r>
    <r>
      <rPr>
        <b/>
        <sz val="10"/>
        <color theme="1"/>
        <rFont val="Cambria"/>
        <family val="1"/>
      </rPr>
      <t xml:space="preserve">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$140
</t>
    </r>
  </si>
  <si>
    <t>Food &amp; shelter</t>
  </si>
  <si>
    <r>
      <t xml:space="preserve">20200412_Ameenbhai_Req49
</t>
    </r>
    <r>
      <rPr>
        <b/>
        <sz val="10"/>
        <color theme="1"/>
        <rFont val="Cambria"/>
        <family val="1"/>
      </rPr>
      <t>Total : 
Paid to entity: in $
Used WU rate : N/A</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</si>
  <si>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t xml:space="preserve">
Ghouse
+1-952-250-0411
</t>
  </si>
  <si>
    <t xml:space="preserve">
Ali
+1-805-404-0758 
</t>
  </si>
  <si>
    <r>
      <t xml:space="preserve">20200505_Ameenbhai_Req66
</t>
    </r>
    <r>
      <rPr>
        <b/>
        <sz val="10"/>
        <color theme="1"/>
        <rFont val="Cambria"/>
        <family val="1"/>
      </rPr>
      <t>paid 239$ to clear out the balance 
Total : 239$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</si>
  <si>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20200505_Ghousebhai_Req67
</t>
    </r>
    <r>
      <rPr>
        <b/>
        <sz val="10"/>
        <color theme="1"/>
        <rFont val="Cambria"/>
        <family val="1"/>
      </rPr>
      <t>Total :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</si>
  <si>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 xml:space="preserve">20200505_Alibhai_Req68
</t>
    </r>
    <r>
      <rPr>
        <b/>
        <sz val="10"/>
        <color theme="1"/>
        <rFont val="Cambria"/>
        <family val="1"/>
      </rPr>
      <t>Total :
Used google rate :</t>
    </r>
    <r>
      <rPr>
        <sz val="10"/>
        <color theme="1"/>
        <rFont val="Cambria"/>
        <family val="1"/>
      </rPr>
      <t xml:space="preserve">
</t>
    </r>
    <r>
      <rPr>
        <b/>
        <sz val="10"/>
        <color theme="1"/>
        <rFont val="Cambria"/>
        <family val="1"/>
      </rPr>
      <t>Estimated to be given from BM:</t>
    </r>
    <r>
      <rPr>
        <sz val="10"/>
        <color theme="1"/>
        <rFont val="Cambria"/>
        <family val="1"/>
      </rPr>
      <t xml:space="preserve"> 
</t>
    </r>
    <r>
      <rPr>
        <b/>
        <sz val="10"/>
        <color theme="1"/>
        <rFont val="Cambria"/>
        <family val="1"/>
      </rPr>
      <t>Requestor Preference:</t>
    </r>
    <r>
      <rPr>
        <sz val="10"/>
        <color theme="1"/>
        <rFont val="Cambria"/>
        <family val="1"/>
      </rPr>
      <t xml:space="preserve"> 
</t>
    </r>
  </si>
  <si>
    <r>
      <t>Nagoor bhai paid 225.73$ more. This has been accounted in the month of may 2020 as sathaqa. 
Acknowledge References/Comments
(</t>
    </r>
    <r>
      <rPr>
        <b/>
        <i/>
        <sz val="10"/>
        <color theme="1"/>
        <rFont val="Cambria"/>
        <family val="1"/>
      </rPr>
      <t>Filename - Images, PDF or any format)
Format: RequesId_&lt;RequestId&gt;.fileformat</t>
    </r>
  </si>
  <si>
    <r>
      <t xml:space="preserve">BM Status Report
</t>
    </r>
    <r>
      <rPr>
        <b/>
        <i/>
        <sz val="10"/>
        <color theme="1"/>
        <rFont val="Cambria"/>
        <family val="1"/>
      </rPr>
      <t>Since Aug 2018</t>
    </r>
  </si>
  <si>
    <t>Proof</t>
  </si>
  <si>
    <t>Done</t>
  </si>
  <si>
    <t>Number of requests</t>
  </si>
  <si>
    <t>Type of Request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</si>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</sst>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1" x14ac:knownFonts="1">
    <font>
      <sz val="11"/>
      <color theme="1"/>
      <name val="Calibri"/>
      <family val="2"/>
      <scheme val="minor"/>
    </font>
    <font>
      <b/>
      <sz val="11"/>
      <color theme="1"/>
      <name val="Cambria"/>
      <family val="1"/>
    </font>
    <font>
      <sz val="11"/>
      <color theme="1"/>
      <name val="Cambria"/>
      <family val="1"/>
    </font>
    <font>
      <b/>
      <sz val="10"/>
      <color theme="1"/>
      <name val="Cambria"/>
      <family val="1"/>
    </font>
    <font>
      <sz val="10"/>
      <color theme="1"/>
      <name val="Cambria"/>
      <family val="1"/>
    </font>
    <font>
      <sz val="9"/>
      <color indexed="81"/>
      <name val="Tahoma"/>
      <family val="2"/>
    </font>
    <font>
      <b/>
      <sz val="9"/>
      <color indexed="81"/>
      <name val="Tahoma"/>
      <family val="2"/>
    </font>
    <font>
      <b/>
      <i/>
      <sz val="10"/>
      <color theme="1"/>
      <name val="Cambria"/>
      <family val="1"/>
    </font>
    <font>
      <b/>
      <sz val="11"/>
      <color theme="1"/>
      <name val="Calibri"/>
      <family val="2"/>
      <scheme val="minor"/>
    </font>
    <font>
      <i/>
      <sz val="10"/>
      <color theme="1"/>
      <name val="Cambria"/>
      <family val="1"/>
    </font>
    <font>
      <b/>
      <sz val="14"/>
      <color theme="1"/>
      <name val="Cambria"/>
      <family val="1"/>
    </font>
    <font>
      <sz val="13"/>
      <color theme="1"/>
      <name val="Cambria"/>
      <family val="1"/>
    </font>
    <font>
      <b/>
      <sz val="13"/>
      <color theme="1"/>
      <name val="Cambria"/>
      <family val="1"/>
    </font>
    <font>
      <i/>
      <sz val="11"/>
      <color theme="1"/>
      <name val="Calibri"/>
      <family val="2"/>
      <scheme val="minor"/>
    </font>
    <font>
      <b/>
      <sz val="15"/>
      <color theme="1"/>
      <name val="Cambria"/>
      <family val="1"/>
    </font>
    <font>
      <b/>
      <u/>
      <sz val="10"/>
      <color theme="1"/>
      <name val="Cambria"/>
      <family val="1"/>
    </font>
    <font>
      <u/>
      <sz val="11"/>
      <color theme="10"/>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0"/>
      <color rgb="FF000000"/>
      <name val="Cambria"/>
      <family val="1"/>
    </font>
  </fonts>
  <fills count="11">
    <fill>
      <patternFill patternType="none"/>
    </fill>
    <fill>
      <patternFill patternType="gray125"/>
    </fill>
    <fill>
      <patternFill patternType="solid">
        <fgColor theme="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59999389629810485"/>
        <bgColor indexed="64"/>
      </patternFill>
    </fill>
    <fill>
      <patternFill patternType="solid">
        <fgColor rgb="FF92D050"/>
        <bgColor rgb="FF000000"/>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16" fillId="0" borderId="0" applyNumberFormat="0" applyFill="0" applyBorder="0" applyAlignment="0" applyProtection="0"/>
    <xf numFmtId="0" fontId="17" fillId="0" borderId="0"/>
  </cellStyleXfs>
  <cellXfs count="152">
    <xf numFmtId="0" fontId="0" fillId="0" borderId="0" xfId="0"/>
    <xf numFmtId="0" fontId="2" fillId="0" borderId="0" xfId="0" applyFont="1"/>
    <xf numFmtId="0" fontId="4" fillId="0" borderId="0" xfId="0" applyFont="1"/>
    <xf numFmtId="0" fontId="4" fillId="0" borderId="1" xfId="0" applyFont="1" applyBorder="1"/>
    <xf numFmtId="0" fontId="3" fillId="0" borderId="1" xfId="0" applyFont="1" applyBorder="1"/>
    <xf numFmtId="0" fontId="4" fillId="0" borderId="0" xfId="0" applyFont="1" applyAlignment="1">
      <alignment horizontal="center"/>
    </xf>
    <xf numFmtId="0" fontId="3" fillId="0" borderId="4" xfId="0" applyFont="1" applyBorder="1"/>
    <xf numFmtId="0" fontId="4" fillId="0" borderId="3" xfId="0" applyFont="1" applyBorder="1"/>
    <xf numFmtId="0" fontId="4" fillId="0" borderId="16" xfId="0" applyFont="1" applyBorder="1" applyAlignment="1">
      <alignment horizontal="center" vertical="center"/>
    </xf>
    <xf numFmtId="0" fontId="4" fillId="0" borderId="1" xfId="0" applyFont="1" applyBorder="1" applyAlignment="1">
      <alignment horizontal="center"/>
    </xf>
    <xf numFmtId="0" fontId="4" fillId="0" borderId="0" xfId="0" applyFont="1" applyAlignment="1">
      <alignment horizontal="left"/>
    </xf>
    <xf numFmtId="0" fontId="4" fillId="0" borderId="4" xfId="0" applyFont="1" applyBorder="1" applyAlignment="1">
      <alignment horizontal="center" vertical="center"/>
    </xf>
    <xf numFmtId="0" fontId="4" fillId="0" borderId="0" xfId="0" applyFont="1" applyAlignment="1">
      <alignment vertical="center"/>
    </xf>
    <xf numFmtId="0" fontId="4" fillId="0" borderId="1" xfId="0" applyFont="1" applyBorder="1" applyAlignment="1">
      <alignment horizontal="center" vertical="center"/>
    </xf>
    <xf numFmtId="0" fontId="4" fillId="0" borderId="0" xfId="0" applyFont="1" applyAlignment="1">
      <alignment horizontal="center" vertical="center"/>
    </xf>
    <xf numFmtId="49" fontId="4" fillId="0" borderId="1" xfId="0" applyNumberFormat="1" applyFont="1" applyBorder="1" applyAlignment="1">
      <alignment horizontal="center" vertical="center"/>
    </xf>
    <xf numFmtId="0" fontId="1" fillId="4"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Fill="1" applyBorder="1" applyAlignment="1">
      <alignment vertical="center"/>
    </xf>
    <xf numFmtId="0" fontId="4" fillId="0" borderId="22" xfId="0" applyFont="1" applyBorder="1" applyAlignment="1">
      <alignment horizontal="center" vertical="center"/>
    </xf>
    <xf numFmtId="0" fontId="4" fillId="0" borderId="20" xfId="0" applyFont="1" applyBorder="1" applyAlignment="1">
      <alignment horizontal="center" vertical="center"/>
    </xf>
    <xf numFmtId="14" fontId="4" fillId="0" borderId="20" xfId="0" applyNumberFormat="1" applyFont="1" applyBorder="1" applyAlignment="1">
      <alignment horizontal="center" vertical="center"/>
    </xf>
    <xf numFmtId="0" fontId="1" fillId="4" borderId="1" xfId="0" applyFont="1" applyFill="1" applyBorder="1" applyAlignment="1">
      <alignment horizontal="center" vertical="center" wrapText="1"/>
    </xf>
    <xf numFmtId="49" fontId="4" fillId="0" borderId="4" xfId="0" applyNumberFormat="1" applyFont="1" applyBorder="1" applyAlignment="1">
      <alignment horizontal="center" vertical="center"/>
    </xf>
    <xf numFmtId="14" fontId="4" fillId="0" borderId="22" xfId="0" applyNumberFormat="1" applyFont="1" applyBorder="1" applyAlignment="1">
      <alignment horizontal="center" vertical="center"/>
    </xf>
    <xf numFmtId="0" fontId="3" fillId="7" borderId="1" xfId="0" applyFont="1" applyFill="1" applyBorder="1" applyAlignment="1">
      <alignment horizontal="center" vertical="center"/>
    </xf>
    <xf numFmtId="49" fontId="4" fillId="0" borderId="17" xfId="0" applyNumberFormat="1" applyFont="1" applyBorder="1" applyAlignment="1">
      <alignment horizontal="center" vertical="center"/>
    </xf>
    <xf numFmtId="0" fontId="3" fillId="6" borderId="4" xfId="0" applyFont="1" applyFill="1" applyBorder="1" applyAlignment="1">
      <alignment horizontal="center"/>
    </xf>
    <xf numFmtId="17" fontId="4" fillId="0" borderId="22" xfId="0" applyNumberFormat="1" applyFont="1" applyBorder="1" applyAlignment="1">
      <alignment horizontal="center" vertical="center"/>
    </xf>
    <xf numFmtId="0" fontId="3" fillId="6" borderId="10" xfId="0" applyFont="1" applyFill="1" applyBorder="1" applyAlignment="1">
      <alignment horizontal="center" vertical="center"/>
    </xf>
    <xf numFmtId="17" fontId="4" fillId="0" borderId="20" xfId="0" applyNumberFormat="1" applyFont="1" applyBorder="1" applyAlignment="1">
      <alignment horizontal="center" vertical="center"/>
    </xf>
    <xf numFmtId="0" fontId="1" fillId="4" borderId="26" xfId="0" applyFont="1" applyFill="1" applyBorder="1" applyAlignment="1">
      <alignment horizontal="center" vertical="center" wrapText="1"/>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14" fontId="3" fillId="6" borderId="10" xfId="0" applyNumberFormat="1" applyFont="1" applyFill="1" applyBorder="1" applyAlignment="1">
      <alignment vertical="center" wrapText="1"/>
    </xf>
    <xf numFmtId="14" fontId="4" fillId="0" borderId="1" xfId="0" applyNumberFormat="1" applyFont="1" applyBorder="1" applyAlignment="1">
      <alignment horizontal="center" vertical="center"/>
    </xf>
    <xf numFmtId="0" fontId="4" fillId="0" borderId="4" xfId="0" applyFont="1" applyBorder="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4" fillId="0" borderId="7" xfId="0" applyFont="1" applyBorder="1" applyAlignment="1">
      <alignment vertical="center"/>
    </xf>
    <xf numFmtId="0" fontId="4" fillId="0" borderId="8" xfId="0" applyFont="1" applyBorder="1" applyAlignment="1">
      <alignment horizontal="center" vertical="center"/>
    </xf>
    <xf numFmtId="14" fontId="4" fillId="0" borderId="8" xfId="0" applyNumberFormat="1" applyFont="1" applyBorder="1" applyAlignment="1">
      <alignment horizontal="center" vertical="center"/>
    </xf>
    <xf numFmtId="17" fontId="4" fillId="0" borderId="8" xfId="0" applyNumberFormat="1" applyFont="1" applyBorder="1" applyAlignment="1">
      <alignment horizontal="center" vertical="center"/>
    </xf>
    <xf numFmtId="0" fontId="4" fillId="0" borderId="9" xfId="0" applyFont="1" applyBorder="1" applyAlignment="1">
      <alignment horizontal="left" vertical="center" wrapText="1"/>
    </xf>
    <xf numFmtId="17" fontId="4" fillId="0" borderId="8" xfId="0" applyNumberFormat="1" applyFont="1" applyBorder="1" applyAlignment="1">
      <alignment horizontal="center" vertical="center" wrapText="1"/>
    </xf>
    <xf numFmtId="0" fontId="11" fillId="0" borderId="1" xfId="0" applyFont="1" applyBorder="1"/>
    <xf numFmtId="0" fontId="12" fillId="0" borderId="1" xfId="0" applyFont="1" applyBorder="1" applyAlignment="1">
      <alignment horizontal="center" vertical="center"/>
    </xf>
    <xf numFmtId="6" fontId="12" fillId="0" borderId="1" xfId="0" applyNumberFormat="1" applyFont="1" applyBorder="1" applyAlignment="1">
      <alignment horizontal="center" vertical="center"/>
    </xf>
    <xf numFmtId="0" fontId="12" fillId="8" borderId="1" xfId="0" applyFont="1" applyFill="1" applyBorder="1"/>
    <xf numFmtId="0" fontId="12" fillId="8" borderId="1" xfId="0" applyFont="1" applyFill="1" applyBorder="1" applyAlignment="1">
      <alignment horizontal="center" vertical="center"/>
    </xf>
    <xf numFmtId="0" fontId="0" fillId="0" borderId="1" xfId="0" applyBorder="1"/>
    <xf numFmtId="8" fontId="0" fillId="0" borderId="1" xfId="0" applyNumberFormat="1" applyBorder="1"/>
    <xf numFmtId="8" fontId="8" fillId="6" borderId="1" xfId="0" applyNumberFormat="1" applyFont="1" applyFill="1" applyBorder="1"/>
    <xf numFmtId="14" fontId="3" fillId="6" borderId="32" xfId="0" applyNumberFormat="1" applyFont="1" applyFill="1" applyBorder="1" applyAlignment="1">
      <alignment vertical="center" wrapText="1"/>
    </xf>
    <xf numFmtId="0" fontId="3" fillId="6" borderId="32" xfId="0" applyFont="1" applyFill="1" applyBorder="1" applyAlignment="1">
      <alignment horizontal="center" vertical="center"/>
    </xf>
    <xf numFmtId="17" fontId="4" fillId="0" borderId="1" xfId="0" applyNumberFormat="1" applyFont="1" applyBorder="1" applyAlignment="1">
      <alignment horizontal="center" vertical="center"/>
    </xf>
    <xf numFmtId="0" fontId="4" fillId="0" borderId="14" xfId="0" applyFont="1" applyBorder="1" applyAlignment="1">
      <alignment vertical="center"/>
    </xf>
    <xf numFmtId="0" fontId="4" fillId="0" borderId="33" xfId="0" applyFont="1" applyBorder="1" applyAlignment="1">
      <alignment horizontal="left" vertical="center"/>
    </xf>
    <xf numFmtId="0" fontId="4" fillId="0" borderId="15" xfId="0" applyFont="1" applyBorder="1" applyAlignment="1">
      <alignment vertical="center"/>
    </xf>
    <xf numFmtId="0" fontId="4" fillId="0" borderId="34" xfId="0" applyFont="1" applyBorder="1" applyAlignment="1">
      <alignment horizontal="left" vertical="center"/>
    </xf>
    <xf numFmtId="0" fontId="4" fillId="0" borderId="21" xfId="0" applyFont="1" applyBorder="1" applyAlignment="1">
      <alignment vertical="center"/>
    </xf>
    <xf numFmtId="0" fontId="4" fillId="0" borderId="35" xfId="0" applyFont="1" applyBorder="1" applyAlignment="1">
      <alignment horizontal="left" vertical="center"/>
    </xf>
    <xf numFmtId="0" fontId="4" fillId="0" borderId="17" xfId="0" applyFont="1" applyBorder="1" applyAlignment="1">
      <alignment horizontal="center" vertical="center"/>
    </xf>
    <xf numFmtId="0" fontId="3" fillId="6" borderId="2" xfId="0" applyFont="1" applyFill="1" applyBorder="1" applyAlignment="1">
      <alignment horizontal="center" vertical="center"/>
    </xf>
    <xf numFmtId="0" fontId="3" fillId="0" borderId="20" xfId="0" applyFont="1" applyBorder="1" applyAlignment="1">
      <alignment horizontal="center" vertical="center" wrapText="1"/>
    </xf>
    <xf numFmtId="0" fontId="4" fillId="0" borderId="0" xfId="0" applyFont="1" applyAlignment="1">
      <alignment horizontal="center" vertical="center" wrapText="1"/>
    </xf>
    <xf numFmtId="0" fontId="3" fillId="0" borderId="22" xfId="0" applyFont="1" applyBorder="1" applyAlignment="1">
      <alignment horizontal="center" vertical="center" wrapText="1"/>
    </xf>
    <xf numFmtId="0" fontId="4" fillId="0" borderId="0" xfId="0" applyFont="1" applyBorder="1" applyAlignment="1">
      <alignment vertical="center" wrapText="1"/>
    </xf>
    <xf numFmtId="0" fontId="4" fillId="0" borderId="4" xfId="0" applyFont="1" applyBorder="1" applyAlignment="1">
      <alignment horizontal="center" vertical="center" wrapText="1"/>
    </xf>
    <xf numFmtId="14" fontId="4" fillId="0" borderId="4" xfId="0" applyNumberFormat="1"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3" fillId="3" borderId="36" xfId="0" applyFont="1" applyFill="1" applyBorder="1"/>
    <xf numFmtId="0" fontId="4" fillId="0" borderId="1" xfId="0" applyFont="1" applyBorder="1" applyAlignment="1">
      <alignment vertical="center"/>
    </xf>
    <xf numFmtId="0" fontId="4" fillId="0" borderId="0" xfId="0" applyFont="1" applyBorder="1"/>
    <xf numFmtId="0" fontId="2" fillId="2" borderId="37" xfId="0" applyFont="1" applyFill="1" applyBorder="1" applyAlignment="1">
      <alignment horizontal="center" vertical="center"/>
    </xf>
    <xf numFmtId="0" fontId="3" fillId="6" borderId="0" xfId="0" applyFont="1" applyFill="1" applyBorder="1" applyAlignment="1">
      <alignment horizontal="center" vertical="center"/>
    </xf>
    <xf numFmtId="0" fontId="3" fillId="0" borderId="38" xfId="0" applyFont="1" applyBorder="1" applyAlignment="1">
      <alignment horizontal="center" vertical="center" wrapText="1"/>
    </xf>
    <xf numFmtId="0" fontId="0" fillId="0" borderId="0" xfId="0" applyAlignment="1">
      <alignment wrapText="1"/>
    </xf>
    <xf numFmtId="14" fontId="0" fillId="0" borderId="0" xfId="0" applyNumberFormat="1"/>
    <xf numFmtId="0" fontId="0" fillId="0" borderId="0" xfId="0"/>
    <xf numFmtId="0" fontId="4" fillId="0" borderId="0" xfId="0" applyFont="1"/>
    <xf numFmtId="0" fontId="4" fillId="0" borderId="1" xfId="0" applyFont="1" applyBorder="1"/>
    <xf numFmtId="0" fontId="3" fillId="0" borderId="1" xfId="0" applyFont="1" applyBorder="1"/>
    <xf numFmtId="0" fontId="4" fillId="0" borderId="1" xfId="0" applyFont="1" applyBorder="1" applyAlignment="1">
      <alignment horizontal="left" vertical="center" wrapText="1"/>
    </xf>
    <xf numFmtId="0" fontId="4" fillId="0" borderId="0" xfId="0" applyFont="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vertical="center" wrapText="1"/>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Fill="1" applyBorder="1" applyAlignment="1">
      <alignment horizontal="left" vertical="center" wrapText="1"/>
    </xf>
    <xf numFmtId="0" fontId="18" fillId="9" borderId="1" xfId="2" applyFont="1" applyFill="1" applyBorder="1" applyAlignment="1">
      <alignment horizontal="center"/>
    </xf>
    <xf numFmtId="49" fontId="18" fillId="9" borderId="1" xfId="2" applyNumberFormat="1" applyFont="1" applyFill="1" applyBorder="1" applyAlignment="1">
      <alignment horizontal="center"/>
    </xf>
    <xf numFmtId="0" fontId="17" fillId="0" borderId="0" xfId="2"/>
    <xf numFmtId="0" fontId="17" fillId="3" borderId="1" xfId="2" applyFill="1" applyBorder="1" applyAlignment="1">
      <alignment horizontal="left" vertical="top"/>
    </xf>
    <xf numFmtId="0" fontId="17" fillId="3" borderId="1" xfId="2" applyFill="1" applyBorder="1" applyAlignment="1">
      <alignment horizontal="left" vertical="top" wrapText="1"/>
    </xf>
    <xf numFmtId="0" fontId="17" fillId="6" borderId="1" xfId="2" applyFill="1" applyBorder="1" applyAlignment="1">
      <alignment horizontal="left" vertical="top"/>
    </xf>
    <xf numFmtId="49" fontId="17" fillId="3" borderId="1" xfId="2" applyNumberFormat="1" applyFill="1" applyBorder="1" applyAlignment="1">
      <alignment horizontal="left" vertical="top"/>
    </xf>
    <xf numFmtId="49" fontId="17" fillId="3" borderId="1" xfId="2" applyNumberFormat="1" applyFill="1" applyBorder="1" applyAlignment="1">
      <alignment horizontal="left" vertical="top" wrapText="1"/>
    </xf>
    <xf numFmtId="0" fontId="19" fillId="10" borderId="1" xfId="2" applyFont="1" applyFill="1" applyBorder="1" applyAlignment="1">
      <alignment horizontal="left" vertical="top"/>
    </xf>
    <xf numFmtId="0" fontId="20" fillId="6" borderId="1" xfId="2" applyFont="1" applyFill="1" applyBorder="1" applyAlignment="1">
      <alignment horizontal="left" vertical="top"/>
    </xf>
    <xf numFmtId="0" fontId="3" fillId="0" borderId="40" xfId="0" applyFont="1" applyBorder="1" applyAlignment="1">
      <alignment horizontal="center" vertical="center" wrapText="1"/>
    </xf>
    <xf numFmtId="0" fontId="16" fillId="0" borderId="1" xfId="1" applyBorder="1" applyAlignment="1">
      <alignment horizontal="center" vertical="center" wrapText="1"/>
    </xf>
    <xf numFmtId="0" fontId="0" fillId="0" borderId="1" xfId="0" applyBorder="1" applyAlignment="1">
      <alignment horizontal="center" vertical="center" wrapText="1"/>
    </xf>
    <xf numFmtId="0" fontId="4" fillId="0" borderId="0" xfId="0" applyFont="1" applyBorder="1" applyAlignment="1">
      <alignment vertical="center"/>
    </xf>
    <xf numFmtId="0" fontId="4" fillId="0" borderId="44" xfId="0" applyFont="1" applyBorder="1"/>
    <xf numFmtId="0" fontId="3" fillId="0" borderId="1" xfId="0" applyFont="1" applyBorder="1" applyAlignment="1">
      <alignment horizontal="center" vertical="center"/>
    </xf>
    <xf numFmtId="0" fontId="4" fillId="0" borderId="1" xfId="0" applyFont="1" applyBorder="1" applyAlignment="1">
      <alignment horizontal="left" vertical="top"/>
    </xf>
    <xf numFmtId="0" fontId="14" fillId="3" borderId="5" xfId="0" applyFont="1" applyFill="1" applyBorder="1" applyAlignment="1">
      <alignment horizontal="center"/>
    </xf>
    <xf numFmtId="0" fontId="14" fillId="3" borderId="6" xfId="0" applyFont="1" applyFill="1" applyBorder="1" applyAlignment="1">
      <alignment horizontal="center"/>
    </xf>
    <xf numFmtId="0" fontId="10" fillId="3" borderId="5" xfId="0" applyFont="1" applyFill="1" applyBorder="1" applyAlignment="1">
      <alignment horizontal="center"/>
    </xf>
    <xf numFmtId="0" fontId="3" fillId="3" borderId="6" xfId="0" applyFont="1" applyFill="1" applyBorder="1" applyAlignment="1">
      <alignment horizontal="center"/>
    </xf>
    <xf numFmtId="0" fontId="3" fillId="6" borderId="41" xfId="0" applyFont="1" applyFill="1" applyBorder="1" applyAlignment="1">
      <alignment horizontal="center" vertical="center"/>
    </xf>
    <xf numFmtId="0" fontId="3" fillId="6" borderId="42" xfId="0" applyFont="1" applyFill="1" applyBorder="1" applyAlignment="1">
      <alignment horizontal="center" vertical="center"/>
    </xf>
    <xf numFmtId="0" fontId="9" fillId="5" borderId="40" xfId="0" applyFont="1" applyFill="1" applyBorder="1" applyAlignment="1">
      <alignment horizontal="center"/>
    </xf>
    <xf numFmtId="0" fontId="9" fillId="5" borderId="0" xfId="0" applyFont="1" applyFill="1" applyBorder="1" applyAlignment="1">
      <alignment horizontal="center"/>
    </xf>
    <xf numFmtId="0" fontId="3" fillId="0" borderId="4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37" xfId="0" applyFont="1" applyBorder="1" applyAlignment="1">
      <alignment horizontal="center" vertical="center" wrapText="1"/>
    </xf>
    <xf numFmtId="0" fontId="0" fillId="0" borderId="0" xfId="0" applyAlignment="1">
      <alignment horizont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0" fillId="6" borderId="26"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27" xfId="0" applyFill="1" applyBorder="1" applyAlignment="1">
      <alignment horizontal="center" vertical="center" wrapText="1"/>
    </xf>
    <xf numFmtId="0" fontId="0" fillId="6" borderId="29" xfId="0" applyFill="1" applyBorder="1" applyAlignment="1">
      <alignment horizontal="center" vertical="center" wrapText="1"/>
    </xf>
    <xf numFmtId="0" fontId="0" fillId="6" borderId="30" xfId="0" applyFill="1" applyBorder="1" applyAlignment="1">
      <alignment horizontal="center" vertical="center" wrapText="1"/>
    </xf>
    <xf numFmtId="0" fontId="0" fillId="6" borderId="31" xfId="0" applyFill="1" applyBorder="1" applyAlignment="1">
      <alignment horizontal="center" vertical="center" wrapText="1"/>
    </xf>
    <xf numFmtId="0" fontId="8" fillId="6" borderId="1" xfId="0" applyFont="1" applyFill="1" applyBorder="1" applyAlignment="1">
      <alignment horizontal="center"/>
    </xf>
    <xf numFmtId="0" fontId="13" fillId="3" borderId="1" xfId="0" applyFont="1" applyFill="1" applyBorder="1" applyAlignment="1">
      <alignment horizontal="center"/>
    </xf>
    <xf numFmtId="0" fontId="4" fillId="6" borderId="0" xfId="0" applyFont="1" applyFill="1" applyBorder="1" applyAlignment="1">
      <alignmen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4" xfId="0" applyFont="1" applyFill="1" applyBorder="1" applyAlignment="1">
      <alignment horizontal="center" vertical="center" wrapText="1"/>
    </xf>
    <xf numFmtId="14" fontId="4" fillId="6" borderId="1" xfId="0" applyNumberFormat="1" applyFont="1" applyFill="1" applyBorder="1" applyAlignment="1">
      <alignment horizontal="center" vertical="center" wrapText="1"/>
    </xf>
    <xf numFmtId="0" fontId="4" fillId="6" borderId="0" xfId="0" applyFont="1" applyFill="1" applyAlignment="1">
      <alignment vertical="center" wrapText="1"/>
    </xf>
  </cellXfs>
  <cellStyles count="3">
    <cellStyle name="Hyperlink" xfId="1" builtinId="8"/>
    <cellStyle name="Normal" xfId="0" builtinId="0"/>
    <cellStyle name="Normal 2" xfId="2" xr:uid="{55517771-42F1-4923-870E-5377BD960A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 - Overall'!$E$40</c:f>
              <c:strCache>
                <c:ptCount val="1"/>
                <c:pt idx="0">
                  <c:v>Number of requests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BA7-4A08-96DC-0A4BA1DE111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2-2BA7-4A08-96DC-0A4BA1DE111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3-2BA7-4A08-96DC-0A4BA1DE111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2BA7-4A08-96DC-0A4BA1DE111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7-2BA7-4A08-96DC-0A4BA1DE111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6-2BA7-4A08-96DC-0A4BA1DE111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BA7-4A08-96DC-0A4BA1DE1114}"/>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A7-4A08-96DC-0A4BA1DE1114}"/>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A7-4A08-96DC-0A4BA1DE1114}"/>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A7-4A08-96DC-0A4BA1DE1114}"/>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A7-4A08-96DC-0A4BA1DE1114}"/>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A7-4A08-96DC-0A4BA1DE1114}"/>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A7-4A08-96DC-0A4BA1DE1114}"/>
                </c:ext>
              </c:extLst>
            </c:dLbl>
            <c:dLbl>
              <c:idx val="6"/>
              <c:layout>
                <c:manualLayout>
                  <c:x val="1.3787391422615322E-2"/>
                  <c:y val="-3.57313147948545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A7-4A08-96DC-0A4BA1DE111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'Summary - Overall'!$D$41:$D$47</c:f>
              <c:strCache>
                <c:ptCount val="7"/>
                <c:pt idx="0">
                  <c:v>Medical </c:v>
                </c:pt>
                <c:pt idx="1">
                  <c:v>Basic needs</c:v>
                </c:pt>
                <c:pt idx="2">
                  <c:v>Natural Disaster</c:v>
                </c:pt>
                <c:pt idx="3">
                  <c:v>Education</c:v>
                </c:pt>
                <c:pt idx="4">
                  <c:v>Marriage</c:v>
                </c:pt>
                <c:pt idx="5">
                  <c:v>Masjid &amp; Madrasa help</c:v>
                </c:pt>
                <c:pt idx="6">
                  <c:v>Employment aid </c:v>
                </c:pt>
              </c:strCache>
            </c:strRef>
          </c:cat>
          <c:val>
            <c:numRef>
              <c:f>'Summary - Overall'!$E$41:$E$47</c:f>
              <c:numCache>
                <c:formatCode>General</c:formatCode>
                <c:ptCount val="7"/>
                <c:pt idx="0">
                  <c:v>18</c:v>
                </c:pt>
                <c:pt idx="1">
                  <c:v>10</c:v>
                </c:pt>
                <c:pt idx="2">
                  <c:v>23</c:v>
                </c:pt>
                <c:pt idx="3">
                  <c:v>9</c:v>
                </c:pt>
                <c:pt idx="4">
                  <c:v>2</c:v>
                </c:pt>
                <c:pt idx="5">
                  <c:v>4</c:v>
                </c:pt>
                <c:pt idx="6">
                  <c:v>2</c:v>
                </c:pt>
              </c:numCache>
            </c:numRef>
          </c:val>
          <c:extLst>
            <c:ext xmlns:c16="http://schemas.microsoft.com/office/drawing/2014/chart" uri="{C3380CC4-5D6E-409C-BE32-E72D297353CC}">
              <c16:uniqueId val="{00000000-2BA7-4A08-96DC-0A4BA1DE111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 - Overall'!$G$40</c:f>
              <c:strCache>
                <c:ptCount val="1"/>
                <c:pt idx="0">
                  <c:v>Expenditure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D54-46C0-98BF-8EFE0F1A65E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D54-46C0-98BF-8EFE0F1A65E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D54-46C0-98BF-8EFE0F1A65E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D54-46C0-98BF-8EFE0F1A65E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D54-46C0-98BF-8EFE0F1A65E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D54-46C0-98BF-8EFE0F1A65E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D54-46C0-98BF-8EFE0F1A65E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 Overall'!$D$41:$D$47</c:f>
              <c:strCache>
                <c:ptCount val="7"/>
                <c:pt idx="0">
                  <c:v>Medical </c:v>
                </c:pt>
                <c:pt idx="1">
                  <c:v>Basic needs</c:v>
                </c:pt>
                <c:pt idx="2">
                  <c:v>Natural Disaster</c:v>
                </c:pt>
                <c:pt idx="3">
                  <c:v>Education</c:v>
                </c:pt>
                <c:pt idx="4">
                  <c:v>Marriage</c:v>
                </c:pt>
                <c:pt idx="5">
                  <c:v>Masjid &amp; Madrasa help</c:v>
                </c:pt>
                <c:pt idx="6">
                  <c:v>Employment aid </c:v>
                </c:pt>
              </c:strCache>
            </c:strRef>
          </c:cat>
          <c:val>
            <c:numRef>
              <c:f>'Summary - Overall'!$G$41:$G$47</c:f>
              <c:numCache>
                <c:formatCode>General</c:formatCode>
                <c:ptCount val="7"/>
                <c:pt idx="0">
                  <c:v>6363</c:v>
                </c:pt>
                <c:pt idx="1">
                  <c:v>3539.34</c:v>
                </c:pt>
                <c:pt idx="2">
                  <c:v>5805.39</c:v>
                </c:pt>
                <c:pt idx="3">
                  <c:v>2256</c:v>
                </c:pt>
                <c:pt idx="4">
                  <c:v>450</c:v>
                </c:pt>
                <c:pt idx="5">
                  <c:v>1200</c:v>
                </c:pt>
                <c:pt idx="6">
                  <c:v>485</c:v>
                </c:pt>
              </c:numCache>
            </c:numRef>
          </c:val>
          <c:extLst>
            <c:ext xmlns:c16="http://schemas.microsoft.com/office/drawing/2014/chart" uri="{C3380CC4-5D6E-409C-BE32-E72D297353CC}">
              <c16:uniqueId val="{00000000-ACBF-44C4-AC91-EA0A18E5EAF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Requests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 - Overall'!$E$50</c:f>
              <c:strCache>
                <c:ptCount val="1"/>
                <c:pt idx="0">
                  <c:v>Number of requests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75D-46EB-AFF8-60D8190EF5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75D-46EB-AFF8-60D8190EF5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75D-46EB-AFF8-60D8190EF5E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75D-46EB-AFF8-60D8190EF5E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75D-46EB-AFF8-60D8190EF5E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B75D-46EB-AFF8-60D8190EF5E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B75D-46EB-AFF8-60D8190EF5EF}"/>
              </c:ext>
            </c:extLst>
          </c:dPt>
          <c:dLbls>
            <c:dLbl>
              <c:idx val="6"/>
              <c:layout>
                <c:manualLayout>
                  <c:x val="4.3581731000838231E-3"/>
                  <c:y val="-3.21853425266214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75D-46EB-AFF8-60D8190EF5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 Overall'!$D$51:$D$57</c:f>
              <c:strCache>
                <c:ptCount val="7"/>
                <c:pt idx="0">
                  <c:v>Medical </c:v>
                </c:pt>
                <c:pt idx="1">
                  <c:v>Basic needs</c:v>
                </c:pt>
                <c:pt idx="2">
                  <c:v>Natural Disaster</c:v>
                </c:pt>
                <c:pt idx="3">
                  <c:v>Education</c:v>
                </c:pt>
                <c:pt idx="4">
                  <c:v>Marriage</c:v>
                </c:pt>
                <c:pt idx="5">
                  <c:v>Masjid &amp; Madrasa help</c:v>
                </c:pt>
                <c:pt idx="6">
                  <c:v>Employment aid </c:v>
                </c:pt>
              </c:strCache>
            </c:strRef>
          </c:cat>
          <c:val>
            <c:numRef>
              <c:f>'Summary - Overall'!$E$51:$E$57</c:f>
              <c:numCache>
                <c:formatCode>General</c:formatCode>
                <c:ptCount val="7"/>
                <c:pt idx="0">
                  <c:v>11</c:v>
                </c:pt>
                <c:pt idx="1">
                  <c:v>6</c:v>
                </c:pt>
                <c:pt idx="2">
                  <c:v>17</c:v>
                </c:pt>
                <c:pt idx="3">
                  <c:v>7</c:v>
                </c:pt>
                <c:pt idx="4">
                  <c:v>2</c:v>
                </c:pt>
                <c:pt idx="5">
                  <c:v>4</c:v>
                </c:pt>
                <c:pt idx="6">
                  <c:v>1</c:v>
                </c:pt>
              </c:numCache>
            </c:numRef>
          </c:val>
          <c:extLst>
            <c:ext xmlns:c16="http://schemas.microsoft.com/office/drawing/2014/chart" uri="{C3380CC4-5D6E-409C-BE32-E72D297353CC}">
              <c16:uniqueId val="{0000000E-B75D-46EB-AFF8-60D8190EF5E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a:t>
            </a:r>
            <a:r>
              <a:rPr lang="en-US" baseline="0"/>
              <a:t> Disbursement Portfolio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'Summary - Overall'!$G$50</c:f>
              <c:strCache>
                <c:ptCount val="1"/>
                <c:pt idx="0">
                  <c:v>Expenditure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618-48C3-8191-2E0B2F6D2A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618-48C3-8191-2E0B2F6D2A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618-48C3-8191-2E0B2F6D2A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618-48C3-8191-2E0B2F6D2A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618-48C3-8191-2E0B2F6D2A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618-48C3-8191-2E0B2F6D2AC0}"/>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618-48C3-8191-2E0B2F6D2AC0}"/>
              </c:ext>
            </c:extLst>
          </c:dPt>
          <c:dLbls>
            <c:dLbl>
              <c:idx val="6"/>
              <c:layout>
                <c:manualLayout>
                  <c:x val="5.8648762409867234E-3"/>
                  <c:y val="-4.026854403988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618-48C3-8191-2E0B2F6D2A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 Overall'!$D$51:$D$57</c:f>
              <c:strCache>
                <c:ptCount val="7"/>
                <c:pt idx="0">
                  <c:v>Medical </c:v>
                </c:pt>
                <c:pt idx="1">
                  <c:v>Basic needs</c:v>
                </c:pt>
                <c:pt idx="2">
                  <c:v>Natural Disaster</c:v>
                </c:pt>
                <c:pt idx="3">
                  <c:v>Education</c:v>
                </c:pt>
                <c:pt idx="4">
                  <c:v>Marriage</c:v>
                </c:pt>
                <c:pt idx="5">
                  <c:v>Masjid &amp; Madrasa help</c:v>
                </c:pt>
                <c:pt idx="6">
                  <c:v>Employment aid </c:v>
                </c:pt>
              </c:strCache>
            </c:strRef>
          </c:cat>
          <c:val>
            <c:numRef>
              <c:f>'Summary - Overall'!$G$51:$G$57</c:f>
              <c:numCache>
                <c:formatCode>General</c:formatCode>
                <c:ptCount val="7"/>
                <c:pt idx="0">
                  <c:v>2775</c:v>
                </c:pt>
                <c:pt idx="1">
                  <c:v>2200</c:v>
                </c:pt>
                <c:pt idx="2">
                  <c:v>3985</c:v>
                </c:pt>
                <c:pt idx="3">
                  <c:v>1681</c:v>
                </c:pt>
                <c:pt idx="4">
                  <c:v>450</c:v>
                </c:pt>
                <c:pt idx="5">
                  <c:v>1200</c:v>
                </c:pt>
                <c:pt idx="6">
                  <c:v>260</c:v>
                </c:pt>
              </c:numCache>
            </c:numRef>
          </c:val>
          <c:extLst>
            <c:ext xmlns:c16="http://schemas.microsoft.com/office/drawing/2014/chart" uri="{C3380CC4-5D6E-409C-BE32-E72D297353CC}">
              <c16:uniqueId val="{0000000E-9618-48C3-8191-2E0B2F6D2AC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91963</xdr:colOff>
      <xdr:row>19</xdr:row>
      <xdr:rowOff>70287</xdr:rowOff>
    </xdr:from>
    <xdr:to>
      <xdr:col>4</xdr:col>
      <xdr:colOff>210205</xdr:colOff>
      <xdr:row>37</xdr:row>
      <xdr:rowOff>19706</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318595</xdr:colOff>
      <xdr:row>19</xdr:row>
      <xdr:rowOff>70286</xdr:rowOff>
    </xdr:from>
    <xdr:to>
      <xdr:col>9</xdr:col>
      <xdr:colOff>417130</xdr:colOff>
      <xdr:row>37</xdr:row>
      <xdr:rowOff>19707</xdr:rowOff>
    </xdr:to>
    <xdr:graphicFrame macro="">
      <xdr:nvGraphicFramePr>
        <xdr:cNvPr id="11" name="Chart 10">
          <a:extLst>
            <a:ext uri="{FF2B5EF4-FFF2-40B4-BE49-F238E27FC236}">
              <a16:creationId xmlns:a16="http://schemas.microsoft.com/office/drawing/2014/main" id="{00000000-0008-0000-06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558362</xdr:colOff>
      <xdr:row>61</xdr:row>
      <xdr:rowOff>72260</xdr:rowOff>
    </xdr:from>
    <xdr:to>
      <xdr:col>9</xdr:col>
      <xdr:colOff>52552</xdr:colOff>
      <xdr:row>82</xdr:row>
      <xdr:rowOff>137949</xdr:rowOff>
    </xdr:to>
    <xdr:graphicFrame macro="">
      <xdr:nvGraphicFramePr>
        <xdr:cNvPr id="4" name="Chart 3">
          <a:extLst>
            <a:ext uri="{FF2B5EF4-FFF2-40B4-BE49-F238E27FC236}">
              <a16:creationId xmlns:a16="http://schemas.microsoft.com/office/drawing/2014/main" id="{BFA9244E-EF23-4C29-BADC-47C855749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564931</xdr:colOff>
      <xdr:row>83</xdr:row>
      <xdr:rowOff>85398</xdr:rowOff>
    </xdr:from>
    <xdr:to>
      <xdr:col>9</xdr:col>
      <xdr:colOff>105103</xdr:colOff>
      <xdr:row>109</xdr:row>
      <xdr:rowOff>26276</xdr:rowOff>
    </xdr:to>
    <xdr:graphicFrame macro="">
      <xdr:nvGraphicFramePr>
        <xdr:cNvPr id="6" name="Chart 5">
          <a:extLst>
            <a:ext uri="{FF2B5EF4-FFF2-40B4-BE49-F238E27FC236}">
              <a16:creationId xmlns:a16="http://schemas.microsoft.com/office/drawing/2014/main" id="{23119E0F-520E-4FD6-AE9F-DA0A772D7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1428750</xdr:colOff>
          <xdr:row>3</xdr:row>
          <xdr:rowOff>9525</xdr:rowOff>
        </xdr:from>
        <xdr:to>
          <xdr:col>4</xdr:col>
          <xdr:colOff>600075</xdr:colOff>
          <xdr:row>9</xdr:row>
          <xdr:rowOff>0</xdr:rowOff>
        </xdr:to>
        <xdr:sp macro="" textlink="">
          <xdr:nvSpPr>
            <xdr:cNvPr id="9217" name="Object 1" hidden="1">
              <a:extLst>
                <a:ext uri="{63B3BB69-23CF-44E3-9099-C40C66FF867C}">
                  <a14:compatExt spid="_x0000_s9217"/>
                </a:ext>
                <a:ext uri="{FF2B5EF4-FFF2-40B4-BE49-F238E27FC236}">
                  <a16:creationId xmlns:a16="http://schemas.microsoft.com/office/drawing/2014/main" id="{00000000-0008-0000-0700-0000012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8.bin"/><Relationship Id="rId6" Type="http://schemas.openxmlformats.org/officeDocument/2006/relationships/comments" Target="../comments5.xml"/><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58"/>
  <sheetViews>
    <sheetView topLeftCell="A16" workbookViewId="0">
      <selection activeCell="B44" sqref="B44:B50"/>
    </sheetView>
  </sheetViews>
  <sheetFormatPr defaultColWidth="8.85546875" defaultRowHeight="12.75" x14ac:dyDescent="0.2"/>
  <cols>
    <col min="1" max="1" width="8.85546875" style="2"/>
    <col min="2" max="2" width="29.28515625" style="2" bestFit="1" customWidth="1"/>
    <col min="3" max="3" width="115.7109375" style="2" bestFit="1" customWidth="1"/>
    <col min="4" max="16384" width="8.85546875" style="2"/>
  </cols>
  <sheetData>
    <row r="1" spans="2:3" ht="13.5" thickBot="1" x14ac:dyDescent="0.25"/>
    <row r="2" spans="2:3" ht="19.5" thickBot="1" x14ac:dyDescent="0.3">
      <c r="B2" s="112" t="s">
        <v>12</v>
      </c>
      <c r="C2" s="113"/>
    </row>
    <row r="3" spans="2:3" ht="18.75" thickBot="1" x14ac:dyDescent="0.3">
      <c r="B3" s="114" t="s">
        <v>103</v>
      </c>
      <c r="C3" s="115"/>
    </row>
    <row r="4" spans="2:3" x14ac:dyDescent="0.2">
      <c r="B4" s="6" t="s">
        <v>0</v>
      </c>
      <c r="C4" s="6" t="s">
        <v>1</v>
      </c>
    </row>
    <row r="5" spans="2:3" x14ac:dyDescent="0.2">
      <c r="B5" s="3" t="s">
        <v>2</v>
      </c>
      <c r="C5" s="3" t="s">
        <v>18</v>
      </c>
    </row>
    <row r="6" spans="2:3" x14ac:dyDescent="0.2">
      <c r="B6" s="3" t="s">
        <v>3</v>
      </c>
      <c r="C6" s="3" t="s">
        <v>8</v>
      </c>
    </row>
    <row r="7" spans="2:3" x14ac:dyDescent="0.2">
      <c r="B7" s="3" t="s">
        <v>4</v>
      </c>
      <c r="C7" s="3" t="s">
        <v>14</v>
      </c>
    </row>
    <row r="8" spans="2:3" x14ac:dyDescent="0.2">
      <c r="B8" s="3" t="s">
        <v>7</v>
      </c>
      <c r="C8" s="3" t="s">
        <v>13</v>
      </c>
    </row>
    <row r="9" spans="2:3" x14ac:dyDescent="0.2">
      <c r="B9" s="3" t="s">
        <v>9</v>
      </c>
      <c r="C9" s="3" t="s">
        <v>10</v>
      </c>
    </row>
    <row r="20" spans="2:2" x14ac:dyDescent="0.2">
      <c r="B20" s="4" t="s">
        <v>11</v>
      </c>
    </row>
    <row r="21" spans="2:2" x14ac:dyDescent="0.2">
      <c r="B21" s="3" t="s">
        <v>66</v>
      </c>
    </row>
    <row r="22" spans="2:2" x14ac:dyDescent="0.2">
      <c r="B22" s="3" t="s">
        <v>5</v>
      </c>
    </row>
    <row r="23" spans="2:2" x14ac:dyDescent="0.2">
      <c r="B23" s="3" t="s">
        <v>6</v>
      </c>
    </row>
    <row r="24" spans="2:2" x14ac:dyDescent="0.2">
      <c r="B24" s="3" t="s">
        <v>105</v>
      </c>
    </row>
    <row r="26" spans="2:2" x14ac:dyDescent="0.2">
      <c r="B26" s="4" t="s">
        <v>17</v>
      </c>
    </row>
    <row r="27" spans="2:2" x14ac:dyDescent="0.2">
      <c r="B27" s="3" t="s">
        <v>28</v>
      </c>
    </row>
    <row r="28" spans="2:2" x14ac:dyDescent="0.2">
      <c r="B28" s="3" t="s">
        <v>29</v>
      </c>
    </row>
    <row r="31" spans="2:2" x14ac:dyDescent="0.2">
      <c r="B31" s="4" t="s">
        <v>34</v>
      </c>
    </row>
    <row r="32" spans="2:2" x14ac:dyDescent="0.2">
      <c r="B32" s="3" t="s">
        <v>68</v>
      </c>
    </row>
    <row r="33" spans="2:2" x14ac:dyDescent="0.2">
      <c r="B33" s="3" t="s">
        <v>71</v>
      </c>
    </row>
    <row r="34" spans="2:2" x14ac:dyDescent="0.2">
      <c r="B34" s="3" t="s">
        <v>70</v>
      </c>
    </row>
    <row r="35" spans="2:2" x14ac:dyDescent="0.2">
      <c r="B35" s="3" t="s">
        <v>69</v>
      </c>
    </row>
    <row r="37" spans="2:2" x14ac:dyDescent="0.2">
      <c r="B37" s="4" t="s">
        <v>73</v>
      </c>
    </row>
    <row r="38" spans="2:2" x14ac:dyDescent="0.2">
      <c r="B38" s="3" t="s">
        <v>76</v>
      </c>
    </row>
    <row r="39" spans="2:2" x14ac:dyDescent="0.2">
      <c r="B39" s="3" t="s">
        <v>74</v>
      </c>
    </row>
    <row r="40" spans="2:2" x14ac:dyDescent="0.2">
      <c r="B40" s="3" t="s">
        <v>75</v>
      </c>
    </row>
    <row r="41" spans="2:2" x14ac:dyDescent="0.2">
      <c r="B41" s="3" t="s">
        <v>232</v>
      </c>
    </row>
    <row r="43" spans="2:2" x14ac:dyDescent="0.2">
      <c r="B43" s="87" t="s">
        <v>276</v>
      </c>
    </row>
    <row r="44" spans="2:2" x14ac:dyDescent="0.2">
      <c r="B44" s="86" t="s">
        <v>368</v>
      </c>
    </row>
    <row r="45" spans="2:2" x14ac:dyDescent="0.2">
      <c r="B45" s="86" t="s">
        <v>369</v>
      </c>
    </row>
    <row r="46" spans="2:2" x14ac:dyDescent="0.2">
      <c r="B46" s="86" t="s">
        <v>370</v>
      </c>
    </row>
    <row r="47" spans="2:2" x14ac:dyDescent="0.2">
      <c r="B47" s="86" t="s">
        <v>323</v>
      </c>
    </row>
    <row r="48" spans="2:2" x14ac:dyDescent="0.2">
      <c r="B48" s="86" t="s">
        <v>371</v>
      </c>
    </row>
    <row r="49" spans="2:2" x14ac:dyDescent="0.2">
      <c r="B49" s="86" t="s">
        <v>376</v>
      </c>
    </row>
    <row r="50" spans="2:2" x14ac:dyDescent="0.2">
      <c r="B50" s="86" t="s">
        <v>378</v>
      </c>
    </row>
    <row r="51" spans="2:2" s="85" customFormat="1" x14ac:dyDescent="0.2">
      <c r="B51" s="86"/>
    </row>
    <row r="52" spans="2:2" x14ac:dyDescent="0.2">
      <c r="B52" s="87" t="s">
        <v>372</v>
      </c>
    </row>
    <row r="53" spans="2:2" x14ac:dyDescent="0.2">
      <c r="B53" s="86" t="s">
        <v>373</v>
      </c>
    </row>
    <row r="54" spans="2:2" x14ac:dyDescent="0.2">
      <c r="B54" s="86" t="s">
        <v>374</v>
      </c>
    </row>
    <row r="55" spans="2:2" x14ac:dyDescent="0.2">
      <c r="B55" s="86" t="s">
        <v>375</v>
      </c>
    </row>
    <row r="56" spans="2:2" x14ac:dyDescent="0.2">
      <c r="B56" s="86" t="s">
        <v>377</v>
      </c>
    </row>
    <row r="57" spans="2:2" x14ac:dyDescent="0.2">
      <c r="B57" s="86" t="s">
        <v>378</v>
      </c>
    </row>
    <row r="58" spans="2:2" x14ac:dyDescent="0.2">
      <c r="B58" s="86" t="s">
        <v>409</v>
      </c>
    </row>
  </sheetData>
  <mergeCells count="2">
    <mergeCell ref="B2:C2"/>
    <mergeCell ref="B3:C3"/>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7"/>
  <sheetViews>
    <sheetView workbookViewId="0">
      <selection activeCell="D32" sqref="D32"/>
    </sheetView>
  </sheetViews>
  <sheetFormatPr defaultColWidth="8.85546875" defaultRowHeight="12.75" x14ac:dyDescent="0.2"/>
  <cols>
    <col min="1" max="1" width="8.85546875" style="2"/>
    <col min="2" max="2" width="4.85546875" style="2" bestFit="1" customWidth="1"/>
    <col min="3" max="3" width="60.7109375" style="2" bestFit="1" customWidth="1"/>
    <col min="4" max="4" width="44.42578125" style="2" customWidth="1"/>
    <col min="5" max="16384" width="8.85546875" style="2"/>
  </cols>
  <sheetData>
    <row r="3" spans="2:4" x14ac:dyDescent="0.2">
      <c r="B3" s="4" t="s">
        <v>67</v>
      </c>
      <c r="C3" s="4" t="s">
        <v>31</v>
      </c>
      <c r="D3" s="4" t="s">
        <v>1</v>
      </c>
    </row>
    <row r="4" spans="2:4" x14ac:dyDescent="0.2">
      <c r="B4" s="9">
        <v>1</v>
      </c>
      <c r="C4" s="3" t="s">
        <v>32</v>
      </c>
      <c r="D4" s="3" t="s">
        <v>33</v>
      </c>
    </row>
    <row r="5" spans="2:4" x14ac:dyDescent="0.2">
      <c r="B5" s="9">
        <v>2</v>
      </c>
      <c r="C5" s="3" t="s">
        <v>57</v>
      </c>
      <c r="D5" s="3" t="s">
        <v>58</v>
      </c>
    </row>
    <row r="6" spans="2:4" x14ac:dyDescent="0.2">
      <c r="B6" s="9">
        <v>3</v>
      </c>
      <c r="C6" s="3" t="s">
        <v>60</v>
      </c>
      <c r="D6" s="3" t="s">
        <v>59</v>
      </c>
    </row>
    <row r="7" spans="2:4" x14ac:dyDescent="0.2">
      <c r="B7" s="9">
        <v>4</v>
      </c>
      <c r="C7" s="3" t="s">
        <v>61</v>
      </c>
      <c r="D7" s="3" t="s">
        <v>62</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workbookViewId="0">
      <selection activeCell="B8" sqref="B8"/>
    </sheetView>
  </sheetViews>
  <sheetFormatPr defaultColWidth="8.85546875" defaultRowHeight="12.75" x14ac:dyDescent="0.2"/>
  <cols>
    <col min="1" max="1" width="8.85546875" style="2"/>
    <col min="2" max="2" width="26.140625" style="2" customWidth="1"/>
    <col min="3" max="3" width="8.85546875" style="2"/>
    <col min="4" max="4" width="5.140625" style="2" bestFit="1" customWidth="1"/>
    <col min="5" max="5" width="16.140625" style="2" bestFit="1" customWidth="1"/>
    <col min="6" max="16384" width="8.85546875" style="2"/>
  </cols>
  <sheetData>
    <row r="1" spans="1:5" ht="13.5" thickBot="1" x14ac:dyDescent="0.25"/>
    <row r="2" spans="1:5" x14ac:dyDescent="0.2">
      <c r="B2" s="76" t="s">
        <v>91</v>
      </c>
      <c r="D2" s="76" t="s">
        <v>145</v>
      </c>
      <c r="E2" s="76" t="s">
        <v>160</v>
      </c>
    </row>
    <row r="3" spans="1:5" ht="15" x14ac:dyDescent="0.25">
      <c r="A3" s="2">
        <v>1</v>
      </c>
      <c r="B3" s="77" t="s">
        <v>90</v>
      </c>
      <c r="D3" s="77">
        <v>1</v>
      </c>
      <c r="E3" t="s">
        <v>54</v>
      </c>
    </row>
    <row r="4" spans="1:5" x14ac:dyDescent="0.2">
      <c r="A4" s="2">
        <v>2</v>
      </c>
      <c r="B4" s="77" t="s">
        <v>121</v>
      </c>
      <c r="D4" s="77">
        <v>2</v>
      </c>
      <c r="E4" s="77" t="s">
        <v>90</v>
      </c>
    </row>
    <row r="5" spans="1:5" x14ac:dyDescent="0.2">
      <c r="A5" s="2">
        <v>3</v>
      </c>
      <c r="B5" s="77" t="s">
        <v>83</v>
      </c>
      <c r="D5" s="77">
        <v>3</v>
      </c>
      <c r="E5" s="77" t="s">
        <v>147</v>
      </c>
    </row>
    <row r="6" spans="1:5" x14ac:dyDescent="0.2">
      <c r="A6" s="2">
        <v>4</v>
      </c>
      <c r="B6" s="77" t="s">
        <v>185</v>
      </c>
      <c r="D6" s="77">
        <v>4</v>
      </c>
      <c r="E6" s="77" t="s">
        <v>80</v>
      </c>
    </row>
    <row r="7" spans="1:5" x14ac:dyDescent="0.2">
      <c r="A7" s="2">
        <v>5</v>
      </c>
      <c r="B7" s="77" t="s">
        <v>65</v>
      </c>
      <c r="D7" s="77">
        <v>5</v>
      </c>
      <c r="E7" s="77" t="s">
        <v>65</v>
      </c>
    </row>
    <row r="8" spans="1:5" x14ac:dyDescent="0.2">
      <c r="A8" s="2">
        <v>6</v>
      </c>
      <c r="B8" s="77" t="s">
        <v>27</v>
      </c>
      <c r="D8" s="77">
        <v>6</v>
      </c>
      <c r="E8" s="77" t="s">
        <v>27</v>
      </c>
    </row>
    <row r="9" spans="1:5" x14ac:dyDescent="0.2">
      <c r="A9" s="2">
        <v>7</v>
      </c>
      <c r="B9" s="77" t="s">
        <v>26</v>
      </c>
      <c r="D9" s="77">
        <v>7</v>
      </c>
      <c r="E9" s="77" t="s">
        <v>26</v>
      </c>
    </row>
    <row r="10" spans="1:5" x14ac:dyDescent="0.2">
      <c r="A10" s="2">
        <v>8</v>
      </c>
      <c r="B10" s="77" t="s">
        <v>52</v>
      </c>
      <c r="D10" s="77">
        <v>8</v>
      </c>
      <c r="E10" s="77" t="s">
        <v>52</v>
      </c>
    </row>
    <row r="11" spans="1:5" x14ac:dyDescent="0.2">
      <c r="A11" s="2">
        <v>9</v>
      </c>
      <c r="B11" s="77" t="s">
        <v>22</v>
      </c>
      <c r="D11" s="77">
        <v>9</v>
      </c>
      <c r="E11" s="77" t="s">
        <v>22</v>
      </c>
    </row>
    <row r="12" spans="1:5" x14ac:dyDescent="0.2">
      <c r="A12" s="2">
        <v>10</v>
      </c>
      <c r="B12" s="77" t="s">
        <v>84</v>
      </c>
      <c r="D12" s="77">
        <v>10</v>
      </c>
      <c r="E12" s="77" t="s">
        <v>146</v>
      </c>
    </row>
    <row r="13" spans="1:5" x14ac:dyDescent="0.2">
      <c r="A13" s="2">
        <v>11</v>
      </c>
      <c r="B13" s="77" t="s">
        <v>25</v>
      </c>
      <c r="D13" s="77">
        <v>11</v>
      </c>
      <c r="E13" s="77" t="s">
        <v>25</v>
      </c>
    </row>
    <row r="14" spans="1:5" x14ac:dyDescent="0.2">
      <c r="A14" s="2">
        <v>12</v>
      </c>
      <c r="B14" s="77" t="s">
        <v>143</v>
      </c>
      <c r="D14" s="77">
        <v>12</v>
      </c>
      <c r="E14" s="77" t="s">
        <v>143</v>
      </c>
    </row>
    <row r="15" spans="1:5" x14ac:dyDescent="0.2">
      <c r="A15" s="2">
        <v>13</v>
      </c>
      <c r="B15" s="77" t="s">
        <v>24</v>
      </c>
      <c r="D15" s="77">
        <v>13</v>
      </c>
      <c r="E15" s="77" t="s">
        <v>24</v>
      </c>
    </row>
    <row r="16" spans="1:5" x14ac:dyDescent="0.2">
      <c r="A16" s="2">
        <v>14</v>
      </c>
      <c r="B16" s="77" t="s">
        <v>53</v>
      </c>
      <c r="D16" s="77">
        <v>14</v>
      </c>
      <c r="E16" s="77" t="s">
        <v>53</v>
      </c>
    </row>
    <row r="17" spans="1:5" x14ac:dyDescent="0.2">
      <c r="A17" s="2">
        <v>15</v>
      </c>
      <c r="B17" s="77" t="s">
        <v>85</v>
      </c>
      <c r="D17" s="77">
        <v>15</v>
      </c>
      <c r="E17" s="77" t="s">
        <v>85</v>
      </c>
    </row>
    <row r="18" spans="1:5" x14ac:dyDescent="0.2">
      <c r="A18" s="2">
        <v>16</v>
      </c>
      <c r="B18" s="77" t="s">
        <v>21</v>
      </c>
      <c r="D18" s="77">
        <v>16</v>
      </c>
      <c r="E18" s="77" t="s">
        <v>21</v>
      </c>
    </row>
    <row r="19" spans="1:5" x14ac:dyDescent="0.2">
      <c r="A19" s="2">
        <v>17</v>
      </c>
      <c r="B19" s="77" t="s">
        <v>20</v>
      </c>
      <c r="D19" s="77">
        <v>17</v>
      </c>
      <c r="E19" s="77" t="s">
        <v>20</v>
      </c>
    </row>
    <row r="20" spans="1:5" x14ac:dyDescent="0.2">
      <c r="A20" s="2">
        <v>18</v>
      </c>
      <c r="B20" s="77" t="s">
        <v>54</v>
      </c>
      <c r="D20" s="77">
        <v>18</v>
      </c>
      <c r="E20" s="77" t="s">
        <v>51</v>
      </c>
    </row>
    <row r="21" spans="1:5" x14ac:dyDescent="0.2">
      <c r="A21" s="2">
        <v>19</v>
      </c>
      <c r="B21" s="77" t="s">
        <v>51</v>
      </c>
      <c r="D21" s="77">
        <v>19</v>
      </c>
      <c r="E21" s="77" t="s">
        <v>55</v>
      </c>
    </row>
    <row r="22" spans="1:5" x14ac:dyDescent="0.2">
      <c r="A22" s="2">
        <v>20</v>
      </c>
      <c r="B22" s="77" t="s">
        <v>55</v>
      </c>
      <c r="D22" s="77">
        <v>20</v>
      </c>
      <c r="E22" s="77" t="s">
        <v>144</v>
      </c>
    </row>
    <row r="23" spans="1:5" x14ac:dyDescent="0.2">
      <c r="A23" s="2">
        <v>21</v>
      </c>
      <c r="B23" s="77" t="s">
        <v>82</v>
      </c>
      <c r="D23" s="3">
        <v>21</v>
      </c>
      <c r="E23" s="77" t="s">
        <v>56</v>
      </c>
    </row>
    <row r="24" spans="1:5" x14ac:dyDescent="0.2">
      <c r="A24" s="2">
        <v>22</v>
      </c>
      <c r="B24" s="77" t="s">
        <v>144</v>
      </c>
      <c r="D24" s="3"/>
      <c r="E24" s="3"/>
    </row>
    <row r="25" spans="1:5" x14ac:dyDescent="0.2">
      <c r="A25" s="2">
        <v>23</v>
      </c>
      <c r="B25" s="77" t="s">
        <v>56</v>
      </c>
    </row>
    <row r="26" spans="1:5" x14ac:dyDescent="0.2">
      <c r="A26" s="2">
        <v>24</v>
      </c>
      <c r="B26" s="3" t="s">
        <v>146</v>
      </c>
    </row>
    <row r="27" spans="1:5" x14ac:dyDescent="0.2">
      <c r="A27" s="2">
        <v>25</v>
      </c>
      <c r="B27" s="3" t="s">
        <v>147</v>
      </c>
    </row>
    <row r="28" spans="1:5" x14ac:dyDescent="0.2">
      <c r="A28" s="2">
        <v>26</v>
      </c>
      <c r="B28" s="3" t="s">
        <v>205</v>
      </c>
    </row>
    <row r="29" spans="1:5" x14ac:dyDescent="0.2">
      <c r="A29" s="2">
        <v>27</v>
      </c>
      <c r="B29" s="3" t="s">
        <v>222</v>
      </c>
    </row>
    <row r="30" spans="1:5" x14ac:dyDescent="0.2">
      <c r="A30" s="2">
        <v>28</v>
      </c>
      <c r="B30" s="3" t="s">
        <v>237</v>
      </c>
    </row>
    <row r="31" spans="1:5" x14ac:dyDescent="0.2">
      <c r="A31" s="2">
        <v>29</v>
      </c>
      <c r="B31" s="86" t="s">
        <v>380</v>
      </c>
    </row>
    <row r="32" spans="1:5" x14ac:dyDescent="0.2">
      <c r="A32" s="85">
        <v>30</v>
      </c>
      <c r="B32" s="86" t="s">
        <v>398</v>
      </c>
    </row>
  </sheetData>
  <sortState xmlns:xlrd2="http://schemas.microsoft.com/office/spreadsheetml/2017/richdata2" ref="E5:E22">
    <sortCondition ref="E4"/>
  </sortState>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29"/>
  <sheetViews>
    <sheetView zoomScale="85" zoomScaleNormal="85" workbookViewId="0">
      <pane ySplit="1" topLeftCell="A46" activePane="bottomLeft" state="frozen"/>
      <selection pane="bottomLeft" activeCell="A50" sqref="A50:A72"/>
    </sheetView>
  </sheetViews>
  <sheetFormatPr defaultColWidth="8.85546875" defaultRowHeight="18.600000000000001" customHeight="1" x14ac:dyDescent="0.2"/>
  <cols>
    <col min="1" max="1" width="26.140625" style="7" customWidth="1"/>
    <col min="2" max="3" width="9.28515625" style="5" customWidth="1"/>
    <col min="4" max="4" width="12.42578125" style="5" customWidth="1"/>
    <col min="5" max="5" width="17.140625" style="5" bestFit="1" customWidth="1"/>
    <col min="6" max="6" width="11.140625" style="5" customWidth="1"/>
    <col min="7" max="7" width="19.140625" style="5" customWidth="1"/>
    <col min="8" max="8" width="65" style="10" customWidth="1"/>
    <col min="9" max="16384" width="8.85546875" style="2"/>
  </cols>
  <sheetData>
    <row r="1" spans="1:8" s="17" customFormat="1" ht="18.600000000000001" customHeight="1" thickBot="1" x14ac:dyDescent="0.3">
      <c r="A1" s="31" t="s">
        <v>35</v>
      </c>
      <c r="B1" s="32" t="s">
        <v>167</v>
      </c>
      <c r="C1" s="79" t="s">
        <v>166</v>
      </c>
      <c r="D1" s="33" t="s">
        <v>15</v>
      </c>
      <c r="E1" s="33" t="s">
        <v>36</v>
      </c>
      <c r="F1" s="33" t="s">
        <v>17</v>
      </c>
      <c r="G1" s="33" t="s">
        <v>34</v>
      </c>
      <c r="H1" s="34" t="s">
        <v>19</v>
      </c>
    </row>
    <row r="2" spans="1:8" s="12" customFormat="1" ht="179.25" thickBot="1" x14ac:dyDescent="0.3">
      <c r="A2" s="40" t="s">
        <v>88</v>
      </c>
      <c r="B2" s="41">
        <v>5796</v>
      </c>
      <c r="C2" s="41"/>
      <c r="D2" s="42">
        <v>43496</v>
      </c>
      <c r="E2" s="43" t="s">
        <v>79</v>
      </c>
      <c r="F2" s="45" t="s">
        <v>92</v>
      </c>
      <c r="G2" s="45" t="s">
        <v>86</v>
      </c>
      <c r="H2" s="44" t="s">
        <v>104</v>
      </c>
    </row>
    <row r="3" spans="1:8" s="12" customFormat="1" ht="18.600000000000001" customHeight="1" thickBot="1" x14ac:dyDescent="0.3">
      <c r="A3" s="35" t="str">
        <f>CONCATENATE("TOTAL(", TEXT(E2,"mmm-yy"),")")</f>
        <v>TOTAL(Aug-18 to Jan-19)</v>
      </c>
      <c r="B3" s="29">
        <f>SUMIF(E:E, E2, B:B)</f>
        <v>5796</v>
      </c>
      <c r="C3" s="80"/>
      <c r="D3" s="18"/>
      <c r="E3" s="18"/>
      <c r="F3" s="18"/>
      <c r="G3" s="18"/>
      <c r="H3" s="18"/>
    </row>
    <row r="4" spans="1:8" s="12" customFormat="1" ht="18.600000000000001" customHeight="1" x14ac:dyDescent="0.25">
      <c r="A4" s="57" t="s">
        <v>51</v>
      </c>
      <c r="B4" s="20">
        <v>30</v>
      </c>
      <c r="C4" s="20"/>
      <c r="D4" s="21">
        <v>43504</v>
      </c>
      <c r="E4" s="30">
        <v>43497</v>
      </c>
      <c r="F4" s="20" t="s">
        <v>28</v>
      </c>
      <c r="G4" s="20"/>
      <c r="H4" s="58"/>
    </row>
    <row r="5" spans="1:8" s="12" customFormat="1" ht="18.600000000000001" customHeight="1" x14ac:dyDescent="0.25">
      <c r="A5" s="59" t="s">
        <v>20</v>
      </c>
      <c r="B5" s="13">
        <v>30</v>
      </c>
      <c r="C5" s="13"/>
      <c r="D5" s="36">
        <v>43506</v>
      </c>
      <c r="E5" s="56">
        <v>43497</v>
      </c>
      <c r="F5" s="13" t="s">
        <v>29</v>
      </c>
      <c r="G5" s="13"/>
      <c r="H5" s="60" t="s">
        <v>114</v>
      </c>
    </row>
    <row r="6" spans="1:8" s="12" customFormat="1" ht="18.600000000000001" customHeight="1" x14ac:dyDescent="0.25">
      <c r="A6" s="59" t="s">
        <v>21</v>
      </c>
      <c r="B6" s="13">
        <v>40</v>
      </c>
      <c r="C6" s="13"/>
      <c r="D6" s="36">
        <v>43504</v>
      </c>
      <c r="E6" s="56">
        <v>43497</v>
      </c>
      <c r="F6" s="13" t="s">
        <v>28</v>
      </c>
      <c r="G6" s="13"/>
      <c r="H6" s="60"/>
    </row>
    <row r="7" spans="1:8" s="12" customFormat="1" ht="18.600000000000001" customHeight="1" x14ac:dyDescent="0.25">
      <c r="A7" s="59" t="s">
        <v>22</v>
      </c>
      <c r="B7" s="13">
        <v>30</v>
      </c>
      <c r="C7" s="13"/>
      <c r="D7" s="36">
        <v>43506</v>
      </c>
      <c r="E7" s="56">
        <v>43497</v>
      </c>
      <c r="F7" s="13" t="s">
        <v>29</v>
      </c>
      <c r="G7" s="13"/>
      <c r="H7" s="60" t="s">
        <v>113</v>
      </c>
    </row>
    <row r="8" spans="1:8" s="12" customFormat="1" ht="18.600000000000001" customHeight="1" x14ac:dyDescent="0.25">
      <c r="A8" s="59" t="s">
        <v>23</v>
      </c>
      <c r="B8" s="13">
        <v>30</v>
      </c>
      <c r="C8" s="13"/>
      <c r="D8" s="36">
        <v>43497</v>
      </c>
      <c r="E8" s="56">
        <v>43497</v>
      </c>
      <c r="F8" s="13" t="s">
        <v>29</v>
      </c>
      <c r="G8" s="13"/>
      <c r="H8" s="60" t="s">
        <v>78</v>
      </c>
    </row>
    <row r="9" spans="1:8" s="12" customFormat="1" ht="18.600000000000001" customHeight="1" x14ac:dyDescent="0.25">
      <c r="A9" s="59" t="s">
        <v>24</v>
      </c>
      <c r="B9" s="13">
        <v>30</v>
      </c>
      <c r="C9" s="13"/>
      <c r="D9" s="36">
        <v>43504</v>
      </c>
      <c r="E9" s="56">
        <v>43497</v>
      </c>
      <c r="F9" s="13" t="s">
        <v>28</v>
      </c>
      <c r="G9" s="13"/>
      <c r="H9" s="60"/>
    </row>
    <row r="10" spans="1:8" s="12" customFormat="1" ht="18.600000000000001" customHeight="1" x14ac:dyDescent="0.25">
      <c r="A10" s="59" t="s">
        <v>52</v>
      </c>
      <c r="B10" s="13">
        <v>30</v>
      </c>
      <c r="C10" s="13"/>
      <c r="D10" s="36">
        <v>43504</v>
      </c>
      <c r="E10" s="56">
        <v>43497</v>
      </c>
      <c r="F10" s="13" t="s">
        <v>28</v>
      </c>
      <c r="G10" s="13"/>
      <c r="H10" s="60"/>
    </row>
    <row r="11" spans="1:8" s="12" customFormat="1" ht="18.600000000000001" customHeight="1" x14ac:dyDescent="0.25">
      <c r="A11" s="59" t="s">
        <v>25</v>
      </c>
      <c r="B11" s="13">
        <v>33</v>
      </c>
      <c r="C11" s="13"/>
      <c r="D11" s="36">
        <v>43501</v>
      </c>
      <c r="E11" s="56">
        <v>43497</v>
      </c>
      <c r="F11" s="13" t="s">
        <v>28</v>
      </c>
      <c r="G11" s="13"/>
      <c r="H11" s="60"/>
    </row>
    <row r="12" spans="1:8" s="12" customFormat="1" ht="18.600000000000001" customHeight="1" x14ac:dyDescent="0.25">
      <c r="A12" s="59" t="s">
        <v>26</v>
      </c>
      <c r="B12" s="13">
        <v>30</v>
      </c>
      <c r="C12" s="13"/>
      <c r="D12" s="36">
        <v>43506</v>
      </c>
      <c r="E12" s="56">
        <v>43497</v>
      </c>
      <c r="F12" s="13" t="s">
        <v>29</v>
      </c>
      <c r="G12" s="13"/>
      <c r="H12" s="60" t="s">
        <v>112</v>
      </c>
    </row>
    <row r="13" spans="1:8" s="12" customFormat="1" ht="18.600000000000001" customHeight="1" x14ac:dyDescent="0.25">
      <c r="A13" s="59" t="s">
        <v>27</v>
      </c>
      <c r="B13" s="13">
        <v>30</v>
      </c>
      <c r="C13" s="13"/>
      <c r="D13" s="36">
        <v>43504</v>
      </c>
      <c r="E13" s="56">
        <v>43497</v>
      </c>
      <c r="F13" s="13" t="s">
        <v>28</v>
      </c>
      <c r="G13" s="13"/>
      <c r="H13" s="60"/>
    </row>
    <row r="14" spans="1:8" s="12" customFormat="1" ht="18.600000000000001" customHeight="1" x14ac:dyDescent="0.25">
      <c r="A14" s="59" t="s">
        <v>54</v>
      </c>
      <c r="B14" s="13">
        <v>30</v>
      </c>
      <c r="C14" s="13"/>
      <c r="D14" s="36">
        <v>43504</v>
      </c>
      <c r="E14" s="56">
        <v>43497</v>
      </c>
      <c r="F14" s="13" t="s">
        <v>28</v>
      </c>
      <c r="G14" s="13"/>
      <c r="H14" s="60"/>
    </row>
    <row r="15" spans="1:8" s="12" customFormat="1" ht="18.600000000000001" customHeight="1" x14ac:dyDescent="0.25">
      <c r="A15" s="59" t="s">
        <v>55</v>
      </c>
      <c r="B15" s="13">
        <v>30</v>
      </c>
      <c r="C15" s="13"/>
      <c r="D15" s="36">
        <v>43506</v>
      </c>
      <c r="E15" s="56">
        <v>43497</v>
      </c>
      <c r="F15" s="13" t="s">
        <v>29</v>
      </c>
      <c r="G15" s="13"/>
      <c r="H15" s="60" t="s">
        <v>111</v>
      </c>
    </row>
    <row r="16" spans="1:8" s="12" customFormat="1" ht="18.600000000000001" customHeight="1" x14ac:dyDescent="0.25">
      <c r="A16" s="59" t="s">
        <v>56</v>
      </c>
      <c r="B16" s="13">
        <v>30</v>
      </c>
      <c r="C16" s="13"/>
      <c r="D16" s="36">
        <v>43507</v>
      </c>
      <c r="E16" s="56">
        <v>43497</v>
      </c>
      <c r="F16" s="13" t="s">
        <v>29</v>
      </c>
      <c r="G16" s="13"/>
      <c r="H16" s="60" t="s">
        <v>115</v>
      </c>
    </row>
    <row r="17" spans="1:8" s="12" customFormat="1" ht="18.600000000000001" customHeight="1" x14ac:dyDescent="0.25">
      <c r="A17" s="59" t="s">
        <v>65</v>
      </c>
      <c r="B17" s="13">
        <v>30</v>
      </c>
      <c r="C17" s="13"/>
      <c r="D17" s="36">
        <v>43504</v>
      </c>
      <c r="E17" s="56">
        <v>43497</v>
      </c>
      <c r="F17" s="13" t="s">
        <v>28</v>
      </c>
      <c r="G17" s="13"/>
      <c r="H17" s="60"/>
    </row>
    <row r="18" spans="1:8" s="12" customFormat="1" ht="18.600000000000001" customHeight="1" x14ac:dyDescent="0.25">
      <c r="A18" s="59" t="s">
        <v>81</v>
      </c>
      <c r="B18" s="13">
        <v>60</v>
      </c>
      <c r="C18" s="13"/>
      <c r="D18" s="36">
        <v>43504</v>
      </c>
      <c r="E18" s="56">
        <v>43497</v>
      </c>
      <c r="F18" s="56" t="s">
        <v>106</v>
      </c>
      <c r="G18" s="13"/>
      <c r="H18" s="60" t="s">
        <v>107</v>
      </c>
    </row>
    <row r="19" spans="1:8" s="12" customFormat="1" ht="18.600000000000001" customHeight="1" x14ac:dyDescent="0.25">
      <c r="A19" s="59" t="s">
        <v>80</v>
      </c>
      <c r="B19" s="13">
        <v>30</v>
      </c>
      <c r="C19" s="13"/>
      <c r="D19" s="36">
        <v>43505</v>
      </c>
      <c r="E19" s="56">
        <v>43497</v>
      </c>
      <c r="F19" s="13" t="s">
        <v>29</v>
      </c>
      <c r="G19" s="13"/>
      <c r="H19" s="60" t="s">
        <v>110</v>
      </c>
    </row>
    <row r="20" spans="1:8" ht="18.600000000000001" customHeight="1" x14ac:dyDescent="0.2">
      <c r="A20" s="59" t="s">
        <v>85</v>
      </c>
      <c r="B20" s="13">
        <v>30</v>
      </c>
      <c r="C20" s="13"/>
      <c r="D20" s="36">
        <v>43504</v>
      </c>
      <c r="E20" s="56">
        <v>43497</v>
      </c>
      <c r="F20" s="13" t="s">
        <v>28</v>
      </c>
      <c r="G20" s="13"/>
      <c r="H20" s="60"/>
    </row>
    <row r="21" spans="1:8" s="12" customFormat="1" ht="18.600000000000001" customHeight="1" x14ac:dyDescent="0.25">
      <c r="A21" s="59" t="s">
        <v>90</v>
      </c>
      <c r="B21" s="13">
        <v>50</v>
      </c>
      <c r="C21" s="13"/>
      <c r="D21" s="36">
        <v>43504</v>
      </c>
      <c r="E21" s="56">
        <v>43497</v>
      </c>
      <c r="F21" s="13" t="s">
        <v>28</v>
      </c>
      <c r="G21" s="13"/>
      <c r="H21" s="60"/>
    </row>
    <row r="22" spans="1:8" s="12" customFormat="1" ht="18.600000000000001" customHeight="1" x14ac:dyDescent="0.25">
      <c r="A22" s="59" t="s">
        <v>53</v>
      </c>
      <c r="B22" s="13">
        <v>180</v>
      </c>
      <c r="C22" s="13"/>
      <c r="D22" s="36">
        <v>43505</v>
      </c>
      <c r="E22" s="56">
        <v>43497</v>
      </c>
      <c r="F22" s="13" t="s">
        <v>29</v>
      </c>
      <c r="G22" s="13"/>
      <c r="H22" s="60" t="s">
        <v>109</v>
      </c>
    </row>
    <row r="23" spans="1:8" s="12" customFormat="1" ht="18.600000000000001" customHeight="1" x14ac:dyDescent="0.25">
      <c r="A23" s="59" t="s">
        <v>83</v>
      </c>
      <c r="B23" s="13">
        <v>0</v>
      </c>
      <c r="C23" s="13"/>
      <c r="D23" s="36"/>
      <c r="E23" s="56">
        <v>43497</v>
      </c>
      <c r="F23" s="13"/>
      <c r="G23" s="13"/>
      <c r="H23" s="60"/>
    </row>
    <row r="24" spans="1:8" s="12" customFormat="1" ht="18.600000000000001" customHeight="1" x14ac:dyDescent="0.25">
      <c r="A24" s="59" t="s">
        <v>84</v>
      </c>
      <c r="B24" s="13">
        <v>0</v>
      </c>
      <c r="C24" s="13"/>
      <c r="D24" s="36"/>
      <c r="E24" s="56">
        <v>43497</v>
      </c>
      <c r="F24" s="13"/>
      <c r="G24" s="13"/>
      <c r="H24" s="60"/>
    </row>
    <row r="25" spans="1:8" s="12" customFormat="1" ht="18.600000000000001" customHeight="1" thickBot="1" x14ac:dyDescent="0.3">
      <c r="A25" s="61" t="s">
        <v>82</v>
      </c>
      <c r="B25" s="19">
        <v>0</v>
      </c>
      <c r="C25" s="19"/>
      <c r="D25" s="24"/>
      <c r="E25" s="28">
        <v>43497</v>
      </c>
      <c r="F25" s="19"/>
      <c r="G25" s="19"/>
      <c r="H25" s="62"/>
    </row>
    <row r="26" spans="1:8" s="12" customFormat="1" ht="18.600000000000001" customHeight="1" thickBot="1" x14ac:dyDescent="0.3">
      <c r="A26" s="54" t="str">
        <f>CONCATENATE("TOTAL(", TEXT(E4,"mmm-yy"),")")</f>
        <v>TOTAL(Feb-19)</v>
      </c>
      <c r="B26" s="55">
        <f>SUMIF(E:E, E4, B:B)</f>
        <v>783</v>
      </c>
      <c r="C26" s="80"/>
      <c r="D26" s="18"/>
      <c r="E26" s="18"/>
      <c r="F26" s="18"/>
      <c r="G26" s="18"/>
      <c r="H26" s="18"/>
    </row>
    <row r="27" spans="1:8" ht="18.600000000000001" customHeight="1" x14ac:dyDescent="0.2">
      <c r="A27" s="57" t="s">
        <v>51</v>
      </c>
      <c r="B27" s="20">
        <v>30</v>
      </c>
      <c r="C27" s="20"/>
      <c r="D27" s="21">
        <v>43532</v>
      </c>
      <c r="E27" s="30">
        <v>43525</v>
      </c>
      <c r="F27" s="20" t="s">
        <v>28</v>
      </c>
      <c r="G27" s="20"/>
      <c r="H27" s="58"/>
    </row>
    <row r="28" spans="1:8" ht="18.600000000000001" customHeight="1" x14ac:dyDescent="0.2">
      <c r="A28" s="59" t="s">
        <v>20</v>
      </c>
      <c r="B28" s="13">
        <v>30</v>
      </c>
      <c r="C28" s="13"/>
      <c r="D28" s="36">
        <v>43532</v>
      </c>
      <c r="E28" s="56">
        <v>43525</v>
      </c>
      <c r="F28" s="13" t="s">
        <v>28</v>
      </c>
      <c r="G28" s="13"/>
      <c r="H28" s="60"/>
    </row>
    <row r="29" spans="1:8" ht="18.600000000000001" customHeight="1" x14ac:dyDescent="0.2">
      <c r="A29" s="59" t="s">
        <v>21</v>
      </c>
      <c r="B29" s="13">
        <v>40</v>
      </c>
      <c r="C29" s="13"/>
      <c r="D29" s="36">
        <v>43532</v>
      </c>
      <c r="E29" s="56">
        <v>43525</v>
      </c>
      <c r="F29" s="13" t="s">
        <v>28</v>
      </c>
      <c r="G29" s="13"/>
      <c r="H29" s="60"/>
    </row>
    <row r="30" spans="1:8" ht="18.600000000000001" customHeight="1" x14ac:dyDescent="0.2">
      <c r="A30" s="59" t="s">
        <v>22</v>
      </c>
      <c r="B30" s="13">
        <v>30</v>
      </c>
      <c r="C30" s="13"/>
      <c r="D30" s="36">
        <v>43532</v>
      </c>
      <c r="E30" s="56">
        <v>43525</v>
      </c>
      <c r="F30" s="13" t="s">
        <v>28</v>
      </c>
      <c r="G30" s="13"/>
      <c r="H30" s="60"/>
    </row>
    <row r="31" spans="1:8" ht="18.600000000000001" customHeight="1" x14ac:dyDescent="0.2">
      <c r="A31" s="59" t="s">
        <v>24</v>
      </c>
      <c r="B31" s="13">
        <v>30</v>
      </c>
      <c r="C31" s="13"/>
      <c r="D31" s="36">
        <v>43532</v>
      </c>
      <c r="E31" s="56">
        <v>43525</v>
      </c>
      <c r="F31" s="13" t="s">
        <v>28</v>
      </c>
      <c r="G31" s="13"/>
      <c r="H31" s="60"/>
    </row>
    <row r="32" spans="1:8" ht="18.600000000000001" customHeight="1" x14ac:dyDescent="0.2">
      <c r="A32" s="59" t="s">
        <v>52</v>
      </c>
      <c r="B32" s="13">
        <v>30</v>
      </c>
      <c r="C32" s="13"/>
      <c r="D32" s="36">
        <v>43568</v>
      </c>
      <c r="E32" s="56">
        <v>43525</v>
      </c>
      <c r="F32" s="13" t="s">
        <v>28</v>
      </c>
      <c r="G32" s="13" t="s">
        <v>68</v>
      </c>
      <c r="H32" s="60"/>
    </row>
    <row r="33" spans="1:8" ht="18.600000000000001" customHeight="1" x14ac:dyDescent="0.2">
      <c r="A33" s="59" t="s">
        <v>25</v>
      </c>
      <c r="B33" s="13">
        <v>30</v>
      </c>
      <c r="C33" s="13"/>
      <c r="D33" s="36">
        <v>43524</v>
      </c>
      <c r="E33" s="56">
        <v>43525</v>
      </c>
      <c r="F33" s="13" t="s">
        <v>28</v>
      </c>
      <c r="G33" s="13"/>
      <c r="H33" s="60"/>
    </row>
    <row r="34" spans="1:8" ht="18.600000000000001" customHeight="1" x14ac:dyDescent="0.2">
      <c r="A34" s="59" t="s">
        <v>26</v>
      </c>
      <c r="B34" s="13">
        <v>30</v>
      </c>
      <c r="C34" s="13"/>
      <c r="D34" s="36">
        <v>43532</v>
      </c>
      <c r="E34" s="56">
        <v>43525</v>
      </c>
      <c r="F34" s="13" t="s">
        <v>28</v>
      </c>
      <c r="G34" s="13"/>
      <c r="H34" s="60"/>
    </row>
    <row r="35" spans="1:8" ht="18.600000000000001" customHeight="1" x14ac:dyDescent="0.2">
      <c r="A35" s="59" t="s">
        <v>27</v>
      </c>
      <c r="B35" s="13">
        <v>30</v>
      </c>
      <c r="C35" s="13"/>
      <c r="D35" s="36">
        <v>43532</v>
      </c>
      <c r="E35" s="56">
        <v>43525</v>
      </c>
      <c r="F35" s="13" t="s">
        <v>28</v>
      </c>
      <c r="G35" s="13"/>
      <c r="H35" s="60"/>
    </row>
    <row r="36" spans="1:8" ht="18.600000000000001" customHeight="1" x14ac:dyDescent="0.2">
      <c r="A36" s="59" t="s">
        <v>54</v>
      </c>
      <c r="B36" s="13">
        <v>30</v>
      </c>
      <c r="C36" s="13"/>
      <c r="D36" s="36">
        <v>43532</v>
      </c>
      <c r="E36" s="56">
        <v>43525</v>
      </c>
      <c r="F36" s="13" t="s">
        <v>28</v>
      </c>
      <c r="G36" s="13"/>
      <c r="H36" s="60"/>
    </row>
    <row r="37" spans="1:8" ht="18.600000000000001" customHeight="1" x14ac:dyDescent="0.2">
      <c r="A37" s="59" t="s">
        <v>55</v>
      </c>
      <c r="B37" s="13">
        <v>0</v>
      </c>
      <c r="C37" s="13"/>
      <c r="D37" s="36"/>
      <c r="E37" s="56">
        <v>43525</v>
      </c>
      <c r="F37" s="13"/>
      <c r="G37" s="13" t="s">
        <v>68</v>
      </c>
      <c r="H37" s="60"/>
    </row>
    <row r="38" spans="1:8" ht="18.600000000000001" customHeight="1" x14ac:dyDescent="0.2">
      <c r="A38" s="59" t="s">
        <v>56</v>
      </c>
      <c r="B38" s="13">
        <v>30</v>
      </c>
      <c r="C38" s="13"/>
      <c r="D38" s="36">
        <v>43532</v>
      </c>
      <c r="E38" s="56">
        <v>43525</v>
      </c>
      <c r="F38" s="13" t="s">
        <v>28</v>
      </c>
      <c r="G38" s="13"/>
      <c r="H38" s="60"/>
    </row>
    <row r="39" spans="1:8" ht="18.600000000000001" customHeight="1" x14ac:dyDescent="0.2">
      <c r="A39" s="59" t="s">
        <v>65</v>
      </c>
      <c r="B39" s="13">
        <v>30</v>
      </c>
      <c r="C39" s="13"/>
      <c r="D39" s="36">
        <v>43532</v>
      </c>
      <c r="E39" s="56">
        <v>43525</v>
      </c>
      <c r="F39" s="13" t="s">
        <v>28</v>
      </c>
      <c r="G39" s="13"/>
      <c r="H39" s="60"/>
    </row>
    <row r="40" spans="1:8" ht="18.600000000000001" customHeight="1" x14ac:dyDescent="0.2">
      <c r="A40" s="59" t="s">
        <v>81</v>
      </c>
      <c r="B40" s="13">
        <v>30</v>
      </c>
      <c r="C40" s="13"/>
      <c r="D40" s="36">
        <v>43568</v>
      </c>
      <c r="E40" s="56">
        <v>43525</v>
      </c>
      <c r="F40" s="13" t="s">
        <v>28</v>
      </c>
      <c r="G40" s="13" t="s">
        <v>68</v>
      </c>
      <c r="H40" s="60"/>
    </row>
    <row r="41" spans="1:8" ht="18.600000000000001" customHeight="1" x14ac:dyDescent="0.2">
      <c r="A41" s="59" t="s">
        <v>80</v>
      </c>
      <c r="B41" s="13">
        <v>30</v>
      </c>
      <c r="C41" s="13"/>
      <c r="D41" s="36">
        <v>43532</v>
      </c>
      <c r="E41" s="56">
        <v>43525</v>
      </c>
      <c r="F41" s="13" t="s">
        <v>28</v>
      </c>
      <c r="G41" s="13"/>
      <c r="H41" s="60"/>
    </row>
    <row r="42" spans="1:8" ht="18.600000000000001" customHeight="1" x14ac:dyDescent="0.2">
      <c r="A42" s="59" t="s">
        <v>85</v>
      </c>
      <c r="B42" s="13">
        <v>30</v>
      </c>
      <c r="C42" s="13"/>
      <c r="D42" s="36">
        <v>43532</v>
      </c>
      <c r="E42" s="56">
        <v>43525</v>
      </c>
      <c r="F42" s="13" t="s">
        <v>28</v>
      </c>
      <c r="G42" s="13"/>
      <c r="H42" s="60"/>
    </row>
    <row r="43" spans="1:8" ht="18.600000000000001" customHeight="1" x14ac:dyDescent="0.2">
      <c r="A43" s="59" t="s">
        <v>90</v>
      </c>
      <c r="B43" s="13">
        <v>50</v>
      </c>
      <c r="C43" s="13"/>
      <c r="D43" s="36">
        <v>43532</v>
      </c>
      <c r="E43" s="56">
        <v>43525</v>
      </c>
      <c r="F43" s="13" t="s">
        <v>28</v>
      </c>
      <c r="G43" s="13"/>
      <c r="H43" s="60"/>
    </row>
    <row r="44" spans="1:8" ht="18.600000000000001" customHeight="1" x14ac:dyDescent="0.2">
      <c r="A44" s="59" t="s">
        <v>53</v>
      </c>
      <c r="B44" s="13">
        <v>30</v>
      </c>
      <c r="C44" s="13"/>
      <c r="D44" s="36">
        <v>43568</v>
      </c>
      <c r="E44" s="56">
        <v>43525</v>
      </c>
      <c r="F44" s="13" t="s">
        <v>28</v>
      </c>
      <c r="G44" s="13"/>
      <c r="H44" s="60"/>
    </row>
    <row r="45" spans="1:8" ht="18.600000000000001" customHeight="1" x14ac:dyDescent="0.2">
      <c r="A45" s="59" t="s">
        <v>124</v>
      </c>
      <c r="B45" s="13">
        <v>0</v>
      </c>
      <c r="C45" s="13"/>
      <c r="D45" s="36"/>
      <c r="E45" s="56">
        <v>43525</v>
      </c>
      <c r="F45" s="13"/>
      <c r="G45" s="13"/>
      <c r="H45" s="60"/>
    </row>
    <row r="46" spans="1:8" ht="18.600000000000001" customHeight="1" x14ac:dyDescent="0.2">
      <c r="A46" s="59" t="s">
        <v>83</v>
      </c>
      <c r="B46" s="13">
        <v>0</v>
      </c>
      <c r="C46" s="13"/>
      <c r="D46" s="36"/>
      <c r="E46" s="56">
        <v>43525</v>
      </c>
      <c r="F46" s="13"/>
      <c r="G46" s="13"/>
      <c r="H46" s="60"/>
    </row>
    <row r="47" spans="1:8" ht="18.600000000000001" customHeight="1" x14ac:dyDescent="0.2">
      <c r="A47" s="59" t="s">
        <v>84</v>
      </c>
      <c r="B47" s="13">
        <v>0</v>
      </c>
      <c r="C47" s="13"/>
      <c r="D47" s="36"/>
      <c r="E47" s="56">
        <v>43525</v>
      </c>
      <c r="F47" s="13"/>
      <c r="G47" s="13"/>
      <c r="H47" s="60"/>
    </row>
    <row r="48" spans="1:8" ht="18.600000000000001" customHeight="1" thickBot="1" x14ac:dyDescent="0.25">
      <c r="A48" s="61" t="s">
        <v>82</v>
      </c>
      <c r="B48" s="63">
        <v>0</v>
      </c>
      <c r="C48" s="63"/>
      <c r="D48" s="24"/>
      <c r="E48" s="28">
        <v>43525</v>
      </c>
      <c r="F48" s="19"/>
      <c r="G48" s="19"/>
      <c r="H48" s="62"/>
    </row>
    <row r="49" spans="1:8" ht="18.600000000000001" customHeight="1" thickBot="1" x14ac:dyDescent="0.25">
      <c r="A49" s="54" t="str">
        <f>CONCATENATE("TOTAL(", TEXT(E27,"mmm-yy"),")")</f>
        <v>TOTAL(Mar-19)</v>
      </c>
      <c r="B49" s="64">
        <f>SUMIF(E:E, E27, B:B)</f>
        <v>540</v>
      </c>
      <c r="C49" s="80"/>
      <c r="D49" s="18"/>
      <c r="E49" s="18"/>
      <c r="F49" s="18"/>
      <c r="G49" s="18"/>
      <c r="H49" s="18"/>
    </row>
    <row r="50" spans="1:8" ht="18.600000000000001" customHeight="1" x14ac:dyDescent="0.2">
      <c r="A50" s="57" t="s">
        <v>51</v>
      </c>
      <c r="B50" s="20">
        <v>30</v>
      </c>
      <c r="C50" s="20"/>
      <c r="D50" s="21">
        <v>43568</v>
      </c>
      <c r="E50" s="30">
        <v>43556</v>
      </c>
      <c r="F50" s="20" t="s">
        <v>28</v>
      </c>
      <c r="G50" s="20"/>
      <c r="H50" s="58"/>
    </row>
    <row r="51" spans="1:8" ht="18.600000000000001" customHeight="1" x14ac:dyDescent="0.2">
      <c r="A51" s="59" t="s">
        <v>20</v>
      </c>
      <c r="B51" s="13">
        <v>30</v>
      </c>
      <c r="C51" s="13"/>
      <c r="D51" s="36">
        <v>43596</v>
      </c>
      <c r="E51" s="56">
        <v>43556</v>
      </c>
      <c r="F51" s="13" t="s">
        <v>28</v>
      </c>
      <c r="G51" s="13"/>
      <c r="H51" s="60"/>
    </row>
    <row r="52" spans="1:8" ht="18.600000000000001" customHeight="1" x14ac:dyDescent="0.2">
      <c r="A52" s="59" t="s">
        <v>21</v>
      </c>
      <c r="B52" s="13">
        <v>40</v>
      </c>
      <c r="C52" s="13"/>
      <c r="D52" s="36">
        <v>43568</v>
      </c>
      <c r="E52" s="56">
        <v>43556</v>
      </c>
      <c r="F52" s="13" t="s">
        <v>28</v>
      </c>
      <c r="G52" s="13"/>
      <c r="H52" s="60"/>
    </row>
    <row r="53" spans="1:8" ht="18.600000000000001" customHeight="1" x14ac:dyDescent="0.2">
      <c r="A53" s="59" t="s">
        <v>22</v>
      </c>
      <c r="B53" s="13">
        <v>30</v>
      </c>
      <c r="C53" s="13"/>
      <c r="D53" s="36">
        <v>43568</v>
      </c>
      <c r="E53" s="56">
        <v>43556</v>
      </c>
      <c r="F53" s="13" t="s">
        <v>28</v>
      </c>
      <c r="G53" s="13"/>
      <c r="H53" s="60"/>
    </row>
    <row r="54" spans="1:8" ht="18.600000000000001" customHeight="1" x14ac:dyDescent="0.2">
      <c r="A54" s="59" t="s">
        <v>24</v>
      </c>
      <c r="B54" s="13">
        <v>30</v>
      </c>
      <c r="C54" s="13"/>
      <c r="D54" s="36">
        <v>43568</v>
      </c>
      <c r="E54" s="56">
        <v>43556</v>
      </c>
      <c r="F54" s="13" t="s">
        <v>28</v>
      </c>
      <c r="G54" s="13"/>
      <c r="H54" s="60"/>
    </row>
    <row r="55" spans="1:8" ht="18.600000000000001" customHeight="1" x14ac:dyDescent="0.2">
      <c r="A55" s="59" t="s">
        <v>52</v>
      </c>
      <c r="B55" s="13">
        <v>30</v>
      </c>
      <c r="C55" s="13"/>
      <c r="D55" s="36">
        <v>43568</v>
      </c>
      <c r="E55" s="56">
        <v>43556</v>
      </c>
      <c r="F55" s="13" t="s">
        <v>28</v>
      </c>
      <c r="G55" s="13"/>
      <c r="H55" s="60"/>
    </row>
    <row r="56" spans="1:8" ht="18.600000000000001" customHeight="1" x14ac:dyDescent="0.2">
      <c r="A56" s="59" t="s">
        <v>25</v>
      </c>
      <c r="B56" s="13">
        <v>30</v>
      </c>
      <c r="C56" s="13"/>
      <c r="D56" s="36">
        <v>43561</v>
      </c>
      <c r="E56" s="56">
        <v>43556</v>
      </c>
      <c r="F56" s="13" t="s">
        <v>28</v>
      </c>
      <c r="G56" s="13"/>
      <c r="H56" s="60"/>
    </row>
    <row r="57" spans="1:8" ht="18.600000000000001" customHeight="1" x14ac:dyDescent="0.2">
      <c r="A57" s="59" t="s">
        <v>26</v>
      </c>
      <c r="B57" s="13">
        <v>30</v>
      </c>
      <c r="C57" s="13"/>
      <c r="D57" s="36">
        <v>43568</v>
      </c>
      <c r="E57" s="56">
        <v>43556</v>
      </c>
      <c r="F57" s="13" t="s">
        <v>28</v>
      </c>
      <c r="G57" s="13"/>
      <c r="H57" s="60"/>
    </row>
    <row r="58" spans="1:8" ht="18.600000000000001" customHeight="1" x14ac:dyDescent="0.2">
      <c r="A58" s="59" t="s">
        <v>27</v>
      </c>
      <c r="B58" s="13">
        <v>30</v>
      </c>
      <c r="C58" s="13"/>
      <c r="D58" s="36">
        <v>43568</v>
      </c>
      <c r="E58" s="56">
        <v>43556</v>
      </c>
      <c r="F58" s="13" t="s">
        <v>28</v>
      </c>
      <c r="G58" s="13"/>
      <c r="H58" s="60"/>
    </row>
    <row r="59" spans="1:8" ht="18.600000000000001" customHeight="1" x14ac:dyDescent="0.2">
      <c r="A59" s="59" t="s">
        <v>54</v>
      </c>
      <c r="B59" s="13">
        <v>40</v>
      </c>
      <c r="C59" s="13"/>
      <c r="D59" s="36">
        <v>43568</v>
      </c>
      <c r="E59" s="56">
        <v>43556</v>
      </c>
      <c r="F59" s="13" t="s">
        <v>28</v>
      </c>
      <c r="G59" s="13"/>
      <c r="H59" s="60"/>
    </row>
    <row r="60" spans="1:8" ht="18.600000000000001" customHeight="1" x14ac:dyDescent="0.2">
      <c r="A60" s="59" t="s">
        <v>55</v>
      </c>
      <c r="B60" s="13">
        <v>0</v>
      </c>
      <c r="C60" s="13"/>
      <c r="D60" s="36"/>
      <c r="E60" s="56">
        <v>43556</v>
      </c>
      <c r="F60" s="13"/>
      <c r="G60" s="13"/>
      <c r="H60" s="60"/>
    </row>
    <row r="61" spans="1:8" ht="18.600000000000001" customHeight="1" x14ac:dyDescent="0.2">
      <c r="A61" s="59" t="s">
        <v>56</v>
      </c>
      <c r="B61" s="13">
        <v>30</v>
      </c>
      <c r="C61" s="13"/>
      <c r="D61" s="36">
        <v>43568</v>
      </c>
      <c r="E61" s="56">
        <v>43556</v>
      </c>
      <c r="F61" s="13" t="s">
        <v>28</v>
      </c>
      <c r="G61" s="13"/>
      <c r="H61" s="60"/>
    </row>
    <row r="62" spans="1:8" ht="18.600000000000001" customHeight="1" x14ac:dyDescent="0.2">
      <c r="A62" s="59" t="s">
        <v>65</v>
      </c>
      <c r="B62" s="13">
        <v>30</v>
      </c>
      <c r="C62" s="13"/>
      <c r="D62" s="36">
        <v>43568</v>
      </c>
      <c r="E62" s="56">
        <v>43556</v>
      </c>
      <c r="F62" s="13" t="s">
        <v>28</v>
      </c>
      <c r="G62" s="13"/>
      <c r="H62" s="60"/>
    </row>
    <row r="63" spans="1:8" ht="18.600000000000001" customHeight="1" x14ac:dyDescent="0.2">
      <c r="A63" s="59" t="s">
        <v>81</v>
      </c>
      <c r="B63" s="13">
        <v>30</v>
      </c>
      <c r="C63" s="13"/>
      <c r="D63" s="36">
        <v>43568</v>
      </c>
      <c r="E63" s="56">
        <v>43556</v>
      </c>
      <c r="F63" s="13" t="s">
        <v>28</v>
      </c>
      <c r="G63" s="13"/>
      <c r="H63" s="60"/>
    </row>
    <row r="64" spans="1:8" ht="18.600000000000001" customHeight="1" x14ac:dyDescent="0.2">
      <c r="A64" s="59" t="s">
        <v>80</v>
      </c>
      <c r="B64" s="13">
        <v>30</v>
      </c>
      <c r="C64" s="13"/>
      <c r="D64" s="36">
        <v>43568</v>
      </c>
      <c r="E64" s="56">
        <v>43556</v>
      </c>
      <c r="F64" s="13" t="s">
        <v>28</v>
      </c>
      <c r="G64" s="13"/>
      <c r="H64" s="60"/>
    </row>
    <row r="65" spans="1:8" ht="18.600000000000001" customHeight="1" x14ac:dyDescent="0.2">
      <c r="A65" s="59" t="s">
        <v>85</v>
      </c>
      <c r="B65" s="13">
        <v>30</v>
      </c>
      <c r="C65" s="13"/>
      <c r="D65" s="36">
        <v>43568</v>
      </c>
      <c r="E65" s="56">
        <v>43556</v>
      </c>
      <c r="F65" s="13" t="s">
        <v>28</v>
      </c>
      <c r="G65" s="13"/>
      <c r="H65" s="60"/>
    </row>
    <row r="66" spans="1:8" ht="18.600000000000001" customHeight="1" x14ac:dyDescent="0.2">
      <c r="A66" s="59" t="s">
        <v>90</v>
      </c>
      <c r="B66" s="13">
        <v>50</v>
      </c>
      <c r="C66" s="13"/>
      <c r="D66" s="36">
        <v>43568</v>
      </c>
      <c r="E66" s="56">
        <v>43556</v>
      </c>
      <c r="F66" s="13" t="s">
        <v>28</v>
      </c>
      <c r="G66" s="13"/>
      <c r="H66" s="60"/>
    </row>
    <row r="67" spans="1:8" ht="18.600000000000001" customHeight="1" x14ac:dyDescent="0.2">
      <c r="A67" s="59" t="s">
        <v>53</v>
      </c>
      <c r="B67" s="13">
        <v>30</v>
      </c>
      <c r="C67" s="13"/>
      <c r="D67" s="36">
        <v>43568</v>
      </c>
      <c r="E67" s="56">
        <v>43556</v>
      </c>
      <c r="F67" s="13" t="s">
        <v>28</v>
      </c>
      <c r="G67" s="13"/>
      <c r="H67" s="60"/>
    </row>
    <row r="68" spans="1:8" ht="18.600000000000001" customHeight="1" x14ac:dyDescent="0.2">
      <c r="A68" s="59" t="s">
        <v>138</v>
      </c>
      <c r="B68" s="13">
        <v>30</v>
      </c>
      <c r="C68" s="13"/>
      <c r="D68" s="36">
        <v>43568</v>
      </c>
      <c r="E68" s="56">
        <v>43556</v>
      </c>
      <c r="F68" s="13" t="s">
        <v>28</v>
      </c>
      <c r="G68" s="13"/>
      <c r="H68" s="60" t="s">
        <v>161</v>
      </c>
    </row>
    <row r="69" spans="1:8" ht="18.600000000000001" customHeight="1" x14ac:dyDescent="0.2">
      <c r="A69" s="59" t="s">
        <v>124</v>
      </c>
      <c r="B69" s="13">
        <v>0</v>
      </c>
      <c r="C69" s="13"/>
      <c r="D69" s="36"/>
      <c r="E69" s="56">
        <v>43556</v>
      </c>
      <c r="F69" s="13"/>
      <c r="G69" s="13"/>
      <c r="H69" s="60"/>
    </row>
    <row r="70" spans="1:8" ht="18.600000000000001" customHeight="1" x14ac:dyDescent="0.2">
      <c r="A70" s="59" t="s">
        <v>83</v>
      </c>
      <c r="B70" s="13">
        <v>0</v>
      </c>
      <c r="C70" s="13"/>
      <c r="D70" s="36"/>
      <c r="E70" s="56">
        <v>43556</v>
      </c>
      <c r="F70" s="13"/>
      <c r="G70" s="13"/>
      <c r="H70" s="60"/>
    </row>
    <row r="71" spans="1:8" ht="18.600000000000001" customHeight="1" x14ac:dyDescent="0.2">
      <c r="A71" s="59" t="s">
        <v>84</v>
      </c>
      <c r="B71" s="13">
        <v>0</v>
      </c>
      <c r="C71" s="13"/>
      <c r="D71" s="36"/>
      <c r="E71" s="56">
        <v>43556</v>
      </c>
      <c r="F71" s="13"/>
      <c r="G71" s="13"/>
      <c r="H71" s="60"/>
    </row>
    <row r="72" spans="1:8" ht="18.600000000000001" customHeight="1" thickBot="1" x14ac:dyDescent="0.25">
      <c r="A72" s="61" t="s">
        <v>82</v>
      </c>
      <c r="B72" s="63">
        <v>0</v>
      </c>
      <c r="C72" s="63"/>
      <c r="D72" s="24"/>
      <c r="E72" s="28">
        <v>43556</v>
      </c>
      <c r="F72" s="19"/>
      <c r="G72" s="19"/>
      <c r="H72" s="62"/>
    </row>
    <row r="73" spans="1:8" ht="18.600000000000001" customHeight="1" thickBot="1" x14ac:dyDescent="0.25">
      <c r="A73" s="54" t="str">
        <f>CONCATENATE("TOTAL(", TEXT(E50,"mmm-yy"),")")</f>
        <v>TOTAL(Apr-19)</v>
      </c>
      <c r="B73" s="64">
        <f>SUMIF(E:E, E50, B:B)</f>
        <v>580</v>
      </c>
      <c r="C73" s="80"/>
      <c r="D73" s="18"/>
      <c r="E73" s="18"/>
      <c r="F73" s="18"/>
      <c r="G73" s="18"/>
      <c r="H73" s="18"/>
    </row>
    <row r="74" spans="1:8" ht="18.600000000000001" customHeight="1" x14ac:dyDescent="0.2">
      <c r="A74" s="57" t="s">
        <v>51</v>
      </c>
      <c r="B74" s="20">
        <v>30</v>
      </c>
      <c r="C74" s="20"/>
      <c r="D74" s="21">
        <v>43596</v>
      </c>
      <c r="E74" s="30">
        <v>43586</v>
      </c>
      <c r="F74" s="20" t="s">
        <v>28</v>
      </c>
      <c r="G74" s="20"/>
      <c r="H74" s="58"/>
    </row>
    <row r="75" spans="1:8" ht="18.600000000000001" customHeight="1" x14ac:dyDescent="0.2">
      <c r="A75" s="59" t="s">
        <v>20</v>
      </c>
      <c r="B75" s="13">
        <v>30</v>
      </c>
      <c r="C75" s="13"/>
      <c r="D75" s="36">
        <v>43596</v>
      </c>
      <c r="E75" s="56">
        <v>43586</v>
      </c>
      <c r="F75" s="13" t="s">
        <v>28</v>
      </c>
      <c r="G75" s="13"/>
      <c r="H75" s="60"/>
    </row>
    <row r="76" spans="1:8" ht="18.600000000000001" customHeight="1" x14ac:dyDescent="0.2">
      <c r="A76" s="59" t="s">
        <v>21</v>
      </c>
      <c r="B76" s="13">
        <v>40</v>
      </c>
      <c r="C76" s="13"/>
      <c r="D76" s="36">
        <v>43596</v>
      </c>
      <c r="E76" s="56">
        <v>43586</v>
      </c>
      <c r="F76" s="13" t="s">
        <v>28</v>
      </c>
      <c r="G76" s="13"/>
      <c r="H76" s="60"/>
    </row>
    <row r="77" spans="1:8" ht="18.600000000000001" customHeight="1" x14ac:dyDescent="0.2">
      <c r="A77" s="59" t="s">
        <v>22</v>
      </c>
      <c r="B77" s="13">
        <v>30</v>
      </c>
      <c r="C77" s="13"/>
      <c r="D77" s="36">
        <v>43596</v>
      </c>
      <c r="E77" s="56">
        <v>43586</v>
      </c>
      <c r="F77" s="13" t="s">
        <v>28</v>
      </c>
      <c r="G77" s="13"/>
      <c r="H77" s="60"/>
    </row>
    <row r="78" spans="1:8" ht="18.600000000000001" customHeight="1" x14ac:dyDescent="0.2">
      <c r="A78" s="59" t="s">
        <v>24</v>
      </c>
      <c r="B78" s="13">
        <v>30</v>
      </c>
      <c r="C78" s="13"/>
      <c r="D78" s="36">
        <v>43596</v>
      </c>
      <c r="E78" s="56">
        <v>43586</v>
      </c>
      <c r="F78" s="13" t="s">
        <v>28</v>
      </c>
      <c r="G78" s="13"/>
      <c r="H78" s="60"/>
    </row>
    <row r="79" spans="1:8" ht="18.600000000000001" customHeight="1" x14ac:dyDescent="0.2">
      <c r="A79" s="59" t="s">
        <v>52</v>
      </c>
      <c r="B79" s="13">
        <v>50</v>
      </c>
      <c r="C79" s="13"/>
      <c r="D79" s="36">
        <v>43596</v>
      </c>
      <c r="E79" s="56">
        <v>43586</v>
      </c>
      <c r="F79" s="13" t="s">
        <v>28</v>
      </c>
      <c r="G79" s="13"/>
      <c r="H79" s="60"/>
    </row>
    <row r="80" spans="1:8" ht="18.600000000000001" customHeight="1" x14ac:dyDescent="0.2">
      <c r="A80" s="59" t="s">
        <v>25</v>
      </c>
      <c r="B80" s="13">
        <v>30</v>
      </c>
      <c r="C80" s="13"/>
      <c r="D80" s="36">
        <v>43592</v>
      </c>
      <c r="E80" s="56">
        <v>43586</v>
      </c>
      <c r="F80" s="13" t="s">
        <v>28</v>
      </c>
      <c r="G80" s="13"/>
      <c r="H80" s="60"/>
    </row>
    <row r="81" spans="1:8" ht="18.600000000000001" customHeight="1" x14ac:dyDescent="0.2">
      <c r="A81" s="59" t="s">
        <v>26</v>
      </c>
      <c r="B81" s="13">
        <v>30</v>
      </c>
      <c r="C81" s="13"/>
      <c r="D81" s="36">
        <v>43596</v>
      </c>
      <c r="E81" s="56">
        <v>43586</v>
      </c>
      <c r="F81" s="13" t="s">
        <v>28</v>
      </c>
      <c r="G81" s="13"/>
      <c r="H81" s="60"/>
    </row>
    <row r="82" spans="1:8" ht="18.600000000000001" customHeight="1" x14ac:dyDescent="0.2">
      <c r="A82" s="59" t="s">
        <v>27</v>
      </c>
      <c r="B82" s="13">
        <v>33</v>
      </c>
      <c r="C82" s="13"/>
      <c r="D82" s="36">
        <v>43596</v>
      </c>
      <c r="E82" s="56">
        <v>43586</v>
      </c>
      <c r="F82" s="13" t="s">
        <v>28</v>
      </c>
      <c r="G82" s="13"/>
      <c r="H82" s="60" t="s">
        <v>159</v>
      </c>
    </row>
    <row r="83" spans="1:8" ht="18.600000000000001" customHeight="1" x14ac:dyDescent="0.2">
      <c r="A83" s="59" t="s">
        <v>54</v>
      </c>
      <c r="B83" s="13">
        <v>30</v>
      </c>
      <c r="C83" s="13"/>
      <c r="D83" s="36">
        <v>43596</v>
      </c>
      <c r="E83" s="56">
        <v>43586</v>
      </c>
      <c r="F83" s="13" t="s">
        <v>28</v>
      </c>
      <c r="G83" s="13"/>
      <c r="H83" s="60"/>
    </row>
    <row r="84" spans="1:8" ht="18.600000000000001" customHeight="1" x14ac:dyDescent="0.2">
      <c r="A84" s="59" t="s">
        <v>55</v>
      </c>
      <c r="B84" s="13">
        <v>0</v>
      </c>
      <c r="C84" s="13"/>
      <c r="D84" s="36"/>
      <c r="E84" s="56">
        <v>43586</v>
      </c>
      <c r="F84" s="13"/>
      <c r="G84" s="13"/>
      <c r="H84" s="60"/>
    </row>
    <row r="85" spans="1:8" ht="18.600000000000001" customHeight="1" x14ac:dyDescent="0.2">
      <c r="A85" s="59" t="s">
        <v>56</v>
      </c>
      <c r="B85" s="13">
        <v>30</v>
      </c>
      <c r="C85" s="13"/>
      <c r="D85" s="36">
        <v>43596</v>
      </c>
      <c r="E85" s="56">
        <v>43586</v>
      </c>
      <c r="F85" s="13" t="s">
        <v>28</v>
      </c>
      <c r="G85" s="13"/>
      <c r="H85" s="60"/>
    </row>
    <row r="86" spans="1:8" ht="18.600000000000001" customHeight="1" x14ac:dyDescent="0.2">
      <c r="A86" s="59" t="s">
        <v>65</v>
      </c>
      <c r="B86" s="13">
        <v>30</v>
      </c>
      <c r="C86" s="13"/>
      <c r="D86" s="36">
        <v>43596</v>
      </c>
      <c r="E86" s="56">
        <v>43586</v>
      </c>
      <c r="F86" s="13" t="s">
        <v>28</v>
      </c>
      <c r="G86" s="13"/>
      <c r="H86" s="60"/>
    </row>
    <row r="87" spans="1:8" ht="18.600000000000001" customHeight="1" x14ac:dyDescent="0.2">
      <c r="A87" s="59" t="s">
        <v>81</v>
      </c>
      <c r="B87" s="13">
        <v>30</v>
      </c>
      <c r="C87" s="13"/>
      <c r="D87" s="36">
        <v>43596</v>
      </c>
      <c r="E87" s="56">
        <v>43586</v>
      </c>
      <c r="F87" s="13" t="s">
        <v>28</v>
      </c>
      <c r="G87" s="13"/>
      <c r="H87" s="60"/>
    </row>
    <row r="88" spans="1:8" ht="18.600000000000001" customHeight="1" x14ac:dyDescent="0.2">
      <c r="A88" s="59" t="s">
        <v>80</v>
      </c>
      <c r="B88" s="13">
        <v>30</v>
      </c>
      <c r="C88" s="13"/>
      <c r="D88" s="36">
        <v>43596</v>
      </c>
      <c r="E88" s="56">
        <v>43586</v>
      </c>
      <c r="F88" s="13" t="s">
        <v>28</v>
      </c>
      <c r="G88" s="13"/>
      <c r="H88" s="60"/>
    </row>
    <row r="89" spans="1:8" ht="18.600000000000001" customHeight="1" x14ac:dyDescent="0.2">
      <c r="A89" s="59" t="s">
        <v>85</v>
      </c>
      <c r="B89" s="13">
        <v>30</v>
      </c>
      <c r="C89" s="13"/>
      <c r="D89" s="36">
        <v>43596</v>
      </c>
      <c r="E89" s="56">
        <v>43586</v>
      </c>
      <c r="F89" s="13" t="s">
        <v>28</v>
      </c>
      <c r="G89" s="13"/>
      <c r="H89" s="60"/>
    </row>
    <row r="90" spans="1:8" ht="18.600000000000001" customHeight="1" x14ac:dyDescent="0.2">
      <c r="A90" s="59" t="s">
        <v>90</v>
      </c>
      <c r="B90" s="13">
        <v>50</v>
      </c>
      <c r="C90" s="13"/>
      <c r="D90" s="36">
        <v>43596</v>
      </c>
      <c r="E90" s="56">
        <v>43586</v>
      </c>
      <c r="F90" s="13" t="s">
        <v>28</v>
      </c>
      <c r="G90" s="13"/>
      <c r="H90" s="60"/>
    </row>
    <row r="91" spans="1:8" ht="18.600000000000001" customHeight="1" x14ac:dyDescent="0.2">
      <c r="A91" s="59" t="s">
        <v>53</v>
      </c>
      <c r="B91" s="13">
        <v>0</v>
      </c>
      <c r="C91" s="13"/>
      <c r="D91" s="36"/>
      <c r="E91" s="56">
        <v>43586</v>
      </c>
      <c r="F91" s="13"/>
      <c r="G91" s="13"/>
      <c r="H91" s="60"/>
    </row>
    <row r="92" spans="1:8" ht="18.600000000000001" customHeight="1" x14ac:dyDescent="0.2">
      <c r="A92" s="59" t="s">
        <v>138</v>
      </c>
      <c r="B92" s="13">
        <v>30</v>
      </c>
      <c r="C92" s="13"/>
      <c r="D92" s="36">
        <v>43596</v>
      </c>
      <c r="E92" s="56">
        <v>43586</v>
      </c>
      <c r="F92" s="13" t="s">
        <v>28</v>
      </c>
      <c r="G92" s="13"/>
      <c r="H92" s="60"/>
    </row>
    <row r="93" spans="1:8" ht="18.600000000000001" customHeight="1" x14ac:dyDescent="0.2">
      <c r="A93" s="59" t="s">
        <v>124</v>
      </c>
      <c r="B93" s="13">
        <v>0</v>
      </c>
      <c r="C93" s="13"/>
      <c r="D93" s="36"/>
      <c r="E93" s="56">
        <v>43586</v>
      </c>
      <c r="F93" s="13"/>
      <c r="G93" s="13"/>
      <c r="H93" s="60"/>
    </row>
    <row r="94" spans="1:8" ht="18.600000000000001" customHeight="1" x14ac:dyDescent="0.2">
      <c r="A94" s="59" t="s">
        <v>83</v>
      </c>
      <c r="B94" s="13">
        <v>0</v>
      </c>
      <c r="C94" s="13"/>
      <c r="D94" s="36"/>
      <c r="E94" s="56">
        <v>43586</v>
      </c>
      <c r="F94" s="13"/>
      <c r="G94" s="13"/>
      <c r="H94" s="60"/>
    </row>
    <row r="95" spans="1:8" ht="18.600000000000001" customHeight="1" x14ac:dyDescent="0.2">
      <c r="A95" s="59" t="s">
        <v>84</v>
      </c>
      <c r="B95" s="13">
        <v>0</v>
      </c>
      <c r="C95" s="13"/>
      <c r="D95" s="36"/>
      <c r="E95" s="56">
        <v>43586</v>
      </c>
      <c r="F95" s="13"/>
      <c r="G95" s="13"/>
      <c r="H95" s="60"/>
    </row>
    <row r="96" spans="1:8" ht="18.600000000000001" customHeight="1" thickBot="1" x14ac:dyDescent="0.25">
      <c r="A96" s="61" t="s">
        <v>82</v>
      </c>
      <c r="B96" s="63">
        <v>0</v>
      </c>
      <c r="C96" s="63"/>
      <c r="D96" s="24"/>
      <c r="E96" s="28">
        <v>43586</v>
      </c>
      <c r="F96" s="19"/>
      <c r="G96" s="19"/>
      <c r="H96" s="62"/>
    </row>
    <row r="97" spans="1:8" ht="18.600000000000001" customHeight="1" thickBot="1" x14ac:dyDescent="0.25">
      <c r="A97" s="54" t="str">
        <f>CONCATENATE("TOTAL(", TEXT(E74,"mmm-yy"),")")</f>
        <v>TOTAL(May-19)</v>
      </c>
      <c r="B97" s="64">
        <f>SUMIF(E:E, E74, B:B)</f>
        <v>563</v>
      </c>
      <c r="C97" s="80"/>
      <c r="D97" s="18"/>
      <c r="E97" s="18"/>
      <c r="F97" s="18"/>
      <c r="G97" s="18"/>
      <c r="H97" s="18"/>
    </row>
    <row r="98" spans="1:8" ht="18.600000000000001" customHeight="1" x14ac:dyDescent="0.2">
      <c r="A98" s="57" t="s">
        <v>51</v>
      </c>
      <c r="B98" s="20">
        <v>30</v>
      </c>
      <c r="C98" s="20"/>
      <c r="D98" s="21"/>
      <c r="E98" s="30">
        <v>43617</v>
      </c>
      <c r="F98" s="20"/>
      <c r="G98" s="20" t="s">
        <v>68</v>
      </c>
      <c r="H98" s="58"/>
    </row>
    <row r="99" spans="1:8" ht="18.600000000000001" customHeight="1" x14ac:dyDescent="0.2">
      <c r="A99" s="59" t="s">
        <v>20</v>
      </c>
      <c r="B99" s="13">
        <v>30</v>
      </c>
      <c r="C99" s="13"/>
      <c r="D99" s="36"/>
      <c r="E99" s="56">
        <v>43617</v>
      </c>
      <c r="F99" s="13"/>
      <c r="G99" s="13"/>
      <c r="H99" s="60"/>
    </row>
    <row r="100" spans="1:8" ht="18.600000000000001" customHeight="1" x14ac:dyDescent="0.2">
      <c r="A100" s="59" t="s">
        <v>21</v>
      </c>
      <c r="B100" s="13">
        <v>40</v>
      </c>
      <c r="C100" s="13">
        <v>500</v>
      </c>
      <c r="D100" s="36">
        <v>43619</v>
      </c>
      <c r="E100" s="56">
        <v>43617</v>
      </c>
      <c r="F100" s="13" t="s">
        <v>29</v>
      </c>
      <c r="G100" s="13"/>
      <c r="H100" s="60"/>
    </row>
    <row r="101" spans="1:8" ht="18.600000000000001" customHeight="1" x14ac:dyDescent="0.2">
      <c r="A101" s="59" t="s">
        <v>22</v>
      </c>
      <c r="B101" s="13">
        <v>30</v>
      </c>
      <c r="C101" s="13"/>
      <c r="D101" s="36"/>
      <c r="E101" s="56">
        <v>43617</v>
      </c>
      <c r="F101" s="13"/>
      <c r="G101" s="13"/>
      <c r="H101" s="60"/>
    </row>
    <row r="102" spans="1:8" ht="18.600000000000001" customHeight="1" x14ac:dyDescent="0.2">
      <c r="A102" s="59" t="s">
        <v>24</v>
      </c>
      <c r="B102" s="13">
        <v>30</v>
      </c>
      <c r="C102" s="13"/>
      <c r="D102" s="36"/>
      <c r="E102" s="56">
        <v>43617</v>
      </c>
      <c r="F102" s="13"/>
      <c r="G102" s="13"/>
      <c r="H102" s="60"/>
    </row>
    <row r="103" spans="1:8" ht="18.600000000000001" customHeight="1" x14ac:dyDescent="0.2">
      <c r="A103" s="59" t="s">
        <v>52</v>
      </c>
      <c r="B103" s="13">
        <v>30</v>
      </c>
      <c r="C103" s="13"/>
      <c r="D103" s="36"/>
      <c r="E103" s="56">
        <v>43617</v>
      </c>
      <c r="F103" s="13"/>
      <c r="G103" s="13"/>
      <c r="H103" s="60"/>
    </row>
    <row r="104" spans="1:8" ht="18.600000000000001" customHeight="1" x14ac:dyDescent="0.2">
      <c r="A104" s="59" t="s">
        <v>25</v>
      </c>
      <c r="B104" s="13">
        <v>30</v>
      </c>
      <c r="C104" s="13"/>
      <c r="D104" s="36">
        <v>43617</v>
      </c>
      <c r="E104" s="56">
        <v>43617</v>
      </c>
      <c r="F104" s="13" t="s">
        <v>29</v>
      </c>
      <c r="G104" s="13"/>
      <c r="H104" s="60"/>
    </row>
    <row r="105" spans="1:8" ht="18.600000000000001" customHeight="1" x14ac:dyDescent="0.2">
      <c r="A105" s="59" t="s">
        <v>26</v>
      </c>
      <c r="B105" s="13">
        <v>30</v>
      </c>
      <c r="C105" s="13"/>
      <c r="D105" s="36"/>
      <c r="E105" s="56">
        <v>43617</v>
      </c>
      <c r="F105" s="13"/>
      <c r="G105" s="13"/>
      <c r="H105" s="60"/>
    </row>
    <row r="106" spans="1:8" ht="18.600000000000001" customHeight="1" x14ac:dyDescent="0.2">
      <c r="A106" s="59" t="s">
        <v>27</v>
      </c>
      <c r="B106" s="13">
        <v>30</v>
      </c>
      <c r="C106" s="13"/>
      <c r="D106" s="36"/>
      <c r="E106" s="56">
        <v>43617</v>
      </c>
      <c r="F106" s="13"/>
      <c r="G106" s="13" t="s">
        <v>68</v>
      </c>
      <c r="H106" s="60"/>
    </row>
    <row r="107" spans="1:8" ht="18.600000000000001" customHeight="1" x14ac:dyDescent="0.2">
      <c r="A107" s="59" t="s">
        <v>54</v>
      </c>
      <c r="B107" s="13">
        <v>35</v>
      </c>
      <c r="C107" s="13"/>
      <c r="D107" s="36">
        <v>43617</v>
      </c>
      <c r="E107" s="56">
        <v>43617</v>
      </c>
      <c r="F107" s="13" t="s">
        <v>28</v>
      </c>
      <c r="G107" s="13"/>
      <c r="H107" s="60"/>
    </row>
    <row r="108" spans="1:8" ht="18.600000000000001" customHeight="1" x14ac:dyDescent="0.2">
      <c r="A108" s="59" t="s">
        <v>55</v>
      </c>
      <c r="B108" s="13">
        <v>60</v>
      </c>
      <c r="C108" s="13"/>
      <c r="D108" s="36"/>
      <c r="E108" s="56">
        <v>43617</v>
      </c>
      <c r="F108" s="13"/>
      <c r="G108" s="13" t="s">
        <v>68</v>
      </c>
      <c r="H108" s="60"/>
    </row>
    <row r="109" spans="1:8" ht="18.600000000000001" customHeight="1" x14ac:dyDescent="0.2">
      <c r="A109" s="59" t="s">
        <v>56</v>
      </c>
      <c r="B109" s="13">
        <v>30</v>
      </c>
      <c r="C109" s="13">
        <v>70</v>
      </c>
      <c r="D109" s="36">
        <v>43621</v>
      </c>
      <c r="E109" s="56">
        <v>43617</v>
      </c>
      <c r="F109" s="13" t="s">
        <v>28</v>
      </c>
      <c r="G109" s="13"/>
      <c r="H109" s="60"/>
    </row>
    <row r="110" spans="1:8" ht="18.600000000000001" customHeight="1" x14ac:dyDescent="0.2">
      <c r="A110" s="59" t="s">
        <v>65</v>
      </c>
      <c r="B110" s="13">
        <v>30</v>
      </c>
      <c r="C110" s="13"/>
      <c r="D110" s="36"/>
      <c r="E110" s="56">
        <v>43617</v>
      </c>
      <c r="F110" s="13"/>
      <c r="G110" s="13"/>
      <c r="H110" s="60"/>
    </row>
    <row r="111" spans="1:8" ht="18.600000000000001" customHeight="1" x14ac:dyDescent="0.2">
      <c r="A111" s="59" t="s">
        <v>81</v>
      </c>
      <c r="B111" s="13">
        <v>30</v>
      </c>
      <c r="C111" s="13"/>
      <c r="D111" s="36"/>
      <c r="E111" s="56">
        <v>43617</v>
      </c>
      <c r="F111" s="13"/>
      <c r="G111" s="13"/>
      <c r="H111" s="60"/>
    </row>
    <row r="112" spans="1:8" ht="18.600000000000001" customHeight="1" x14ac:dyDescent="0.2">
      <c r="A112" s="59" t="s">
        <v>85</v>
      </c>
      <c r="B112" s="13">
        <v>30</v>
      </c>
      <c r="C112" s="13"/>
      <c r="D112" s="36"/>
      <c r="E112" s="56">
        <v>43617</v>
      </c>
      <c r="F112" s="13"/>
      <c r="G112" s="13"/>
      <c r="H112" s="60"/>
    </row>
    <row r="113" spans="1:8" ht="18.600000000000001" customHeight="1" x14ac:dyDescent="0.2">
      <c r="A113" s="59" t="s">
        <v>90</v>
      </c>
      <c r="B113" s="13">
        <v>50</v>
      </c>
      <c r="C113" s="13"/>
      <c r="D113" s="36"/>
      <c r="E113" s="56">
        <v>43617</v>
      </c>
      <c r="F113" s="13"/>
      <c r="G113" s="13"/>
      <c r="H113" s="60"/>
    </row>
    <row r="114" spans="1:8" ht="18.600000000000001" customHeight="1" x14ac:dyDescent="0.2">
      <c r="A114" s="59" t="s">
        <v>138</v>
      </c>
      <c r="B114" s="13">
        <v>20</v>
      </c>
      <c r="C114" s="13"/>
      <c r="D114" s="36">
        <v>43620</v>
      </c>
      <c r="E114" s="56">
        <v>43617</v>
      </c>
      <c r="F114" s="13" t="s">
        <v>28</v>
      </c>
      <c r="G114" s="13"/>
      <c r="H114" s="60"/>
    </row>
    <row r="115" spans="1:8" ht="18.600000000000001" customHeight="1" x14ac:dyDescent="0.2">
      <c r="A115" s="59" t="s">
        <v>146</v>
      </c>
      <c r="B115" s="13">
        <v>15</v>
      </c>
      <c r="C115" s="13"/>
      <c r="D115" s="36">
        <v>43671</v>
      </c>
      <c r="E115" s="56">
        <v>43617</v>
      </c>
      <c r="F115" s="13"/>
      <c r="G115" s="13" t="s">
        <v>68</v>
      </c>
      <c r="H115" s="60"/>
    </row>
    <row r="116" spans="1:8" ht="18.600000000000001" customHeight="1" x14ac:dyDescent="0.2">
      <c r="A116" s="59" t="s">
        <v>147</v>
      </c>
      <c r="B116" s="13">
        <v>30</v>
      </c>
      <c r="C116" s="13"/>
      <c r="D116" s="36"/>
      <c r="E116" s="56">
        <v>43617</v>
      </c>
      <c r="F116" s="13"/>
      <c r="G116" s="13"/>
      <c r="H116" s="60"/>
    </row>
    <row r="117" spans="1:8" ht="18.600000000000001" customHeight="1" x14ac:dyDescent="0.2">
      <c r="A117" s="59" t="s">
        <v>53</v>
      </c>
      <c r="B117" s="13">
        <v>30</v>
      </c>
      <c r="C117" s="13"/>
      <c r="D117" s="36"/>
      <c r="E117" s="56">
        <v>43617</v>
      </c>
      <c r="F117" s="13"/>
      <c r="G117" s="13"/>
      <c r="H117" s="60"/>
    </row>
    <row r="118" spans="1:8" ht="18.600000000000001" customHeight="1" x14ac:dyDescent="0.2">
      <c r="A118" s="59" t="s">
        <v>185</v>
      </c>
      <c r="B118" s="13"/>
      <c r="C118" s="13"/>
      <c r="D118" s="36"/>
      <c r="E118" s="56">
        <v>43617</v>
      </c>
      <c r="F118" s="13"/>
      <c r="G118" s="13" t="s">
        <v>68</v>
      </c>
      <c r="H118" s="60"/>
    </row>
    <row r="119" spans="1:8" ht="18.600000000000001" customHeight="1" x14ac:dyDescent="0.2">
      <c r="A119" s="59" t="s">
        <v>124</v>
      </c>
      <c r="B119" s="13"/>
      <c r="C119" s="13"/>
      <c r="D119" s="36"/>
      <c r="E119" s="56">
        <v>43617</v>
      </c>
      <c r="F119" s="13"/>
      <c r="G119" s="13"/>
      <c r="H119" s="60"/>
    </row>
    <row r="120" spans="1:8" ht="18.600000000000001" customHeight="1" x14ac:dyDescent="0.2">
      <c r="A120" s="59" t="s">
        <v>83</v>
      </c>
      <c r="B120" s="13"/>
      <c r="C120" s="13"/>
      <c r="D120" s="36"/>
      <c r="E120" s="56">
        <v>43617</v>
      </c>
      <c r="F120" s="13"/>
      <c r="G120" s="13"/>
      <c r="H120" s="60"/>
    </row>
    <row r="121" spans="1:8" ht="18.600000000000001" customHeight="1" x14ac:dyDescent="0.2">
      <c r="A121" s="59" t="s">
        <v>84</v>
      </c>
      <c r="B121" s="13"/>
      <c r="C121" s="13"/>
      <c r="D121" s="36"/>
      <c r="E121" s="56">
        <v>43617</v>
      </c>
      <c r="F121" s="13"/>
      <c r="G121" s="13"/>
      <c r="H121" s="60"/>
    </row>
    <row r="122" spans="1:8" ht="18.600000000000001" customHeight="1" thickBot="1" x14ac:dyDescent="0.25">
      <c r="A122" s="61" t="s">
        <v>82</v>
      </c>
      <c r="B122" s="63"/>
      <c r="C122" s="63"/>
      <c r="D122" s="24"/>
      <c r="E122" s="28">
        <v>43617</v>
      </c>
      <c r="F122" s="19"/>
      <c r="G122" s="19"/>
      <c r="H122" s="62"/>
    </row>
    <row r="123" spans="1:8" ht="18.600000000000001" customHeight="1" thickBot="1" x14ac:dyDescent="0.25">
      <c r="A123" s="54" t="str">
        <f>CONCATENATE("TOTAL(", TEXT(E98,"mmm-yy"),")")</f>
        <v>TOTAL(Jun-19)</v>
      </c>
      <c r="B123" s="64">
        <f>SUMIF(E:E, E98, B:B)</f>
        <v>640</v>
      </c>
      <c r="C123" s="80">
        <f>SUMIF(E:E, E98, C:C)</f>
        <v>570</v>
      </c>
      <c r="D123" s="18"/>
      <c r="E123" s="18"/>
      <c r="F123" s="18"/>
      <c r="G123" s="18"/>
      <c r="H123" s="18"/>
    </row>
    <row r="124" spans="1:8" ht="18.600000000000001" customHeight="1" x14ac:dyDescent="0.2">
      <c r="A124" s="57" t="s">
        <v>51</v>
      </c>
      <c r="B124" s="20">
        <v>30</v>
      </c>
      <c r="C124" s="20"/>
      <c r="D124" s="21"/>
      <c r="E124" s="30">
        <v>43647</v>
      </c>
      <c r="F124" s="20"/>
      <c r="G124" s="20"/>
      <c r="H124" s="58"/>
    </row>
    <row r="125" spans="1:8" ht="18.600000000000001" customHeight="1" x14ac:dyDescent="0.2">
      <c r="A125" s="59" t="s">
        <v>20</v>
      </c>
      <c r="B125" s="13">
        <v>30</v>
      </c>
      <c r="C125" s="13"/>
      <c r="D125" s="36"/>
      <c r="E125" s="56">
        <v>43647</v>
      </c>
      <c r="F125" s="13"/>
      <c r="G125" s="13"/>
      <c r="H125" s="60"/>
    </row>
    <row r="126" spans="1:8" ht="18.600000000000001" customHeight="1" x14ac:dyDescent="0.2">
      <c r="A126" s="59" t="s">
        <v>21</v>
      </c>
      <c r="B126" s="13">
        <v>40</v>
      </c>
      <c r="C126" s="13"/>
      <c r="D126" s="36"/>
      <c r="E126" s="56">
        <v>43647</v>
      </c>
      <c r="F126" s="13"/>
      <c r="G126" s="13"/>
      <c r="H126" s="60"/>
    </row>
    <row r="127" spans="1:8" ht="18.600000000000001" customHeight="1" x14ac:dyDescent="0.2">
      <c r="A127" s="59" t="s">
        <v>22</v>
      </c>
      <c r="B127" s="13">
        <v>30</v>
      </c>
      <c r="C127" s="13"/>
      <c r="D127" s="36"/>
      <c r="E127" s="56">
        <v>43647</v>
      </c>
      <c r="F127" s="13"/>
      <c r="G127" s="13"/>
      <c r="H127" s="60"/>
    </row>
    <row r="128" spans="1:8" ht="18.600000000000001" customHeight="1" x14ac:dyDescent="0.2">
      <c r="A128" s="59" t="s">
        <v>24</v>
      </c>
      <c r="B128" s="13">
        <v>30</v>
      </c>
      <c r="C128" s="13"/>
      <c r="D128" s="36"/>
      <c r="E128" s="56">
        <v>43647</v>
      </c>
      <c r="F128" s="13"/>
      <c r="G128" s="13"/>
      <c r="H128" s="60"/>
    </row>
    <row r="129" spans="1:8" ht="18.600000000000001" customHeight="1" x14ac:dyDescent="0.2">
      <c r="A129" s="59" t="s">
        <v>52</v>
      </c>
      <c r="B129" s="13">
        <v>40</v>
      </c>
      <c r="C129" s="13"/>
      <c r="D129" s="36"/>
      <c r="E129" s="56">
        <v>43647</v>
      </c>
      <c r="F129" s="13"/>
      <c r="G129" s="13"/>
      <c r="H129" s="60"/>
    </row>
    <row r="130" spans="1:8" ht="18.600000000000001" customHeight="1" x14ac:dyDescent="0.2">
      <c r="A130" s="59" t="s">
        <v>25</v>
      </c>
      <c r="B130" s="13">
        <v>30</v>
      </c>
      <c r="C130" s="13"/>
      <c r="D130" s="36"/>
      <c r="E130" s="56">
        <v>43647</v>
      </c>
      <c r="F130" s="13"/>
      <c r="G130" s="13"/>
      <c r="H130" s="60"/>
    </row>
    <row r="131" spans="1:8" ht="18.600000000000001" customHeight="1" x14ac:dyDescent="0.2">
      <c r="A131" s="59" t="s">
        <v>26</v>
      </c>
      <c r="B131" s="13">
        <v>50</v>
      </c>
      <c r="C131" s="13"/>
      <c r="D131" s="36"/>
      <c r="E131" s="56">
        <v>43647</v>
      </c>
      <c r="F131" s="13"/>
      <c r="G131" s="13"/>
      <c r="H131" s="60"/>
    </row>
    <row r="132" spans="1:8" ht="18.600000000000001" customHeight="1" x14ac:dyDescent="0.2">
      <c r="A132" s="59" t="s">
        <v>27</v>
      </c>
      <c r="B132" s="13">
        <v>30</v>
      </c>
      <c r="C132" s="13"/>
      <c r="D132" s="36"/>
      <c r="E132" s="56">
        <v>43647</v>
      </c>
      <c r="F132" s="13"/>
      <c r="G132" s="13"/>
      <c r="H132" s="60"/>
    </row>
    <row r="133" spans="1:8" ht="18.600000000000001" customHeight="1" x14ac:dyDescent="0.2">
      <c r="A133" s="59" t="s">
        <v>54</v>
      </c>
      <c r="B133" s="13">
        <v>35</v>
      </c>
      <c r="C133" s="13"/>
      <c r="D133" s="36"/>
      <c r="E133" s="56">
        <v>43647</v>
      </c>
      <c r="F133" s="13"/>
      <c r="G133" s="13"/>
      <c r="H133" s="60"/>
    </row>
    <row r="134" spans="1:8" ht="18.600000000000001" customHeight="1" x14ac:dyDescent="0.2">
      <c r="A134" s="59" t="s">
        <v>55</v>
      </c>
      <c r="B134" s="13">
        <v>30</v>
      </c>
      <c r="C134" s="13"/>
      <c r="D134" s="36"/>
      <c r="E134" s="56">
        <v>43647</v>
      </c>
      <c r="F134" s="13"/>
      <c r="G134" s="13"/>
      <c r="H134" s="60"/>
    </row>
    <row r="135" spans="1:8" ht="18.600000000000001" customHeight="1" x14ac:dyDescent="0.2">
      <c r="A135" s="59" t="s">
        <v>56</v>
      </c>
      <c r="B135" s="13">
        <v>30</v>
      </c>
      <c r="C135" s="13"/>
      <c r="D135" s="36"/>
      <c r="E135" s="56">
        <v>43647</v>
      </c>
      <c r="F135" s="13"/>
      <c r="G135" s="13"/>
      <c r="H135" s="60"/>
    </row>
    <row r="136" spans="1:8" ht="18.600000000000001" customHeight="1" x14ac:dyDescent="0.2">
      <c r="A136" s="59" t="s">
        <v>65</v>
      </c>
      <c r="B136" s="13">
        <v>30</v>
      </c>
      <c r="C136" s="13"/>
      <c r="D136" s="36"/>
      <c r="E136" s="56">
        <v>43647</v>
      </c>
      <c r="F136" s="13"/>
      <c r="G136" s="13"/>
      <c r="H136" s="60"/>
    </row>
    <row r="137" spans="1:8" ht="18.600000000000001" customHeight="1" x14ac:dyDescent="0.2">
      <c r="A137" s="59" t="s">
        <v>81</v>
      </c>
      <c r="B137" s="13">
        <v>30</v>
      </c>
      <c r="C137" s="13"/>
      <c r="D137" s="36"/>
      <c r="E137" s="56">
        <v>43647</v>
      </c>
      <c r="F137" s="13"/>
      <c r="G137" s="13"/>
      <c r="H137" s="60"/>
    </row>
    <row r="138" spans="1:8" ht="18.600000000000001" customHeight="1" x14ac:dyDescent="0.2">
      <c r="A138" s="59" t="s">
        <v>85</v>
      </c>
      <c r="B138" s="13">
        <v>30</v>
      </c>
      <c r="C138" s="13"/>
      <c r="D138" s="36"/>
      <c r="E138" s="56">
        <v>43647</v>
      </c>
      <c r="F138" s="13"/>
      <c r="G138" s="13"/>
      <c r="H138" s="60"/>
    </row>
    <row r="139" spans="1:8" ht="18.600000000000001" customHeight="1" x14ac:dyDescent="0.2">
      <c r="A139" s="59" t="s">
        <v>90</v>
      </c>
      <c r="B139" s="13">
        <v>50</v>
      </c>
      <c r="C139" s="13"/>
      <c r="D139" s="36"/>
      <c r="E139" s="56">
        <v>43647</v>
      </c>
      <c r="F139" s="13"/>
      <c r="G139" s="13"/>
      <c r="H139" s="60"/>
    </row>
    <row r="140" spans="1:8" ht="18.600000000000001" customHeight="1" x14ac:dyDescent="0.2">
      <c r="A140" s="59" t="s">
        <v>138</v>
      </c>
      <c r="B140" s="13">
        <v>25</v>
      </c>
      <c r="C140" s="13"/>
      <c r="D140" s="36"/>
      <c r="E140" s="56">
        <v>43647</v>
      </c>
      <c r="F140" s="13"/>
      <c r="G140" s="13"/>
      <c r="H140" s="60"/>
    </row>
    <row r="141" spans="1:8" ht="18.600000000000001" customHeight="1" x14ac:dyDescent="0.2">
      <c r="A141" s="59" t="s">
        <v>146</v>
      </c>
      <c r="B141" s="13">
        <v>15</v>
      </c>
      <c r="C141" s="13"/>
      <c r="D141" s="36"/>
      <c r="E141" s="56">
        <v>43647</v>
      </c>
      <c r="F141" s="13"/>
      <c r="G141" s="13"/>
      <c r="H141" s="60"/>
    </row>
    <row r="142" spans="1:8" ht="18.600000000000001" customHeight="1" x14ac:dyDescent="0.2">
      <c r="A142" s="59" t="s">
        <v>147</v>
      </c>
      <c r="B142" s="13">
        <v>30</v>
      </c>
      <c r="C142" s="13"/>
      <c r="D142" s="36"/>
      <c r="E142" s="56">
        <v>43647</v>
      </c>
      <c r="F142" s="13"/>
      <c r="G142" s="13"/>
      <c r="H142" s="60"/>
    </row>
    <row r="143" spans="1:8" ht="18.600000000000001" customHeight="1" x14ac:dyDescent="0.2">
      <c r="A143" s="59" t="s">
        <v>53</v>
      </c>
      <c r="B143" s="13">
        <v>30</v>
      </c>
      <c r="C143" s="13"/>
      <c r="D143" s="36"/>
      <c r="E143" s="56">
        <v>43647</v>
      </c>
      <c r="F143" s="13"/>
      <c r="G143" s="13"/>
      <c r="H143" s="60"/>
    </row>
    <row r="144" spans="1:8" ht="18.600000000000001" customHeight="1" x14ac:dyDescent="0.2">
      <c r="A144" s="59" t="s">
        <v>185</v>
      </c>
      <c r="B144" s="13"/>
      <c r="C144" s="13"/>
      <c r="D144" s="36"/>
      <c r="E144" s="56">
        <v>43647</v>
      </c>
      <c r="F144" s="13"/>
      <c r="G144" s="13"/>
      <c r="H144" s="60"/>
    </row>
    <row r="145" spans="1:8" ht="18.600000000000001" customHeight="1" x14ac:dyDescent="0.2">
      <c r="A145" s="59" t="s">
        <v>124</v>
      </c>
      <c r="B145" s="13"/>
      <c r="C145" s="13"/>
      <c r="D145" s="36"/>
      <c r="E145" s="56">
        <v>43647</v>
      </c>
      <c r="F145" s="13"/>
      <c r="G145" s="13"/>
      <c r="H145" s="60"/>
    </row>
    <row r="146" spans="1:8" ht="18.600000000000001" customHeight="1" x14ac:dyDescent="0.2">
      <c r="A146" s="59" t="s">
        <v>83</v>
      </c>
      <c r="B146" s="13"/>
      <c r="C146" s="13"/>
      <c r="D146" s="36"/>
      <c r="E146" s="56">
        <v>43647</v>
      </c>
      <c r="F146" s="13"/>
      <c r="G146" s="13"/>
      <c r="H146" s="60"/>
    </row>
    <row r="147" spans="1:8" ht="18.600000000000001" customHeight="1" x14ac:dyDescent="0.2">
      <c r="A147" s="59" t="s">
        <v>84</v>
      </c>
      <c r="B147" s="13"/>
      <c r="C147" s="13"/>
      <c r="D147" s="36"/>
      <c r="E147" s="56">
        <v>43647</v>
      </c>
      <c r="F147" s="13"/>
      <c r="G147" s="13"/>
      <c r="H147" s="60"/>
    </row>
    <row r="148" spans="1:8" ht="18.600000000000001" customHeight="1" thickBot="1" x14ac:dyDescent="0.25">
      <c r="A148" s="61" t="s">
        <v>82</v>
      </c>
      <c r="B148" s="63"/>
      <c r="C148" s="63"/>
      <c r="D148" s="24"/>
      <c r="E148" s="28">
        <v>43647</v>
      </c>
      <c r="F148" s="19"/>
      <c r="G148" s="19"/>
      <c r="H148" s="62"/>
    </row>
    <row r="149" spans="1:8" ht="18.600000000000001" customHeight="1" thickBot="1" x14ac:dyDescent="0.25">
      <c r="A149" s="54" t="str">
        <f>CONCATENATE("TOTAL(", TEXT(E124,"mmm-yy"),")")</f>
        <v>TOTAL(Jul-19)</v>
      </c>
      <c r="B149" s="64">
        <f>SUMIF(E:E, E124, B:B)</f>
        <v>645</v>
      </c>
      <c r="C149" s="64">
        <f>SUMIF(F:F, F124, C:C)</f>
        <v>0</v>
      </c>
      <c r="D149" s="18"/>
      <c r="E149" s="18"/>
      <c r="F149" s="18"/>
      <c r="G149" s="18"/>
      <c r="H149" s="18"/>
    </row>
    <row r="150" spans="1:8" ht="18.600000000000001" customHeight="1" x14ac:dyDescent="0.2">
      <c r="A150" s="57" t="s">
        <v>51</v>
      </c>
      <c r="B150" s="20">
        <v>30</v>
      </c>
      <c r="C150" s="20"/>
      <c r="D150" s="21"/>
      <c r="E150" s="30">
        <v>43678</v>
      </c>
      <c r="F150" s="20"/>
      <c r="G150" s="20"/>
      <c r="H150" s="58"/>
    </row>
    <row r="151" spans="1:8" ht="18.600000000000001" customHeight="1" x14ac:dyDescent="0.2">
      <c r="A151" s="59" t="s">
        <v>20</v>
      </c>
      <c r="B151" s="13">
        <v>30</v>
      </c>
      <c r="C151" s="13"/>
      <c r="D151" s="36"/>
      <c r="E151" s="56">
        <v>43678</v>
      </c>
      <c r="F151" s="13"/>
      <c r="G151" s="13"/>
      <c r="H151" s="60"/>
    </row>
    <row r="152" spans="1:8" ht="18.600000000000001" customHeight="1" x14ac:dyDescent="0.2">
      <c r="A152" s="59" t="s">
        <v>21</v>
      </c>
      <c r="B152" s="13">
        <v>40</v>
      </c>
      <c r="C152" s="13"/>
      <c r="D152" s="36"/>
      <c r="E152" s="56">
        <v>43678</v>
      </c>
      <c r="F152" s="13"/>
      <c r="G152" s="13"/>
      <c r="H152" s="60"/>
    </row>
    <row r="153" spans="1:8" ht="18.600000000000001" customHeight="1" x14ac:dyDescent="0.2">
      <c r="A153" s="59" t="s">
        <v>22</v>
      </c>
      <c r="B153" s="13">
        <v>30</v>
      </c>
      <c r="C153" s="13"/>
      <c r="D153" s="36"/>
      <c r="E153" s="56">
        <v>43678</v>
      </c>
      <c r="F153" s="13"/>
      <c r="G153" s="13"/>
      <c r="H153" s="60"/>
    </row>
    <row r="154" spans="1:8" ht="18.600000000000001" customHeight="1" x14ac:dyDescent="0.2">
      <c r="A154" s="59" t="s">
        <v>24</v>
      </c>
      <c r="B154" s="13">
        <v>30</v>
      </c>
      <c r="C154" s="13"/>
      <c r="D154" s="36"/>
      <c r="E154" s="56">
        <v>43678</v>
      </c>
      <c r="F154" s="13"/>
      <c r="G154" s="13"/>
      <c r="H154" s="60"/>
    </row>
    <row r="155" spans="1:8" ht="18.600000000000001" customHeight="1" x14ac:dyDescent="0.2">
      <c r="A155" s="59" t="s">
        <v>52</v>
      </c>
      <c r="B155" s="13">
        <v>30</v>
      </c>
      <c r="C155" s="13"/>
      <c r="D155" s="36"/>
      <c r="E155" s="56">
        <v>43678</v>
      </c>
      <c r="F155" s="13"/>
      <c r="G155" s="13"/>
      <c r="H155" s="60"/>
    </row>
    <row r="156" spans="1:8" ht="18.600000000000001" customHeight="1" x14ac:dyDescent="0.2">
      <c r="A156" s="59" t="s">
        <v>25</v>
      </c>
      <c r="B156" s="13">
        <v>30</v>
      </c>
      <c r="C156" s="13"/>
      <c r="D156" s="36"/>
      <c r="E156" s="56">
        <v>43678</v>
      </c>
      <c r="F156" s="13"/>
      <c r="G156" s="13"/>
      <c r="H156" s="60"/>
    </row>
    <row r="157" spans="1:8" ht="18.600000000000001" customHeight="1" x14ac:dyDescent="0.2">
      <c r="A157" s="59" t="s">
        <v>26</v>
      </c>
      <c r="B157" s="13">
        <v>100</v>
      </c>
      <c r="C157" s="13"/>
      <c r="D157" s="36"/>
      <c r="E157" s="56">
        <v>43678</v>
      </c>
      <c r="F157" s="13"/>
      <c r="G157" s="13"/>
      <c r="H157" s="60"/>
    </row>
    <row r="158" spans="1:8" ht="18.600000000000001" customHeight="1" x14ac:dyDescent="0.2">
      <c r="A158" s="59" t="s">
        <v>27</v>
      </c>
      <c r="B158" s="13">
        <v>30</v>
      </c>
      <c r="C158" s="13"/>
      <c r="D158" s="36"/>
      <c r="E158" s="56">
        <v>43678</v>
      </c>
      <c r="F158" s="13"/>
      <c r="G158" s="13"/>
      <c r="H158" s="60"/>
    </row>
    <row r="159" spans="1:8" ht="18.600000000000001" customHeight="1" x14ac:dyDescent="0.2">
      <c r="A159" s="59" t="s">
        <v>54</v>
      </c>
      <c r="B159" s="13">
        <v>30</v>
      </c>
      <c r="C159" s="13"/>
      <c r="D159" s="36"/>
      <c r="E159" s="56">
        <v>43678</v>
      </c>
      <c r="F159" s="13"/>
      <c r="G159" s="13"/>
      <c r="H159" s="60"/>
    </row>
    <row r="160" spans="1:8" ht="18.600000000000001" customHeight="1" x14ac:dyDescent="0.2">
      <c r="A160" s="59" t="s">
        <v>55</v>
      </c>
      <c r="B160" s="13">
        <v>30</v>
      </c>
      <c r="C160" s="13"/>
      <c r="D160" s="36"/>
      <c r="E160" s="56">
        <v>43678</v>
      </c>
      <c r="F160" s="13"/>
      <c r="G160" s="13"/>
      <c r="H160" s="60"/>
    </row>
    <row r="161" spans="1:8" ht="18.600000000000001" customHeight="1" x14ac:dyDescent="0.2">
      <c r="A161" s="59" t="s">
        <v>56</v>
      </c>
      <c r="B161" s="13">
        <v>50</v>
      </c>
      <c r="C161" s="13"/>
      <c r="D161" s="36"/>
      <c r="E161" s="56">
        <v>43678</v>
      </c>
      <c r="F161" s="13"/>
      <c r="G161" s="13"/>
      <c r="H161" s="60"/>
    </row>
    <row r="162" spans="1:8" ht="18.600000000000001" customHeight="1" x14ac:dyDescent="0.2">
      <c r="A162" s="59" t="s">
        <v>65</v>
      </c>
      <c r="B162" s="13">
        <v>30</v>
      </c>
      <c r="C162" s="13"/>
      <c r="D162" s="36"/>
      <c r="E162" s="56">
        <v>43678</v>
      </c>
      <c r="F162" s="13"/>
      <c r="G162" s="13"/>
      <c r="H162" s="60"/>
    </row>
    <row r="163" spans="1:8" ht="18.600000000000001" customHeight="1" x14ac:dyDescent="0.2">
      <c r="A163" s="59" t="s">
        <v>81</v>
      </c>
      <c r="B163" s="13">
        <v>30</v>
      </c>
      <c r="C163" s="13"/>
      <c r="D163" s="36"/>
      <c r="E163" s="56">
        <v>43678</v>
      </c>
      <c r="F163" s="13"/>
      <c r="G163" s="13"/>
      <c r="H163" s="60"/>
    </row>
    <row r="164" spans="1:8" ht="18.600000000000001" customHeight="1" x14ac:dyDescent="0.2">
      <c r="A164" s="59" t="s">
        <v>85</v>
      </c>
      <c r="B164" s="13">
        <v>30</v>
      </c>
      <c r="C164" s="13"/>
      <c r="D164" s="36"/>
      <c r="E164" s="56">
        <v>43678</v>
      </c>
      <c r="F164" s="13"/>
      <c r="G164" s="13"/>
      <c r="H164" s="60"/>
    </row>
    <row r="165" spans="1:8" ht="18.600000000000001" customHeight="1" x14ac:dyDescent="0.2">
      <c r="A165" s="59" t="s">
        <v>90</v>
      </c>
      <c r="B165" s="13">
        <v>50</v>
      </c>
      <c r="C165" s="13"/>
      <c r="D165" s="36"/>
      <c r="E165" s="56">
        <v>43678</v>
      </c>
      <c r="F165" s="13"/>
      <c r="G165" s="13"/>
      <c r="H165" s="60"/>
    </row>
    <row r="166" spans="1:8" ht="18.600000000000001" customHeight="1" x14ac:dyDescent="0.2">
      <c r="A166" s="59" t="s">
        <v>53</v>
      </c>
      <c r="B166" s="13">
        <v>30</v>
      </c>
      <c r="C166" s="13"/>
      <c r="D166" s="36"/>
      <c r="E166" s="56">
        <v>43678</v>
      </c>
      <c r="F166" s="13"/>
      <c r="G166" s="13"/>
      <c r="H166" s="60"/>
    </row>
    <row r="167" spans="1:8" ht="18.600000000000001" customHeight="1" x14ac:dyDescent="0.2">
      <c r="A167" s="59" t="s">
        <v>138</v>
      </c>
      <c r="B167" s="13">
        <v>30</v>
      </c>
      <c r="C167" s="13"/>
      <c r="D167" s="36"/>
      <c r="E167" s="56">
        <v>43678</v>
      </c>
      <c r="F167" s="13"/>
      <c r="G167" s="13"/>
      <c r="H167" s="60"/>
    </row>
    <row r="168" spans="1:8" ht="18.600000000000001" customHeight="1" x14ac:dyDescent="0.2">
      <c r="A168" s="59" t="s">
        <v>146</v>
      </c>
      <c r="B168" s="13">
        <v>20</v>
      </c>
      <c r="C168" s="13"/>
      <c r="D168" s="36"/>
      <c r="E168" s="56">
        <v>43678</v>
      </c>
      <c r="F168" s="13"/>
      <c r="G168" s="13"/>
      <c r="H168" s="60"/>
    </row>
    <row r="169" spans="1:8" ht="18.600000000000001" customHeight="1" x14ac:dyDescent="0.2">
      <c r="A169" s="59" t="s">
        <v>147</v>
      </c>
      <c r="B169" s="13">
        <v>30</v>
      </c>
      <c r="C169" s="13"/>
      <c r="D169" s="36"/>
      <c r="E169" s="56">
        <v>43678</v>
      </c>
      <c r="F169" s="13"/>
      <c r="G169" s="13"/>
      <c r="H169" s="60"/>
    </row>
    <row r="170" spans="1:8" ht="18.600000000000001" customHeight="1" x14ac:dyDescent="0.2">
      <c r="A170" s="59" t="s">
        <v>185</v>
      </c>
      <c r="B170" s="13"/>
      <c r="C170" s="13"/>
      <c r="D170" s="36"/>
      <c r="E170" s="56">
        <v>43678</v>
      </c>
      <c r="F170" s="13"/>
      <c r="G170" s="13"/>
      <c r="H170" s="60"/>
    </row>
    <row r="171" spans="1:8" ht="18.600000000000001" customHeight="1" x14ac:dyDescent="0.2">
      <c r="A171" s="59" t="s">
        <v>124</v>
      </c>
      <c r="B171" s="13"/>
      <c r="C171" s="13"/>
      <c r="D171" s="36"/>
      <c r="E171" s="56">
        <v>43678</v>
      </c>
      <c r="F171" s="13"/>
      <c r="G171" s="13"/>
      <c r="H171" s="60"/>
    </row>
    <row r="172" spans="1:8" ht="18.600000000000001" customHeight="1" x14ac:dyDescent="0.2">
      <c r="A172" s="59" t="s">
        <v>83</v>
      </c>
      <c r="B172" s="13"/>
      <c r="C172" s="13"/>
      <c r="D172" s="36"/>
      <c r="E172" s="56">
        <v>43678</v>
      </c>
      <c r="F172" s="13"/>
      <c r="G172" s="13"/>
      <c r="H172" s="60"/>
    </row>
    <row r="173" spans="1:8" ht="18.600000000000001" customHeight="1" x14ac:dyDescent="0.2">
      <c r="A173" s="59" t="s">
        <v>84</v>
      </c>
      <c r="B173" s="13"/>
      <c r="C173" s="13"/>
      <c r="D173" s="36"/>
      <c r="E173" s="56">
        <v>43678</v>
      </c>
      <c r="F173" s="13"/>
      <c r="G173" s="13"/>
      <c r="H173" s="60"/>
    </row>
    <row r="174" spans="1:8" ht="18.600000000000001" customHeight="1" thickBot="1" x14ac:dyDescent="0.25">
      <c r="A174" s="61" t="s">
        <v>82</v>
      </c>
      <c r="B174" s="63"/>
      <c r="C174" s="63"/>
      <c r="D174" s="24"/>
      <c r="E174" s="28">
        <v>43678</v>
      </c>
      <c r="F174" s="19"/>
      <c r="G174" s="19"/>
      <c r="H174" s="62"/>
    </row>
    <row r="175" spans="1:8" ht="18.600000000000001" customHeight="1" thickBot="1" x14ac:dyDescent="0.25">
      <c r="A175" s="54" t="str">
        <f>CONCATENATE("TOTAL(", TEXT(E150,"mmm-yy"),")")</f>
        <v>TOTAL(Aug-19)</v>
      </c>
      <c r="B175" s="64">
        <f>SUMIF(E:E, E150, B:B)</f>
        <v>710</v>
      </c>
      <c r="C175" s="80"/>
      <c r="D175" s="18"/>
      <c r="E175" s="18"/>
      <c r="F175" s="18"/>
      <c r="G175" s="18"/>
      <c r="H175" s="18"/>
    </row>
    <row r="176" spans="1:8" ht="18.600000000000001" customHeight="1" x14ac:dyDescent="0.2">
      <c r="A176" s="57" t="s">
        <v>51</v>
      </c>
      <c r="B176" s="20">
        <v>30</v>
      </c>
      <c r="C176" s="20"/>
      <c r="D176" s="21"/>
      <c r="E176" s="30">
        <v>43709</v>
      </c>
      <c r="F176" s="20"/>
      <c r="G176" s="20"/>
      <c r="H176" s="58"/>
    </row>
    <row r="177" spans="1:8" ht="18.600000000000001" customHeight="1" x14ac:dyDescent="0.2">
      <c r="A177" s="59" t="s">
        <v>20</v>
      </c>
      <c r="B177" s="13">
        <v>30</v>
      </c>
      <c r="C177" s="13"/>
      <c r="D177" s="36"/>
      <c r="E177" s="56">
        <v>43709</v>
      </c>
      <c r="F177" s="13"/>
      <c r="G177" s="13"/>
      <c r="H177" s="60"/>
    </row>
    <row r="178" spans="1:8" ht="18.600000000000001" customHeight="1" x14ac:dyDescent="0.2">
      <c r="A178" s="59" t="s">
        <v>21</v>
      </c>
      <c r="B178" s="13">
        <v>40</v>
      </c>
      <c r="C178" s="13"/>
      <c r="D178" s="36"/>
      <c r="E178" s="56">
        <v>43709</v>
      </c>
      <c r="F178" s="13"/>
      <c r="G178" s="13"/>
      <c r="H178" s="60"/>
    </row>
    <row r="179" spans="1:8" ht="18.600000000000001" customHeight="1" x14ac:dyDescent="0.2">
      <c r="A179" s="59" t="s">
        <v>22</v>
      </c>
      <c r="B179" s="13">
        <v>30</v>
      </c>
      <c r="C179" s="13"/>
      <c r="D179" s="36"/>
      <c r="E179" s="56">
        <v>43709</v>
      </c>
      <c r="F179" s="13"/>
      <c r="G179" s="13"/>
      <c r="H179" s="60"/>
    </row>
    <row r="180" spans="1:8" ht="18.600000000000001" customHeight="1" x14ac:dyDescent="0.2">
      <c r="A180" s="59" t="s">
        <v>24</v>
      </c>
      <c r="B180" s="13">
        <v>30</v>
      </c>
      <c r="C180" s="13"/>
      <c r="D180" s="36"/>
      <c r="E180" s="56">
        <v>43709</v>
      </c>
      <c r="F180" s="13"/>
      <c r="G180" s="13"/>
      <c r="H180" s="60"/>
    </row>
    <row r="181" spans="1:8" ht="18.600000000000001" customHeight="1" x14ac:dyDescent="0.2">
      <c r="A181" s="59" t="s">
        <v>52</v>
      </c>
      <c r="B181" s="13">
        <v>40</v>
      </c>
      <c r="C181" s="13"/>
      <c r="D181" s="36"/>
      <c r="E181" s="56">
        <v>43709</v>
      </c>
      <c r="F181" s="13"/>
      <c r="G181" s="13"/>
      <c r="H181" s="60"/>
    </row>
    <row r="182" spans="1:8" ht="18.600000000000001" customHeight="1" x14ac:dyDescent="0.2">
      <c r="A182" s="59" t="s">
        <v>25</v>
      </c>
      <c r="B182" s="13">
        <v>30</v>
      </c>
      <c r="C182" s="13"/>
      <c r="D182" s="36"/>
      <c r="E182" s="56">
        <v>43709</v>
      </c>
      <c r="F182" s="13"/>
      <c r="G182" s="13"/>
      <c r="H182" s="60"/>
    </row>
    <row r="183" spans="1:8" ht="18.600000000000001" customHeight="1" x14ac:dyDescent="0.2">
      <c r="A183" s="59" t="s">
        <v>26</v>
      </c>
      <c r="B183" s="13">
        <v>30</v>
      </c>
      <c r="C183" s="13"/>
      <c r="D183" s="36"/>
      <c r="E183" s="56">
        <v>43709</v>
      </c>
      <c r="F183" s="13"/>
      <c r="G183" s="13"/>
      <c r="H183" s="60"/>
    </row>
    <row r="184" spans="1:8" ht="18.600000000000001" customHeight="1" x14ac:dyDescent="0.2">
      <c r="A184" s="59" t="s">
        <v>27</v>
      </c>
      <c r="B184" s="13">
        <v>30</v>
      </c>
      <c r="C184" s="13"/>
      <c r="D184" s="36"/>
      <c r="E184" s="56">
        <v>43709</v>
      </c>
      <c r="F184" s="13"/>
      <c r="G184" s="13"/>
      <c r="H184" s="60"/>
    </row>
    <row r="185" spans="1:8" ht="18.600000000000001" customHeight="1" x14ac:dyDescent="0.2">
      <c r="A185" s="59" t="s">
        <v>54</v>
      </c>
      <c r="B185" s="13">
        <v>36</v>
      </c>
      <c r="C185" s="13"/>
      <c r="D185" s="36"/>
      <c r="E185" s="56">
        <v>43709</v>
      </c>
      <c r="F185" s="13"/>
      <c r="G185" s="13"/>
      <c r="H185" s="60"/>
    </row>
    <row r="186" spans="1:8" ht="18.600000000000001" customHeight="1" x14ac:dyDescent="0.2">
      <c r="A186" s="59" t="s">
        <v>55</v>
      </c>
      <c r="B186" s="13">
        <v>40</v>
      </c>
      <c r="C186" s="13"/>
      <c r="D186" s="36"/>
      <c r="E186" s="56">
        <v>43709</v>
      </c>
      <c r="F186" s="13"/>
      <c r="G186" s="13"/>
      <c r="H186" s="60"/>
    </row>
    <row r="187" spans="1:8" ht="18.600000000000001" customHeight="1" x14ac:dyDescent="0.2">
      <c r="A187" s="59" t="s">
        <v>56</v>
      </c>
      <c r="B187" s="13">
        <v>40</v>
      </c>
      <c r="C187" s="13"/>
      <c r="D187" s="36"/>
      <c r="E187" s="56">
        <v>43709</v>
      </c>
      <c r="F187" s="13"/>
      <c r="G187" s="13"/>
      <c r="H187" s="60"/>
    </row>
    <row r="188" spans="1:8" ht="18.600000000000001" customHeight="1" x14ac:dyDescent="0.2">
      <c r="A188" s="59" t="s">
        <v>65</v>
      </c>
      <c r="B188" s="13">
        <v>30</v>
      </c>
      <c r="C188" s="13"/>
      <c r="D188" s="36"/>
      <c r="E188" s="56">
        <v>43709</v>
      </c>
      <c r="F188" s="13"/>
      <c r="G188" s="13"/>
      <c r="H188" s="60"/>
    </row>
    <row r="189" spans="1:8" ht="18.600000000000001" customHeight="1" x14ac:dyDescent="0.2">
      <c r="A189" s="59" t="s">
        <v>81</v>
      </c>
      <c r="B189" s="13">
        <v>30</v>
      </c>
      <c r="C189" s="13"/>
      <c r="D189" s="36"/>
      <c r="E189" s="56">
        <v>43709</v>
      </c>
      <c r="F189" s="13"/>
      <c r="G189" s="13"/>
      <c r="H189" s="60"/>
    </row>
    <row r="190" spans="1:8" ht="18.600000000000001" customHeight="1" x14ac:dyDescent="0.2">
      <c r="A190" s="59" t="s">
        <v>85</v>
      </c>
      <c r="B190" s="13">
        <v>30</v>
      </c>
      <c r="C190" s="13"/>
      <c r="D190" s="36"/>
      <c r="E190" s="56">
        <v>43709</v>
      </c>
      <c r="F190" s="13"/>
      <c r="G190" s="13"/>
      <c r="H190" s="60"/>
    </row>
    <row r="191" spans="1:8" ht="18.600000000000001" customHeight="1" x14ac:dyDescent="0.2">
      <c r="A191" s="59" t="s">
        <v>90</v>
      </c>
      <c r="B191" s="13">
        <v>50</v>
      </c>
      <c r="C191" s="13"/>
      <c r="D191" s="36"/>
      <c r="E191" s="56">
        <v>43709</v>
      </c>
      <c r="F191" s="13"/>
      <c r="G191" s="13"/>
      <c r="H191" s="60"/>
    </row>
    <row r="192" spans="1:8" ht="18.600000000000001" customHeight="1" x14ac:dyDescent="0.2">
      <c r="A192" s="59" t="s">
        <v>53</v>
      </c>
      <c r="B192" s="13">
        <v>30</v>
      </c>
      <c r="C192" s="13"/>
      <c r="D192" s="36"/>
      <c r="E192" s="56">
        <v>43709</v>
      </c>
      <c r="F192" s="13"/>
      <c r="G192" s="13"/>
      <c r="H192" s="60"/>
    </row>
    <row r="193" spans="1:8" ht="18.600000000000001" customHeight="1" x14ac:dyDescent="0.2">
      <c r="A193" s="59" t="s">
        <v>138</v>
      </c>
      <c r="B193" s="13"/>
      <c r="C193" s="13"/>
      <c r="D193" s="36"/>
      <c r="E193" s="56">
        <v>43709</v>
      </c>
      <c r="F193" s="13"/>
      <c r="G193" s="13"/>
      <c r="H193" s="60"/>
    </row>
    <row r="194" spans="1:8" ht="18.600000000000001" customHeight="1" x14ac:dyDescent="0.2">
      <c r="A194" s="59" t="s">
        <v>146</v>
      </c>
      <c r="B194" s="13">
        <v>15</v>
      </c>
      <c r="C194" s="13"/>
      <c r="D194" s="36"/>
      <c r="E194" s="56">
        <v>43709</v>
      </c>
      <c r="F194" s="13"/>
      <c r="G194" s="13"/>
      <c r="H194" s="60"/>
    </row>
    <row r="195" spans="1:8" ht="18.600000000000001" customHeight="1" x14ac:dyDescent="0.2">
      <c r="A195" s="59" t="s">
        <v>147</v>
      </c>
      <c r="B195" s="13">
        <v>30</v>
      </c>
      <c r="C195" s="13"/>
      <c r="D195" s="36"/>
      <c r="E195" s="56">
        <v>43709</v>
      </c>
      <c r="F195" s="13"/>
      <c r="G195" s="13"/>
      <c r="H195" s="60"/>
    </row>
    <row r="196" spans="1:8" ht="18.600000000000001" customHeight="1" x14ac:dyDescent="0.2">
      <c r="A196" s="59" t="s">
        <v>206</v>
      </c>
      <c r="B196" s="13">
        <v>50</v>
      </c>
      <c r="C196" s="13"/>
      <c r="D196" s="36"/>
      <c r="E196" s="56">
        <v>43709</v>
      </c>
      <c r="F196" s="13"/>
      <c r="G196" s="13"/>
      <c r="H196" s="60"/>
    </row>
    <row r="197" spans="1:8" ht="18.600000000000001" customHeight="1" x14ac:dyDescent="0.2">
      <c r="A197" s="59" t="s">
        <v>185</v>
      </c>
      <c r="B197" s="13"/>
      <c r="C197" s="13"/>
      <c r="D197" s="36"/>
      <c r="E197" s="56">
        <v>43709</v>
      </c>
      <c r="F197" s="13"/>
      <c r="G197" s="13"/>
      <c r="H197" s="60"/>
    </row>
    <row r="198" spans="1:8" ht="18.600000000000001" customHeight="1" x14ac:dyDescent="0.2">
      <c r="A198" s="59" t="s">
        <v>124</v>
      </c>
      <c r="B198" s="13"/>
      <c r="C198" s="13"/>
      <c r="D198" s="36"/>
      <c r="E198" s="56">
        <v>43709</v>
      </c>
      <c r="F198" s="13"/>
      <c r="G198" s="13"/>
      <c r="H198" s="60"/>
    </row>
    <row r="199" spans="1:8" ht="18.600000000000001" customHeight="1" x14ac:dyDescent="0.2">
      <c r="A199" s="59" t="s">
        <v>83</v>
      </c>
      <c r="B199" s="13"/>
      <c r="C199" s="13"/>
      <c r="D199" s="36"/>
      <c r="E199" s="56">
        <v>43709</v>
      </c>
      <c r="F199" s="13"/>
      <c r="G199" s="13"/>
      <c r="H199" s="60"/>
    </row>
    <row r="200" spans="1:8" ht="18.600000000000001" customHeight="1" x14ac:dyDescent="0.2">
      <c r="A200" s="59" t="s">
        <v>84</v>
      </c>
      <c r="B200" s="13"/>
      <c r="C200" s="13"/>
      <c r="D200" s="36"/>
      <c r="E200" s="56">
        <v>43709</v>
      </c>
      <c r="F200" s="13"/>
      <c r="G200" s="13"/>
      <c r="H200" s="60"/>
    </row>
    <row r="201" spans="1:8" ht="18.600000000000001" customHeight="1" thickBot="1" x14ac:dyDescent="0.25">
      <c r="A201" s="61" t="s">
        <v>82</v>
      </c>
      <c r="B201" s="63"/>
      <c r="C201" s="63"/>
      <c r="D201" s="24"/>
      <c r="E201" s="28">
        <v>43709</v>
      </c>
      <c r="F201" s="19"/>
      <c r="G201" s="19"/>
      <c r="H201" s="62"/>
    </row>
    <row r="202" spans="1:8" ht="18.600000000000001" customHeight="1" thickBot="1" x14ac:dyDescent="0.25">
      <c r="A202" s="54" t="str">
        <f>CONCATENATE("TOTAL(", TEXT(E176,"mmm-yy"),")")</f>
        <v>TOTAL(Sep-19)</v>
      </c>
      <c r="B202" s="64">
        <f>SUMIF(E:E, E176, B:B)</f>
        <v>671</v>
      </c>
      <c r="C202" s="80"/>
      <c r="D202" s="18"/>
      <c r="E202" s="18"/>
      <c r="F202" s="18"/>
      <c r="G202" s="18"/>
      <c r="H202" s="18"/>
    </row>
    <row r="203" spans="1:8" ht="18.600000000000001" customHeight="1" x14ac:dyDescent="0.2">
      <c r="A203" s="57" t="s">
        <v>51</v>
      </c>
      <c r="B203" s="20">
        <v>30</v>
      </c>
      <c r="C203" s="20"/>
      <c r="D203" s="21"/>
      <c r="E203" s="30">
        <v>43739</v>
      </c>
      <c r="F203" s="20"/>
      <c r="G203" s="20"/>
      <c r="H203" s="58"/>
    </row>
    <row r="204" spans="1:8" ht="18.600000000000001" customHeight="1" x14ac:dyDescent="0.2">
      <c r="A204" s="59" t="s">
        <v>20</v>
      </c>
      <c r="B204" s="13">
        <v>30</v>
      </c>
      <c r="C204" s="13"/>
      <c r="D204" s="36"/>
      <c r="E204" s="56">
        <v>43739</v>
      </c>
      <c r="F204" s="13"/>
      <c r="G204" s="13"/>
      <c r="H204" s="60"/>
    </row>
    <row r="205" spans="1:8" ht="18.600000000000001" customHeight="1" x14ac:dyDescent="0.2">
      <c r="A205" s="59" t="s">
        <v>21</v>
      </c>
      <c r="B205" s="13">
        <v>40</v>
      </c>
      <c r="C205" s="13"/>
      <c r="D205" s="36"/>
      <c r="E205" s="56">
        <v>43739</v>
      </c>
      <c r="F205" s="13"/>
      <c r="G205" s="13"/>
      <c r="H205" s="60"/>
    </row>
    <row r="206" spans="1:8" ht="18.600000000000001" customHeight="1" x14ac:dyDescent="0.2">
      <c r="A206" s="59" t="s">
        <v>22</v>
      </c>
      <c r="B206" s="13">
        <v>30</v>
      </c>
      <c r="C206" s="13"/>
      <c r="D206" s="36"/>
      <c r="E206" s="56">
        <v>43739</v>
      </c>
      <c r="F206" s="13"/>
      <c r="G206" s="13"/>
      <c r="H206" s="60"/>
    </row>
    <row r="207" spans="1:8" ht="18.600000000000001" customHeight="1" x14ac:dyDescent="0.2">
      <c r="A207" s="59" t="s">
        <v>24</v>
      </c>
      <c r="B207" s="13">
        <v>30</v>
      </c>
      <c r="C207" s="13"/>
      <c r="D207" s="36"/>
      <c r="E207" s="56">
        <v>43739</v>
      </c>
      <c r="F207" s="13"/>
      <c r="G207" s="13"/>
      <c r="H207" s="60"/>
    </row>
    <row r="208" spans="1:8" ht="18.600000000000001" customHeight="1" x14ac:dyDescent="0.2">
      <c r="A208" s="59" t="s">
        <v>52</v>
      </c>
      <c r="B208" s="13">
        <v>30</v>
      </c>
      <c r="C208" s="13"/>
      <c r="D208" s="36"/>
      <c r="E208" s="56">
        <v>43739</v>
      </c>
      <c r="F208" s="13"/>
      <c r="G208" s="13"/>
      <c r="H208" s="60"/>
    </row>
    <row r="209" spans="1:8" ht="18.600000000000001" customHeight="1" x14ac:dyDescent="0.2">
      <c r="A209" s="59" t="s">
        <v>25</v>
      </c>
      <c r="B209" s="13">
        <v>30</v>
      </c>
      <c r="C209" s="13"/>
      <c r="D209" s="36"/>
      <c r="E209" s="56">
        <v>43739</v>
      </c>
      <c r="F209" s="13"/>
      <c r="G209" s="13"/>
      <c r="H209" s="60"/>
    </row>
    <row r="210" spans="1:8" ht="18.600000000000001" customHeight="1" x14ac:dyDescent="0.2">
      <c r="A210" s="59" t="s">
        <v>26</v>
      </c>
      <c r="B210" s="13">
        <v>30</v>
      </c>
      <c r="C210" s="13"/>
      <c r="D210" s="36"/>
      <c r="E210" s="56">
        <v>43739</v>
      </c>
      <c r="F210" s="13"/>
      <c r="G210" s="13"/>
      <c r="H210" s="60"/>
    </row>
    <row r="211" spans="1:8" ht="18.600000000000001" customHeight="1" x14ac:dyDescent="0.2">
      <c r="A211" s="59" t="s">
        <v>27</v>
      </c>
      <c r="B211" s="13">
        <v>30</v>
      </c>
      <c r="C211" s="13"/>
      <c r="D211" s="36"/>
      <c r="E211" s="56">
        <v>43739</v>
      </c>
      <c r="F211" s="13"/>
      <c r="G211" s="13"/>
      <c r="H211" s="60"/>
    </row>
    <row r="212" spans="1:8" ht="18.600000000000001" customHeight="1" x14ac:dyDescent="0.2">
      <c r="A212" s="59" t="s">
        <v>54</v>
      </c>
      <c r="B212" s="13">
        <v>30</v>
      </c>
      <c r="C212" s="13"/>
      <c r="D212" s="36"/>
      <c r="E212" s="56">
        <v>43739</v>
      </c>
      <c r="F212" s="13"/>
      <c r="G212" s="13"/>
      <c r="H212" s="60"/>
    </row>
    <row r="213" spans="1:8" ht="18.600000000000001" customHeight="1" x14ac:dyDescent="0.2">
      <c r="A213" s="59" t="s">
        <v>55</v>
      </c>
      <c r="B213" s="13">
        <v>30</v>
      </c>
      <c r="C213" s="13"/>
      <c r="D213" s="36"/>
      <c r="E213" s="56">
        <v>43739</v>
      </c>
      <c r="F213" s="13"/>
      <c r="G213" s="13"/>
      <c r="H213" s="60"/>
    </row>
    <row r="214" spans="1:8" ht="18.600000000000001" customHeight="1" x14ac:dyDescent="0.2">
      <c r="A214" s="59" t="s">
        <v>56</v>
      </c>
      <c r="B214" s="13">
        <v>30</v>
      </c>
      <c r="C214" s="13"/>
      <c r="D214" s="36"/>
      <c r="E214" s="56">
        <v>43739</v>
      </c>
      <c r="F214" s="13"/>
      <c r="G214" s="13"/>
      <c r="H214" s="60"/>
    </row>
    <row r="215" spans="1:8" ht="18.600000000000001" customHeight="1" x14ac:dyDescent="0.2">
      <c r="A215" s="59" t="s">
        <v>65</v>
      </c>
      <c r="B215" s="13">
        <v>30</v>
      </c>
      <c r="C215" s="13"/>
      <c r="D215" s="36"/>
      <c r="E215" s="56">
        <v>43739</v>
      </c>
      <c r="F215" s="13"/>
      <c r="G215" s="13"/>
      <c r="H215" s="60"/>
    </row>
    <row r="216" spans="1:8" ht="18.600000000000001" customHeight="1" x14ac:dyDescent="0.2">
      <c r="A216" s="59" t="s">
        <v>81</v>
      </c>
      <c r="B216" s="13">
        <v>30</v>
      </c>
      <c r="C216" s="13"/>
      <c r="D216" s="36"/>
      <c r="E216" s="56">
        <v>43739</v>
      </c>
      <c r="F216" s="13"/>
      <c r="G216" s="13"/>
      <c r="H216" s="60"/>
    </row>
    <row r="217" spans="1:8" ht="18.600000000000001" customHeight="1" x14ac:dyDescent="0.2">
      <c r="A217" s="59" t="s">
        <v>85</v>
      </c>
      <c r="B217" s="13">
        <v>30</v>
      </c>
      <c r="C217" s="13"/>
      <c r="D217" s="36"/>
      <c r="E217" s="56">
        <v>43739</v>
      </c>
      <c r="F217" s="13"/>
      <c r="G217" s="13"/>
      <c r="H217" s="60"/>
    </row>
    <row r="218" spans="1:8" ht="18.600000000000001" customHeight="1" x14ac:dyDescent="0.2">
      <c r="A218" s="59" t="s">
        <v>90</v>
      </c>
      <c r="B218" s="13">
        <v>50</v>
      </c>
      <c r="C218" s="13"/>
      <c r="D218" s="36"/>
      <c r="E218" s="56">
        <v>43739</v>
      </c>
      <c r="F218" s="13"/>
      <c r="G218" s="13"/>
      <c r="H218" s="60"/>
    </row>
    <row r="219" spans="1:8" ht="18.600000000000001" customHeight="1" x14ac:dyDescent="0.2">
      <c r="A219" s="59" t="s">
        <v>53</v>
      </c>
      <c r="B219" s="13">
        <v>30</v>
      </c>
      <c r="C219" s="13"/>
      <c r="D219" s="36"/>
      <c r="E219" s="56">
        <v>43739</v>
      </c>
      <c r="F219" s="13"/>
      <c r="G219" s="13"/>
      <c r="H219" s="60"/>
    </row>
    <row r="220" spans="1:8" ht="18.600000000000001" customHeight="1" x14ac:dyDescent="0.2">
      <c r="A220" s="59" t="s">
        <v>138</v>
      </c>
      <c r="B220" s="13"/>
      <c r="C220" s="13"/>
      <c r="D220" s="36"/>
      <c r="E220" s="56">
        <v>43739</v>
      </c>
      <c r="F220" s="13"/>
      <c r="G220" s="13"/>
      <c r="H220" s="60"/>
    </row>
    <row r="221" spans="1:8" ht="18.600000000000001" customHeight="1" x14ac:dyDescent="0.2">
      <c r="A221" s="59" t="s">
        <v>146</v>
      </c>
      <c r="B221" s="13">
        <v>25</v>
      </c>
      <c r="C221" s="13"/>
      <c r="D221" s="36"/>
      <c r="E221" s="56">
        <v>43739</v>
      </c>
      <c r="F221" s="13"/>
      <c r="G221" s="13"/>
      <c r="H221" s="60"/>
    </row>
    <row r="222" spans="1:8" ht="18.600000000000001" customHeight="1" x14ac:dyDescent="0.2">
      <c r="A222" s="59" t="s">
        <v>147</v>
      </c>
      <c r="B222" s="13">
        <v>30</v>
      </c>
      <c r="C222" s="13"/>
      <c r="D222" s="36"/>
      <c r="E222" s="56">
        <v>43739</v>
      </c>
      <c r="F222" s="13"/>
      <c r="G222" s="13"/>
      <c r="H222" s="60"/>
    </row>
    <row r="223" spans="1:8" ht="18.600000000000001" customHeight="1" x14ac:dyDescent="0.2">
      <c r="A223" s="59" t="s">
        <v>206</v>
      </c>
      <c r="B223" s="13"/>
      <c r="C223" s="13"/>
      <c r="D223" s="36"/>
      <c r="E223" s="56">
        <v>43739</v>
      </c>
      <c r="F223" s="13"/>
      <c r="G223" s="13"/>
      <c r="H223" s="60"/>
    </row>
    <row r="224" spans="1:8" ht="18.600000000000001" customHeight="1" x14ac:dyDescent="0.2">
      <c r="A224" s="59" t="s">
        <v>185</v>
      </c>
      <c r="B224" s="13"/>
      <c r="C224" s="13"/>
      <c r="D224" s="36"/>
      <c r="E224" s="56">
        <v>43739</v>
      </c>
      <c r="F224" s="13"/>
      <c r="G224" s="13"/>
      <c r="H224" s="60"/>
    </row>
    <row r="225" spans="1:8" ht="18.600000000000001" customHeight="1" x14ac:dyDescent="0.2">
      <c r="A225" s="59" t="s">
        <v>124</v>
      </c>
      <c r="B225" s="13"/>
      <c r="C225" s="13"/>
      <c r="D225" s="36"/>
      <c r="E225" s="56">
        <v>43739</v>
      </c>
      <c r="F225" s="13"/>
      <c r="G225" s="13"/>
      <c r="H225" s="60"/>
    </row>
    <row r="226" spans="1:8" ht="18.600000000000001" customHeight="1" x14ac:dyDescent="0.2">
      <c r="A226" s="59" t="s">
        <v>83</v>
      </c>
      <c r="B226" s="13"/>
      <c r="C226" s="13"/>
      <c r="D226" s="36"/>
      <c r="E226" s="56">
        <v>43739</v>
      </c>
      <c r="F226" s="13"/>
      <c r="G226" s="13"/>
      <c r="H226" s="60"/>
    </row>
    <row r="227" spans="1:8" ht="18.600000000000001" customHeight="1" x14ac:dyDescent="0.2">
      <c r="A227" s="59" t="s">
        <v>84</v>
      </c>
      <c r="B227" s="13"/>
      <c r="C227" s="13"/>
      <c r="D227" s="36"/>
      <c r="E227" s="56">
        <v>43739</v>
      </c>
      <c r="F227" s="13"/>
      <c r="G227" s="13"/>
      <c r="H227" s="60"/>
    </row>
    <row r="228" spans="1:8" ht="18.600000000000001" customHeight="1" thickBot="1" x14ac:dyDescent="0.25">
      <c r="A228" s="61" t="s">
        <v>82</v>
      </c>
      <c r="B228" s="63"/>
      <c r="C228" s="63"/>
      <c r="D228" s="24"/>
      <c r="E228" s="28">
        <v>43739</v>
      </c>
      <c r="F228" s="19"/>
      <c r="G228" s="19"/>
      <c r="H228" s="62"/>
    </row>
    <row r="229" spans="1:8" ht="18.600000000000001" customHeight="1" thickBot="1" x14ac:dyDescent="0.25">
      <c r="A229" s="54" t="str">
        <f>CONCATENATE("TOTAL(", TEXT(E203,"mmm-yy"),")")</f>
        <v>TOTAL(Oct-19)</v>
      </c>
      <c r="B229" s="64">
        <f>SUMIF(E:E, E203, B:B)</f>
        <v>595</v>
      </c>
      <c r="C229" s="80"/>
      <c r="D229" s="18"/>
      <c r="E229" s="18"/>
      <c r="F229" s="18"/>
      <c r="G229" s="18"/>
      <c r="H229" s="18"/>
    </row>
    <row r="230" spans="1:8" ht="18.600000000000001" customHeight="1" thickBot="1" x14ac:dyDescent="0.25">
      <c r="A230" s="57" t="s">
        <v>51</v>
      </c>
      <c r="B230" s="20">
        <v>30</v>
      </c>
      <c r="C230" s="20"/>
      <c r="D230" s="21"/>
      <c r="E230" s="30">
        <v>43770</v>
      </c>
      <c r="F230" s="20"/>
      <c r="G230" s="20"/>
      <c r="H230" s="58"/>
    </row>
    <row r="231" spans="1:8" ht="18.600000000000001" customHeight="1" thickBot="1" x14ac:dyDescent="0.25">
      <c r="A231" s="59" t="s">
        <v>20</v>
      </c>
      <c r="B231" s="13">
        <v>30</v>
      </c>
      <c r="C231" s="13"/>
      <c r="D231" s="36"/>
      <c r="E231" s="30">
        <v>43770</v>
      </c>
      <c r="F231" s="13"/>
      <c r="G231" s="13"/>
      <c r="H231" s="60"/>
    </row>
    <row r="232" spans="1:8" ht="18.600000000000001" customHeight="1" thickBot="1" x14ac:dyDescent="0.25">
      <c r="A232" s="59" t="s">
        <v>21</v>
      </c>
      <c r="B232" s="13">
        <v>40</v>
      </c>
      <c r="C232" s="13"/>
      <c r="D232" s="36"/>
      <c r="E232" s="30">
        <v>43770</v>
      </c>
      <c r="F232" s="13"/>
      <c r="G232" s="13"/>
      <c r="H232" s="60"/>
    </row>
    <row r="233" spans="1:8" ht="18.600000000000001" customHeight="1" thickBot="1" x14ac:dyDescent="0.25">
      <c r="A233" s="59" t="s">
        <v>22</v>
      </c>
      <c r="B233" s="13">
        <v>30</v>
      </c>
      <c r="C233" s="13"/>
      <c r="D233" s="36"/>
      <c r="E233" s="30">
        <v>43770</v>
      </c>
      <c r="F233" s="13"/>
      <c r="G233" s="13"/>
      <c r="H233" s="60"/>
    </row>
    <row r="234" spans="1:8" ht="18.600000000000001" customHeight="1" thickBot="1" x14ac:dyDescent="0.25">
      <c r="A234" s="59" t="s">
        <v>24</v>
      </c>
      <c r="B234" s="13">
        <v>40</v>
      </c>
      <c r="C234" s="13"/>
      <c r="D234" s="36"/>
      <c r="E234" s="30">
        <v>43770</v>
      </c>
      <c r="F234" s="13"/>
      <c r="G234" s="13"/>
      <c r="H234" s="60"/>
    </row>
    <row r="235" spans="1:8" ht="18.600000000000001" customHeight="1" thickBot="1" x14ac:dyDescent="0.25">
      <c r="A235" s="59" t="s">
        <v>52</v>
      </c>
      <c r="B235" s="13">
        <v>40</v>
      </c>
      <c r="C235" s="13"/>
      <c r="D235" s="36"/>
      <c r="E235" s="30">
        <v>43770</v>
      </c>
      <c r="F235" s="13"/>
      <c r="G235" s="13"/>
      <c r="H235" s="60"/>
    </row>
    <row r="236" spans="1:8" ht="18.600000000000001" customHeight="1" thickBot="1" x14ac:dyDescent="0.25">
      <c r="A236" s="59" t="s">
        <v>25</v>
      </c>
      <c r="B236" s="13">
        <v>35</v>
      </c>
      <c r="C236" s="13"/>
      <c r="D236" s="36"/>
      <c r="E236" s="30">
        <v>43770</v>
      </c>
      <c r="F236" s="13"/>
      <c r="G236" s="13"/>
      <c r="H236" s="60"/>
    </row>
    <row r="237" spans="1:8" ht="18.600000000000001" customHeight="1" thickBot="1" x14ac:dyDescent="0.25">
      <c r="A237" s="59" t="s">
        <v>26</v>
      </c>
      <c r="B237" s="13">
        <v>50</v>
      </c>
      <c r="C237" s="13"/>
      <c r="D237" s="36"/>
      <c r="E237" s="30">
        <v>43770</v>
      </c>
      <c r="F237" s="13"/>
      <c r="G237" s="13"/>
      <c r="H237" s="60"/>
    </row>
    <row r="238" spans="1:8" ht="18.600000000000001" customHeight="1" thickBot="1" x14ac:dyDescent="0.25">
      <c r="A238" s="59" t="s">
        <v>27</v>
      </c>
      <c r="B238" s="13">
        <v>30</v>
      </c>
      <c r="C238" s="13"/>
      <c r="D238" s="36"/>
      <c r="E238" s="30">
        <v>43770</v>
      </c>
      <c r="F238" s="13"/>
      <c r="G238" s="13"/>
      <c r="H238" s="60"/>
    </row>
    <row r="239" spans="1:8" ht="18.600000000000001" customHeight="1" thickBot="1" x14ac:dyDescent="0.25">
      <c r="A239" s="59" t="s">
        <v>54</v>
      </c>
      <c r="B239" s="13">
        <v>30</v>
      </c>
      <c r="C239" s="13"/>
      <c r="D239" s="36"/>
      <c r="E239" s="30">
        <v>43770</v>
      </c>
      <c r="F239" s="13"/>
      <c r="G239" s="13"/>
      <c r="H239" s="60"/>
    </row>
    <row r="240" spans="1:8" ht="18.600000000000001" customHeight="1" thickBot="1" x14ac:dyDescent="0.25">
      <c r="A240" s="59" t="s">
        <v>55</v>
      </c>
      <c r="B240" s="13">
        <v>30</v>
      </c>
      <c r="C240" s="13"/>
      <c r="D240" s="36"/>
      <c r="E240" s="30">
        <v>43770</v>
      </c>
      <c r="F240" s="13"/>
      <c r="G240" s="13"/>
      <c r="H240" s="60"/>
    </row>
    <row r="241" spans="1:8" ht="18.600000000000001" customHeight="1" thickBot="1" x14ac:dyDescent="0.25">
      <c r="A241" s="59" t="s">
        <v>56</v>
      </c>
      <c r="B241" s="13">
        <v>30</v>
      </c>
      <c r="C241" s="13"/>
      <c r="D241" s="36"/>
      <c r="E241" s="30">
        <v>43770</v>
      </c>
      <c r="F241" s="13"/>
      <c r="G241" s="13"/>
      <c r="H241" s="60"/>
    </row>
    <row r="242" spans="1:8" ht="18.600000000000001" customHeight="1" thickBot="1" x14ac:dyDescent="0.25">
      <c r="A242" s="59" t="s">
        <v>65</v>
      </c>
      <c r="B242" s="13">
        <v>30</v>
      </c>
      <c r="C242" s="13"/>
      <c r="D242" s="36"/>
      <c r="E242" s="30">
        <v>43770</v>
      </c>
      <c r="F242" s="13"/>
      <c r="G242" s="13"/>
      <c r="H242" s="60"/>
    </row>
    <row r="243" spans="1:8" ht="18.600000000000001" customHeight="1" thickBot="1" x14ac:dyDescent="0.25">
      <c r="A243" s="59" t="s">
        <v>81</v>
      </c>
      <c r="B243" s="13">
        <v>30</v>
      </c>
      <c r="C243" s="13"/>
      <c r="D243" s="36"/>
      <c r="E243" s="30">
        <v>43770</v>
      </c>
      <c r="F243" s="13"/>
      <c r="G243" s="13"/>
      <c r="H243" s="60"/>
    </row>
    <row r="244" spans="1:8" ht="18.600000000000001" customHeight="1" thickBot="1" x14ac:dyDescent="0.25">
      <c r="A244" s="59" t="s">
        <v>85</v>
      </c>
      <c r="B244" s="13">
        <v>30</v>
      </c>
      <c r="C244" s="13"/>
      <c r="D244" s="36"/>
      <c r="E244" s="30">
        <v>43770</v>
      </c>
      <c r="F244" s="13"/>
      <c r="G244" s="13"/>
      <c r="H244" s="60"/>
    </row>
    <row r="245" spans="1:8" ht="18.600000000000001" customHeight="1" thickBot="1" x14ac:dyDescent="0.25">
      <c r="A245" s="59" t="s">
        <v>90</v>
      </c>
      <c r="B245" s="13">
        <v>50</v>
      </c>
      <c r="C245" s="13"/>
      <c r="D245" s="36"/>
      <c r="E245" s="30">
        <v>43770</v>
      </c>
      <c r="F245" s="13"/>
      <c r="G245" s="13"/>
      <c r="H245" s="60"/>
    </row>
    <row r="246" spans="1:8" ht="18.600000000000001" customHeight="1" thickBot="1" x14ac:dyDescent="0.25">
      <c r="A246" s="59" t="s">
        <v>53</v>
      </c>
      <c r="B246" s="13">
        <v>30</v>
      </c>
      <c r="C246" s="13"/>
      <c r="D246" s="36"/>
      <c r="E246" s="30">
        <v>43770</v>
      </c>
      <c r="F246" s="13"/>
      <c r="G246" s="13"/>
      <c r="H246" s="60"/>
    </row>
    <row r="247" spans="1:8" ht="18.600000000000001" customHeight="1" thickBot="1" x14ac:dyDescent="0.25">
      <c r="A247" s="59" t="s">
        <v>138</v>
      </c>
      <c r="B247" s="13"/>
      <c r="C247" s="13"/>
      <c r="D247" s="36"/>
      <c r="E247" s="30">
        <v>43770</v>
      </c>
      <c r="F247" s="13"/>
      <c r="G247" s="13"/>
      <c r="H247" s="60"/>
    </row>
    <row r="248" spans="1:8" ht="18.600000000000001" customHeight="1" thickBot="1" x14ac:dyDescent="0.25">
      <c r="A248" s="59" t="s">
        <v>146</v>
      </c>
      <c r="B248" s="13">
        <v>15</v>
      </c>
      <c r="C248" s="13"/>
      <c r="D248" s="36"/>
      <c r="E248" s="30">
        <v>43770</v>
      </c>
      <c r="F248" s="13"/>
      <c r="G248" s="13"/>
      <c r="H248" s="60"/>
    </row>
    <row r="249" spans="1:8" ht="18.600000000000001" customHeight="1" thickBot="1" x14ac:dyDescent="0.25">
      <c r="A249" s="59" t="s">
        <v>147</v>
      </c>
      <c r="B249" s="13">
        <v>30</v>
      </c>
      <c r="C249" s="13"/>
      <c r="D249" s="36"/>
      <c r="E249" s="30">
        <v>43770</v>
      </c>
      <c r="F249" s="13"/>
      <c r="G249" s="13"/>
      <c r="H249" s="60"/>
    </row>
    <row r="250" spans="1:8" ht="18.600000000000001" customHeight="1" thickBot="1" x14ac:dyDescent="0.25">
      <c r="A250" s="59" t="s">
        <v>206</v>
      </c>
      <c r="B250" s="13"/>
      <c r="C250" s="13"/>
      <c r="D250" s="36"/>
      <c r="E250" s="30">
        <v>43770</v>
      </c>
      <c r="F250" s="13"/>
      <c r="G250" s="13"/>
      <c r="H250" s="60"/>
    </row>
    <row r="251" spans="1:8" ht="18.600000000000001" customHeight="1" thickBot="1" x14ac:dyDescent="0.25">
      <c r="A251" s="59" t="s">
        <v>185</v>
      </c>
      <c r="B251" s="13"/>
      <c r="C251" s="13"/>
      <c r="D251" s="36"/>
      <c r="E251" s="30">
        <v>43770</v>
      </c>
      <c r="F251" s="13"/>
      <c r="G251" s="13"/>
      <c r="H251" s="60"/>
    </row>
    <row r="252" spans="1:8" ht="18.600000000000001" customHeight="1" thickBot="1" x14ac:dyDescent="0.25">
      <c r="A252" s="59" t="s">
        <v>124</v>
      </c>
      <c r="B252" s="13"/>
      <c r="C252" s="13"/>
      <c r="D252" s="36"/>
      <c r="E252" s="30">
        <v>43770</v>
      </c>
      <c r="F252" s="13"/>
      <c r="G252" s="13"/>
      <c r="H252" s="60"/>
    </row>
    <row r="253" spans="1:8" ht="18.600000000000001" customHeight="1" thickBot="1" x14ac:dyDescent="0.25">
      <c r="A253" s="59" t="s">
        <v>83</v>
      </c>
      <c r="B253" s="13"/>
      <c r="C253" s="13"/>
      <c r="D253" s="36"/>
      <c r="E253" s="30">
        <v>43770</v>
      </c>
      <c r="F253" s="13"/>
      <c r="G253" s="13"/>
      <c r="H253" s="60"/>
    </row>
    <row r="254" spans="1:8" ht="18.600000000000001" customHeight="1" thickBot="1" x14ac:dyDescent="0.25">
      <c r="A254" s="59" t="s">
        <v>84</v>
      </c>
      <c r="B254" s="13"/>
      <c r="C254" s="13"/>
      <c r="D254" s="36"/>
      <c r="E254" s="30">
        <v>43770</v>
      </c>
      <c r="F254" s="13"/>
      <c r="G254" s="13"/>
      <c r="H254" s="60"/>
    </row>
    <row r="255" spans="1:8" ht="18.600000000000001" customHeight="1" thickBot="1" x14ac:dyDescent="0.25">
      <c r="A255" s="61" t="s">
        <v>82</v>
      </c>
      <c r="B255" s="63"/>
      <c r="C255" s="63"/>
      <c r="D255" s="24"/>
      <c r="E255" s="30">
        <v>43770</v>
      </c>
      <c r="F255" s="19"/>
      <c r="G255" s="19"/>
      <c r="H255" s="62"/>
    </row>
    <row r="256" spans="1:8" ht="18.600000000000001" customHeight="1" thickBot="1" x14ac:dyDescent="0.25">
      <c r="A256" s="54" t="str">
        <f>CONCATENATE("TOTAL(", TEXT(E230,"mmm-yy"),")")</f>
        <v>TOTAL(Nov-19)</v>
      </c>
      <c r="B256" s="64">
        <f>SUMIF(E:E, E230, B:B)</f>
        <v>630</v>
      </c>
      <c r="C256" s="80"/>
    </row>
    <row r="257" spans="1:8" ht="18.600000000000001" customHeight="1" thickBot="1" x14ac:dyDescent="0.25">
      <c r="A257" s="57" t="s">
        <v>51</v>
      </c>
      <c r="B257" s="20">
        <v>30</v>
      </c>
      <c r="C257" s="20"/>
      <c r="D257" s="21"/>
      <c r="E257" s="30">
        <v>43800</v>
      </c>
      <c r="F257" s="20"/>
      <c r="G257" s="20"/>
      <c r="H257" s="58"/>
    </row>
    <row r="258" spans="1:8" ht="18.600000000000001" customHeight="1" thickBot="1" x14ac:dyDescent="0.25">
      <c r="A258" s="59" t="s">
        <v>20</v>
      </c>
      <c r="B258" s="13">
        <v>30</v>
      </c>
      <c r="C258" s="13"/>
      <c r="D258" s="36"/>
      <c r="E258" s="30">
        <v>43800</v>
      </c>
      <c r="F258" s="13"/>
      <c r="G258" s="13"/>
      <c r="H258" s="60"/>
    </row>
    <row r="259" spans="1:8" ht="18.600000000000001" customHeight="1" thickBot="1" x14ac:dyDescent="0.25">
      <c r="A259" s="59" t="s">
        <v>21</v>
      </c>
      <c r="B259" s="13">
        <v>40</v>
      </c>
      <c r="C259" s="13"/>
      <c r="D259" s="36"/>
      <c r="E259" s="30">
        <v>43800</v>
      </c>
      <c r="F259" s="13"/>
      <c r="G259" s="13"/>
      <c r="H259" s="60"/>
    </row>
    <row r="260" spans="1:8" ht="18.600000000000001" customHeight="1" thickBot="1" x14ac:dyDescent="0.25">
      <c r="A260" s="59" t="s">
        <v>22</v>
      </c>
      <c r="B260" s="13">
        <v>30</v>
      </c>
      <c r="C260" s="13"/>
      <c r="D260" s="36"/>
      <c r="E260" s="30">
        <v>43800</v>
      </c>
      <c r="F260" s="13"/>
      <c r="G260" s="13"/>
      <c r="H260" s="60"/>
    </row>
    <row r="261" spans="1:8" ht="18.600000000000001" customHeight="1" thickBot="1" x14ac:dyDescent="0.25">
      <c r="A261" s="59" t="s">
        <v>24</v>
      </c>
      <c r="B261" s="13">
        <v>30</v>
      </c>
      <c r="C261" s="13"/>
      <c r="D261" s="36"/>
      <c r="E261" s="30">
        <v>43800</v>
      </c>
      <c r="F261" s="13"/>
      <c r="G261" s="13"/>
      <c r="H261" s="60"/>
    </row>
    <row r="262" spans="1:8" ht="18.600000000000001" customHeight="1" thickBot="1" x14ac:dyDescent="0.25">
      <c r="A262" s="59" t="s">
        <v>52</v>
      </c>
      <c r="B262" s="13">
        <v>35</v>
      </c>
      <c r="C262" s="13"/>
      <c r="D262" s="36"/>
      <c r="E262" s="30">
        <v>43800</v>
      </c>
      <c r="F262" s="13"/>
      <c r="G262" s="13"/>
      <c r="H262" s="60"/>
    </row>
    <row r="263" spans="1:8" ht="18.600000000000001" customHeight="1" thickBot="1" x14ac:dyDescent="0.25">
      <c r="A263" s="59" t="s">
        <v>25</v>
      </c>
      <c r="B263" s="13">
        <v>30</v>
      </c>
      <c r="C263" s="13"/>
      <c r="D263" s="36"/>
      <c r="E263" s="30">
        <v>43800</v>
      </c>
      <c r="F263" s="13"/>
      <c r="G263" s="13"/>
      <c r="H263" s="60"/>
    </row>
    <row r="264" spans="1:8" ht="18.600000000000001" customHeight="1" thickBot="1" x14ac:dyDescent="0.25">
      <c r="A264" s="59" t="s">
        <v>26</v>
      </c>
      <c r="B264" s="13">
        <v>30</v>
      </c>
      <c r="C264" s="13"/>
      <c r="D264" s="36"/>
      <c r="E264" s="30">
        <v>43800</v>
      </c>
      <c r="F264" s="13"/>
      <c r="G264" s="13"/>
      <c r="H264" s="60"/>
    </row>
    <row r="265" spans="1:8" ht="18.600000000000001" customHeight="1" thickBot="1" x14ac:dyDescent="0.25">
      <c r="A265" s="59" t="s">
        <v>27</v>
      </c>
      <c r="B265" s="13">
        <v>30</v>
      </c>
      <c r="C265" s="13"/>
      <c r="D265" s="36"/>
      <c r="E265" s="30">
        <v>43800</v>
      </c>
      <c r="F265" s="13"/>
      <c r="G265" s="13"/>
      <c r="H265" s="60"/>
    </row>
    <row r="266" spans="1:8" ht="18.600000000000001" customHeight="1" thickBot="1" x14ac:dyDescent="0.25">
      <c r="A266" s="59" t="s">
        <v>54</v>
      </c>
      <c r="B266" s="13">
        <v>30</v>
      </c>
      <c r="C266" s="13"/>
      <c r="D266" s="36"/>
      <c r="E266" s="30">
        <v>43800</v>
      </c>
      <c r="F266" s="13"/>
      <c r="G266" s="13"/>
      <c r="H266" s="60"/>
    </row>
    <row r="267" spans="1:8" ht="18.600000000000001" customHeight="1" thickBot="1" x14ac:dyDescent="0.25">
      <c r="A267" s="59" t="s">
        <v>55</v>
      </c>
      <c r="B267" s="13">
        <v>30</v>
      </c>
      <c r="C267" s="13"/>
      <c r="D267" s="36"/>
      <c r="E267" s="30">
        <v>43800</v>
      </c>
      <c r="F267" s="13"/>
      <c r="G267" s="13"/>
      <c r="H267" s="60"/>
    </row>
    <row r="268" spans="1:8" ht="18.600000000000001" customHeight="1" thickBot="1" x14ac:dyDescent="0.25">
      <c r="A268" s="59" t="s">
        <v>56</v>
      </c>
      <c r="B268" s="13">
        <v>30</v>
      </c>
      <c r="C268" s="13"/>
      <c r="D268" s="36"/>
      <c r="E268" s="30">
        <v>43800</v>
      </c>
      <c r="F268" s="13"/>
      <c r="G268" s="13"/>
      <c r="H268" s="60"/>
    </row>
    <row r="269" spans="1:8" ht="18.600000000000001" customHeight="1" thickBot="1" x14ac:dyDescent="0.25">
      <c r="A269" s="59" t="s">
        <v>65</v>
      </c>
      <c r="B269" s="13">
        <v>30</v>
      </c>
      <c r="C269" s="13"/>
      <c r="D269" s="36"/>
      <c r="E269" s="30">
        <v>43800</v>
      </c>
      <c r="F269" s="13"/>
      <c r="G269" s="13"/>
      <c r="H269" s="60"/>
    </row>
    <row r="270" spans="1:8" ht="18.600000000000001" customHeight="1" thickBot="1" x14ac:dyDescent="0.25">
      <c r="A270" s="59" t="s">
        <v>81</v>
      </c>
      <c r="B270" s="13">
        <v>30</v>
      </c>
      <c r="C270" s="13"/>
      <c r="D270" s="36"/>
      <c r="E270" s="30">
        <v>43800</v>
      </c>
      <c r="F270" s="13"/>
      <c r="G270" s="13"/>
      <c r="H270" s="60"/>
    </row>
    <row r="271" spans="1:8" ht="18.600000000000001" customHeight="1" thickBot="1" x14ac:dyDescent="0.25">
      <c r="A271" s="59" t="s">
        <v>85</v>
      </c>
      <c r="B271" s="13">
        <v>30</v>
      </c>
      <c r="C271" s="13"/>
      <c r="D271" s="36"/>
      <c r="E271" s="30">
        <v>43800</v>
      </c>
      <c r="F271" s="13"/>
      <c r="G271" s="13"/>
      <c r="H271" s="60"/>
    </row>
    <row r="272" spans="1:8" ht="18.600000000000001" customHeight="1" thickBot="1" x14ac:dyDescent="0.25">
      <c r="A272" s="59" t="s">
        <v>90</v>
      </c>
      <c r="B272" s="13">
        <v>50</v>
      </c>
      <c r="C272" s="13"/>
      <c r="D272" s="36"/>
      <c r="E272" s="30">
        <v>43800</v>
      </c>
      <c r="F272" s="13"/>
      <c r="G272" s="13"/>
      <c r="H272" s="60"/>
    </row>
    <row r="273" spans="1:8" ht="18.600000000000001" customHeight="1" thickBot="1" x14ac:dyDescent="0.25">
      <c r="A273" s="59" t="s">
        <v>53</v>
      </c>
      <c r="B273" s="13">
        <v>30</v>
      </c>
      <c r="C273" s="13"/>
      <c r="D273" s="36"/>
      <c r="E273" s="30">
        <v>43800</v>
      </c>
      <c r="F273" s="13"/>
      <c r="G273" s="13"/>
      <c r="H273" s="60"/>
    </row>
    <row r="274" spans="1:8" ht="18.600000000000001" customHeight="1" thickBot="1" x14ac:dyDescent="0.25">
      <c r="A274" s="59" t="s">
        <v>138</v>
      </c>
      <c r="B274" s="13">
        <v>20</v>
      </c>
      <c r="C274" s="13"/>
      <c r="D274" s="36"/>
      <c r="E274" s="30">
        <v>43800</v>
      </c>
      <c r="F274" s="13"/>
      <c r="G274" s="13"/>
      <c r="H274" s="60"/>
    </row>
    <row r="275" spans="1:8" ht="18.600000000000001" customHeight="1" thickBot="1" x14ac:dyDescent="0.25">
      <c r="A275" s="59" t="s">
        <v>146</v>
      </c>
      <c r="B275" s="13">
        <v>15</v>
      </c>
      <c r="C275" s="13"/>
      <c r="D275" s="36"/>
      <c r="E275" s="30">
        <v>43800</v>
      </c>
      <c r="F275" s="13"/>
      <c r="G275" s="13"/>
      <c r="H275" s="60"/>
    </row>
    <row r="276" spans="1:8" ht="18.600000000000001" customHeight="1" thickBot="1" x14ac:dyDescent="0.25">
      <c r="A276" s="59" t="s">
        <v>147</v>
      </c>
      <c r="B276" s="13">
        <v>30</v>
      </c>
      <c r="C276" s="13"/>
      <c r="D276" s="36"/>
      <c r="E276" s="30">
        <v>43800</v>
      </c>
      <c r="F276" s="13"/>
      <c r="G276" s="13"/>
      <c r="H276" s="60"/>
    </row>
    <row r="277" spans="1:8" ht="18.600000000000001" customHeight="1" thickBot="1" x14ac:dyDescent="0.25">
      <c r="A277" s="59" t="s">
        <v>206</v>
      </c>
      <c r="B277" s="13"/>
      <c r="C277" s="13"/>
      <c r="D277" s="36"/>
      <c r="E277" s="30">
        <v>43800</v>
      </c>
      <c r="F277" s="13"/>
      <c r="G277" s="13"/>
      <c r="H277" s="60"/>
    </row>
    <row r="278" spans="1:8" ht="18.600000000000001" customHeight="1" thickBot="1" x14ac:dyDescent="0.25">
      <c r="A278" s="59" t="s">
        <v>185</v>
      </c>
      <c r="B278" s="13"/>
      <c r="C278" s="13"/>
      <c r="D278" s="36"/>
      <c r="E278" s="30">
        <v>43800</v>
      </c>
      <c r="F278" s="13"/>
      <c r="G278" s="13"/>
      <c r="H278" s="60"/>
    </row>
    <row r="279" spans="1:8" ht="18.600000000000001" customHeight="1" thickBot="1" x14ac:dyDescent="0.25">
      <c r="A279" s="59" t="s">
        <v>124</v>
      </c>
      <c r="B279" s="13"/>
      <c r="C279" s="13"/>
      <c r="D279" s="36"/>
      <c r="E279" s="30">
        <v>43800</v>
      </c>
      <c r="F279" s="13"/>
      <c r="G279" s="13"/>
      <c r="H279" s="60"/>
    </row>
    <row r="280" spans="1:8" ht="18.600000000000001" customHeight="1" thickBot="1" x14ac:dyDescent="0.25">
      <c r="A280" s="59" t="s">
        <v>83</v>
      </c>
      <c r="B280" s="13"/>
      <c r="C280" s="13"/>
      <c r="D280" s="36"/>
      <c r="E280" s="30">
        <v>43800</v>
      </c>
      <c r="F280" s="13"/>
      <c r="G280" s="13"/>
      <c r="H280" s="60"/>
    </row>
    <row r="281" spans="1:8" ht="18.600000000000001" customHeight="1" thickBot="1" x14ac:dyDescent="0.25">
      <c r="A281" s="59" t="s">
        <v>84</v>
      </c>
      <c r="B281" s="13"/>
      <c r="C281" s="13"/>
      <c r="D281" s="36"/>
      <c r="E281" s="30">
        <v>43800</v>
      </c>
      <c r="F281" s="13"/>
      <c r="G281" s="13"/>
      <c r="H281" s="60"/>
    </row>
    <row r="282" spans="1:8" ht="18.600000000000001" customHeight="1" thickBot="1" x14ac:dyDescent="0.25">
      <c r="A282" s="61" t="s">
        <v>82</v>
      </c>
      <c r="B282" s="63"/>
      <c r="C282" s="63"/>
      <c r="D282" s="24"/>
      <c r="E282" s="30">
        <v>43800</v>
      </c>
      <c r="F282" s="19"/>
      <c r="G282" s="19"/>
      <c r="H282" s="62"/>
    </row>
    <row r="283" spans="1:8" ht="18.600000000000001" customHeight="1" thickBot="1" x14ac:dyDescent="0.25">
      <c r="A283" s="54" t="str">
        <f>CONCATENATE("TOTAL(", TEXT(E257,"mmm-yy"),")")</f>
        <v>TOTAL(Dec-19)</v>
      </c>
      <c r="B283" s="64">
        <f>SUMIF(E:E, E257, B:B)</f>
        <v>610</v>
      </c>
      <c r="C283" s="80"/>
    </row>
    <row r="284" spans="1:8" ht="18.600000000000001" customHeight="1" thickBot="1" x14ac:dyDescent="0.25">
      <c r="A284" s="57" t="s">
        <v>51</v>
      </c>
      <c r="B284" s="20">
        <v>30</v>
      </c>
      <c r="C284" s="20"/>
      <c r="D284" s="21"/>
      <c r="E284" s="30">
        <v>43831</v>
      </c>
      <c r="F284" s="20"/>
      <c r="G284" s="20"/>
      <c r="H284" s="58"/>
    </row>
    <row r="285" spans="1:8" ht="18.600000000000001" customHeight="1" thickBot="1" x14ac:dyDescent="0.25">
      <c r="A285" s="59" t="s">
        <v>20</v>
      </c>
      <c r="B285" s="13">
        <v>30</v>
      </c>
      <c r="C285" s="13"/>
      <c r="D285" s="36"/>
      <c r="E285" s="30">
        <v>43831</v>
      </c>
      <c r="F285" s="13"/>
      <c r="G285" s="13"/>
      <c r="H285" s="60"/>
    </row>
    <row r="286" spans="1:8" ht="18.600000000000001" customHeight="1" thickBot="1" x14ac:dyDescent="0.25">
      <c r="A286" s="59" t="s">
        <v>21</v>
      </c>
      <c r="B286" s="13">
        <v>40</v>
      </c>
      <c r="C286" s="13"/>
      <c r="D286" s="36"/>
      <c r="E286" s="30">
        <v>43831</v>
      </c>
      <c r="F286" s="13"/>
      <c r="G286" s="13"/>
      <c r="H286" s="60"/>
    </row>
    <row r="287" spans="1:8" ht="18.600000000000001" customHeight="1" thickBot="1" x14ac:dyDescent="0.25">
      <c r="A287" s="59" t="s">
        <v>22</v>
      </c>
      <c r="B287" s="13">
        <v>30</v>
      </c>
      <c r="C287" s="13"/>
      <c r="D287" s="36"/>
      <c r="E287" s="30">
        <v>43831</v>
      </c>
      <c r="F287" s="13"/>
      <c r="G287" s="13"/>
      <c r="H287" s="60"/>
    </row>
    <row r="288" spans="1:8" ht="18.600000000000001" customHeight="1" thickBot="1" x14ac:dyDescent="0.25">
      <c r="A288" s="59" t="s">
        <v>24</v>
      </c>
      <c r="B288" s="13">
        <v>40</v>
      </c>
      <c r="C288" s="13"/>
      <c r="D288" s="36"/>
      <c r="E288" s="30">
        <v>43831</v>
      </c>
      <c r="F288" s="13"/>
      <c r="G288" s="13"/>
      <c r="H288" s="60"/>
    </row>
    <row r="289" spans="1:8" ht="18.600000000000001" customHeight="1" thickBot="1" x14ac:dyDescent="0.25">
      <c r="A289" s="59" t="s">
        <v>52</v>
      </c>
      <c r="B289" s="13">
        <v>30</v>
      </c>
      <c r="C289" s="13"/>
      <c r="D289" s="36"/>
      <c r="E289" s="30">
        <v>43831</v>
      </c>
      <c r="F289" s="13"/>
      <c r="G289" s="13"/>
      <c r="H289" s="60"/>
    </row>
    <row r="290" spans="1:8" ht="18.600000000000001" customHeight="1" thickBot="1" x14ac:dyDescent="0.25">
      <c r="A290" s="59" t="s">
        <v>25</v>
      </c>
      <c r="B290" s="13">
        <v>30</v>
      </c>
      <c r="C290" s="13"/>
      <c r="D290" s="36"/>
      <c r="E290" s="30">
        <v>43831</v>
      </c>
      <c r="F290" s="13"/>
      <c r="G290" s="13"/>
      <c r="H290" s="60"/>
    </row>
    <row r="291" spans="1:8" ht="18.600000000000001" customHeight="1" thickBot="1" x14ac:dyDescent="0.25">
      <c r="A291" s="59" t="s">
        <v>26</v>
      </c>
      <c r="B291" s="13">
        <v>50</v>
      </c>
      <c r="C291" s="13"/>
      <c r="D291" s="36"/>
      <c r="E291" s="30">
        <v>43831</v>
      </c>
      <c r="F291" s="13"/>
      <c r="G291" s="13"/>
      <c r="H291" s="60"/>
    </row>
    <row r="292" spans="1:8" ht="18.600000000000001" customHeight="1" thickBot="1" x14ac:dyDescent="0.25">
      <c r="A292" s="59" t="s">
        <v>27</v>
      </c>
      <c r="B292" s="13">
        <v>30</v>
      </c>
      <c r="C292" s="13"/>
      <c r="D292" s="36"/>
      <c r="E292" s="30">
        <v>43831</v>
      </c>
      <c r="F292" s="13"/>
      <c r="G292" s="13"/>
      <c r="H292" s="60"/>
    </row>
    <row r="293" spans="1:8" ht="18.600000000000001" customHeight="1" thickBot="1" x14ac:dyDescent="0.25">
      <c r="A293" s="59" t="s">
        <v>54</v>
      </c>
      <c r="B293" s="13">
        <v>70</v>
      </c>
      <c r="C293" s="13"/>
      <c r="D293" s="36"/>
      <c r="E293" s="30">
        <v>43831</v>
      </c>
      <c r="F293" s="13"/>
      <c r="G293" s="13"/>
      <c r="H293" s="60"/>
    </row>
    <row r="294" spans="1:8" ht="18.600000000000001" customHeight="1" thickBot="1" x14ac:dyDescent="0.25">
      <c r="A294" s="59" t="s">
        <v>55</v>
      </c>
      <c r="B294" s="13">
        <v>30</v>
      </c>
      <c r="C294" s="13"/>
      <c r="D294" s="36"/>
      <c r="E294" s="30">
        <v>43831</v>
      </c>
      <c r="F294" s="13"/>
      <c r="G294" s="13"/>
      <c r="H294" s="60"/>
    </row>
    <row r="295" spans="1:8" ht="18.600000000000001" customHeight="1" thickBot="1" x14ac:dyDescent="0.25">
      <c r="A295" s="59" t="s">
        <v>56</v>
      </c>
      <c r="B295" s="13">
        <v>30</v>
      </c>
      <c r="C295" s="13"/>
      <c r="D295" s="36"/>
      <c r="E295" s="30">
        <v>43831</v>
      </c>
      <c r="F295" s="13"/>
      <c r="G295" s="13"/>
      <c r="H295" s="60"/>
    </row>
    <row r="296" spans="1:8" ht="18.600000000000001" customHeight="1" thickBot="1" x14ac:dyDescent="0.25">
      <c r="A296" s="59" t="s">
        <v>65</v>
      </c>
      <c r="B296" s="13">
        <v>30</v>
      </c>
      <c r="C296" s="13"/>
      <c r="D296" s="36"/>
      <c r="E296" s="30">
        <v>43831</v>
      </c>
      <c r="F296" s="13"/>
      <c r="G296" s="13"/>
      <c r="H296" s="60"/>
    </row>
    <row r="297" spans="1:8" ht="18.600000000000001" customHeight="1" thickBot="1" x14ac:dyDescent="0.25">
      <c r="A297" s="59" t="s">
        <v>81</v>
      </c>
      <c r="B297" s="13">
        <v>30</v>
      </c>
      <c r="C297" s="13"/>
      <c r="D297" s="36"/>
      <c r="E297" s="30">
        <v>43831</v>
      </c>
      <c r="F297" s="13"/>
      <c r="G297" s="13"/>
      <c r="H297" s="60"/>
    </row>
    <row r="298" spans="1:8" ht="18.600000000000001" customHeight="1" thickBot="1" x14ac:dyDescent="0.25">
      <c r="A298" s="59" t="s">
        <v>85</v>
      </c>
      <c r="B298" s="13">
        <v>30</v>
      </c>
      <c r="C298" s="13"/>
      <c r="D298" s="36"/>
      <c r="E298" s="30">
        <v>43831</v>
      </c>
      <c r="F298" s="13"/>
      <c r="G298" s="13"/>
      <c r="H298" s="60"/>
    </row>
    <row r="299" spans="1:8" ht="18.600000000000001" customHeight="1" thickBot="1" x14ac:dyDescent="0.25">
      <c r="A299" s="59" t="s">
        <v>90</v>
      </c>
      <c r="B299" s="13">
        <v>50</v>
      </c>
      <c r="C299" s="13"/>
      <c r="D299" s="36"/>
      <c r="E299" s="30">
        <v>43831</v>
      </c>
      <c r="F299" s="13"/>
      <c r="G299" s="13"/>
      <c r="H299" s="60"/>
    </row>
    <row r="300" spans="1:8" ht="18.600000000000001" customHeight="1" thickBot="1" x14ac:dyDescent="0.25">
      <c r="A300" s="59" t="s">
        <v>53</v>
      </c>
      <c r="B300" s="13">
        <v>30</v>
      </c>
      <c r="C300" s="13"/>
      <c r="D300" s="36"/>
      <c r="E300" s="30">
        <v>43831</v>
      </c>
      <c r="F300" s="13"/>
      <c r="G300" s="13"/>
      <c r="H300" s="60"/>
    </row>
    <row r="301" spans="1:8" ht="18.600000000000001" customHeight="1" thickBot="1" x14ac:dyDescent="0.25">
      <c r="A301" s="59" t="s">
        <v>138</v>
      </c>
      <c r="B301" s="13">
        <v>20</v>
      </c>
      <c r="C301" s="13"/>
      <c r="D301" s="36"/>
      <c r="E301" s="30">
        <v>43831</v>
      </c>
      <c r="F301" s="13"/>
      <c r="G301" s="13"/>
      <c r="H301" s="60"/>
    </row>
    <row r="302" spans="1:8" ht="18.600000000000001" customHeight="1" thickBot="1" x14ac:dyDescent="0.25">
      <c r="A302" s="59" t="s">
        <v>146</v>
      </c>
      <c r="B302" s="13">
        <v>15</v>
      </c>
      <c r="C302" s="13"/>
      <c r="D302" s="36"/>
      <c r="E302" s="30">
        <v>43831</v>
      </c>
      <c r="F302" s="13"/>
      <c r="G302" s="13"/>
      <c r="H302" s="60"/>
    </row>
    <row r="303" spans="1:8" ht="18.600000000000001" customHeight="1" thickBot="1" x14ac:dyDescent="0.25">
      <c r="A303" s="59" t="s">
        <v>147</v>
      </c>
      <c r="B303" s="13">
        <v>30</v>
      </c>
      <c r="C303" s="13"/>
      <c r="D303" s="36"/>
      <c r="E303" s="30">
        <v>43831</v>
      </c>
      <c r="F303" s="13"/>
      <c r="G303" s="13"/>
      <c r="H303" s="60"/>
    </row>
    <row r="304" spans="1:8" ht="18.600000000000001" customHeight="1" thickBot="1" x14ac:dyDescent="0.25">
      <c r="A304" s="59" t="s">
        <v>206</v>
      </c>
      <c r="B304" s="13"/>
      <c r="C304" s="13"/>
      <c r="D304" s="36"/>
      <c r="E304" s="30">
        <v>43831</v>
      </c>
      <c r="F304" s="13"/>
      <c r="G304" s="13"/>
      <c r="H304" s="60"/>
    </row>
    <row r="305" spans="1:8" ht="18.600000000000001" customHeight="1" thickBot="1" x14ac:dyDescent="0.25">
      <c r="A305" s="59" t="s">
        <v>185</v>
      </c>
      <c r="B305" s="13"/>
      <c r="C305" s="13"/>
      <c r="D305" s="36"/>
      <c r="E305" s="30">
        <v>43831</v>
      </c>
      <c r="F305" s="13"/>
      <c r="G305" s="13"/>
      <c r="H305" s="60"/>
    </row>
    <row r="306" spans="1:8" ht="18.600000000000001" customHeight="1" thickBot="1" x14ac:dyDescent="0.25">
      <c r="A306" s="59" t="s">
        <v>124</v>
      </c>
      <c r="B306" s="13"/>
      <c r="C306" s="13"/>
      <c r="D306" s="36"/>
      <c r="E306" s="30">
        <v>43831</v>
      </c>
      <c r="F306" s="13"/>
      <c r="G306" s="13"/>
      <c r="H306" s="60"/>
    </row>
    <row r="307" spans="1:8" ht="18.600000000000001" customHeight="1" thickBot="1" x14ac:dyDescent="0.25">
      <c r="A307" s="59" t="s">
        <v>83</v>
      </c>
      <c r="B307" s="13"/>
      <c r="C307" s="13"/>
      <c r="D307" s="36"/>
      <c r="E307" s="30">
        <v>43831</v>
      </c>
      <c r="F307" s="13"/>
      <c r="G307" s="13"/>
      <c r="H307" s="60"/>
    </row>
    <row r="308" spans="1:8" ht="18.600000000000001" customHeight="1" thickBot="1" x14ac:dyDescent="0.25">
      <c r="A308" s="59" t="s">
        <v>84</v>
      </c>
      <c r="B308" s="13"/>
      <c r="C308" s="13"/>
      <c r="D308" s="36"/>
      <c r="E308" s="30">
        <v>43831</v>
      </c>
      <c r="F308" s="13"/>
      <c r="G308" s="13"/>
      <c r="H308" s="60"/>
    </row>
    <row r="309" spans="1:8" ht="18.600000000000001" customHeight="1" thickBot="1" x14ac:dyDescent="0.25">
      <c r="A309" s="61" t="s">
        <v>82</v>
      </c>
      <c r="B309" s="63"/>
      <c r="C309" s="63"/>
      <c r="D309" s="24"/>
      <c r="E309" s="30">
        <v>43831</v>
      </c>
      <c r="F309" s="19"/>
      <c r="G309" s="19"/>
      <c r="H309" s="62"/>
    </row>
    <row r="310" spans="1:8" ht="18.600000000000001" customHeight="1" thickBot="1" x14ac:dyDescent="0.25">
      <c r="A310" s="54" t="str">
        <f>CONCATENATE("TOTAL(", TEXT(E284,"mmm-yy"),")")</f>
        <v>TOTAL(Jan-20)</v>
      </c>
      <c r="B310" s="64">
        <f>SUMIF(E:E, E284, B:B)</f>
        <v>675</v>
      </c>
      <c r="C310" s="80"/>
    </row>
    <row r="311" spans="1:8" ht="18.600000000000001" customHeight="1" thickBot="1" x14ac:dyDescent="0.25">
      <c r="A311" s="57" t="s">
        <v>51</v>
      </c>
      <c r="B311" s="20">
        <v>30</v>
      </c>
      <c r="C311" s="20"/>
      <c r="D311" s="21"/>
      <c r="E311" s="30">
        <v>43862</v>
      </c>
      <c r="F311" s="20"/>
      <c r="G311" s="20"/>
      <c r="H311" s="58"/>
    </row>
    <row r="312" spans="1:8" ht="18.600000000000001" customHeight="1" thickBot="1" x14ac:dyDescent="0.25">
      <c r="A312" s="59" t="s">
        <v>20</v>
      </c>
      <c r="B312" s="13">
        <v>30</v>
      </c>
      <c r="C312" s="13"/>
      <c r="D312" s="36"/>
      <c r="E312" s="30">
        <v>43862</v>
      </c>
      <c r="F312" s="13"/>
      <c r="G312" s="13"/>
      <c r="H312" s="60"/>
    </row>
    <row r="313" spans="1:8" ht="18.600000000000001" customHeight="1" thickBot="1" x14ac:dyDescent="0.25">
      <c r="A313" s="59" t="s">
        <v>21</v>
      </c>
      <c r="B313" s="13">
        <v>40</v>
      </c>
      <c r="C313" s="13"/>
      <c r="D313" s="36"/>
      <c r="E313" s="30">
        <v>43862</v>
      </c>
      <c r="F313" s="13"/>
      <c r="G313" s="13"/>
      <c r="H313" s="60"/>
    </row>
    <row r="314" spans="1:8" ht="18.600000000000001" customHeight="1" thickBot="1" x14ac:dyDescent="0.25">
      <c r="A314" s="59" t="s">
        <v>22</v>
      </c>
      <c r="B314" s="13">
        <v>30</v>
      </c>
      <c r="C314" s="13"/>
      <c r="D314" s="36"/>
      <c r="E314" s="30">
        <v>43862</v>
      </c>
      <c r="F314" s="13"/>
      <c r="G314" s="13"/>
      <c r="H314" s="60"/>
    </row>
    <row r="315" spans="1:8" ht="18.600000000000001" customHeight="1" thickBot="1" x14ac:dyDescent="0.25">
      <c r="A315" s="59" t="s">
        <v>24</v>
      </c>
      <c r="B315" s="13">
        <v>30</v>
      </c>
      <c r="C315" s="13"/>
      <c r="D315" s="36"/>
      <c r="E315" s="30">
        <v>43862</v>
      </c>
      <c r="F315" s="13"/>
      <c r="G315" s="13"/>
      <c r="H315" s="60"/>
    </row>
    <row r="316" spans="1:8" ht="18.600000000000001" customHeight="1" thickBot="1" x14ac:dyDescent="0.25">
      <c r="A316" s="59" t="s">
        <v>52</v>
      </c>
      <c r="B316" s="13">
        <v>30</v>
      </c>
      <c r="C316" s="13"/>
      <c r="D316" s="36"/>
      <c r="E316" s="30">
        <v>43862</v>
      </c>
      <c r="F316" s="13"/>
      <c r="G316" s="13"/>
      <c r="H316" s="60"/>
    </row>
    <row r="317" spans="1:8" ht="18.600000000000001" customHeight="1" thickBot="1" x14ac:dyDescent="0.25">
      <c r="A317" s="59" t="s">
        <v>25</v>
      </c>
      <c r="B317" s="13">
        <v>30</v>
      </c>
      <c r="C317" s="13"/>
      <c r="D317" s="36"/>
      <c r="E317" s="30">
        <v>43862</v>
      </c>
      <c r="F317" s="13"/>
      <c r="G317" s="13"/>
      <c r="H317" s="60"/>
    </row>
    <row r="318" spans="1:8" ht="18.600000000000001" customHeight="1" thickBot="1" x14ac:dyDescent="0.25">
      <c r="A318" s="59" t="s">
        <v>26</v>
      </c>
      <c r="B318" s="13">
        <v>50</v>
      </c>
      <c r="C318" s="13"/>
      <c r="D318" s="36"/>
      <c r="E318" s="30">
        <v>43862</v>
      </c>
      <c r="F318" s="13"/>
      <c r="G318" s="13"/>
      <c r="H318" s="60"/>
    </row>
    <row r="319" spans="1:8" ht="18.600000000000001" customHeight="1" thickBot="1" x14ac:dyDescent="0.25">
      <c r="A319" s="59" t="s">
        <v>27</v>
      </c>
      <c r="B319" s="13">
        <v>30</v>
      </c>
      <c r="C319" s="13"/>
      <c r="D319" s="36"/>
      <c r="E319" s="30">
        <v>43862</v>
      </c>
      <c r="F319" s="13"/>
      <c r="G319" s="13"/>
      <c r="H319" s="60"/>
    </row>
    <row r="320" spans="1:8" ht="18.600000000000001" customHeight="1" thickBot="1" x14ac:dyDescent="0.25">
      <c r="A320" s="59" t="s">
        <v>54</v>
      </c>
      <c r="B320" s="13">
        <v>70</v>
      </c>
      <c r="C320" s="13"/>
      <c r="D320" s="36"/>
      <c r="E320" s="30">
        <v>43862</v>
      </c>
      <c r="F320" s="13"/>
      <c r="G320" s="13"/>
      <c r="H320" s="60"/>
    </row>
    <row r="321" spans="1:8" ht="18.600000000000001" customHeight="1" thickBot="1" x14ac:dyDescent="0.25">
      <c r="A321" s="59" t="s">
        <v>55</v>
      </c>
      <c r="B321" s="13">
        <v>30</v>
      </c>
      <c r="C321" s="13"/>
      <c r="D321" s="36"/>
      <c r="E321" s="30">
        <v>43862</v>
      </c>
      <c r="F321" s="13"/>
      <c r="G321" s="13"/>
      <c r="H321" s="60"/>
    </row>
    <row r="322" spans="1:8" ht="18.600000000000001" customHeight="1" thickBot="1" x14ac:dyDescent="0.25">
      <c r="A322" s="59" t="s">
        <v>56</v>
      </c>
      <c r="B322" s="13">
        <v>30</v>
      </c>
      <c r="C322" s="13"/>
      <c r="D322" s="36"/>
      <c r="E322" s="30">
        <v>43862</v>
      </c>
      <c r="F322" s="13"/>
      <c r="G322" s="13"/>
      <c r="H322" s="60"/>
    </row>
    <row r="323" spans="1:8" ht="18.600000000000001" customHeight="1" thickBot="1" x14ac:dyDescent="0.25">
      <c r="A323" s="59" t="s">
        <v>65</v>
      </c>
      <c r="B323" s="13">
        <v>30</v>
      </c>
      <c r="C323" s="13"/>
      <c r="D323" s="36"/>
      <c r="E323" s="30">
        <v>43862</v>
      </c>
      <c r="F323" s="13"/>
      <c r="G323" s="13"/>
      <c r="H323" s="60"/>
    </row>
    <row r="324" spans="1:8" ht="18.600000000000001" customHeight="1" thickBot="1" x14ac:dyDescent="0.25">
      <c r="A324" s="59" t="s">
        <v>81</v>
      </c>
      <c r="B324" s="13">
        <v>30</v>
      </c>
      <c r="C324" s="13"/>
      <c r="D324" s="36"/>
      <c r="E324" s="30">
        <v>43862</v>
      </c>
      <c r="F324" s="13"/>
      <c r="G324" s="13"/>
      <c r="H324" s="60"/>
    </row>
    <row r="325" spans="1:8" ht="18.600000000000001" customHeight="1" thickBot="1" x14ac:dyDescent="0.25">
      <c r="A325" s="59" t="s">
        <v>85</v>
      </c>
      <c r="B325" s="13">
        <v>30</v>
      </c>
      <c r="C325" s="13"/>
      <c r="D325" s="36"/>
      <c r="E325" s="30">
        <v>43862</v>
      </c>
      <c r="F325" s="13"/>
      <c r="G325" s="13"/>
      <c r="H325" s="60"/>
    </row>
    <row r="326" spans="1:8" ht="18.600000000000001" customHeight="1" thickBot="1" x14ac:dyDescent="0.25">
      <c r="A326" s="59" t="s">
        <v>90</v>
      </c>
      <c r="B326" s="13">
        <v>50</v>
      </c>
      <c r="C326" s="13"/>
      <c r="D326" s="36"/>
      <c r="E326" s="30">
        <v>43862</v>
      </c>
      <c r="F326" s="13"/>
      <c r="G326" s="13"/>
      <c r="H326" s="60"/>
    </row>
    <row r="327" spans="1:8" ht="18.600000000000001" customHeight="1" thickBot="1" x14ac:dyDescent="0.25">
      <c r="A327" s="59" t="s">
        <v>53</v>
      </c>
      <c r="B327" s="13">
        <v>30</v>
      </c>
      <c r="C327" s="13"/>
      <c r="D327" s="36"/>
      <c r="E327" s="30">
        <v>43862</v>
      </c>
      <c r="F327" s="13"/>
      <c r="G327" s="13"/>
      <c r="H327" s="60"/>
    </row>
    <row r="328" spans="1:8" ht="18.600000000000001" customHeight="1" thickBot="1" x14ac:dyDescent="0.25">
      <c r="A328" s="59" t="s">
        <v>138</v>
      </c>
      <c r="B328" s="13">
        <v>20</v>
      </c>
      <c r="C328" s="13"/>
      <c r="D328" s="36"/>
      <c r="E328" s="30">
        <v>43862</v>
      </c>
      <c r="F328" s="13"/>
      <c r="G328" s="13"/>
      <c r="H328" s="60"/>
    </row>
    <row r="329" spans="1:8" ht="18.600000000000001" customHeight="1" thickBot="1" x14ac:dyDescent="0.25">
      <c r="A329" s="59" t="s">
        <v>146</v>
      </c>
      <c r="B329" s="13">
        <v>15</v>
      </c>
      <c r="C329" s="13"/>
      <c r="D329" s="36"/>
      <c r="E329" s="30">
        <v>43862</v>
      </c>
      <c r="F329" s="13"/>
      <c r="G329" s="13"/>
      <c r="H329" s="60"/>
    </row>
    <row r="330" spans="1:8" ht="18.600000000000001" customHeight="1" thickBot="1" x14ac:dyDescent="0.25">
      <c r="A330" s="59" t="s">
        <v>147</v>
      </c>
      <c r="B330" s="13">
        <v>30</v>
      </c>
      <c r="C330" s="13"/>
      <c r="D330" s="36"/>
      <c r="E330" s="30">
        <v>43862</v>
      </c>
      <c r="F330" s="13"/>
      <c r="G330" s="13"/>
      <c r="H330" s="60"/>
    </row>
    <row r="331" spans="1:8" ht="18.600000000000001" customHeight="1" thickBot="1" x14ac:dyDescent="0.25">
      <c r="A331" s="59" t="s">
        <v>206</v>
      </c>
      <c r="B331" s="13"/>
      <c r="C331" s="13"/>
      <c r="D331" s="36"/>
      <c r="E331" s="30">
        <v>43862</v>
      </c>
      <c r="F331" s="13"/>
      <c r="G331" s="13"/>
      <c r="H331" s="60"/>
    </row>
    <row r="332" spans="1:8" ht="18.600000000000001" customHeight="1" thickBot="1" x14ac:dyDescent="0.25">
      <c r="A332" s="59" t="s">
        <v>221</v>
      </c>
      <c r="B332" s="13">
        <v>40</v>
      </c>
      <c r="C332" s="13"/>
      <c r="D332" s="36"/>
      <c r="E332" s="30">
        <v>43862</v>
      </c>
      <c r="F332" s="13"/>
      <c r="G332" s="13"/>
      <c r="H332" s="60"/>
    </row>
    <row r="333" spans="1:8" ht="18.600000000000001" customHeight="1" thickBot="1" x14ac:dyDescent="0.25">
      <c r="A333" s="59" t="s">
        <v>185</v>
      </c>
      <c r="B333" s="13"/>
      <c r="C333" s="13"/>
      <c r="D333" s="36"/>
      <c r="E333" s="30">
        <v>43862</v>
      </c>
      <c r="F333" s="13"/>
      <c r="G333" s="13"/>
      <c r="H333" s="60"/>
    </row>
    <row r="334" spans="1:8" ht="18.600000000000001" customHeight="1" thickBot="1" x14ac:dyDescent="0.25">
      <c r="A334" s="59" t="s">
        <v>124</v>
      </c>
      <c r="B334" s="13"/>
      <c r="C334" s="13"/>
      <c r="D334" s="36"/>
      <c r="E334" s="30">
        <v>43862</v>
      </c>
      <c r="F334" s="13"/>
      <c r="G334" s="13"/>
      <c r="H334" s="60"/>
    </row>
    <row r="335" spans="1:8" ht="18.600000000000001" customHeight="1" thickBot="1" x14ac:dyDescent="0.25">
      <c r="A335" s="59" t="s">
        <v>83</v>
      </c>
      <c r="B335" s="13"/>
      <c r="C335" s="13"/>
      <c r="D335" s="36"/>
      <c r="E335" s="30">
        <v>43862</v>
      </c>
      <c r="F335" s="13"/>
      <c r="G335" s="13"/>
      <c r="H335" s="60"/>
    </row>
    <row r="336" spans="1:8" ht="18.600000000000001" customHeight="1" thickBot="1" x14ac:dyDescent="0.25">
      <c r="A336" s="59" t="s">
        <v>84</v>
      </c>
      <c r="B336" s="13"/>
      <c r="C336" s="13"/>
      <c r="D336" s="36"/>
      <c r="E336" s="30">
        <v>43862</v>
      </c>
      <c r="F336" s="13"/>
      <c r="G336" s="13"/>
      <c r="H336" s="60"/>
    </row>
    <row r="337" spans="1:8" ht="18.600000000000001" customHeight="1" thickBot="1" x14ac:dyDescent="0.25">
      <c r="A337" s="61" t="s">
        <v>82</v>
      </c>
      <c r="B337" s="63"/>
      <c r="C337" s="63"/>
      <c r="D337" s="24"/>
      <c r="E337" s="30">
        <v>43862</v>
      </c>
      <c r="F337" s="19"/>
      <c r="G337" s="19"/>
      <c r="H337" s="62"/>
    </row>
    <row r="338" spans="1:8" ht="18.600000000000001" customHeight="1" thickBot="1" x14ac:dyDescent="0.25">
      <c r="A338" s="54" t="str">
        <f>CONCATENATE("TOTAL(", TEXT(E311,"mmm-yy"),")")</f>
        <v>TOTAL(Feb-20)</v>
      </c>
      <c r="B338" s="64">
        <f>SUMIF(E:E, E311, B:B)</f>
        <v>705</v>
      </c>
      <c r="C338" s="80"/>
    </row>
    <row r="339" spans="1:8" ht="18.600000000000001" customHeight="1" thickBot="1" x14ac:dyDescent="0.25">
      <c r="A339" s="57" t="s">
        <v>51</v>
      </c>
      <c r="B339" s="20">
        <v>30</v>
      </c>
      <c r="C339" s="20"/>
      <c r="D339" s="21"/>
      <c r="E339" s="30">
        <v>43891</v>
      </c>
      <c r="F339" s="20"/>
      <c r="G339" s="20"/>
      <c r="H339" s="58"/>
    </row>
    <row r="340" spans="1:8" ht="18.600000000000001" customHeight="1" thickBot="1" x14ac:dyDescent="0.25">
      <c r="A340" s="59" t="s">
        <v>20</v>
      </c>
      <c r="B340" s="13">
        <v>30</v>
      </c>
      <c r="C340" s="13"/>
      <c r="D340" s="36"/>
      <c r="E340" s="30">
        <v>43891</v>
      </c>
      <c r="F340" s="13"/>
      <c r="G340" s="13"/>
      <c r="H340" s="60"/>
    </row>
    <row r="341" spans="1:8" ht="18.600000000000001" customHeight="1" thickBot="1" x14ac:dyDescent="0.25">
      <c r="A341" s="59" t="s">
        <v>21</v>
      </c>
      <c r="B341" s="13">
        <v>40</v>
      </c>
      <c r="C341" s="13"/>
      <c r="D341" s="36"/>
      <c r="E341" s="30">
        <v>43891</v>
      </c>
      <c r="F341" s="13"/>
      <c r="G341" s="13"/>
      <c r="H341" s="60"/>
    </row>
    <row r="342" spans="1:8" ht="18.600000000000001" customHeight="1" thickBot="1" x14ac:dyDescent="0.25">
      <c r="A342" s="59" t="s">
        <v>22</v>
      </c>
      <c r="B342" s="13">
        <v>30</v>
      </c>
      <c r="C342" s="13"/>
      <c r="D342" s="36"/>
      <c r="E342" s="30">
        <v>43891</v>
      </c>
      <c r="F342" s="13"/>
      <c r="G342" s="13"/>
      <c r="H342" s="60"/>
    </row>
    <row r="343" spans="1:8" ht="18.600000000000001" customHeight="1" thickBot="1" x14ac:dyDescent="0.25">
      <c r="A343" s="59" t="s">
        <v>24</v>
      </c>
      <c r="B343" s="13">
        <v>30</v>
      </c>
      <c r="C343" s="13"/>
      <c r="D343" s="36"/>
      <c r="E343" s="30">
        <v>43891</v>
      </c>
      <c r="F343" s="13"/>
      <c r="G343" s="13"/>
      <c r="H343" s="60"/>
    </row>
    <row r="344" spans="1:8" ht="18.600000000000001" customHeight="1" thickBot="1" x14ac:dyDescent="0.25">
      <c r="A344" s="59" t="s">
        <v>52</v>
      </c>
      <c r="B344" s="13">
        <v>35</v>
      </c>
      <c r="C344" s="13"/>
      <c r="D344" s="36"/>
      <c r="E344" s="30">
        <v>43891</v>
      </c>
      <c r="F344" s="13"/>
      <c r="G344" s="13"/>
      <c r="H344" s="60"/>
    </row>
    <row r="345" spans="1:8" ht="18.600000000000001" customHeight="1" thickBot="1" x14ac:dyDescent="0.25">
      <c r="A345" s="59" t="s">
        <v>25</v>
      </c>
      <c r="B345" s="13">
        <v>30</v>
      </c>
      <c r="C345" s="13"/>
      <c r="D345" s="36"/>
      <c r="E345" s="30">
        <v>43891</v>
      </c>
      <c r="F345" s="13"/>
      <c r="G345" s="13"/>
      <c r="H345" s="60"/>
    </row>
    <row r="346" spans="1:8" ht="18.600000000000001" customHeight="1" thickBot="1" x14ac:dyDescent="0.25">
      <c r="A346" s="59" t="s">
        <v>26</v>
      </c>
      <c r="B346" s="13">
        <v>50</v>
      </c>
      <c r="C346" s="13"/>
      <c r="D346" s="36"/>
      <c r="E346" s="30">
        <v>43891</v>
      </c>
      <c r="F346" s="13"/>
      <c r="G346" s="13"/>
      <c r="H346" s="60"/>
    </row>
    <row r="347" spans="1:8" ht="18.600000000000001" customHeight="1" thickBot="1" x14ac:dyDescent="0.25">
      <c r="A347" s="59" t="s">
        <v>27</v>
      </c>
      <c r="B347" s="13">
        <v>30</v>
      </c>
      <c r="C347" s="13"/>
      <c r="D347" s="36"/>
      <c r="E347" s="30">
        <v>43891</v>
      </c>
      <c r="F347" s="13"/>
      <c r="G347" s="13"/>
      <c r="H347" s="60"/>
    </row>
    <row r="348" spans="1:8" ht="18.600000000000001" customHeight="1" thickBot="1" x14ac:dyDescent="0.25">
      <c r="A348" s="59" t="s">
        <v>54</v>
      </c>
      <c r="B348" s="13">
        <v>60</v>
      </c>
      <c r="C348" s="13"/>
      <c r="D348" s="36"/>
      <c r="E348" s="30">
        <v>43891</v>
      </c>
      <c r="F348" s="13"/>
      <c r="G348" s="13"/>
      <c r="H348" s="60"/>
    </row>
    <row r="349" spans="1:8" ht="18.600000000000001" customHeight="1" thickBot="1" x14ac:dyDescent="0.25">
      <c r="A349" s="59" t="s">
        <v>55</v>
      </c>
      <c r="B349" s="13">
        <v>30</v>
      </c>
      <c r="C349" s="13"/>
      <c r="D349" s="36"/>
      <c r="E349" s="30">
        <v>43891</v>
      </c>
      <c r="F349" s="13"/>
      <c r="G349" s="13"/>
      <c r="H349" s="60"/>
    </row>
    <row r="350" spans="1:8" ht="18.600000000000001" customHeight="1" thickBot="1" x14ac:dyDescent="0.25">
      <c r="A350" s="59" t="s">
        <v>56</v>
      </c>
      <c r="B350" s="13">
        <v>30</v>
      </c>
      <c r="C350" s="13"/>
      <c r="D350" s="36"/>
      <c r="E350" s="30">
        <v>43891</v>
      </c>
      <c r="F350" s="13"/>
      <c r="G350" s="13"/>
      <c r="H350" s="60"/>
    </row>
    <row r="351" spans="1:8" ht="18.600000000000001" customHeight="1" thickBot="1" x14ac:dyDescent="0.25">
      <c r="A351" s="59" t="s">
        <v>65</v>
      </c>
      <c r="B351" s="13">
        <v>30</v>
      </c>
      <c r="C351" s="13"/>
      <c r="D351" s="36"/>
      <c r="E351" s="30">
        <v>43891</v>
      </c>
      <c r="F351" s="13"/>
      <c r="G351" s="13"/>
      <c r="H351" s="60"/>
    </row>
    <row r="352" spans="1:8" ht="18.600000000000001" customHeight="1" thickBot="1" x14ac:dyDescent="0.25">
      <c r="A352" s="59" t="s">
        <v>81</v>
      </c>
      <c r="B352" s="13">
        <v>30</v>
      </c>
      <c r="C352" s="13"/>
      <c r="D352" s="36"/>
      <c r="E352" s="30">
        <v>43891</v>
      </c>
      <c r="F352" s="13"/>
      <c r="G352" s="13"/>
      <c r="H352" s="60"/>
    </row>
    <row r="353" spans="1:8" ht="18.600000000000001" customHeight="1" thickBot="1" x14ac:dyDescent="0.25">
      <c r="A353" s="59" t="s">
        <v>85</v>
      </c>
      <c r="B353" s="13">
        <v>30</v>
      </c>
      <c r="C353" s="13"/>
      <c r="D353" s="36"/>
      <c r="E353" s="30">
        <v>43891</v>
      </c>
      <c r="F353" s="13"/>
      <c r="G353" s="13"/>
      <c r="H353" s="60"/>
    </row>
    <row r="354" spans="1:8" ht="18.600000000000001" customHeight="1" thickBot="1" x14ac:dyDescent="0.25">
      <c r="A354" s="59" t="s">
        <v>90</v>
      </c>
      <c r="B354" s="13">
        <v>50</v>
      </c>
      <c r="C354" s="13"/>
      <c r="D354" s="36"/>
      <c r="E354" s="30">
        <v>43891</v>
      </c>
      <c r="F354" s="13"/>
      <c r="G354" s="13"/>
      <c r="H354" s="60"/>
    </row>
    <row r="355" spans="1:8" ht="18.600000000000001" customHeight="1" thickBot="1" x14ac:dyDescent="0.25">
      <c r="A355" s="59" t="s">
        <v>53</v>
      </c>
      <c r="B355" s="13">
        <v>30</v>
      </c>
      <c r="C355" s="13"/>
      <c r="D355" s="36"/>
      <c r="E355" s="30">
        <v>43891</v>
      </c>
      <c r="F355" s="13"/>
      <c r="G355" s="13"/>
      <c r="H355" s="60"/>
    </row>
    <row r="356" spans="1:8" ht="18.600000000000001" customHeight="1" thickBot="1" x14ac:dyDescent="0.25">
      <c r="A356" s="59" t="s">
        <v>138</v>
      </c>
      <c r="B356" s="13">
        <v>25</v>
      </c>
      <c r="C356" s="13"/>
      <c r="D356" s="36"/>
      <c r="E356" s="30">
        <v>43891</v>
      </c>
      <c r="F356" s="13"/>
      <c r="G356" s="13"/>
      <c r="H356" s="60"/>
    </row>
    <row r="357" spans="1:8" ht="18.600000000000001" customHeight="1" thickBot="1" x14ac:dyDescent="0.25">
      <c r="A357" s="59" t="s">
        <v>146</v>
      </c>
      <c r="B357" s="13">
        <v>15</v>
      </c>
      <c r="C357" s="13"/>
      <c r="D357" s="36"/>
      <c r="E357" s="30">
        <v>43891</v>
      </c>
      <c r="F357" s="13"/>
      <c r="G357" s="13"/>
      <c r="H357" s="60"/>
    </row>
    <row r="358" spans="1:8" ht="18.600000000000001" customHeight="1" thickBot="1" x14ac:dyDescent="0.25">
      <c r="A358" s="59" t="s">
        <v>147</v>
      </c>
      <c r="B358" s="13">
        <v>30</v>
      </c>
      <c r="C358" s="13"/>
      <c r="D358" s="36"/>
      <c r="E358" s="30">
        <v>43891</v>
      </c>
      <c r="F358" s="13"/>
      <c r="G358" s="13"/>
      <c r="H358" s="60"/>
    </row>
    <row r="359" spans="1:8" ht="18.600000000000001" customHeight="1" thickBot="1" x14ac:dyDescent="0.25">
      <c r="A359" s="59" t="s">
        <v>206</v>
      </c>
      <c r="B359" s="13"/>
      <c r="C359" s="13"/>
      <c r="D359" s="36"/>
      <c r="E359" s="30">
        <v>43891</v>
      </c>
      <c r="F359" s="13"/>
      <c r="G359" s="13"/>
      <c r="H359" s="60"/>
    </row>
    <row r="360" spans="1:8" ht="18.600000000000001" customHeight="1" thickBot="1" x14ac:dyDescent="0.25">
      <c r="A360" s="59" t="s">
        <v>221</v>
      </c>
      <c r="B360" s="13">
        <v>40</v>
      </c>
      <c r="C360" s="13"/>
      <c r="D360" s="36"/>
      <c r="E360" s="30">
        <v>43891</v>
      </c>
      <c r="F360" s="13"/>
      <c r="G360" s="13"/>
      <c r="H360" s="60"/>
    </row>
    <row r="361" spans="1:8" ht="18.600000000000001" customHeight="1" thickBot="1" x14ac:dyDescent="0.25">
      <c r="A361" s="59" t="s">
        <v>185</v>
      </c>
      <c r="B361" s="13"/>
      <c r="C361" s="13"/>
      <c r="D361" s="36"/>
      <c r="E361" s="30">
        <v>43891</v>
      </c>
      <c r="F361" s="13"/>
      <c r="G361" s="13"/>
      <c r="H361" s="60"/>
    </row>
    <row r="362" spans="1:8" ht="18.600000000000001" customHeight="1" thickBot="1" x14ac:dyDescent="0.25">
      <c r="A362" s="59" t="s">
        <v>124</v>
      </c>
      <c r="B362" s="13"/>
      <c r="C362" s="13"/>
      <c r="D362" s="36"/>
      <c r="E362" s="30">
        <v>43891</v>
      </c>
      <c r="F362" s="13"/>
      <c r="G362" s="13"/>
      <c r="H362" s="60"/>
    </row>
    <row r="363" spans="1:8" ht="18.600000000000001" customHeight="1" thickBot="1" x14ac:dyDescent="0.25">
      <c r="A363" s="59" t="s">
        <v>83</v>
      </c>
      <c r="B363" s="13"/>
      <c r="C363" s="13"/>
      <c r="D363" s="36"/>
      <c r="E363" s="30">
        <v>43891</v>
      </c>
      <c r="F363" s="13"/>
      <c r="G363" s="13"/>
      <c r="H363" s="60"/>
    </row>
    <row r="364" spans="1:8" ht="18.600000000000001" customHeight="1" thickBot="1" x14ac:dyDescent="0.25">
      <c r="A364" s="59" t="s">
        <v>84</v>
      </c>
      <c r="B364" s="13"/>
      <c r="C364" s="13"/>
      <c r="D364" s="36"/>
      <c r="E364" s="30">
        <v>43891</v>
      </c>
      <c r="F364" s="13"/>
      <c r="G364" s="13"/>
      <c r="H364" s="60"/>
    </row>
    <row r="365" spans="1:8" ht="18.600000000000001" customHeight="1" thickBot="1" x14ac:dyDescent="0.25">
      <c r="A365" s="61" t="s">
        <v>82</v>
      </c>
      <c r="B365" s="63"/>
      <c r="C365" s="63"/>
      <c r="D365" s="24"/>
      <c r="E365" s="30">
        <v>43891</v>
      </c>
      <c r="F365" s="19"/>
      <c r="G365" s="19"/>
      <c r="H365" s="62"/>
    </row>
    <row r="366" spans="1:8" ht="18.600000000000001" customHeight="1" thickBot="1" x14ac:dyDescent="0.25">
      <c r="A366" s="54" t="str">
        <f>CONCATENATE("TOTAL(", TEXT(E339,"mmm-yy"),")")</f>
        <v>TOTAL(Mar-20)</v>
      </c>
      <c r="B366" s="64">
        <f>SUMIF(E:E, E339, B:B)</f>
        <v>705</v>
      </c>
      <c r="C366" s="80"/>
    </row>
    <row r="367" spans="1:8" ht="18.600000000000001" customHeight="1" thickBot="1" x14ac:dyDescent="0.25">
      <c r="A367" s="57" t="s">
        <v>51</v>
      </c>
      <c r="B367" s="20">
        <v>30</v>
      </c>
      <c r="C367" s="20"/>
      <c r="D367" s="21"/>
      <c r="E367" s="30">
        <v>43922</v>
      </c>
      <c r="F367" s="20"/>
      <c r="G367" s="20"/>
      <c r="H367" s="58"/>
    </row>
    <row r="368" spans="1:8" ht="18.600000000000001" customHeight="1" thickBot="1" x14ac:dyDescent="0.25">
      <c r="A368" s="59" t="s">
        <v>20</v>
      </c>
      <c r="B368" s="13">
        <v>42.67</v>
      </c>
      <c r="C368" s="13"/>
      <c r="D368" s="36"/>
      <c r="E368" s="30">
        <v>43922</v>
      </c>
      <c r="F368" s="13"/>
      <c r="G368" s="13"/>
      <c r="H368" s="60"/>
    </row>
    <row r="369" spans="1:8" ht="18.600000000000001" customHeight="1" thickBot="1" x14ac:dyDescent="0.25">
      <c r="A369" s="59" t="s">
        <v>21</v>
      </c>
      <c r="B369" s="13">
        <v>40</v>
      </c>
      <c r="C369" s="13"/>
      <c r="D369" s="36"/>
      <c r="E369" s="30">
        <v>43922</v>
      </c>
      <c r="F369" s="13"/>
      <c r="G369" s="13"/>
      <c r="H369" s="60"/>
    </row>
    <row r="370" spans="1:8" ht="18.600000000000001" customHeight="1" thickBot="1" x14ac:dyDescent="0.25">
      <c r="A370" s="59" t="s">
        <v>22</v>
      </c>
      <c r="B370" s="13">
        <v>30</v>
      </c>
      <c r="C370" s="13"/>
      <c r="D370" s="36"/>
      <c r="E370" s="30">
        <v>43922</v>
      </c>
      <c r="F370" s="13"/>
      <c r="G370" s="13"/>
      <c r="H370" s="60"/>
    </row>
    <row r="371" spans="1:8" ht="18.600000000000001" customHeight="1" thickBot="1" x14ac:dyDescent="0.25">
      <c r="A371" s="59" t="s">
        <v>24</v>
      </c>
      <c r="B371" s="13">
        <v>35</v>
      </c>
      <c r="C371" s="13"/>
      <c r="D371" s="36"/>
      <c r="E371" s="30">
        <v>43922</v>
      </c>
      <c r="F371" s="13"/>
      <c r="G371" s="13"/>
      <c r="H371" s="60"/>
    </row>
    <row r="372" spans="1:8" ht="18.600000000000001" customHeight="1" thickBot="1" x14ac:dyDescent="0.25">
      <c r="A372" s="59" t="s">
        <v>52</v>
      </c>
      <c r="B372" s="5">
        <v>35</v>
      </c>
      <c r="C372" s="13"/>
      <c r="D372" s="36"/>
      <c r="E372" s="30">
        <v>43922</v>
      </c>
      <c r="F372" s="13"/>
      <c r="G372" s="13"/>
      <c r="H372" s="60"/>
    </row>
    <row r="373" spans="1:8" ht="18.600000000000001" customHeight="1" thickBot="1" x14ac:dyDescent="0.25">
      <c r="A373" s="59" t="s">
        <v>25</v>
      </c>
      <c r="B373" s="13">
        <v>30</v>
      </c>
      <c r="C373" s="13"/>
      <c r="D373" s="36"/>
      <c r="E373" s="30">
        <v>43922</v>
      </c>
      <c r="F373" s="13"/>
      <c r="G373" s="13"/>
      <c r="H373" s="60"/>
    </row>
    <row r="374" spans="1:8" ht="18.600000000000001" customHeight="1" thickBot="1" x14ac:dyDescent="0.25">
      <c r="A374" s="59" t="s">
        <v>26</v>
      </c>
      <c r="B374" s="13">
        <v>50</v>
      </c>
      <c r="C374" s="13"/>
      <c r="D374" s="36"/>
      <c r="E374" s="30">
        <v>43922</v>
      </c>
      <c r="F374" s="13"/>
      <c r="G374" s="13"/>
      <c r="H374" s="60"/>
    </row>
    <row r="375" spans="1:8" ht="18.600000000000001" customHeight="1" thickBot="1" x14ac:dyDescent="0.25">
      <c r="A375" s="59" t="s">
        <v>27</v>
      </c>
      <c r="B375" s="13">
        <v>30</v>
      </c>
      <c r="C375" s="13"/>
      <c r="D375" s="36"/>
      <c r="E375" s="30">
        <v>43922</v>
      </c>
      <c r="F375" s="13"/>
      <c r="G375" s="13"/>
      <c r="H375" s="60"/>
    </row>
    <row r="376" spans="1:8" ht="18.600000000000001" customHeight="1" thickBot="1" x14ac:dyDescent="0.25">
      <c r="A376" s="59" t="s">
        <v>54</v>
      </c>
      <c r="B376" s="13">
        <v>100</v>
      </c>
      <c r="C376" s="13"/>
      <c r="D376" s="36"/>
      <c r="E376" s="30">
        <v>43922</v>
      </c>
      <c r="F376" s="13"/>
      <c r="G376" s="13"/>
      <c r="H376" s="60"/>
    </row>
    <row r="377" spans="1:8" ht="18.600000000000001" customHeight="1" thickBot="1" x14ac:dyDescent="0.25">
      <c r="A377" s="59" t="s">
        <v>55</v>
      </c>
      <c r="B377" s="13">
        <v>30</v>
      </c>
      <c r="C377" s="13"/>
      <c r="D377" s="36"/>
      <c r="E377" s="30">
        <v>43922</v>
      </c>
      <c r="F377" s="13"/>
      <c r="G377" s="13"/>
      <c r="H377" s="60"/>
    </row>
    <row r="378" spans="1:8" ht="18.600000000000001" customHeight="1" thickBot="1" x14ac:dyDescent="0.25">
      <c r="A378" s="59" t="s">
        <v>56</v>
      </c>
      <c r="B378" s="13">
        <v>30</v>
      </c>
      <c r="C378" s="13"/>
      <c r="D378" s="36"/>
      <c r="E378" s="30">
        <v>43922</v>
      </c>
      <c r="F378" s="13"/>
      <c r="G378" s="13"/>
      <c r="H378" s="60"/>
    </row>
    <row r="379" spans="1:8" ht="18.600000000000001" customHeight="1" thickBot="1" x14ac:dyDescent="0.25">
      <c r="A379" s="59" t="s">
        <v>65</v>
      </c>
      <c r="B379" s="13">
        <v>30</v>
      </c>
      <c r="C379" s="13"/>
      <c r="D379" s="36"/>
      <c r="E379" s="30">
        <v>43922</v>
      </c>
      <c r="F379" s="13"/>
      <c r="G379" s="13"/>
      <c r="H379" s="60"/>
    </row>
    <row r="380" spans="1:8" ht="18.600000000000001" customHeight="1" thickBot="1" x14ac:dyDescent="0.25">
      <c r="A380" s="59" t="s">
        <v>81</v>
      </c>
      <c r="B380" s="13">
        <v>30</v>
      </c>
      <c r="C380" s="13"/>
      <c r="D380" s="36"/>
      <c r="E380" s="30">
        <v>43922</v>
      </c>
      <c r="F380" s="13"/>
      <c r="G380" s="13"/>
      <c r="H380" s="60"/>
    </row>
    <row r="381" spans="1:8" ht="18.600000000000001" customHeight="1" thickBot="1" x14ac:dyDescent="0.25">
      <c r="A381" s="59" t="s">
        <v>85</v>
      </c>
      <c r="B381" s="13">
        <v>20</v>
      </c>
      <c r="C381" s="13"/>
      <c r="D381" s="36"/>
      <c r="E381" s="30">
        <v>43922</v>
      </c>
      <c r="F381" s="13"/>
      <c r="G381" s="13"/>
      <c r="H381" s="60"/>
    </row>
    <row r="382" spans="1:8" ht="18.600000000000001" customHeight="1" thickBot="1" x14ac:dyDescent="0.25">
      <c r="A382" s="59" t="s">
        <v>90</v>
      </c>
      <c r="B382" s="13">
        <v>50</v>
      </c>
      <c r="C382" s="13"/>
      <c r="D382" s="36"/>
      <c r="E382" s="30">
        <v>43922</v>
      </c>
      <c r="F382" s="13"/>
      <c r="G382" s="13"/>
      <c r="H382" s="60"/>
    </row>
    <row r="383" spans="1:8" ht="18.600000000000001" customHeight="1" thickBot="1" x14ac:dyDescent="0.25">
      <c r="A383" s="59" t="s">
        <v>53</v>
      </c>
      <c r="B383" s="13">
        <v>30</v>
      </c>
      <c r="C383" s="13"/>
      <c r="D383" s="36"/>
      <c r="E383" s="30">
        <v>43922</v>
      </c>
      <c r="F383" s="13"/>
      <c r="G383" s="13"/>
      <c r="H383" s="60"/>
    </row>
    <row r="384" spans="1:8" ht="18.600000000000001" customHeight="1" thickBot="1" x14ac:dyDescent="0.25">
      <c r="A384" s="59" t="s">
        <v>138</v>
      </c>
      <c r="B384" s="13">
        <v>25</v>
      </c>
      <c r="C384" s="13"/>
      <c r="D384" s="36"/>
      <c r="E384" s="30">
        <v>43922</v>
      </c>
      <c r="F384" s="13"/>
      <c r="G384" s="13"/>
      <c r="H384" s="60"/>
    </row>
    <row r="385" spans="1:8" ht="18.600000000000001" customHeight="1" thickBot="1" x14ac:dyDescent="0.25">
      <c r="A385" s="59" t="s">
        <v>146</v>
      </c>
      <c r="B385" s="13">
        <v>15</v>
      </c>
      <c r="C385" s="13"/>
      <c r="D385" s="36"/>
      <c r="E385" s="30">
        <v>43922</v>
      </c>
      <c r="F385" s="13"/>
      <c r="G385" s="13"/>
      <c r="H385" s="60"/>
    </row>
    <row r="386" spans="1:8" ht="18.600000000000001" customHeight="1" thickBot="1" x14ac:dyDescent="0.25">
      <c r="A386" s="59" t="s">
        <v>147</v>
      </c>
      <c r="B386" s="13">
        <v>30</v>
      </c>
      <c r="C386" s="13"/>
      <c r="D386" s="36"/>
      <c r="E386" s="30">
        <v>43922</v>
      </c>
      <c r="F386" s="13"/>
      <c r="G386" s="13"/>
      <c r="H386" s="60"/>
    </row>
    <row r="387" spans="1:8" ht="18.600000000000001" customHeight="1" thickBot="1" x14ac:dyDescent="0.25">
      <c r="A387" s="59" t="s">
        <v>206</v>
      </c>
      <c r="B387" s="13"/>
      <c r="C387" s="13"/>
      <c r="D387" s="36"/>
      <c r="E387" s="30">
        <v>43922</v>
      </c>
      <c r="F387" s="13"/>
      <c r="G387" s="13"/>
      <c r="H387" s="60"/>
    </row>
    <row r="388" spans="1:8" ht="18.600000000000001" customHeight="1" thickBot="1" x14ac:dyDescent="0.25">
      <c r="A388" s="59" t="s">
        <v>221</v>
      </c>
      <c r="B388" s="13">
        <v>40</v>
      </c>
      <c r="C388" s="13"/>
      <c r="D388" s="36"/>
      <c r="E388" s="30">
        <v>43922</v>
      </c>
      <c r="F388" s="13"/>
      <c r="G388" s="13"/>
      <c r="H388" s="60"/>
    </row>
    <row r="389" spans="1:8" ht="18.600000000000001" customHeight="1" thickBot="1" x14ac:dyDescent="0.25">
      <c r="A389" s="59" t="s">
        <v>237</v>
      </c>
      <c r="B389" s="13">
        <v>25</v>
      </c>
      <c r="C389" s="13"/>
      <c r="D389" s="36"/>
      <c r="E389" s="30">
        <v>43922</v>
      </c>
      <c r="F389" s="13"/>
      <c r="G389" s="13"/>
      <c r="H389" s="60"/>
    </row>
    <row r="390" spans="1:8" s="85" customFormat="1" ht="18.600000000000001" customHeight="1" thickBot="1" x14ac:dyDescent="0.25">
      <c r="A390" s="86" t="s">
        <v>380</v>
      </c>
      <c r="B390" s="13">
        <v>40</v>
      </c>
      <c r="C390" s="13"/>
      <c r="D390" s="36"/>
      <c r="E390" s="30">
        <v>43922</v>
      </c>
      <c r="F390" s="13"/>
      <c r="G390" s="13"/>
      <c r="H390" s="60"/>
    </row>
    <row r="391" spans="1:8" ht="18.600000000000001" customHeight="1" thickBot="1" x14ac:dyDescent="0.25">
      <c r="A391" s="59" t="s">
        <v>245</v>
      </c>
      <c r="B391" s="13">
        <v>2185</v>
      </c>
      <c r="C391" s="13">
        <v>825</v>
      </c>
      <c r="D391" s="36"/>
      <c r="E391" s="30">
        <v>43922</v>
      </c>
      <c r="F391" s="13"/>
      <c r="G391" s="13"/>
      <c r="H391" s="60"/>
    </row>
    <row r="392" spans="1:8" ht="18.600000000000001" customHeight="1" thickBot="1" x14ac:dyDescent="0.25">
      <c r="A392" s="59" t="s">
        <v>185</v>
      </c>
      <c r="B392" s="13"/>
      <c r="C392" s="13"/>
      <c r="D392" s="36"/>
      <c r="E392" s="30">
        <v>43922</v>
      </c>
      <c r="F392" s="13"/>
      <c r="G392" s="13"/>
      <c r="H392" s="60"/>
    </row>
    <row r="393" spans="1:8" ht="18.600000000000001" customHeight="1" thickBot="1" x14ac:dyDescent="0.25">
      <c r="A393" s="59" t="s">
        <v>124</v>
      </c>
      <c r="B393" s="13"/>
      <c r="C393" s="13"/>
      <c r="D393" s="36"/>
      <c r="E393" s="30">
        <v>43922</v>
      </c>
      <c r="F393" s="13"/>
      <c r="G393" s="13"/>
      <c r="H393" s="60"/>
    </row>
    <row r="394" spans="1:8" ht="18.600000000000001" customHeight="1" thickBot="1" x14ac:dyDescent="0.25">
      <c r="A394" s="59" t="s">
        <v>83</v>
      </c>
      <c r="B394" s="13"/>
      <c r="C394" s="13"/>
      <c r="D394" s="36"/>
      <c r="E394" s="30">
        <v>43922</v>
      </c>
      <c r="F394" s="13"/>
      <c r="G394" s="13"/>
      <c r="H394" s="60"/>
    </row>
    <row r="395" spans="1:8" ht="18.600000000000001" customHeight="1" thickBot="1" x14ac:dyDescent="0.25">
      <c r="A395" s="59" t="s">
        <v>84</v>
      </c>
      <c r="B395" s="13"/>
      <c r="C395" s="13"/>
      <c r="D395" s="36"/>
      <c r="E395" s="30">
        <v>43922</v>
      </c>
      <c r="F395" s="13"/>
      <c r="G395" s="13"/>
      <c r="H395" s="60"/>
    </row>
    <row r="396" spans="1:8" ht="18.600000000000001" customHeight="1" thickBot="1" x14ac:dyDescent="0.25">
      <c r="A396" s="61" t="s">
        <v>82</v>
      </c>
      <c r="B396" s="63"/>
      <c r="C396" s="63"/>
      <c r="D396" s="24"/>
      <c r="E396" s="30">
        <v>43922</v>
      </c>
      <c r="F396" s="19"/>
      <c r="G396" s="19"/>
      <c r="H396" s="62"/>
    </row>
    <row r="397" spans="1:8" ht="18.600000000000001" customHeight="1" thickBot="1" x14ac:dyDescent="0.25">
      <c r="A397" s="54" t="str">
        <f>CONCATENATE("TOTAL(", TEXT(E367,"mmm-yy"),")")</f>
        <v>TOTAL(Apr-20)</v>
      </c>
      <c r="B397" s="64">
        <f>SUMIF(E:E, E367, B:B)</f>
        <v>3002.67</v>
      </c>
      <c r="C397" s="80">
        <f>SUMIF(E:E,E367,C:C)</f>
        <v>825</v>
      </c>
    </row>
    <row r="398" spans="1:8" ht="18.600000000000001" customHeight="1" thickBot="1" x14ac:dyDescent="0.25">
      <c r="A398" s="57" t="s">
        <v>51</v>
      </c>
      <c r="B398" s="20"/>
      <c r="C398" s="20"/>
      <c r="D398" s="21"/>
      <c r="E398" s="30">
        <v>43952</v>
      </c>
      <c r="F398" s="20"/>
      <c r="G398" s="20"/>
      <c r="H398" s="58"/>
    </row>
    <row r="399" spans="1:8" ht="18.600000000000001" customHeight="1" thickBot="1" x14ac:dyDescent="0.25">
      <c r="A399" s="59" t="s">
        <v>20</v>
      </c>
      <c r="B399" s="13"/>
      <c r="C399" s="13"/>
      <c r="D399" s="36"/>
      <c r="E399" s="30">
        <v>43952</v>
      </c>
      <c r="F399" s="13"/>
      <c r="G399" s="13"/>
      <c r="H399" s="60"/>
    </row>
    <row r="400" spans="1:8" ht="18.600000000000001" customHeight="1" thickBot="1" x14ac:dyDescent="0.25">
      <c r="A400" s="59" t="s">
        <v>21</v>
      </c>
      <c r="B400" s="13">
        <v>40</v>
      </c>
      <c r="C400" s="13"/>
      <c r="D400" s="36"/>
      <c r="E400" s="30">
        <v>43952</v>
      </c>
      <c r="F400" s="13"/>
      <c r="G400" s="13"/>
      <c r="H400" s="60"/>
    </row>
    <row r="401" spans="1:8" ht="18.600000000000001" customHeight="1" thickBot="1" x14ac:dyDescent="0.25">
      <c r="A401" s="59" t="s">
        <v>22</v>
      </c>
      <c r="B401" s="13"/>
      <c r="C401" s="13"/>
      <c r="D401" s="36"/>
      <c r="E401" s="30">
        <v>43952</v>
      </c>
      <c r="F401" s="13"/>
      <c r="G401" s="13"/>
      <c r="H401" s="60"/>
    </row>
    <row r="402" spans="1:8" ht="18.600000000000001" customHeight="1" thickBot="1" x14ac:dyDescent="0.25">
      <c r="A402" s="59" t="s">
        <v>24</v>
      </c>
      <c r="B402" s="13"/>
      <c r="C402" s="13"/>
      <c r="D402" s="36"/>
      <c r="E402" s="30">
        <v>43952</v>
      </c>
      <c r="F402" s="13"/>
      <c r="G402" s="13"/>
      <c r="H402" s="60"/>
    </row>
    <row r="403" spans="1:8" ht="18.600000000000001" customHeight="1" thickBot="1" x14ac:dyDescent="0.25">
      <c r="A403" s="59" t="s">
        <v>52</v>
      </c>
      <c r="C403" s="13"/>
      <c r="D403" s="36"/>
      <c r="E403" s="30">
        <v>43952</v>
      </c>
      <c r="F403" s="13"/>
      <c r="G403" s="13"/>
      <c r="H403" s="60"/>
    </row>
    <row r="404" spans="1:8" ht="18.600000000000001" customHeight="1" thickBot="1" x14ac:dyDescent="0.25">
      <c r="A404" s="59" t="s">
        <v>25</v>
      </c>
      <c r="B404" s="13">
        <v>80</v>
      </c>
      <c r="C404" s="13"/>
      <c r="D404" s="36"/>
      <c r="E404" s="30">
        <v>43952</v>
      </c>
      <c r="F404" s="13"/>
      <c r="G404" s="13"/>
      <c r="H404" s="60"/>
    </row>
    <row r="405" spans="1:8" ht="18.600000000000001" customHeight="1" thickBot="1" x14ac:dyDescent="0.25">
      <c r="A405" s="59" t="s">
        <v>26</v>
      </c>
      <c r="B405" s="13">
        <v>50</v>
      </c>
      <c r="C405" s="13"/>
      <c r="D405" s="36"/>
      <c r="E405" s="30">
        <v>43952</v>
      </c>
      <c r="F405" s="13"/>
      <c r="G405" s="13"/>
      <c r="H405" s="60"/>
    </row>
    <row r="406" spans="1:8" ht="18.600000000000001" customHeight="1" thickBot="1" x14ac:dyDescent="0.25">
      <c r="A406" s="59" t="s">
        <v>27</v>
      </c>
      <c r="B406" s="13"/>
      <c r="C406" s="13"/>
      <c r="D406" s="36"/>
      <c r="E406" s="30">
        <v>43952</v>
      </c>
      <c r="F406" s="13"/>
      <c r="G406" s="13"/>
      <c r="H406" s="60"/>
    </row>
    <row r="407" spans="1:8" ht="18.600000000000001" customHeight="1" thickBot="1" x14ac:dyDescent="0.25">
      <c r="A407" s="59" t="s">
        <v>54</v>
      </c>
      <c r="B407" s="13">
        <v>53.33</v>
      </c>
      <c r="C407" s="13"/>
      <c r="D407" s="36"/>
      <c r="E407" s="30">
        <v>43952</v>
      </c>
      <c r="F407" s="13"/>
      <c r="G407" s="13"/>
      <c r="H407" s="60"/>
    </row>
    <row r="408" spans="1:8" ht="18.600000000000001" customHeight="1" thickBot="1" x14ac:dyDescent="0.25">
      <c r="A408" s="59" t="s">
        <v>55</v>
      </c>
      <c r="B408" s="13"/>
      <c r="C408" s="13"/>
      <c r="D408" s="36"/>
      <c r="E408" s="30">
        <v>43952</v>
      </c>
      <c r="F408" s="13"/>
      <c r="G408" s="13"/>
      <c r="H408" s="60"/>
    </row>
    <row r="409" spans="1:8" ht="18.600000000000001" customHeight="1" thickBot="1" x14ac:dyDescent="0.25">
      <c r="A409" s="59" t="s">
        <v>56</v>
      </c>
      <c r="B409" s="13"/>
      <c r="C409" s="13"/>
      <c r="D409" s="36"/>
      <c r="E409" s="30">
        <v>43952</v>
      </c>
      <c r="F409" s="13"/>
      <c r="G409" s="13"/>
      <c r="H409" s="60"/>
    </row>
    <row r="410" spans="1:8" ht="18.600000000000001" customHeight="1" thickBot="1" x14ac:dyDescent="0.25">
      <c r="A410" s="59" t="s">
        <v>65</v>
      </c>
      <c r="B410" s="13"/>
      <c r="C410" s="13"/>
      <c r="D410" s="36"/>
      <c r="E410" s="30">
        <v>43952</v>
      </c>
      <c r="F410" s="13"/>
      <c r="G410" s="13"/>
      <c r="H410" s="60"/>
    </row>
    <row r="411" spans="1:8" ht="18.600000000000001" customHeight="1" thickBot="1" x14ac:dyDescent="0.25">
      <c r="A411" s="59" t="s">
        <v>81</v>
      </c>
      <c r="B411" s="13"/>
      <c r="C411" s="13"/>
      <c r="D411" s="36"/>
      <c r="E411" s="30">
        <v>43952</v>
      </c>
      <c r="F411" s="13"/>
      <c r="G411" s="13"/>
      <c r="H411" s="60"/>
    </row>
    <row r="412" spans="1:8" ht="18.600000000000001" customHeight="1" thickBot="1" x14ac:dyDescent="0.25">
      <c r="A412" s="59" t="s">
        <v>85</v>
      </c>
      <c r="B412" s="13">
        <v>225.73</v>
      </c>
      <c r="C412" s="13"/>
      <c r="D412" s="36"/>
      <c r="E412" s="30">
        <v>43952</v>
      </c>
      <c r="F412" s="13"/>
      <c r="G412" s="13"/>
      <c r="H412" s="60"/>
    </row>
    <row r="413" spans="1:8" ht="18.600000000000001" customHeight="1" thickBot="1" x14ac:dyDescent="0.25">
      <c r="A413" s="59" t="s">
        <v>90</v>
      </c>
      <c r="B413" s="13"/>
      <c r="C413" s="13"/>
      <c r="D413" s="36"/>
      <c r="E413" s="30">
        <v>43952</v>
      </c>
      <c r="F413" s="13"/>
      <c r="G413" s="13"/>
      <c r="H413" s="60"/>
    </row>
    <row r="414" spans="1:8" ht="18.600000000000001" customHeight="1" thickBot="1" x14ac:dyDescent="0.25">
      <c r="A414" s="59" t="s">
        <v>53</v>
      </c>
      <c r="B414" s="13">
        <v>30</v>
      </c>
      <c r="C414" s="13"/>
      <c r="D414" s="36"/>
      <c r="E414" s="30">
        <v>43952</v>
      </c>
      <c r="F414" s="13"/>
      <c r="G414" s="13"/>
      <c r="H414" s="60"/>
    </row>
    <row r="415" spans="1:8" ht="18.600000000000001" customHeight="1" thickBot="1" x14ac:dyDescent="0.25">
      <c r="A415" s="59" t="s">
        <v>138</v>
      </c>
      <c r="B415" s="13"/>
      <c r="C415" s="13"/>
      <c r="D415" s="36"/>
      <c r="E415" s="30">
        <v>43952</v>
      </c>
      <c r="F415" s="13"/>
      <c r="G415" s="13"/>
      <c r="H415" s="60"/>
    </row>
    <row r="416" spans="1:8" ht="18.600000000000001" customHeight="1" thickBot="1" x14ac:dyDescent="0.25">
      <c r="A416" s="59" t="s">
        <v>146</v>
      </c>
      <c r="B416" s="13"/>
      <c r="C416" s="13"/>
      <c r="D416" s="36"/>
      <c r="E416" s="30">
        <v>43952</v>
      </c>
      <c r="F416" s="13"/>
      <c r="G416" s="13"/>
      <c r="H416" s="60"/>
    </row>
    <row r="417" spans="1:8" ht="18.600000000000001" customHeight="1" thickBot="1" x14ac:dyDescent="0.25">
      <c r="A417" s="59" t="s">
        <v>147</v>
      </c>
      <c r="B417" s="13"/>
      <c r="C417" s="13"/>
      <c r="D417" s="36"/>
      <c r="E417" s="30">
        <v>43952</v>
      </c>
      <c r="F417" s="13"/>
      <c r="G417" s="13"/>
      <c r="H417" s="60"/>
    </row>
    <row r="418" spans="1:8" ht="18.600000000000001" customHeight="1" thickBot="1" x14ac:dyDescent="0.25">
      <c r="A418" s="59" t="s">
        <v>206</v>
      </c>
      <c r="B418" s="13"/>
      <c r="C418" s="13"/>
      <c r="D418" s="36"/>
      <c r="E418" s="30">
        <v>43952</v>
      </c>
      <c r="F418" s="13"/>
      <c r="G418" s="13"/>
      <c r="H418" s="60"/>
    </row>
    <row r="419" spans="1:8" ht="18.600000000000001" customHeight="1" thickBot="1" x14ac:dyDescent="0.25">
      <c r="A419" s="59" t="s">
        <v>221</v>
      </c>
      <c r="B419" s="13"/>
      <c r="C419" s="13"/>
      <c r="D419" s="36"/>
      <c r="E419" s="30">
        <v>43952</v>
      </c>
      <c r="F419" s="13"/>
      <c r="G419" s="13"/>
      <c r="H419" s="60"/>
    </row>
    <row r="420" spans="1:8" ht="18.600000000000001" customHeight="1" thickBot="1" x14ac:dyDescent="0.25">
      <c r="A420" s="59" t="s">
        <v>237</v>
      </c>
      <c r="B420" s="13">
        <v>25</v>
      </c>
      <c r="C420" s="13"/>
      <c r="D420" s="36"/>
      <c r="E420" s="30">
        <v>43952</v>
      </c>
      <c r="F420" s="13"/>
      <c r="G420" s="13"/>
      <c r="H420" s="60"/>
    </row>
    <row r="421" spans="1:8" s="85" customFormat="1" ht="18.600000000000001" customHeight="1" thickBot="1" x14ac:dyDescent="0.25">
      <c r="A421" s="86" t="s">
        <v>380</v>
      </c>
      <c r="B421" s="13">
        <v>40</v>
      </c>
      <c r="C421" s="13"/>
      <c r="D421" s="36"/>
      <c r="E421" s="30">
        <v>43952</v>
      </c>
      <c r="F421" s="13"/>
      <c r="G421" s="13"/>
      <c r="H421" s="60"/>
    </row>
    <row r="422" spans="1:8" s="85" customFormat="1" ht="18.600000000000001" customHeight="1" thickBot="1" x14ac:dyDescent="0.25">
      <c r="A422" s="109" t="s">
        <v>398</v>
      </c>
      <c r="B422" s="13"/>
      <c r="C422" s="13"/>
      <c r="D422" s="36"/>
      <c r="E422" s="30">
        <v>43952</v>
      </c>
      <c r="F422" s="13"/>
      <c r="G422" s="13"/>
      <c r="H422" s="60"/>
    </row>
    <row r="423" spans="1:8" ht="18.600000000000001" customHeight="1" thickBot="1" x14ac:dyDescent="0.25">
      <c r="A423" s="59" t="s">
        <v>245</v>
      </c>
      <c r="B423" s="13">
        <f>475+350</f>
        <v>825</v>
      </c>
      <c r="C423" s="13">
        <v>150</v>
      </c>
      <c r="D423" s="36"/>
      <c r="E423" s="30">
        <v>43952</v>
      </c>
      <c r="F423" s="13"/>
      <c r="G423" s="13"/>
      <c r="H423" s="60"/>
    </row>
    <row r="424" spans="1:8" ht="18.600000000000001" customHeight="1" thickBot="1" x14ac:dyDescent="0.25">
      <c r="A424" s="59" t="s">
        <v>185</v>
      </c>
      <c r="B424" s="13"/>
      <c r="C424" s="13"/>
      <c r="D424" s="36"/>
      <c r="E424" s="30">
        <v>43952</v>
      </c>
      <c r="F424" s="13"/>
      <c r="G424" s="13"/>
      <c r="H424" s="60"/>
    </row>
    <row r="425" spans="1:8" ht="18.600000000000001" customHeight="1" thickBot="1" x14ac:dyDescent="0.25">
      <c r="A425" s="59" t="s">
        <v>124</v>
      </c>
      <c r="B425" s="13"/>
      <c r="C425" s="13"/>
      <c r="D425" s="36"/>
      <c r="E425" s="30">
        <v>43952</v>
      </c>
      <c r="F425" s="13"/>
      <c r="G425" s="13"/>
      <c r="H425" s="60"/>
    </row>
    <row r="426" spans="1:8" ht="18.600000000000001" customHeight="1" thickBot="1" x14ac:dyDescent="0.25">
      <c r="A426" s="59" t="s">
        <v>83</v>
      </c>
      <c r="B426" s="13"/>
      <c r="C426" s="13"/>
      <c r="D426" s="36"/>
      <c r="E426" s="30">
        <v>43952</v>
      </c>
      <c r="F426" s="13"/>
      <c r="G426" s="13"/>
      <c r="H426" s="60"/>
    </row>
    <row r="427" spans="1:8" ht="18.600000000000001" customHeight="1" thickBot="1" x14ac:dyDescent="0.25">
      <c r="A427" s="59" t="s">
        <v>84</v>
      </c>
      <c r="B427" s="13"/>
      <c r="C427" s="13"/>
      <c r="D427" s="36"/>
      <c r="E427" s="30">
        <v>43952</v>
      </c>
      <c r="F427" s="13"/>
      <c r="G427" s="13"/>
      <c r="H427" s="60"/>
    </row>
    <row r="428" spans="1:8" ht="18.600000000000001" customHeight="1" thickBot="1" x14ac:dyDescent="0.25">
      <c r="A428" s="61" t="s">
        <v>82</v>
      </c>
      <c r="B428" s="63"/>
      <c r="C428" s="63"/>
      <c r="D428" s="24"/>
      <c r="E428" s="30">
        <v>43952</v>
      </c>
      <c r="F428" s="19"/>
      <c r="G428" s="19"/>
      <c r="H428" s="62"/>
    </row>
    <row r="429" spans="1:8" ht="18.600000000000001" customHeight="1" thickBot="1" x14ac:dyDescent="0.25">
      <c r="A429" s="54" t="str">
        <f>CONCATENATE("TOTAL(", TEXT(E398,"mmm-yy"),")")</f>
        <v>TOTAL(May-20)</v>
      </c>
      <c r="B429" s="64">
        <f>SUMIF(E:E, E398, B:B)</f>
        <v>1369.06</v>
      </c>
      <c r="C429" s="80">
        <f>SUMIF(E:E,E398,C:C)</f>
        <v>150</v>
      </c>
    </row>
  </sheetData>
  <dataConsolidate link="1"/>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promptTitle="Pay Type" prompt="Cash or App" xr:uid="{00000000-0002-0000-0200-000000000000}">
          <x14:formula1>
            <xm:f>Index!$B$27:$B$28</xm:f>
          </x14:formula1>
          <xm:sqref>F4:F17 F19:F25 F27:F48 F50:F72 F74:F96 F176:F201 F203:F228 F230:F255 F98:F122 F124:F148 F150:F174 F257:F282 F284:F309 F311:F337 F339:F365 F367:F396 F398:F428</xm:sqref>
        </x14:dataValidation>
        <x14:dataValidation type="list" allowBlank="1" showInputMessage="1" showErrorMessage="1" promptTitle="Reminders" prompt="R1, R2, R3. Escalated" xr:uid="{00000000-0002-0000-0200-000001000000}">
          <x14:formula1>
            <xm:f>Index!$B$32:$B$35</xm:f>
          </x14:formula1>
          <xm:sqref>G4:G25 G27:G48 G50:G72 G74:G96 G176:G201 G203:G228 G230:G255 G98:G122 G124:G148 G150:G174 G257:G282 G284:G309 G311:G337 G339:G365 G367:G396 G398:G428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K51"/>
  <sheetViews>
    <sheetView workbookViewId="0">
      <pane ySplit="1" topLeftCell="A2" activePane="bottomLeft" state="frozen"/>
      <selection pane="bottomLeft" activeCell="J6" sqref="J6:J18"/>
    </sheetView>
  </sheetViews>
  <sheetFormatPr defaultColWidth="8.85546875" defaultRowHeight="12.75" x14ac:dyDescent="0.2"/>
  <cols>
    <col min="1" max="3" width="8.85546875" style="2"/>
    <col min="4" max="4" width="21.85546875" style="7" bestFit="1" customWidth="1"/>
    <col min="5" max="6" width="21.85546875" style="78" customWidth="1"/>
    <col min="7" max="7" width="19.42578125" style="8" bestFit="1" customWidth="1"/>
    <col min="8" max="8" width="29.85546875" style="8" customWidth="1"/>
    <col min="9" max="9" width="19.42578125" style="8" customWidth="1"/>
    <col min="10" max="10" width="19.42578125" style="8" bestFit="1" customWidth="1"/>
    <col min="11" max="11" width="20.140625" style="2" customWidth="1"/>
    <col min="12" max="16384" width="8.85546875" style="2"/>
  </cols>
  <sheetData>
    <row r="1" spans="4:11" s="1" customFormat="1" ht="36.75" customHeight="1" thickBot="1" x14ac:dyDescent="0.25">
      <c r="D1" s="16" t="s">
        <v>36</v>
      </c>
      <c r="E1" s="16" t="s">
        <v>168</v>
      </c>
      <c r="F1" s="16" t="s">
        <v>169</v>
      </c>
      <c r="G1" s="16" t="s">
        <v>177</v>
      </c>
      <c r="H1" s="16" t="s">
        <v>178</v>
      </c>
      <c r="I1" s="16" t="s">
        <v>179</v>
      </c>
      <c r="J1" s="16" t="s">
        <v>37</v>
      </c>
      <c r="K1" s="16" t="s">
        <v>234</v>
      </c>
    </row>
    <row r="2" spans="4:11" s="1" customFormat="1" ht="15" customHeight="1" x14ac:dyDescent="0.2">
      <c r="D2" s="23" t="s">
        <v>79</v>
      </c>
      <c r="E2" s="13">
        <f>SUMIF('Summary - Person'!A:A,_xlfn.CONCAT("Total(",D2,")"),'Summary - Person'!B:H)</f>
        <v>5796</v>
      </c>
      <c r="F2" s="13">
        <f>SUMIF('Summary - Person'!A:A,_xlfn.CONCAT("Total(",D2,")"),'Summary - Person'!C:I)</f>
        <v>0</v>
      </c>
      <c r="G2" s="13">
        <f>(SUMIF('Summary - Person'!A:A,_xlfn.CONCAT("Total(",D2,")"),'Summary - Person'!B:H) + SUMIF('Summary - Person'!A:A,_xlfn.CONCAT("Total(",D2,")"),'Summary - Person'!C:H))</f>
        <v>5796</v>
      </c>
      <c r="H2" s="11">
        <f>SUMIF('Summary - Expenditures'!J:J,D2,'Summary - Expenditures'!E:E)</f>
        <v>4484.7299999999996</v>
      </c>
      <c r="I2" s="11">
        <f>SUMIF('Summary - Expenditures'!J:J,D2,'Summary - Expenditures'!F:F)</f>
        <v>0</v>
      </c>
      <c r="J2" s="11">
        <f>SUMIF('Summary - Expenditures'!J3:J1048576, D2, 'Summary - Expenditures'!G3:G1048576)</f>
        <v>4484.7299999999996</v>
      </c>
      <c r="K2" s="11">
        <f>SUMIF('Summary - Expenditures'!J:J, D2, 'Summary - Expenditures'!N:N)</f>
        <v>0</v>
      </c>
    </row>
    <row r="3" spans="4:11" s="1" customFormat="1" ht="15" customHeight="1" x14ac:dyDescent="0.2">
      <c r="D3" s="15" t="s">
        <v>38</v>
      </c>
      <c r="E3" s="13">
        <f>SUMIF('Summary - Person'!A:A,_xlfn.CONCAT("Total(",D3,")"),'Summary - Person'!B:H)</f>
        <v>783</v>
      </c>
      <c r="F3" s="13">
        <f>SUMIF('Summary - Person'!A:A,_xlfn.CONCAT("Total(",D3,")"),'Summary - Person'!C:I)</f>
        <v>0</v>
      </c>
      <c r="G3" s="13">
        <f>(SUMIF('Summary - Person'!A:A,_xlfn.CONCAT("Total(",D3,")"),'Summary - Person'!B:H) + SUMIF('Summary - Person'!A:A,_xlfn.CONCAT("Total(",D3,")"),'Summary - Person'!C:H))</f>
        <v>783</v>
      </c>
      <c r="H3" s="11">
        <f>SUMIF('Summary - Expenditures'!J:J,D3,'Summary - Expenditures'!E:E)</f>
        <v>1275</v>
      </c>
      <c r="I3" s="11">
        <f>SUMIF('Summary - Expenditures'!J:J,D3,'Summary - Expenditures'!F:F)</f>
        <v>0</v>
      </c>
      <c r="J3" s="13">
        <f>SUMIF('Summary - Expenditures'!J3:J1048576, D3, 'Summary - Expenditures'!G3:G1048576)</f>
        <v>1275</v>
      </c>
      <c r="K3" s="11">
        <f>SUMIF('Summary - Expenditures'!J:J, D3, 'Summary - Expenditures'!N:N)</f>
        <v>0</v>
      </c>
    </row>
    <row r="4" spans="4:11" x14ac:dyDescent="0.2">
      <c r="D4" s="15" t="s">
        <v>39</v>
      </c>
      <c r="E4" s="13">
        <f>SUMIF('Summary - Person'!A:A,_xlfn.CONCAT("Total(",D4,")"),'Summary - Person'!B:H)</f>
        <v>540</v>
      </c>
      <c r="F4" s="13">
        <f>SUMIF('Summary - Person'!A:A,_xlfn.CONCAT("Total(",D4,")"),'Summary - Person'!C:I)</f>
        <v>0</v>
      </c>
      <c r="G4" s="13">
        <f>(SUMIF('Summary - Person'!A:A,_xlfn.CONCAT("Total(",D4,")"),'Summary - Person'!B:H) + SUMIF('Summary - Person'!A:A,_xlfn.CONCAT("Total(",D4,")"),'Summary - Person'!C:H))</f>
        <v>540</v>
      </c>
      <c r="H4" s="11">
        <f>SUMIF('Summary - Expenditures'!J:J,D4,'Summary - Expenditures'!E:E)</f>
        <v>1203</v>
      </c>
      <c r="I4" s="11">
        <f>SUMIF('Summary - Expenditures'!J:J,D4,'Summary - Expenditures'!F:F)</f>
        <v>0</v>
      </c>
      <c r="J4" s="13">
        <f>SUMIF('Summary - Expenditures'!J3:J1048576, D4, 'Summary - Expenditures'!G3:G1048576)</f>
        <v>1203</v>
      </c>
      <c r="K4" s="11">
        <f>SUMIF('Summary - Expenditures'!J:J, D4, 'Summary - Expenditures'!N:N)</f>
        <v>0</v>
      </c>
    </row>
    <row r="5" spans="4:11" x14ac:dyDescent="0.2">
      <c r="D5" s="15" t="s">
        <v>40</v>
      </c>
      <c r="E5" s="13">
        <f>SUMIF('Summary - Person'!A:A,_xlfn.CONCAT("Total(",D5,")"),'Summary - Person'!B:H)</f>
        <v>580</v>
      </c>
      <c r="F5" s="13">
        <f>SUMIF('Summary - Person'!A:A,_xlfn.CONCAT("Total(",D5,")"),'Summary - Person'!C:I)</f>
        <v>0</v>
      </c>
      <c r="G5" s="13">
        <f>(SUMIF('Summary - Person'!A:A,_xlfn.CONCAT("Total(",D5,")"),'Summary - Person'!B:H) + SUMIF('Summary - Person'!A:A,_xlfn.CONCAT("Total(",D5,")"),'Summary - Person'!C:H))</f>
        <v>580</v>
      </c>
      <c r="H5" s="11">
        <f>SUMIF('Summary - Expenditures'!J:J,D5,'Summary - Expenditures'!E:E)</f>
        <v>585</v>
      </c>
      <c r="I5" s="11">
        <f>SUMIF('Summary - Expenditures'!J:J,D5,'Summary - Expenditures'!F:F)</f>
        <v>0</v>
      </c>
      <c r="J5" s="13">
        <f>SUMIF('Summary - Expenditures'!J3:J1048576, D5, 'Summary - Expenditures'!G3:G1048576)</f>
        <v>585</v>
      </c>
      <c r="K5" s="11">
        <f>SUMIF('Summary - Expenditures'!J:J, D5, 'Summary - Expenditures'!N:N)</f>
        <v>0</v>
      </c>
    </row>
    <row r="6" spans="4:11" x14ac:dyDescent="0.2">
      <c r="D6" s="26" t="s">
        <v>41</v>
      </c>
      <c r="E6" s="13">
        <f>SUMIF('Summary - Person'!A:A,_xlfn.CONCAT("Total(",D6,")"),'Summary - Person'!B:H)</f>
        <v>563</v>
      </c>
      <c r="F6" s="13">
        <f>SUMIF('Summary - Person'!A:A,_xlfn.CONCAT("Total(",D6,")"),'Summary - Person'!C:I)</f>
        <v>0</v>
      </c>
      <c r="G6" s="13">
        <f>(SUMIF('Summary - Person'!A:A,_xlfn.CONCAT("Total(",D6,")"),'Summary - Person'!B:H) + SUMIF('Summary - Person'!A:A,_xlfn.CONCAT("Total(",D6,")"),'Summary - Person'!C:H))</f>
        <v>563</v>
      </c>
      <c r="H6" s="11">
        <f>SUMIF('Summary - Expenditures'!J:J,D6,'Summary - Expenditures'!E:E)</f>
        <v>651</v>
      </c>
      <c r="I6" s="11">
        <f>SUMIF('Summary - Expenditures'!J:J,D6,'Summary - Expenditures'!F:F)</f>
        <v>0</v>
      </c>
      <c r="J6" s="13">
        <f>SUMIF('Summary - Expenditures'!J3:J1048576, D6, 'Summary - Expenditures'!G3:G1048576)</f>
        <v>651</v>
      </c>
      <c r="K6" s="11">
        <f>SUMIF('Summary - Expenditures'!J:J, D6, 'Summary - Expenditures'!N:N)</f>
        <v>0</v>
      </c>
    </row>
    <row r="7" spans="4:11" x14ac:dyDescent="0.2">
      <c r="D7" s="26" t="s">
        <v>140</v>
      </c>
      <c r="E7" s="13">
        <f>SUMIF('Summary - Person'!A:A,_xlfn.CONCAT("Total(",D7,")"),'Summary - Person'!B:H)</f>
        <v>640</v>
      </c>
      <c r="F7" s="13">
        <f>SUMIF('Summary - Person'!A:A,_xlfn.CONCAT("Total(",D7,")"),'Summary - Person'!C:I)</f>
        <v>570</v>
      </c>
      <c r="G7" s="13">
        <f>(SUMIF('Summary - Person'!A:A,_xlfn.CONCAT("Total(",D7,")"),'Summary - Person'!B:H) + SUMIF('Summary - Person'!A:A,_xlfn.CONCAT("Total(",D7,")"),'Summary - Person'!C:H))</f>
        <v>1210</v>
      </c>
      <c r="H7" s="11">
        <f>SUMIF('Summary - Expenditures'!J:J,D7,'Summary - Expenditures'!E:E)</f>
        <v>660</v>
      </c>
      <c r="I7" s="11">
        <f>SUMIF('Summary - Expenditures'!J:J,D7,'Summary - Expenditures'!F:F)</f>
        <v>0</v>
      </c>
      <c r="J7" s="13">
        <f>SUMIF('Summary - Expenditures'!J3:J1048576, D7, 'Summary - Expenditures'!G3:G1048576)</f>
        <v>660</v>
      </c>
      <c r="K7" s="11">
        <f>SUMIF('Summary - Expenditures'!J:J, D7, 'Summary - Expenditures'!N:N)</f>
        <v>0</v>
      </c>
    </row>
    <row r="8" spans="4:11" x14ac:dyDescent="0.2">
      <c r="D8" s="26" t="s">
        <v>141</v>
      </c>
      <c r="E8" s="13">
        <f>SUMIF('Summary - Person'!A:A,_xlfn.CONCAT("Total(",D8,")"),'Summary - Person'!B:H)</f>
        <v>645</v>
      </c>
      <c r="F8" s="13">
        <f>SUMIF('Summary - Person'!A:A,_xlfn.CONCAT("Total(",D8,")"),'Summary - Person'!C:I)</f>
        <v>0</v>
      </c>
      <c r="G8" s="13">
        <f>(SUMIF('Summary - Person'!A:A,_xlfn.CONCAT("Total(",D8,")"),'Summary - Person'!B:H) + SUMIF('Summary - Person'!A:A,_xlfn.CONCAT("Total(",D8,")"),'Summary - Person'!C:H))</f>
        <v>645</v>
      </c>
      <c r="H8" s="11">
        <f>SUMIF('Summary - Expenditures'!J:J,D8,'Summary - Expenditures'!E:E)</f>
        <v>400</v>
      </c>
      <c r="I8" s="11">
        <f>SUMIF('Summary - Expenditures'!J:J,D8,'Summary - Expenditures'!F:F)</f>
        <v>0</v>
      </c>
      <c r="J8" s="13">
        <f>SUMIF('Summary - Expenditures'!J3:J1048576, D8, 'Summary - Expenditures'!G3:G1048576)</f>
        <v>400</v>
      </c>
      <c r="K8" s="11">
        <f>SUMIF('Summary - Expenditures'!J:J, D8, 'Summary - Expenditures'!N:N)</f>
        <v>0</v>
      </c>
    </row>
    <row r="9" spans="4:11" x14ac:dyDescent="0.2">
      <c r="D9" s="26" t="s">
        <v>142</v>
      </c>
      <c r="E9" s="13">
        <f>SUMIF('Summary - Person'!A:A,_xlfn.CONCAT("Total(",D9,")"),'Summary - Person'!B:H)</f>
        <v>710</v>
      </c>
      <c r="F9" s="13">
        <f>SUMIF('Summary - Person'!A:A,_xlfn.CONCAT("Total(",D9,")"),'Summary - Person'!C:I)</f>
        <v>0</v>
      </c>
      <c r="G9" s="13">
        <f>(SUMIF('Summary - Person'!A:A,_xlfn.CONCAT("Total(",D9,")"),'Summary - Person'!B:H) + SUMIF('Summary - Person'!A:A,_xlfn.CONCAT("Total(",D9,")"),'Summary - Person'!C:H))</f>
        <v>710</v>
      </c>
      <c r="H9" s="11">
        <f>SUMIF('Summary - Expenditures'!J:J,D9,'Summary - Expenditures'!E:E)</f>
        <v>0</v>
      </c>
      <c r="I9" s="11">
        <f>SUMIF('Summary - Expenditures'!J:J,D9,'Summary - Expenditures'!F:F)</f>
        <v>0</v>
      </c>
      <c r="J9" s="13">
        <f>SUMIF('Summary - Expenditures'!J3:J1048576, D9, 'Summary - Expenditures'!G3:G1048576)</f>
        <v>0</v>
      </c>
      <c r="K9" s="11">
        <f>SUMIF('Summary - Expenditures'!J:J, D9, 'Summary - Expenditures'!N:N)</f>
        <v>0</v>
      </c>
    </row>
    <row r="10" spans="4:11" x14ac:dyDescent="0.2">
      <c r="D10" s="26" t="s">
        <v>148</v>
      </c>
      <c r="E10" s="13">
        <f>SUMIF('Summary - Person'!A:A,_xlfn.CONCAT("Total(",D10,")"),'Summary - Person'!B:H)</f>
        <v>671</v>
      </c>
      <c r="F10" s="13">
        <f>SUMIF('Summary - Person'!A:A,_xlfn.CONCAT("Total(",D10,")"),'Summary - Person'!C:I)</f>
        <v>0</v>
      </c>
      <c r="G10" s="13">
        <f>(SUMIF('Summary - Person'!A:A,_xlfn.CONCAT("Total(",D10,")"),'Summary - Person'!B:H) + SUMIF('Summary - Person'!A:A,_xlfn.CONCAT("Total(",D10,")"),'Summary - Person'!C:H))</f>
        <v>671</v>
      </c>
      <c r="H10" s="11">
        <f>SUMIF('Summary - Expenditures'!J:J,D10,'Summary - Expenditures'!E:E)</f>
        <v>900</v>
      </c>
      <c r="I10" s="11">
        <f>SUMIF('Summary - Expenditures'!J:J,D10,'Summary - Expenditures'!F:F)</f>
        <v>570</v>
      </c>
      <c r="J10" s="13">
        <f>SUMIF('Summary - Expenditures'!J3:J1048576, D10, 'Summary - Expenditures'!G3:G1048576)</f>
        <v>1470</v>
      </c>
      <c r="K10" s="11">
        <f>SUMIF('Summary - Expenditures'!J:J, D10, 'Summary - Expenditures'!N:N)</f>
        <v>0</v>
      </c>
    </row>
    <row r="11" spans="4:11" x14ac:dyDescent="0.2">
      <c r="D11" s="26" t="s">
        <v>149</v>
      </c>
      <c r="E11" s="13">
        <f>SUMIF('Summary - Person'!A:A,_xlfn.CONCAT("Total(",D11,")"),'Summary - Person'!B:H)</f>
        <v>595</v>
      </c>
      <c r="F11" s="13">
        <f>SUMIF('Summary - Person'!A:A,_xlfn.CONCAT("Total(",D11,")"),'Summary - Person'!C:I)</f>
        <v>0</v>
      </c>
      <c r="G11" s="13">
        <f>(SUMIF('Summary - Person'!A:A,_xlfn.CONCAT("Total(",D11,")"),'Summary - Person'!B:H) + SUMIF('Summary - Person'!A:A,_xlfn.CONCAT("Total(",D11,")"),'Summary - Person'!C:H))</f>
        <v>595</v>
      </c>
      <c r="H11" s="11">
        <f>SUMIF('Summary - Expenditures'!J:J,D11,'Summary - Expenditures'!E:E)</f>
        <v>700</v>
      </c>
      <c r="I11" s="11">
        <f>SUMIF('Summary - Expenditures'!J:J,D11,'Summary - Expenditures'!F:F)</f>
        <v>0</v>
      </c>
      <c r="J11" s="13">
        <f>SUMIF('Summary - Expenditures'!J3:J1048576, D11, 'Summary - Expenditures'!G3:G1048576)</f>
        <v>700</v>
      </c>
      <c r="K11" s="11">
        <f>SUMIF('Summary - Expenditures'!J:J, D11, 'Summary - Expenditures'!N:N)</f>
        <v>0</v>
      </c>
    </row>
    <row r="12" spans="4:11" x14ac:dyDescent="0.2">
      <c r="D12" s="26" t="s">
        <v>150</v>
      </c>
      <c r="E12" s="13">
        <f>SUMIF('Summary - Person'!A:A,_xlfn.CONCAT("Total(",D12,")"),'Summary - Person'!B:H)</f>
        <v>630</v>
      </c>
      <c r="F12" s="13">
        <f>SUMIF('Summary - Person'!A:A,_xlfn.CONCAT("Total(",D12,")"),'Summary - Person'!C:I)</f>
        <v>0</v>
      </c>
      <c r="G12" s="13">
        <f>(SUMIF('Summary - Person'!A:A,_xlfn.CONCAT("Total(",D12,")"),'Summary - Person'!B:H) + SUMIF('Summary - Person'!A:A,_xlfn.CONCAT("Total(",D12,")"),'Summary - Person'!C:H))</f>
        <v>630</v>
      </c>
      <c r="H12" s="11">
        <f>SUMIF('Summary - Expenditures'!J:J,D12,'Summary - Expenditures'!E:E)</f>
        <v>700</v>
      </c>
      <c r="I12" s="11">
        <f>SUMIF('Summary - Expenditures'!J:J,D12,'Summary - Expenditures'!F:F)</f>
        <v>0</v>
      </c>
      <c r="J12" s="13">
        <f>SUMIF('Summary - Expenditures'!J3:J1048576, D12, 'Summary - Expenditures'!G3:G1048576)</f>
        <v>700</v>
      </c>
      <c r="K12" s="11">
        <f>SUMIF('Summary - Expenditures'!J:J, D12, 'Summary - Expenditures'!N:N)</f>
        <v>0</v>
      </c>
    </row>
    <row r="13" spans="4:11" x14ac:dyDescent="0.2">
      <c r="D13" s="26" t="s">
        <v>151</v>
      </c>
      <c r="E13" s="13">
        <f>SUMIF('Summary - Person'!A:A,_xlfn.CONCAT("Total(",D13,")"),'Summary - Person'!B:H)</f>
        <v>610</v>
      </c>
      <c r="F13" s="13">
        <f>SUMIF('Summary - Person'!A:A,_xlfn.CONCAT("Total(",D13,")"),'Summary - Person'!C:I)</f>
        <v>0</v>
      </c>
      <c r="G13" s="13">
        <f>(SUMIF('Summary - Person'!A:A,_xlfn.CONCAT("Total(",D13,")"),'Summary - Person'!B:H) + SUMIF('Summary - Person'!A:A,_xlfn.CONCAT("Total(",D13,")"),'Summary - Person'!C:H))</f>
        <v>610</v>
      </c>
      <c r="H13" s="11">
        <f>SUMIF('Summary - Expenditures'!J:J,D13,'Summary - Expenditures'!E:E)</f>
        <v>500</v>
      </c>
      <c r="I13" s="11">
        <f>SUMIF('Summary - Expenditures'!J:J,D13,'Summary - Expenditures'!F:F)</f>
        <v>0</v>
      </c>
      <c r="J13" s="13">
        <f>SUMIF('Summary - Expenditures'!J3:J1048576, D13, 'Summary - Expenditures'!G3:G1048576)</f>
        <v>500</v>
      </c>
      <c r="K13" s="11">
        <f>SUMIF('Summary - Expenditures'!J:J, D13, 'Summary - Expenditures'!N:N)</f>
        <v>0</v>
      </c>
    </row>
    <row r="14" spans="4:11" x14ac:dyDescent="0.2">
      <c r="D14" s="26" t="s">
        <v>152</v>
      </c>
      <c r="E14" s="13">
        <f>SUMIF('Summary - Person'!A:A,_xlfn.CONCAT("Total(",D14,")"),'Summary - Person'!B:H)</f>
        <v>675</v>
      </c>
      <c r="F14" s="13">
        <f>SUMIF('Summary - Person'!A:A,_xlfn.CONCAT("Total(",D14,")"),'Summary - Person'!C:I)</f>
        <v>0</v>
      </c>
      <c r="G14" s="13">
        <f>(SUMIF('Summary - Person'!A:A,_xlfn.CONCAT("Total(",D14,")"),'Summary - Person'!B:H) + SUMIF('Summary - Person'!A:A,_xlfn.CONCAT("Total(",D14,")"),'Summary - Person'!C:H))</f>
        <v>675</v>
      </c>
      <c r="H14" s="11">
        <f>SUMIF('Summary - Expenditures'!J:J,D14,'Summary - Expenditures'!E:E)</f>
        <v>1110</v>
      </c>
      <c r="I14" s="11">
        <f>SUMIF('Summary - Expenditures'!J:J,D14,'Summary - Expenditures'!F:F)</f>
        <v>0</v>
      </c>
      <c r="J14" s="13">
        <f>SUMIF('Summary - Expenditures'!J3:J1048576, D14, 'Summary - Expenditures'!G3:G1048576)</f>
        <v>1110</v>
      </c>
      <c r="K14" s="11">
        <f>SUMIF('Summary - Expenditures'!J:J, D14, 'Summary - Expenditures'!N:N)</f>
        <v>249</v>
      </c>
    </row>
    <row r="15" spans="4:11" x14ac:dyDescent="0.2">
      <c r="D15" s="26" t="s">
        <v>153</v>
      </c>
      <c r="E15" s="13">
        <f>SUMIF('Summary - Person'!A:A,_xlfn.CONCAT("Total(",D15,")"),'Summary - Person'!B:H)</f>
        <v>705</v>
      </c>
      <c r="F15" s="13">
        <f>SUMIF('Summary - Person'!A:A,_xlfn.CONCAT("Total(",D15,")"),'Summary - Person'!C:I)</f>
        <v>0</v>
      </c>
      <c r="G15" s="13">
        <f>(SUMIF('Summary - Person'!A:A,_xlfn.CONCAT("Total(",D15,")"),'Summary - Person'!B:H) + SUMIF('Summary - Person'!A:A,_xlfn.CONCAT("Total(",D15,")"),'Summary - Person'!C:H))</f>
        <v>705</v>
      </c>
      <c r="H15" s="11">
        <f>SUMIF('Summary - Expenditures'!J:J,D15,'Summary - Expenditures'!E:E)</f>
        <v>0</v>
      </c>
      <c r="I15" s="11">
        <f>SUMIF('Summary - Expenditures'!J:J,D15,'Summary - Expenditures'!F:F)</f>
        <v>0</v>
      </c>
      <c r="J15" s="13">
        <f>SUMIF('Summary - Expenditures'!J3:J1048576, D15, 'Summary - Expenditures'!G3:G1048576)</f>
        <v>0</v>
      </c>
      <c r="K15" s="11">
        <f>SUMIF('Summary - Expenditures'!J:J, D15, 'Summary - Expenditures'!N:N)</f>
        <v>0</v>
      </c>
    </row>
    <row r="16" spans="4:11" x14ac:dyDescent="0.2">
      <c r="D16" s="26" t="s">
        <v>154</v>
      </c>
      <c r="E16" s="13">
        <f>SUMIF('Summary - Person'!A:A,_xlfn.CONCAT("Total(",D16,")"),'Summary - Person'!B:H)</f>
        <v>705</v>
      </c>
      <c r="F16" s="13">
        <f>SUMIF('Summary - Person'!A:A,_xlfn.CONCAT("Total(",D16,")"),'Summary - Person'!C:I)</f>
        <v>0</v>
      </c>
      <c r="G16" s="13">
        <f>(SUMIF('Summary - Person'!A:A,_xlfn.CONCAT("Total(",D16,")"),'Summary - Person'!B:H) + SUMIF('Summary - Person'!A:A,_xlfn.CONCAT("Total(",D16,")"),'Summary - Person'!C:H))</f>
        <v>705</v>
      </c>
      <c r="H16" s="11">
        <f>SUMIF('Summary - Expenditures'!J:J,D16,'Summary - Expenditures'!E:E)</f>
        <v>1425</v>
      </c>
      <c r="I16" s="11">
        <f>SUMIF('Summary - Expenditures'!J:J,D16,'Summary - Expenditures'!F:F)</f>
        <v>0</v>
      </c>
      <c r="J16" s="13">
        <f>SUMIF('Summary - Expenditures'!J3:J1048576, D16, 'Summary - Expenditures'!G3:G1048576)</f>
        <v>1425</v>
      </c>
      <c r="K16" s="11">
        <f>SUMIF('Summary - Expenditures'!J:J, D16, 'Summary - Expenditures'!N:N)</f>
        <v>0</v>
      </c>
    </row>
    <row r="17" spans="4:11" x14ac:dyDescent="0.2">
      <c r="D17" s="26" t="s">
        <v>155</v>
      </c>
      <c r="E17" s="13">
        <f>SUMIF('Summary - Person'!A:A,_xlfn.CONCAT("Total(",D17,")"),'Summary - Person'!B:H)</f>
        <v>3002.67</v>
      </c>
      <c r="F17" s="13">
        <f>SUMIF('Summary - Person'!A:A,_xlfn.CONCAT("Total(",D17,")"),'Summary - Person'!C:I)</f>
        <v>825</v>
      </c>
      <c r="G17" s="13">
        <f>(SUMIF('Summary - Person'!A:A,_xlfn.CONCAT("Total(",D17,")"),'Summary - Person'!B:H) + SUMIF('Summary - Person'!A:A,_xlfn.CONCAT("Total(",D17,")"),'Summary - Person'!C:H))</f>
        <v>3827.67</v>
      </c>
      <c r="H17" s="11">
        <f>SUMIF('Summary - Expenditures'!J:J,D17,'Summary - Expenditures'!E:E)</f>
        <v>2771</v>
      </c>
      <c r="I17" s="11">
        <f>SUMIF('Summary - Expenditures'!J:J,D17,'Summary - Expenditures'!F:F)</f>
        <v>775</v>
      </c>
      <c r="J17" s="13">
        <f>SUMIF('Summary - Expenditures'!J3:J1048576, D17, 'Summary - Expenditures'!G3:G1048576)</f>
        <v>3546</v>
      </c>
      <c r="K17" s="11">
        <f>SUMIF('Summary - Expenditures'!J:J, D17, 'Summary - Expenditures'!N:N)</f>
        <v>0</v>
      </c>
    </row>
    <row r="18" spans="4:11" x14ac:dyDescent="0.2">
      <c r="D18" s="26" t="s">
        <v>156</v>
      </c>
      <c r="E18" s="13">
        <f>SUMIF('Summary - Person'!A:A,_xlfn.CONCAT("Total(",D18,")"),'Summary - Person'!B:H)</f>
        <v>1369.06</v>
      </c>
      <c r="F18" s="13">
        <f>SUMIF('Summary - Person'!A:A,_xlfn.CONCAT("Total(",D18,")"),'Summary - Person'!C:I)</f>
        <v>150</v>
      </c>
      <c r="G18" s="13">
        <f>(SUMIF('Summary - Person'!A:A,_xlfn.CONCAT("Total(",D18,")"),'Summary - Person'!B:H) + SUMIF('Summary - Person'!A:A,_xlfn.CONCAT("Total(",D18,")"),'Summary - Person'!C:H))</f>
        <v>1519.06</v>
      </c>
      <c r="H18" s="11">
        <f>SUMIF('Summary - Expenditures'!J:J,D18,'Summary - Expenditures'!E:E)</f>
        <v>1189</v>
      </c>
      <c r="I18" s="11">
        <f>SUMIF('Summary - Expenditures'!J:J,D18,'Summary - Expenditures'!F:F)</f>
        <v>200</v>
      </c>
      <c r="J18" s="13">
        <f>SUMIF('Summary - Expenditures'!J3:J1048576, D18, 'Summary - Expenditures'!G3:G1048576)</f>
        <v>1389</v>
      </c>
      <c r="K18" s="11">
        <f>SUMIF('Summary - Expenditures'!J:J, D18, 'Summary - Expenditures'!N:N)</f>
        <v>0</v>
      </c>
    </row>
    <row r="19" spans="4:11" ht="14.25" x14ac:dyDescent="0.2">
      <c r="D19" s="22" t="s">
        <v>30</v>
      </c>
      <c r="E19" s="25">
        <f ca="1">SUM(INDIRECT("E2:E"&amp;ROW()-1))</f>
        <v>19219.73</v>
      </c>
      <c r="F19" s="25">
        <f ca="1">SUM(INDIRECT("F2:F"&amp;ROW()-1))</f>
        <v>1545</v>
      </c>
      <c r="G19" s="25">
        <f ca="1">SUM(INDIRECT("G2:G"&amp;ROW()-1))</f>
        <v>20764.73</v>
      </c>
      <c r="H19" s="25">
        <f ca="1">SUM(INDIRECT("H2:H"&amp;ROW()-1))</f>
        <v>18553.73</v>
      </c>
      <c r="I19" s="25">
        <f ca="1">SUM(INDIRECT("I2:I"&amp;ROW()-1))</f>
        <v>1545</v>
      </c>
      <c r="J19" s="25">
        <f ca="1">SUM(INDIRECT("J2:J"&amp;ROW()-1))</f>
        <v>20098.73</v>
      </c>
      <c r="K19" s="25">
        <f ca="1">SUM(INDIRECT("K2:K"&amp;ROW()-1))</f>
        <v>249</v>
      </c>
    </row>
    <row r="20" spans="4:11" ht="15" customHeight="1" x14ac:dyDescent="0.2">
      <c r="D20" s="27" t="s">
        <v>50</v>
      </c>
      <c r="E20" s="116">
        <f ca="1">G19-J19+K19</f>
        <v>915</v>
      </c>
      <c r="F20" s="117"/>
      <c r="G20" s="117"/>
      <c r="H20" s="117"/>
      <c r="I20" s="117"/>
      <c r="J20" s="117"/>
      <c r="K20" s="117"/>
    </row>
    <row r="21" spans="4:11" x14ac:dyDescent="0.2">
      <c r="D21" s="118" t="s">
        <v>235</v>
      </c>
      <c r="E21" s="119"/>
      <c r="F21" s="119"/>
      <c r="G21" s="119"/>
      <c r="H21" s="119"/>
      <c r="I21" s="119"/>
      <c r="J21" s="119"/>
      <c r="K21" s="119"/>
    </row>
    <row r="22" spans="4:11" x14ac:dyDescent="0.2">
      <c r="D22" s="2"/>
      <c r="E22" s="2"/>
      <c r="F22" s="2"/>
      <c r="G22" s="2"/>
      <c r="H22" s="2"/>
      <c r="I22" s="2"/>
      <c r="J22" s="2"/>
    </row>
    <row r="23" spans="4:11" x14ac:dyDescent="0.2">
      <c r="D23" s="2"/>
      <c r="E23" s="2"/>
      <c r="F23" s="2"/>
      <c r="G23" s="2"/>
      <c r="H23" s="2"/>
      <c r="I23" s="2"/>
      <c r="J23" s="2"/>
    </row>
    <row r="24" spans="4:11" x14ac:dyDescent="0.2">
      <c r="D24" s="2"/>
      <c r="E24" s="2"/>
      <c r="F24" s="2"/>
      <c r="G24" s="2"/>
      <c r="H24" s="2"/>
      <c r="I24" s="2"/>
      <c r="J24" s="2"/>
    </row>
    <row r="25" spans="4:11" x14ac:dyDescent="0.2">
      <c r="D25" s="2"/>
      <c r="E25" s="2"/>
      <c r="F25" s="2"/>
      <c r="G25" s="2"/>
      <c r="H25" s="2"/>
      <c r="I25" s="2"/>
      <c r="J25" s="2"/>
    </row>
    <row r="26" spans="4:11" x14ac:dyDescent="0.2">
      <c r="D26" s="2"/>
      <c r="E26" s="2"/>
      <c r="F26" s="2"/>
      <c r="G26" s="2"/>
      <c r="H26" s="2"/>
      <c r="I26" s="2"/>
      <c r="J26" s="2"/>
    </row>
    <row r="27" spans="4:11" x14ac:dyDescent="0.2">
      <c r="D27" s="2"/>
      <c r="E27" s="2"/>
      <c r="F27" s="2"/>
      <c r="G27" s="2"/>
      <c r="H27" s="2"/>
      <c r="I27" s="2"/>
      <c r="J27" s="2" t="s">
        <v>422</v>
      </c>
    </row>
    <row r="28" spans="4:11" x14ac:dyDescent="0.2">
      <c r="D28" s="2"/>
      <c r="E28" s="2"/>
      <c r="F28" s="2"/>
      <c r="G28" s="2"/>
      <c r="H28" s="2"/>
      <c r="I28" s="2"/>
      <c r="J28" s="2"/>
    </row>
    <row r="29" spans="4:11" ht="15" customHeight="1" x14ac:dyDescent="0.2">
      <c r="D29" s="2"/>
      <c r="E29" s="2"/>
      <c r="F29" s="2"/>
      <c r="G29" s="2"/>
      <c r="H29" s="2"/>
      <c r="I29" s="2"/>
      <c r="J29" s="2"/>
    </row>
    <row r="30" spans="4:11" x14ac:dyDescent="0.2">
      <c r="D30" s="2"/>
      <c r="E30" s="2"/>
      <c r="F30" s="2"/>
      <c r="G30" s="2"/>
      <c r="H30" s="2"/>
      <c r="I30" s="2"/>
      <c r="J30" s="2"/>
    </row>
    <row r="31" spans="4:11" x14ac:dyDescent="0.2">
      <c r="D31" s="2"/>
      <c r="E31" s="2"/>
      <c r="F31" s="2"/>
      <c r="G31" s="2"/>
      <c r="H31" s="2"/>
      <c r="I31" s="2"/>
      <c r="J31" s="2"/>
    </row>
    <row r="32" spans="4:11" x14ac:dyDescent="0.2">
      <c r="D32" s="2"/>
      <c r="E32" s="2"/>
      <c r="F32" s="2"/>
      <c r="G32" s="2"/>
      <c r="H32" s="2"/>
      <c r="I32" s="2"/>
      <c r="J32" s="2"/>
    </row>
    <row r="33" spans="4:10" x14ac:dyDescent="0.2">
      <c r="D33" s="2"/>
      <c r="E33" s="2"/>
      <c r="F33" s="2"/>
      <c r="G33" s="2"/>
      <c r="H33" s="2"/>
      <c r="I33" s="2"/>
      <c r="J33" s="2"/>
    </row>
    <row r="34" spans="4:10" x14ac:dyDescent="0.2">
      <c r="D34" s="2"/>
      <c r="E34" s="2"/>
      <c r="F34" s="2"/>
      <c r="G34" s="2"/>
      <c r="H34" s="2"/>
      <c r="I34" s="2"/>
      <c r="J34" s="2"/>
    </row>
    <row r="35" spans="4:10" x14ac:dyDescent="0.2">
      <c r="D35" s="2"/>
      <c r="E35" s="2"/>
      <c r="F35" s="2"/>
      <c r="G35" s="2"/>
      <c r="H35" s="2"/>
      <c r="I35" s="2"/>
      <c r="J35" s="2"/>
    </row>
    <row r="36" spans="4:10" x14ac:dyDescent="0.2">
      <c r="D36" s="2"/>
      <c r="E36" s="2"/>
      <c r="F36" s="2"/>
      <c r="G36" s="2"/>
      <c r="H36" s="2"/>
      <c r="I36" s="2"/>
      <c r="J36" s="2"/>
    </row>
    <row r="37" spans="4:10" x14ac:dyDescent="0.2">
      <c r="D37" s="2"/>
      <c r="E37" s="2"/>
      <c r="F37" s="2"/>
      <c r="G37" s="2"/>
      <c r="H37" s="2"/>
      <c r="I37" s="2"/>
      <c r="J37" s="2"/>
    </row>
    <row r="38" spans="4:10" x14ac:dyDescent="0.2">
      <c r="D38" s="2"/>
      <c r="E38" s="2"/>
      <c r="F38" s="2"/>
      <c r="G38" s="2"/>
      <c r="H38" s="2"/>
      <c r="I38" s="2"/>
      <c r="J38" s="2"/>
    </row>
    <row r="39" spans="4:10" x14ac:dyDescent="0.2">
      <c r="D39" s="2"/>
      <c r="E39" s="2"/>
      <c r="F39" s="2"/>
      <c r="G39" s="2"/>
      <c r="H39" s="2"/>
      <c r="I39" s="2"/>
      <c r="J39" s="2"/>
    </row>
    <row r="40" spans="4:10" x14ac:dyDescent="0.2">
      <c r="D40" s="2"/>
      <c r="E40" s="2"/>
      <c r="F40" s="2"/>
      <c r="G40" s="2"/>
      <c r="H40" s="2"/>
      <c r="I40" s="2"/>
      <c r="J40" s="2"/>
    </row>
    <row r="41" spans="4:10" x14ac:dyDescent="0.2">
      <c r="D41" s="2"/>
      <c r="E41" s="2"/>
      <c r="F41" s="2"/>
      <c r="G41" s="2"/>
      <c r="H41" s="2"/>
      <c r="I41" s="2"/>
      <c r="J41" s="2"/>
    </row>
    <row r="42" spans="4:10" x14ac:dyDescent="0.2">
      <c r="D42" s="2"/>
      <c r="E42" s="2"/>
      <c r="F42" s="2"/>
      <c r="G42" s="2"/>
      <c r="H42" s="2"/>
      <c r="I42" s="2"/>
      <c r="J42" s="2"/>
    </row>
    <row r="43" spans="4:10" x14ac:dyDescent="0.2">
      <c r="D43" s="2"/>
      <c r="E43" s="2"/>
      <c r="F43" s="2"/>
      <c r="G43" s="2"/>
      <c r="H43" s="2"/>
      <c r="I43" s="2"/>
      <c r="J43" s="2"/>
    </row>
    <row r="44" spans="4:10" x14ac:dyDescent="0.2">
      <c r="D44" s="2"/>
      <c r="E44" s="2"/>
      <c r="F44" s="2"/>
      <c r="G44" s="2"/>
      <c r="H44" s="2"/>
      <c r="I44" s="2"/>
      <c r="J44" s="2"/>
    </row>
    <row r="45" spans="4:10" x14ac:dyDescent="0.2">
      <c r="D45" s="2"/>
      <c r="E45" s="2"/>
      <c r="F45" s="2"/>
      <c r="G45" s="2"/>
      <c r="H45" s="2"/>
      <c r="I45" s="2"/>
      <c r="J45" s="2"/>
    </row>
    <row r="46" spans="4:10" x14ac:dyDescent="0.2">
      <c r="D46" s="2"/>
      <c r="E46" s="2"/>
      <c r="F46" s="2"/>
      <c r="G46" s="2"/>
      <c r="H46" s="2"/>
      <c r="I46" s="2"/>
      <c r="J46" s="2"/>
    </row>
    <row r="47" spans="4:10" x14ac:dyDescent="0.2">
      <c r="D47" s="2"/>
      <c r="E47" s="2"/>
      <c r="F47" s="2"/>
      <c r="G47" s="2"/>
      <c r="H47" s="2"/>
      <c r="I47" s="2"/>
      <c r="J47" s="2"/>
    </row>
    <row r="48" spans="4:10" x14ac:dyDescent="0.2">
      <c r="D48" s="2"/>
      <c r="E48" s="2"/>
      <c r="F48" s="2"/>
      <c r="G48" s="2"/>
      <c r="H48" s="2"/>
      <c r="I48" s="2"/>
      <c r="J48" s="2"/>
    </row>
    <row r="49" spans="4:10" x14ac:dyDescent="0.2">
      <c r="D49" s="2"/>
      <c r="E49" s="2"/>
      <c r="F49" s="2"/>
      <c r="G49" s="2"/>
      <c r="H49" s="2"/>
      <c r="I49" s="2"/>
      <c r="J49" s="2"/>
    </row>
    <row r="50" spans="4:10" x14ac:dyDescent="0.2">
      <c r="D50" s="2"/>
      <c r="E50" s="2"/>
      <c r="F50" s="2"/>
      <c r="G50" s="2"/>
      <c r="H50" s="2"/>
      <c r="I50" s="2"/>
      <c r="J50" s="2"/>
    </row>
    <row r="51" spans="4:10" x14ac:dyDescent="0.2">
      <c r="D51" s="2"/>
      <c r="E51" s="2"/>
      <c r="F51" s="2"/>
      <c r="G51" s="2"/>
      <c r="H51" s="2"/>
      <c r="I51" s="2"/>
      <c r="J51" s="2"/>
    </row>
  </sheetData>
  <mergeCells count="2">
    <mergeCell ref="E20:K20"/>
    <mergeCell ref="D21:K21"/>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topLeftCell="C7" zoomScale="80" zoomScaleNormal="80" workbookViewId="0">
      <selection activeCell="G3" sqref="G3:G11"/>
    </sheetView>
  </sheetViews>
  <sheetFormatPr defaultColWidth="8.85546875" defaultRowHeight="12.75" x14ac:dyDescent="0.25"/>
  <cols>
    <col min="1" max="1" width="8.85546875" style="68"/>
    <col min="2" max="2" width="14.5703125" style="66" bestFit="1" customWidth="1"/>
    <col min="3" max="3" width="32.140625" style="39" customWidth="1"/>
    <col min="4" max="4" width="16.5703125" style="66" bestFit="1" customWidth="1"/>
    <col min="5" max="6" width="16.5703125" style="66" customWidth="1"/>
    <col min="7" max="7" width="11.7109375" style="66" customWidth="1"/>
    <col min="8" max="8" width="12.5703125" style="66" bestFit="1" customWidth="1"/>
    <col min="9" max="9" width="23.5703125" style="39" bestFit="1" customWidth="1"/>
    <col min="10" max="10" width="17.28515625" style="66" customWidth="1"/>
    <col min="11" max="11" width="11.42578125" style="66" bestFit="1" customWidth="1"/>
    <col min="12" max="12" width="13.28515625" style="66" bestFit="1" customWidth="1"/>
    <col min="13" max="15" width="16.28515625" style="66" customWidth="1"/>
    <col min="16" max="16" width="57.7109375" style="39" customWidth="1"/>
    <col min="17" max="17" width="29.85546875" style="71" customWidth="1"/>
    <col min="18" max="18" width="26.85546875" style="89" customWidth="1"/>
    <col min="19" max="16384" width="8.85546875" style="71"/>
  </cols>
  <sheetData>
    <row r="1" spans="1:18" s="66" customFormat="1" ht="14.45" customHeight="1" x14ac:dyDescent="0.25">
      <c r="A1" s="125"/>
      <c r="B1" s="127" t="s">
        <v>42</v>
      </c>
      <c r="C1" s="121" t="s">
        <v>43</v>
      </c>
      <c r="D1" s="65" t="s">
        <v>45</v>
      </c>
      <c r="E1" s="130" t="s">
        <v>176</v>
      </c>
      <c r="F1" s="131"/>
      <c r="G1" s="129" t="s">
        <v>16</v>
      </c>
      <c r="H1" s="129"/>
      <c r="I1" s="121" t="s">
        <v>47</v>
      </c>
      <c r="J1" s="121" t="s">
        <v>49</v>
      </c>
      <c r="K1" s="132" t="s">
        <v>48</v>
      </c>
      <c r="L1" s="133"/>
      <c r="M1" s="133"/>
      <c r="N1" s="133"/>
      <c r="O1" s="134"/>
      <c r="P1" s="123" t="s">
        <v>416</v>
      </c>
      <c r="Q1" s="121" t="s">
        <v>366</v>
      </c>
      <c r="R1" s="120" t="s">
        <v>372</v>
      </c>
    </row>
    <row r="2" spans="1:18" s="66" customFormat="1" ht="28.15" customHeight="1" thickBot="1" x14ac:dyDescent="0.3">
      <c r="A2" s="125"/>
      <c r="B2" s="128"/>
      <c r="C2" s="126"/>
      <c r="D2" s="67" t="s">
        <v>46</v>
      </c>
      <c r="E2" s="67" t="s">
        <v>167</v>
      </c>
      <c r="F2" s="67" t="s">
        <v>166</v>
      </c>
      <c r="G2" s="67" t="s">
        <v>175</v>
      </c>
      <c r="H2" s="67" t="s">
        <v>44</v>
      </c>
      <c r="I2" s="122"/>
      <c r="J2" s="126"/>
      <c r="K2" s="67" t="s">
        <v>77</v>
      </c>
      <c r="L2" s="67" t="s">
        <v>108</v>
      </c>
      <c r="M2" s="67" t="s">
        <v>72</v>
      </c>
      <c r="N2" s="81" t="s">
        <v>232</v>
      </c>
      <c r="O2" s="105" t="s">
        <v>233</v>
      </c>
      <c r="P2" s="124"/>
      <c r="Q2" s="122"/>
      <c r="R2" s="120"/>
    </row>
    <row r="3" spans="1:18" ht="127.5" x14ac:dyDescent="0.25">
      <c r="B3" s="69">
        <v>12</v>
      </c>
      <c r="C3" s="37" t="s">
        <v>89</v>
      </c>
      <c r="D3" s="69" t="s">
        <v>86</v>
      </c>
      <c r="E3" s="69">
        <v>4484.7299999999996</v>
      </c>
      <c r="F3" s="69"/>
      <c r="G3" s="69">
        <f t="shared" ref="G3:G44" si="0">(E:E+F:F)</f>
        <v>4484.7299999999996</v>
      </c>
      <c r="H3" s="69" t="s">
        <v>86</v>
      </c>
      <c r="I3" s="92" t="s">
        <v>87</v>
      </c>
      <c r="J3" s="69" t="s">
        <v>79</v>
      </c>
      <c r="K3" s="70" t="s">
        <v>86</v>
      </c>
      <c r="L3" s="69" t="s">
        <v>86</v>
      </c>
      <c r="M3" s="69" t="s">
        <v>74</v>
      </c>
      <c r="N3" s="69"/>
      <c r="O3" s="92">
        <f>IF(AND(N3&gt;0,N3 &lt;&gt; ""),-G3+N3,0)</f>
        <v>0</v>
      </c>
      <c r="P3" s="37" t="s">
        <v>157</v>
      </c>
      <c r="Q3" s="106" t="s">
        <v>367</v>
      </c>
      <c r="R3" s="92"/>
    </row>
    <row r="4" spans="1:18" ht="25.5" x14ac:dyDescent="0.25">
      <c r="B4" s="72">
        <v>13</v>
      </c>
      <c r="C4" s="38" t="s">
        <v>119</v>
      </c>
      <c r="D4" s="69">
        <v>70.905000000000001</v>
      </c>
      <c r="E4" s="69">
        <v>705</v>
      </c>
      <c r="F4" s="69"/>
      <c r="G4" s="69">
        <f t="shared" si="0"/>
        <v>705</v>
      </c>
      <c r="H4" s="69">
        <f t="shared" ref="H4:H9" si="1">D4*G4</f>
        <v>49988.025000000001</v>
      </c>
      <c r="I4" s="92" t="s">
        <v>118</v>
      </c>
      <c r="J4" s="69" t="str">
        <f t="shared" ref="J4:J24" si="2">TEXT(K4,"mmm-yy")</f>
        <v>Feb-19</v>
      </c>
      <c r="K4" s="73">
        <v>43506</v>
      </c>
      <c r="L4" s="72" t="s">
        <v>86</v>
      </c>
      <c r="M4" s="69" t="s">
        <v>75</v>
      </c>
      <c r="N4" s="69"/>
      <c r="O4" s="92">
        <f t="shared" ref="O4:O37" si="3">IF(AND(N4&gt;0,N4 &lt;&gt; ""),-G4+N4,0)</f>
        <v>0</v>
      </c>
      <c r="P4" s="38" t="s">
        <v>123</v>
      </c>
      <c r="Q4" s="92" t="s">
        <v>368</v>
      </c>
      <c r="R4" s="92"/>
    </row>
    <row r="5" spans="1:18" ht="102" x14ac:dyDescent="0.25">
      <c r="B5" s="72">
        <v>14</v>
      </c>
      <c r="C5" s="38" t="s">
        <v>120</v>
      </c>
      <c r="D5" s="72">
        <v>70</v>
      </c>
      <c r="E5" s="74">
        <v>570</v>
      </c>
      <c r="F5" s="72"/>
      <c r="G5" s="69">
        <f t="shared" si="0"/>
        <v>570</v>
      </c>
      <c r="H5" s="69">
        <f t="shared" si="1"/>
        <v>39900</v>
      </c>
      <c r="I5" s="92" t="s">
        <v>117</v>
      </c>
      <c r="J5" s="69" t="str">
        <f t="shared" si="2"/>
        <v>Feb-19</v>
      </c>
      <c r="K5" s="73">
        <v>43520</v>
      </c>
      <c r="L5" s="72" t="s">
        <v>86</v>
      </c>
      <c r="M5" s="69" t="s">
        <v>75</v>
      </c>
      <c r="N5" s="69"/>
      <c r="O5" s="92">
        <f t="shared" si="3"/>
        <v>0</v>
      </c>
      <c r="P5" s="75" t="s">
        <v>127</v>
      </c>
      <c r="Q5" s="92" t="s">
        <v>368</v>
      </c>
      <c r="R5" s="92"/>
    </row>
    <row r="6" spans="1:18" ht="153" x14ac:dyDescent="0.25">
      <c r="B6" s="72">
        <v>15</v>
      </c>
      <c r="C6" s="38" t="s">
        <v>122</v>
      </c>
      <c r="D6" s="72">
        <v>70</v>
      </c>
      <c r="E6" s="72">
        <v>125</v>
      </c>
      <c r="F6" s="72"/>
      <c r="G6" s="69">
        <f t="shared" si="0"/>
        <v>125</v>
      </c>
      <c r="H6" s="69">
        <f t="shared" si="1"/>
        <v>8750</v>
      </c>
      <c r="I6" s="92" t="s">
        <v>128</v>
      </c>
      <c r="J6" s="69" t="str">
        <f t="shared" si="2"/>
        <v>Mar-19</v>
      </c>
      <c r="K6" s="73">
        <v>43526</v>
      </c>
      <c r="L6" s="72" t="s">
        <v>86</v>
      </c>
      <c r="M6" s="69" t="s">
        <v>75</v>
      </c>
      <c r="N6" s="69"/>
      <c r="O6" s="92">
        <f t="shared" si="3"/>
        <v>0</v>
      </c>
      <c r="P6" s="75" t="s">
        <v>126</v>
      </c>
      <c r="Q6" s="92" t="s">
        <v>369</v>
      </c>
      <c r="R6" s="92"/>
    </row>
    <row r="7" spans="1:18" ht="242.25" x14ac:dyDescent="0.25">
      <c r="B7" s="72">
        <v>16</v>
      </c>
      <c r="C7" s="38" t="s">
        <v>122</v>
      </c>
      <c r="D7" s="72">
        <v>69.61</v>
      </c>
      <c r="E7" s="72">
        <v>645</v>
      </c>
      <c r="F7" s="72"/>
      <c r="G7" s="69">
        <f t="shared" si="0"/>
        <v>645</v>
      </c>
      <c r="H7" s="69">
        <f t="shared" si="1"/>
        <v>44898.45</v>
      </c>
      <c r="I7" s="92" t="s">
        <v>125</v>
      </c>
      <c r="J7" s="69" t="str">
        <f t="shared" si="2"/>
        <v>Mar-19</v>
      </c>
      <c r="K7" s="73">
        <v>43532</v>
      </c>
      <c r="L7" s="72"/>
      <c r="M7" s="69" t="s">
        <v>75</v>
      </c>
      <c r="N7" s="69"/>
      <c r="O7" s="92">
        <f t="shared" si="3"/>
        <v>0</v>
      </c>
      <c r="P7" s="75" t="s">
        <v>201</v>
      </c>
      <c r="Q7" s="92" t="s">
        <v>369</v>
      </c>
      <c r="R7" s="92"/>
    </row>
    <row r="8" spans="1:18" ht="25.5" x14ac:dyDescent="0.25">
      <c r="B8" s="72">
        <v>17</v>
      </c>
      <c r="C8" s="38" t="s">
        <v>122</v>
      </c>
      <c r="D8" s="72">
        <v>69.28</v>
      </c>
      <c r="E8" s="72">
        <v>360</v>
      </c>
      <c r="F8" s="72"/>
      <c r="G8" s="69">
        <f t="shared" si="0"/>
        <v>360</v>
      </c>
      <c r="H8" s="69">
        <f t="shared" si="1"/>
        <v>24940.799999999999</v>
      </c>
      <c r="I8" s="92" t="s">
        <v>130</v>
      </c>
      <c r="J8" s="69" t="str">
        <f t="shared" si="2"/>
        <v>Mar-19</v>
      </c>
      <c r="K8" s="73">
        <v>43536</v>
      </c>
      <c r="L8" s="72"/>
      <c r="M8" s="69" t="s">
        <v>75</v>
      </c>
      <c r="N8" s="69"/>
      <c r="O8" s="92">
        <f t="shared" si="3"/>
        <v>0</v>
      </c>
      <c r="P8" s="38" t="s">
        <v>137</v>
      </c>
      <c r="Q8" s="92" t="s">
        <v>368</v>
      </c>
      <c r="R8" s="92"/>
    </row>
    <row r="9" spans="1:18" ht="38.25" x14ac:dyDescent="0.25">
      <c r="B9" s="72">
        <v>18</v>
      </c>
      <c r="C9" s="38" t="s">
        <v>122</v>
      </c>
      <c r="D9" s="72">
        <v>68.801100000000005</v>
      </c>
      <c r="E9" s="72">
        <v>73</v>
      </c>
      <c r="F9" s="72"/>
      <c r="G9" s="69">
        <f t="shared" si="0"/>
        <v>73</v>
      </c>
      <c r="H9" s="69">
        <f t="shared" si="1"/>
        <v>5022.4803000000002</v>
      </c>
      <c r="I9" s="92" t="s">
        <v>132</v>
      </c>
      <c r="J9" s="69" t="str">
        <f t="shared" si="2"/>
        <v>Mar-19</v>
      </c>
      <c r="K9" s="73">
        <v>43555</v>
      </c>
      <c r="L9" s="72"/>
      <c r="M9" s="69" t="s">
        <v>75</v>
      </c>
      <c r="N9" s="69"/>
      <c r="O9" s="92">
        <f t="shared" si="3"/>
        <v>0</v>
      </c>
      <c r="P9" s="38" t="s">
        <v>158</v>
      </c>
      <c r="Q9" s="92" t="s">
        <v>370</v>
      </c>
      <c r="R9" s="92"/>
    </row>
    <row r="10" spans="1:18" ht="51" x14ac:dyDescent="0.25">
      <c r="B10" s="72">
        <v>19</v>
      </c>
      <c r="C10" s="38" t="s">
        <v>133</v>
      </c>
      <c r="D10" s="72" t="s">
        <v>86</v>
      </c>
      <c r="E10" s="72">
        <v>150</v>
      </c>
      <c r="F10" s="72"/>
      <c r="G10" s="69">
        <f t="shared" si="0"/>
        <v>150</v>
      </c>
      <c r="H10" s="69">
        <v>0</v>
      </c>
      <c r="I10" s="92" t="s">
        <v>134</v>
      </c>
      <c r="J10" s="69" t="str">
        <f t="shared" si="2"/>
        <v>Apr-19</v>
      </c>
      <c r="K10" s="73">
        <v>43563</v>
      </c>
      <c r="L10" s="72"/>
      <c r="M10" s="69" t="s">
        <v>75</v>
      </c>
      <c r="N10" s="69"/>
      <c r="O10" s="92">
        <f t="shared" si="3"/>
        <v>0</v>
      </c>
      <c r="P10" s="38" t="s">
        <v>135</v>
      </c>
      <c r="Q10" s="92" t="s">
        <v>368</v>
      </c>
      <c r="R10" s="92"/>
    </row>
    <row r="11" spans="1:18" ht="63.75" x14ac:dyDescent="0.25">
      <c r="B11" s="72">
        <v>20</v>
      </c>
      <c r="C11" s="38" t="s">
        <v>122</v>
      </c>
      <c r="D11" s="72">
        <v>68.900000000000006</v>
      </c>
      <c r="E11" s="72">
        <v>435</v>
      </c>
      <c r="F11" s="72"/>
      <c r="G11" s="69">
        <f t="shared" si="0"/>
        <v>435</v>
      </c>
      <c r="H11" s="69">
        <f>D11*G11</f>
        <v>29971.500000000004</v>
      </c>
      <c r="I11" s="92" t="s">
        <v>139</v>
      </c>
      <c r="J11" s="69" t="str">
        <f t="shared" si="2"/>
        <v>Apr-19</v>
      </c>
      <c r="K11" s="73">
        <v>43568</v>
      </c>
      <c r="L11" s="72"/>
      <c r="M11" s="69" t="s">
        <v>75</v>
      </c>
      <c r="N11" s="69"/>
      <c r="O11" s="92">
        <f t="shared" si="3"/>
        <v>0</v>
      </c>
      <c r="P11" s="38" t="s">
        <v>136</v>
      </c>
      <c r="Q11" s="92" t="s">
        <v>323</v>
      </c>
      <c r="R11" s="92"/>
    </row>
    <row r="12" spans="1:18" s="151" customFormat="1" ht="102" x14ac:dyDescent="0.25">
      <c r="A12" s="146"/>
      <c r="B12" s="147">
        <v>21</v>
      </c>
      <c r="C12" s="148" t="s">
        <v>163</v>
      </c>
      <c r="D12" s="147">
        <v>68.489999999999995</v>
      </c>
      <c r="E12" s="147">
        <v>365</v>
      </c>
      <c r="F12" s="147"/>
      <c r="G12" s="149">
        <f t="shared" si="0"/>
        <v>365</v>
      </c>
      <c r="H12" s="149">
        <f t="shared" ref="H12:H17" si="4">IF(D12="N/A",0,D12*E12)</f>
        <v>24998.85</v>
      </c>
      <c r="I12" s="147" t="s">
        <v>184</v>
      </c>
      <c r="J12" s="149" t="str">
        <f t="shared" si="2"/>
        <v>May-19</v>
      </c>
      <c r="K12" s="150">
        <v>43613</v>
      </c>
      <c r="L12" s="147"/>
      <c r="M12" s="149" t="s">
        <v>75</v>
      </c>
      <c r="N12" s="149"/>
      <c r="O12" s="147">
        <f t="shared" si="3"/>
        <v>0</v>
      </c>
      <c r="P12" s="148" t="s">
        <v>164</v>
      </c>
      <c r="Q12" s="147" t="s">
        <v>368</v>
      </c>
      <c r="R12" s="147"/>
    </row>
    <row r="13" spans="1:18" ht="102" x14ac:dyDescent="0.25">
      <c r="B13" s="72">
        <v>22</v>
      </c>
      <c r="C13" s="38" t="s">
        <v>165</v>
      </c>
      <c r="D13" s="72">
        <v>69.52</v>
      </c>
      <c r="E13" s="72">
        <v>286</v>
      </c>
      <c r="F13" s="72"/>
      <c r="G13" s="69">
        <f t="shared" si="0"/>
        <v>286</v>
      </c>
      <c r="H13" s="69">
        <f t="shared" si="4"/>
        <v>19882.719999999998</v>
      </c>
      <c r="I13" s="107" t="s">
        <v>183</v>
      </c>
      <c r="J13" s="69" t="str">
        <f t="shared" si="2"/>
        <v>May-19</v>
      </c>
      <c r="K13" s="73">
        <v>43616</v>
      </c>
      <c r="L13" s="72"/>
      <c r="M13" s="69" t="s">
        <v>75</v>
      </c>
      <c r="N13" s="69"/>
      <c r="O13" s="92">
        <f t="shared" si="3"/>
        <v>0</v>
      </c>
      <c r="P13" s="75" t="s">
        <v>182</v>
      </c>
      <c r="Q13" s="107" t="s">
        <v>323</v>
      </c>
      <c r="R13" s="92"/>
    </row>
    <row r="14" spans="1:18" ht="102" x14ac:dyDescent="0.25">
      <c r="B14" s="72">
        <v>23</v>
      </c>
      <c r="C14" s="38" t="s">
        <v>192</v>
      </c>
      <c r="D14" s="72" t="s">
        <v>86</v>
      </c>
      <c r="E14" s="72">
        <v>300</v>
      </c>
      <c r="F14" s="72"/>
      <c r="G14" s="69">
        <f t="shared" si="0"/>
        <v>300</v>
      </c>
      <c r="H14" s="69">
        <f t="shared" si="4"/>
        <v>0</v>
      </c>
      <c r="I14" s="107" t="s">
        <v>186</v>
      </c>
      <c r="J14" s="69" t="str">
        <f t="shared" si="2"/>
        <v>Jun-19</v>
      </c>
      <c r="K14" s="73">
        <v>43632</v>
      </c>
      <c r="L14" s="72"/>
      <c r="M14" s="69" t="s">
        <v>75</v>
      </c>
      <c r="N14" s="69"/>
      <c r="O14" s="92">
        <f t="shared" si="3"/>
        <v>0</v>
      </c>
      <c r="P14" s="75" t="s">
        <v>188</v>
      </c>
      <c r="Q14" s="107" t="s">
        <v>368</v>
      </c>
      <c r="R14" s="92"/>
    </row>
    <row r="15" spans="1:18" ht="89.25" x14ac:dyDescent="0.25">
      <c r="B15" s="72">
        <v>24</v>
      </c>
      <c r="C15" s="38" t="s">
        <v>191</v>
      </c>
      <c r="D15" s="72">
        <v>69.263800000000003</v>
      </c>
      <c r="E15" s="72">
        <v>360</v>
      </c>
      <c r="F15" s="72"/>
      <c r="G15" s="69">
        <f t="shared" si="0"/>
        <v>360</v>
      </c>
      <c r="H15" s="69">
        <f t="shared" si="4"/>
        <v>24934.968000000001</v>
      </c>
      <c r="I15" s="107" t="s">
        <v>187</v>
      </c>
      <c r="J15" s="69" t="str">
        <f t="shared" si="2"/>
        <v>Jun-19</v>
      </c>
      <c r="K15" s="73">
        <v>43637</v>
      </c>
      <c r="L15" s="72"/>
      <c r="M15" s="69" t="s">
        <v>75</v>
      </c>
      <c r="N15" s="69"/>
      <c r="O15" s="92">
        <f t="shared" si="3"/>
        <v>0</v>
      </c>
      <c r="P15" s="75" t="s">
        <v>189</v>
      </c>
      <c r="Q15" s="107" t="s">
        <v>323</v>
      </c>
      <c r="R15" s="92"/>
    </row>
    <row r="16" spans="1:18" ht="102" x14ac:dyDescent="0.25">
      <c r="B16" s="72">
        <v>25</v>
      </c>
      <c r="C16" s="38" t="s">
        <v>190</v>
      </c>
      <c r="D16" s="72">
        <v>68.819999999999993</v>
      </c>
      <c r="E16" s="72">
        <v>200</v>
      </c>
      <c r="F16" s="72"/>
      <c r="G16" s="69">
        <f t="shared" si="0"/>
        <v>200</v>
      </c>
      <c r="H16" s="69">
        <f t="shared" si="4"/>
        <v>13763.999999999998</v>
      </c>
      <c r="I16" s="107" t="s">
        <v>193</v>
      </c>
      <c r="J16" s="69" t="str">
        <f t="shared" si="2"/>
        <v>Jul-19</v>
      </c>
      <c r="K16" s="73">
        <v>43654</v>
      </c>
      <c r="L16" s="72"/>
      <c r="M16" s="69" t="s">
        <v>75</v>
      </c>
      <c r="N16" s="69"/>
      <c r="O16" s="92">
        <f t="shared" si="3"/>
        <v>0</v>
      </c>
      <c r="P16" s="75" t="s">
        <v>194</v>
      </c>
      <c r="Q16" s="107" t="s">
        <v>323</v>
      </c>
      <c r="R16" s="92"/>
    </row>
    <row r="17" spans="2:18" ht="102" x14ac:dyDescent="0.25">
      <c r="B17" s="72">
        <v>26</v>
      </c>
      <c r="C17" s="38" t="s">
        <v>196</v>
      </c>
      <c r="D17" s="72" t="s">
        <v>86</v>
      </c>
      <c r="E17" s="72">
        <v>200</v>
      </c>
      <c r="G17" s="69">
        <f t="shared" si="0"/>
        <v>200</v>
      </c>
      <c r="H17" s="69">
        <f t="shared" si="4"/>
        <v>0</v>
      </c>
      <c r="I17" s="92" t="s">
        <v>197</v>
      </c>
      <c r="J17" s="69" t="str">
        <f t="shared" si="2"/>
        <v>Jul-19</v>
      </c>
      <c r="K17" s="73">
        <v>43671</v>
      </c>
      <c r="L17" s="72"/>
      <c r="M17" s="69" t="s">
        <v>75</v>
      </c>
      <c r="N17" s="69"/>
      <c r="O17" s="92">
        <f t="shared" si="3"/>
        <v>0</v>
      </c>
      <c r="P17" s="75" t="s">
        <v>195</v>
      </c>
      <c r="Q17" s="92" t="s">
        <v>371</v>
      </c>
      <c r="R17" s="92"/>
    </row>
    <row r="18" spans="2:18" ht="102" x14ac:dyDescent="0.25">
      <c r="B18" s="72">
        <v>27</v>
      </c>
      <c r="C18" s="38" t="s">
        <v>196</v>
      </c>
      <c r="D18" s="72" t="s">
        <v>86</v>
      </c>
      <c r="E18" s="72">
        <v>200</v>
      </c>
      <c r="G18" s="69">
        <f t="shared" si="0"/>
        <v>200</v>
      </c>
      <c r="H18" s="69">
        <f>IF(D18="N/A",0,D18*E18)</f>
        <v>0</v>
      </c>
      <c r="I18" s="92" t="s">
        <v>198</v>
      </c>
      <c r="J18" s="69" t="str">
        <f t="shared" si="2"/>
        <v>Sep-19</v>
      </c>
      <c r="K18" s="73">
        <v>43718</v>
      </c>
      <c r="L18" s="72"/>
      <c r="M18" s="69" t="s">
        <v>75</v>
      </c>
      <c r="N18" s="69"/>
      <c r="O18" s="92">
        <f t="shared" si="3"/>
        <v>0</v>
      </c>
      <c r="P18" s="75" t="s">
        <v>200</v>
      </c>
      <c r="Q18" s="92" t="s">
        <v>368</v>
      </c>
      <c r="R18" s="92"/>
    </row>
    <row r="19" spans="2:18" ht="102" x14ac:dyDescent="0.25">
      <c r="B19" s="72">
        <v>28</v>
      </c>
      <c r="C19" s="38" t="s">
        <v>122</v>
      </c>
      <c r="D19" s="72">
        <v>70.739999999999995</v>
      </c>
      <c r="E19" s="72">
        <v>210</v>
      </c>
      <c r="G19" s="69">
        <f t="shared" si="0"/>
        <v>210</v>
      </c>
      <c r="H19" s="69">
        <f>IF(D19="N/A",0,D19*E19)</f>
        <v>14855.4</v>
      </c>
      <c r="I19" s="92" t="s">
        <v>199</v>
      </c>
      <c r="J19" s="69" t="str">
        <f t="shared" si="2"/>
        <v>Sep-19</v>
      </c>
      <c r="K19" s="73">
        <v>43718</v>
      </c>
      <c r="L19" s="72"/>
      <c r="M19" s="69" t="s">
        <v>75</v>
      </c>
      <c r="N19" s="69"/>
      <c r="O19" s="92">
        <f t="shared" si="3"/>
        <v>0</v>
      </c>
      <c r="P19" s="75" t="s">
        <v>202</v>
      </c>
      <c r="Q19" s="92" t="s">
        <v>368</v>
      </c>
      <c r="R19" s="92"/>
    </row>
    <row r="20" spans="2:18" ht="255" x14ac:dyDescent="0.25">
      <c r="B20" s="72">
        <v>29</v>
      </c>
      <c r="C20" s="38" t="s">
        <v>122</v>
      </c>
      <c r="D20" s="72">
        <v>70.739999999999995</v>
      </c>
      <c r="E20" s="72">
        <v>190</v>
      </c>
      <c r="F20" s="72">
        <v>570</v>
      </c>
      <c r="G20" s="69">
        <f t="shared" si="0"/>
        <v>760</v>
      </c>
      <c r="H20" s="69">
        <f>D20*G20</f>
        <v>53762.399999999994</v>
      </c>
      <c r="I20" s="92" t="s">
        <v>125</v>
      </c>
      <c r="J20" s="69" t="str">
        <f t="shared" si="2"/>
        <v>Sep-19</v>
      </c>
      <c r="K20" s="73">
        <v>43718</v>
      </c>
      <c r="L20" s="72"/>
      <c r="M20" s="69" t="s">
        <v>75</v>
      </c>
      <c r="N20" s="69"/>
      <c r="O20" s="92">
        <f t="shared" si="3"/>
        <v>0</v>
      </c>
      <c r="P20" s="75" t="s">
        <v>227</v>
      </c>
      <c r="Q20" s="92" t="s">
        <v>369</v>
      </c>
      <c r="R20" s="92"/>
    </row>
    <row r="21" spans="2:18" ht="102" x14ac:dyDescent="0.25">
      <c r="B21" s="72">
        <v>30</v>
      </c>
      <c r="C21" s="38" t="s">
        <v>196</v>
      </c>
      <c r="D21" s="72" t="s">
        <v>86</v>
      </c>
      <c r="E21" s="72">
        <v>300</v>
      </c>
      <c r="G21" s="69">
        <f t="shared" si="0"/>
        <v>300</v>
      </c>
      <c r="H21" s="69">
        <f t="shared" ref="H21:H28" si="5">IF(D21="N/A",0,D21*E21)</f>
        <v>0</v>
      </c>
      <c r="I21" s="92" t="s">
        <v>203</v>
      </c>
      <c r="J21" s="69" t="str">
        <f t="shared" si="2"/>
        <v>Sep-19</v>
      </c>
      <c r="K21" s="73">
        <v>43726</v>
      </c>
      <c r="L21" s="72"/>
      <c r="M21" s="69" t="s">
        <v>75</v>
      </c>
      <c r="N21" s="69"/>
      <c r="O21" s="92">
        <f t="shared" si="3"/>
        <v>0</v>
      </c>
      <c r="P21" s="75" t="s">
        <v>204</v>
      </c>
      <c r="Q21" s="92" t="s">
        <v>376</v>
      </c>
      <c r="R21" s="92"/>
    </row>
    <row r="22" spans="2:18" ht="127.5" x14ac:dyDescent="0.25">
      <c r="B22" s="72">
        <v>31</v>
      </c>
      <c r="C22" s="38" t="s">
        <v>196</v>
      </c>
      <c r="D22" s="72" t="s">
        <v>86</v>
      </c>
      <c r="E22" s="72">
        <v>200</v>
      </c>
      <c r="G22" s="69">
        <f t="shared" si="0"/>
        <v>200</v>
      </c>
      <c r="H22" s="69">
        <f t="shared" si="5"/>
        <v>0</v>
      </c>
      <c r="I22" s="92" t="s">
        <v>215</v>
      </c>
      <c r="J22" s="69" t="str">
        <f t="shared" si="2"/>
        <v>Oct-19</v>
      </c>
      <c r="K22" s="73">
        <v>43739</v>
      </c>
      <c r="L22" s="72"/>
      <c r="M22" s="69" t="s">
        <v>75</v>
      </c>
      <c r="N22" s="69"/>
      <c r="O22" s="92">
        <f t="shared" si="3"/>
        <v>0</v>
      </c>
      <c r="P22" s="75" t="s">
        <v>223</v>
      </c>
      <c r="Q22" s="92" t="s">
        <v>369</v>
      </c>
      <c r="R22" s="92"/>
    </row>
    <row r="23" spans="2:18" ht="102" x14ac:dyDescent="0.25">
      <c r="B23" s="72">
        <v>32</v>
      </c>
      <c r="C23" s="38" t="s">
        <v>191</v>
      </c>
      <c r="D23" s="72" t="s">
        <v>86</v>
      </c>
      <c r="E23" s="72">
        <v>200</v>
      </c>
      <c r="F23" s="72"/>
      <c r="G23" s="69">
        <f t="shared" si="0"/>
        <v>200</v>
      </c>
      <c r="H23" s="69">
        <f t="shared" si="5"/>
        <v>0</v>
      </c>
      <c r="I23" s="107" t="s">
        <v>203</v>
      </c>
      <c r="J23" s="69" t="str">
        <f t="shared" si="2"/>
        <v>Oct-19</v>
      </c>
      <c r="K23" s="73">
        <v>43739</v>
      </c>
      <c r="L23" s="72"/>
      <c r="M23" s="69" t="s">
        <v>75</v>
      </c>
      <c r="N23" s="69"/>
      <c r="O23" s="92">
        <f t="shared" si="3"/>
        <v>0</v>
      </c>
      <c r="P23" s="75" t="s">
        <v>214</v>
      </c>
      <c r="Q23" s="107" t="s">
        <v>369</v>
      </c>
      <c r="R23" s="92"/>
    </row>
    <row r="24" spans="2:18" ht="114.75" x14ac:dyDescent="0.25">
      <c r="B24" s="72">
        <v>33</v>
      </c>
      <c r="C24" s="38" t="s">
        <v>120</v>
      </c>
      <c r="D24" s="72" t="s">
        <v>86</v>
      </c>
      <c r="E24" s="72">
        <v>300</v>
      </c>
      <c r="F24" s="72"/>
      <c r="G24" s="72">
        <f t="shared" si="0"/>
        <v>300</v>
      </c>
      <c r="H24" s="69">
        <f t="shared" si="5"/>
        <v>0</v>
      </c>
      <c r="I24" s="92" t="s">
        <v>207</v>
      </c>
      <c r="J24" s="69" t="str">
        <f t="shared" si="2"/>
        <v>Oct-19</v>
      </c>
      <c r="K24" s="73">
        <v>43760</v>
      </c>
      <c r="L24" s="72"/>
      <c r="M24" s="69" t="s">
        <v>75</v>
      </c>
      <c r="N24" s="69"/>
      <c r="O24" s="92">
        <f t="shared" si="3"/>
        <v>0</v>
      </c>
      <c r="P24" s="75" t="s">
        <v>208</v>
      </c>
      <c r="Q24" s="92" t="s">
        <v>368</v>
      </c>
      <c r="R24" s="92"/>
    </row>
    <row r="25" spans="2:18" ht="114.75" x14ac:dyDescent="0.25">
      <c r="B25" s="72">
        <v>34</v>
      </c>
      <c r="C25" s="38" t="s">
        <v>190</v>
      </c>
      <c r="D25" s="72" t="s">
        <v>86</v>
      </c>
      <c r="E25" s="72">
        <v>250</v>
      </c>
      <c r="F25" s="72"/>
      <c r="G25" s="72">
        <f t="shared" si="0"/>
        <v>250</v>
      </c>
      <c r="H25" s="69">
        <f t="shared" si="5"/>
        <v>0</v>
      </c>
      <c r="I25" s="92" t="s">
        <v>203</v>
      </c>
      <c r="J25" s="69" t="str">
        <f t="shared" ref="J25" si="6">TEXT(K25,"mmm-yy")</f>
        <v>Nov-19</v>
      </c>
      <c r="K25" s="73">
        <v>43777</v>
      </c>
      <c r="L25" s="72"/>
      <c r="M25" s="69" t="s">
        <v>74</v>
      </c>
      <c r="N25" s="69"/>
      <c r="O25" s="92">
        <f t="shared" si="3"/>
        <v>0</v>
      </c>
      <c r="P25" s="75" t="s">
        <v>228</v>
      </c>
      <c r="Q25" s="92" t="s">
        <v>368</v>
      </c>
      <c r="R25" s="92"/>
    </row>
    <row r="26" spans="2:18" ht="102" x14ac:dyDescent="0.25">
      <c r="B26" s="72">
        <v>35</v>
      </c>
      <c r="C26" s="38" t="s">
        <v>209</v>
      </c>
      <c r="D26" s="72" t="s">
        <v>86</v>
      </c>
      <c r="E26" s="72">
        <v>200</v>
      </c>
      <c r="F26" s="72"/>
      <c r="G26" s="72">
        <f t="shared" si="0"/>
        <v>200</v>
      </c>
      <c r="H26" s="69">
        <f t="shared" si="5"/>
        <v>0</v>
      </c>
      <c r="I26" s="92" t="s">
        <v>203</v>
      </c>
      <c r="J26" s="69" t="str">
        <f t="shared" ref="J26:J27" si="7">TEXT(K26,"mmm-yy")</f>
        <v>Nov-19</v>
      </c>
      <c r="K26" s="73">
        <v>43784</v>
      </c>
      <c r="L26" s="72"/>
      <c r="M26" s="69" t="s">
        <v>75</v>
      </c>
      <c r="N26" s="69"/>
      <c r="O26" s="92">
        <f t="shared" si="3"/>
        <v>0</v>
      </c>
      <c r="P26" s="75" t="s">
        <v>210</v>
      </c>
      <c r="Q26" s="92" t="s">
        <v>323</v>
      </c>
      <c r="R26" s="92"/>
    </row>
    <row r="27" spans="2:18" ht="127.5" x14ac:dyDescent="0.25">
      <c r="B27" s="72">
        <v>36</v>
      </c>
      <c r="C27" s="38" t="s">
        <v>122</v>
      </c>
      <c r="D27" s="72" t="s">
        <v>86</v>
      </c>
      <c r="E27" s="72">
        <v>250</v>
      </c>
      <c r="F27" s="72"/>
      <c r="G27" s="72">
        <f t="shared" si="0"/>
        <v>250</v>
      </c>
      <c r="H27" s="69">
        <f t="shared" si="5"/>
        <v>0</v>
      </c>
      <c r="I27" s="92" t="s">
        <v>203</v>
      </c>
      <c r="J27" s="69" t="str">
        <f t="shared" si="7"/>
        <v>Nov-19</v>
      </c>
      <c r="K27" s="73">
        <v>43784</v>
      </c>
      <c r="L27" s="72"/>
      <c r="M27" s="69" t="s">
        <v>75</v>
      </c>
      <c r="N27" s="69"/>
      <c r="O27" s="92">
        <f t="shared" si="3"/>
        <v>0</v>
      </c>
      <c r="P27" s="75" t="s">
        <v>213</v>
      </c>
      <c r="Q27" s="92" t="s">
        <v>323</v>
      </c>
      <c r="R27" s="92"/>
    </row>
    <row r="28" spans="2:18" ht="102" x14ac:dyDescent="0.25">
      <c r="B28" s="72">
        <v>37</v>
      </c>
      <c r="C28" s="38" t="s">
        <v>132</v>
      </c>
      <c r="D28" s="72" t="s">
        <v>86</v>
      </c>
      <c r="E28" s="72">
        <v>250</v>
      </c>
      <c r="F28" s="72"/>
      <c r="G28" s="72">
        <f t="shared" si="0"/>
        <v>250</v>
      </c>
      <c r="H28" s="69">
        <f t="shared" si="5"/>
        <v>0</v>
      </c>
      <c r="I28" s="92" t="s">
        <v>132</v>
      </c>
      <c r="J28" s="69" t="str">
        <f t="shared" ref="J28" si="8">TEXT(K28,"mmm-yy")</f>
        <v>Dec-19</v>
      </c>
      <c r="K28" s="73">
        <v>43809</v>
      </c>
      <c r="L28" s="72"/>
      <c r="M28" s="69" t="s">
        <v>75</v>
      </c>
      <c r="N28" s="69"/>
      <c r="O28" s="92">
        <f t="shared" si="3"/>
        <v>0</v>
      </c>
      <c r="P28" s="75" t="s">
        <v>211</v>
      </c>
      <c r="Q28" s="92" t="s">
        <v>376</v>
      </c>
      <c r="R28" s="92"/>
    </row>
    <row r="29" spans="2:18" ht="140.25" x14ac:dyDescent="0.25">
      <c r="B29" s="72">
        <v>38</v>
      </c>
      <c r="C29" s="38" t="s">
        <v>212</v>
      </c>
      <c r="D29" s="72" t="s">
        <v>86</v>
      </c>
      <c r="E29" s="72">
        <v>250</v>
      </c>
      <c r="F29" s="72"/>
      <c r="G29" s="72">
        <f t="shared" si="0"/>
        <v>250</v>
      </c>
      <c r="H29" s="69">
        <f t="shared" ref="H29" si="9">IF(D29="N/A",0,D29*E29)</f>
        <v>0</v>
      </c>
      <c r="I29" s="92" t="s">
        <v>224</v>
      </c>
      <c r="J29" s="69" t="str">
        <f t="shared" ref="J29" si="10">TEXT(K29,"mmm-yy")</f>
        <v>Dec-19</v>
      </c>
      <c r="K29" s="73">
        <v>43824</v>
      </c>
      <c r="L29" s="72"/>
      <c r="M29" s="69" t="s">
        <v>74</v>
      </c>
      <c r="N29" s="69"/>
      <c r="O29" s="92">
        <f t="shared" si="3"/>
        <v>0</v>
      </c>
      <c r="P29" s="75" t="s">
        <v>225</v>
      </c>
      <c r="Q29" s="92" t="s">
        <v>371</v>
      </c>
      <c r="R29" s="92"/>
    </row>
    <row r="30" spans="2:18" ht="102" x14ac:dyDescent="0.25">
      <c r="B30" s="72">
        <v>39</v>
      </c>
      <c r="C30" s="38" t="s">
        <v>163</v>
      </c>
      <c r="D30" s="72" t="s">
        <v>86</v>
      </c>
      <c r="E30" s="72">
        <v>350</v>
      </c>
      <c r="F30" s="72"/>
      <c r="G30" s="72">
        <f t="shared" si="0"/>
        <v>350</v>
      </c>
      <c r="H30" s="69">
        <f t="shared" ref="H30" si="11">IF(D30="N/A",0,D30*E30)</f>
        <v>0</v>
      </c>
      <c r="I30" s="92" t="s">
        <v>399</v>
      </c>
      <c r="J30" s="69" t="str">
        <f t="shared" ref="J30" si="12">TEXT(K30,"mmm-yy")</f>
        <v>Jan-20</v>
      </c>
      <c r="K30" s="73">
        <v>43833</v>
      </c>
      <c r="L30" s="72"/>
      <c r="M30" s="69" t="s">
        <v>75</v>
      </c>
      <c r="N30" s="69"/>
      <c r="O30" s="92">
        <f t="shared" si="3"/>
        <v>0</v>
      </c>
      <c r="P30" s="75" t="s">
        <v>216</v>
      </c>
      <c r="Q30" s="92" t="s">
        <v>376</v>
      </c>
      <c r="R30" s="92"/>
    </row>
    <row r="31" spans="2:18" ht="114.75" x14ac:dyDescent="0.25">
      <c r="B31" s="72">
        <v>40</v>
      </c>
      <c r="C31" s="38" t="s">
        <v>219</v>
      </c>
      <c r="D31" s="72" t="s">
        <v>86</v>
      </c>
      <c r="E31" s="72">
        <v>300</v>
      </c>
      <c r="F31" s="72"/>
      <c r="G31" s="72">
        <f t="shared" si="0"/>
        <v>300</v>
      </c>
      <c r="H31" s="69">
        <f t="shared" ref="H31:H33" si="13">IF(D31="N/A",0,D31*E31)</f>
        <v>0</v>
      </c>
      <c r="I31" s="92" t="s">
        <v>399</v>
      </c>
      <c r="J31" s="69" t="str">
        <f t="shared" ref="J31:J37" si="14">TEXT(K31,"mmm-yy")</f>
        <v>Jan-20</v>
      </c>
      <c r="K31" s="73">
        <v>43841</v>
      </c>
      <c r="L31" s="72"/>
      <c r="M31" s="69" t="s">
        <v>75</v>
      </c>
      <c r="N31" s="69"/>
      <c r="O31" s="92">
        <f t="shared" si="3"/>
        <v>0</v>
      </c>
      <c r="P31" s="75" t="s">
        <v>226</v>
      </c>
      <c r="Q31" s="92" t="s">
        <v>376</v>
      </c>
      <c r="R31" s="92"/>
    </row>
    <row r="32" spans="2:18" ht="102" x14ac:dyDescent="0.25">
      <c r="B32" s="72">
        <v>41</v>
      </c>
      <c r="C32" s="38" t="s">
        <v>196</v>
      </c>
      <c r="D32" s="72" t="s">
        <v>86</v>
      </c>
      <c r="E32" s="72">
        <v>200</v>
      </c>
      <c r="G32" s="69">
        <f t="shared" si="0"/>
        <v>200</v>
      </c>
      <c r="H32" s="69">
        <f t="shared" si="13"/>
        <v>0</v>
      </c>
      <c r="I32" s="92" t="s">
        <v>218</v>
      </c>
      <c r="J32" s="69" t="str">
        <f t="shared" si="14"/>
        <v>Jan-20</v>
      </c>
      <c r="K32" s="73">
        <v>43844</v>
      </c>
      <c r="L32" s="72"/>
      <c r="M32" s="69" t="s">
        <v>75</v>
      </c>
      <c r="N32" s="69"/>
      <c r="O32" s="92">
        <f t="shared" si="3"/>
        <v>0</v>
      </c>
      <c r="P32" s="75" t="s">
        <v>217</v>
      </c>
      <c r="Q32" s="92" t="s">
        <v>368</v>
      </c>
      <c r="R32" s="92"/>
    </row>
    <row r="33" spans="2:18" ht="89.25" x14ac:dyDescent="0.25">
      <c r="B33" s="72">
        <v>42</v>
      </c>
      <c r="C33" s="38" t="s">
        <v>191</v>
      </c>
      <c r="D33" s="72">
        <v>71.150000000000006</v>
      </c>
      <c r="E33" s="72">
        <v>260</v>
      </c>
      <c r="F33" s="72"/>
      <c r="G33" s="69">
        <f t="shared" si="0"/>
        <v>260</v>
      </c>
      <c r="H33" s="69">
        <f t="shared" si="13"/>
        <v>18499</v>
      </c>
      <c r="I33" s="107" t="s">
        <v>399</v>
      </c>
      <c r="J33" s="69" t="str">
        <f t="shared" si="14"/>
        <v>Jan-20</v>
      </c>
      <c r="K33" s="73">
        <v>43850</v>
      </c>
      <c r="L33" s="72"/>
      <c r="M33" s="69" t="s">
        <v>232</v>
      </c>
      <c r="N33" s="69">
        <v>249</v>
      </c>
      <c r="O33" s="92">
        <f t="shared" si="3"/>
        <v>-11</v>
      </c>
      <c r="P33" s="75" t="s">
        <v>220</v>
      </c>
      <c r="Q33" s="107" t="s">
        <v>378</v>
      </c>
      <c r="R33" s="92"/>
    </row>
    <row r="34" spans="2:18" ht="191.25" x14ac:dyDescent="0.25">
      <c r="B34" s="72">
        <v>43</v>
      </c>
      <c r="C34" s="38" t="s">
        <v>122</v>
      </c>
      <c r="D34" s="72">
        <v>72.28</v>
      </c>
      <c r="E34" s="72">
        <v>740</v>
      </c>
      <c r="F34" s="72"/>
      <c r="G34" s="69">
        <f t="shared" si="0"/>
        <v>740</v>
      </c>
      <c r="H34" s="69">
        <f>D34*G34</f>
        <v>53487.200000000004</v>
      </c>
      <c r="I34" s="92" t="s">
        <v>125</v>
      </c>
      <c r="J34" s="69" t="str">
        <f t="shared" si="14"/>
        <v>Mar-20</v>
      </c>
      <c r="K34" s="73">
        <v>43893</v>
      </c>
      <c r="L34" s="72"/>
      <c r="M34" s="69" t="s">
        <v>74</v>
      </c>
      <c r="N34" s="69"/>
      <c r="O34" s="92">
        <f t="shared" si="3"/>
        <v>0</v>
      </c>
      <c r="P34" s="75" t="s">
        <v>230</v>
      </c>
      <c r="Q34" s="92" t="s">
        <v>369</v>
      </c>
      <c r="R34" s="92"/>
    </row>
    <row r="35" spans="2:18" ht="89.25" x14ac:dyDescent="0.25">
      <c r="B35" s="72">
        <v>44</v>
      </c>
      <c r="C35" s="38" t="s">
        <v>191</v>
      </c>
      <c r="D35" s="72" t="s">
        <v>86</v>
      </c>
      <c r="E35" s="72">
        <v>185</v>
      </c>
      <c r="F35" s="72"/>
      <c r="G35" s="69">
        <f t="shared" si="0"/>
        <v>185</v>
      </c>
      <c r="H35" s="69">
        <f t="shared" ref="H35:H38" si="15">IF(D35="N/A",0,D35*E35)</f>
        <v>0</v>
      </c>
      <c r="I35" s="107" t="s">
        <v>229</v>
      </c>
      <c r="J35" s="69" t="str">
        <f t="shared" si="14"/>
        <v>Mar-20</v>
      </c>
      <c r="K35" s="73">
        <v>43902</v>
      </c>
      <c r="L35" s="72"/>
      <c r="M35" s="69" t="s">
        <v>75</v>
      </c>
      <c r="N35" s="69"/>
      <c r="O35" s="92">
        <f t="shared" si="3"/>
        <v>0</v>
      </c>
      <c r="P35" s="75" t="s">
        <v>238</v>
      </c>
      <c r="Q35" s="92" t="s">
        <v>323</v>
      </c>
      <c r="R35" s="92"/>
    </row>
    <row r="36" spans="2:18" ht="102" x14ac:dyDescent="0.25">
      <c r="B36" s="72">
        <v>45</v>
      </c>
      <c r="C36" s="38" t="s">
        <v>163</v>
      </c>
      <c r="D36" s="72" t="s">
        <v>86</v>
      </c>
      <c r="E36" s="72">
        <v>200</v>
      </c>
      <c r="F36" s="72"/>
      <c r="G36" s="72">
        <f t="shared" si="0"/>
        <v>200</v>
      </c>
      <c r="H36" s="69">
        <f t="shared" si="15"/>
        <v>0</v>
      </c>
      <c r="I36" s="92" t="s">
        <v>399</v>
      </c>
      <c r="J36" s="69" t="str">
        <f t="shared" si="14"/>
        <v>Mar-20</v>
      </c>
      <c r="K36" s="73">
        <v>43902</v>
      </c>
      <c r="L36" s="72"/>
      <c r="M36" s="69" t="s">
        <v>74</v>
      </c>
      <c r="N36" s="69"/>
      <c r="O36" s="92">
        <f t="shared" si="3"/>
        <v>0</v>
      </c>
      <c r="P36" s="75" t="s">
        <v>408</v>
      </c>
      <c r="Q36" s="92" t="s">
        <v>369</v>
      </c>
      <c r="R36" s="92"/>
    </row>
    <row r="37" spans="2:18" ht="63.75" x14ac:dyDescent="0.25">
      <c r="B37" s="72">
        <v>46</v>
      </c>
      <c r="C37" s="38" t="s">
        <v>165</v>
      </c>
      <c r="D37" s="72" t="s">
        <v>86</v>
      </c>
      <c r="E37" s="72">
        <v>200</v>
      </c>
      <c r="F37" s="72"/>
      <c r="G37" s="69">
        <f t="shared" si="0"/>
        <v>200</v>
      </c>
      <c r="H37" s="69">
        <f t="shared" si="15"/>
        <v>0</v>
      </c>
      <c r="I37" s="107"/>
      <c r="J37" s="69" t="str">
        <f t="shared" si="14"/>
        <v>Mar-20</v>
      </c>
      <c r="K37" s="73">
        <v>43911</v>
      </c>
      <c r="L37" s="72"/>
      <c r="M37" s="69" t="s">
        <v>74</v>
      </c>
      <c r="N37" s="69"/>
      <c r="O37" s="92">
        <f t="shared" si="3"/>
        <v>0</v>
      </c>
      <c r="P37" s="75" t="s">
        <v>231</v>
      </c>
      <c r="Q37" s="92" t="s">
        <v>323</v>
      </c>
      <c r="R37" s="92"/>
    </row>
    <row r="38" spans="2:18" ht="102" x14ac:dyDescent="0.25">
      <c r="B38" s="72">
        <v>47</v>
      </c>
      <c r="C38" s="38" t="s">
        <v>196</v>
      </c>
      <c r="D38" s="72" t="s">
        <v>86</v>
      </c>
      <c r="E38" s="72">
        <v>100</v>
      </c>
      <c r="G38" s="69">
        <f t="shared" si="0"/>
        <v>100</v>
      </c>
      <c r="H38" s="69">
        <f t="shared" si="15"/>
        <v>0</v>
      </c>
      <c r="I38" s="92"/>
      <c r="J38" s="69" t="str">
        <f t="shared" ref="J38" si="16">TEXT(K38,"mmm-yy")</f>
        <v>Mar-20</v>
      </c>
      <c r="K38" s="73">
        <v>43920</v>
      </c>
      <c r="L38" s="72"/>
      <c r="M38" s="69" t="s">
        <v>75</v>
      </c>
      <c r="N38" s="69"/>
      <c r="O38" s="92">
        <f t="shared" ref="O38" si="17">IF(AND(N38&gt;0,N38 &lt;&gt; ""),-G38+N38,0)</f>
        <v>0</v>
      </c>
      <c r="P38" s="75" t="s">
        <v>236</v>
      </c>
      <c r="Q38" s="92" t="s">
        <v>369</v>
      </c>
      <c r="R38" s="92"/>
    </row>
    <row r="39" spans="2:18" ht="76.5" x14ac:dyDescent="0.25">
      <c r="B39" s="72">
        <v>48</v>
      </c>
      <c r="C39" s="38" t="s">
        <v>120</v>
      </c>
      <c r="D39" s="72" t="s">
        <v>86</v>
      </c>
      <c r="E39" s="72">
        <v>0</v>
      </c>
      <c r="F39" s="66">
        <v>300</v>
      </c>
      <c r="G39" s="69">
        <f t="shared" si="0"/>
        <v>300</v>
      </c>
      <c r="H39" s="69">
        <f t="shared" ref="H39:H42" si="18">IF(D39="N/A",0,D39*E39)</f>
        <v>0</v>
      </c>
      <c r="I39" s="92"/>
      <c r="J39" s="69" t="str">
        <f t="shared" ref="J39:J42" si="19">TEXT(K39,"mmm-yy")</f>
        <v>Apr-20</v>
      </c>
      <c r="K39" s="73">
        <v>43933</v>
      </c>
      <c r="L39" s="72"/>
      <c r="M39" s="69" t="s">
        <v>75</v>
      </c>
      <c r="N39" s="69"/>
      <c r="O39" s="92">
        <f t="shared" ref="O39:O42" si="20">IF(AND(N39&gt;0,N39 &lt;&gt; ""),-G39+N39,0)</f>
        <v>0</v>
      </c>
      <c r="P39" s="75" t="s">
        <v>246</v>
      </c>
      <c r="Q39" s="92" t="s">
        <v>370</v>
      </c>
      <c r="R39" s="92" t="s">
        <v>374</v>
      </c>
    </row>
    <row r="40" spans="2:18" ht="76.5" x14ac:dyDescent="0.25">
      <c r="B40" s="72">
        <v>49</v>
      </c>
      <c r="C40" s="38" t="s">
        <v>163</v>
      </c>
      <c r="D40" s="72" t="s">
        <v>86</v>
      </c>
      <c r="E40" s="72">
        <v>300</v>
      </c>
      <c r="G40" s="69">
        <f t="shared" si="0"/>
        <v>300</v>
      </c>
      <c r="H40" s="69">
        <f t="shared" si="18"/>
        <v>0</v>
      </c>
      <c r="I40" s="92"/>
      <c r="J40" s="69" t="str">
        <f t="shared" si="19"/>
        <v>Apr-20</v>
      </c>
      <c r="K40" s="73">
        <v>43933</v>
      </c>
      <c r="L40" s="72"/>
      <c r="M40" s="69" t="s">
        <v>75</v>
      </c>
      <c r="N40" s="69"/>
      <c r="O40" s="92">
        <f t="shared" si="20"/>
        <v>0</v>
      </c>
      <c r="P40" s="94" t="s">
        <v>410</v>
      </c>
      <c r="Q40" s="92" t="s">
        <v>370</v>
      </c>
      <c r="R40" s="92" t="s">
        <v>374</v>
      </c>
    </row>
    <row r="41" spans="2:18" ht="76.5" x14ac:dyDescent="0.25">
      <c r="B41" s="72">
        <v>50</v>
      </c>
      <c r="C41" s="38" t="s">
        <v>122</v>
      </c>
      <c r="D41" s="72" t="s">
        <v>86</v>
      </c>
      <c r="E41" s="72">
        <v>300</v>
      </c>
      <c r="G41" s="69">
        <f t="shared" si="0"/>
        <v>300</v>
      </c>
      <c r="H41" s="69">
        <f t="shared" si="18"/>
        <v>0</v>
      </c>
      <c r="I41" s="92"/>
      <c r="J41" s="69" t="str">
        <f t="shared" si="19"/>
        <v>Apr-20</v>
      </c>
      <c r="K41" s="73">
        <v>43933</v>
      </c>
      <c r="L41" s="72"/>
      <c r="M41" s="69" t="s">
        <v>75</v>
      </c>
      <c r="N41" s="69"/>
      <c r="O41" s="92">
        <f t="shared" si="20"/>
        <v>0</v>
      </c>
      <c r="P41" s="94" t="s">
        <v>404</v>
      </c>
      <c r="Q41" s="92" t="s">
        <v>370</v>
      </c>
      <c r="R41" s="92" t="s">
        <v>374</v>
      </c>
    </row>
    <row r="42" spans="2:18" ht="76.5" x14ac:dyDescent="0.25">
      <c r="B42" s="72">
        <v>51</v>
      </c>
      <c r="C42" s="38" t="s">
        <v>191</v>
      </c>
      <c r="D42" s="72" t="s">
        <v>86</v>
      </c>
      <c r="E42" s="72">
        <v>0</v>
      </c>
      <c r="F42" s="66">
        <v>200</v>
      </c>
      <c r="G42" s="69">
        <f t="shared" si="0"/>
        <v>200</v>
      </c>
      <c r="H42" s="69">
        <f t="shared" si="18"/>
        <v>0</v>
      </c>
      <c r="I42" s="92"/>
      <c r="J42" s="69" t="str">
        <f t="shared" si="19"/>
        <v>Apr-20</v>
      </c>
      <c r="K42" s="73">
        <v>43933</v>
      </c>
      <c r="L42" s="72"/>
      <c r="M42" s="69" t="s">
        <v>75</v>
      </c>
      <c r="N42" s="69"/>
      <c r="O42" s="92">
        <f t="shared" si="20"/>
        <v>0</v>
      </c>
      <c r="P42" s="94" t="s">
        <v>405</v>
      </c>
      <c r="Q42" s="92" t="s">
        <v>370</v>
      </c>
      <c r="R42" s="92" t="s">
        <v>374</v>
      </c>
    </row>
    <row r="43" spans="2:18" ht="76.5" x14ac:dyDescent="0.25">
      <c r="B43" s="72">
        <v>52</v>
      </c>
      <c r="C43" s="38" t="s">
        <v>132</v>
      </c>
      <c r="D43" s="72" t="s">
        <v>86</v>
      </c>
      <c r="E43" s="72">
        <v>250</v>
      </c>
      <c r="G43" s="69">
        <f t="shared" si="0"/>
        <v>250</v>
      </c>
      <c r="H43" s="69">
        <f t="shared" ref="H43:H44" si="21">IF(D43="N/A",0,D43*E43)</f>
        <v>0</v>
      </c>
      <c r="I43" s="92"/>
      <c r="J43" s="69" t="str">
        <f t="shared" ref="J43:J44" si="22">TEXT(K43,"mmm-yy")</f>
        <v>Apr-20</v>
      </c>
      <c r="K43" s="73">
        <v>43933</v>
      </c>
      <c r="L43" s="72"/>
      <c r="M43" s="69" t="s">
        <v>75</v>
      </c>
      <c r="N43" s="69"/>
      <c r="O43" s="92">
        <f t="shared" ref="O43:O44" si="23">IF(AND(N43&gt;0,N43 &lt;&gt; ""),-G43+N43,0)</f>
        <v>0</v>
      </c>
      <c r="P43" s="94" t="s">
        <v>406</v>
      </c>
      <c r="Q43" s="92" t="s">
        <v>370</v>
      </c>
      <c r="R43" s="92" t="s">
        <v>374</v>
      </c>
    </row>
    <row r="44" spans="2:18" ht="76.5" x14ac:dyDescent="0.25">
      <c r="B44" s="72">
        <v>53</v>
      </c>
      <c r="C44" s="38" t="s">
        <v>122</v>
      </c>
      <c r="D44" s="72" t="s">
        <v>86</v>
      </c>
      <c r="E44" s="72">
        <v>250</v>
      </c>
      <c r="G44" s="69">
        <f t="shared" si="0"/>
        <v>250</v>
      </c>
      <c r="H44" s="69">
        <f t="shared" si="21"/>
        <v>0</v>
      </c>
      <c r="I44" s="92"/>
      <c r="J44" s="69" t="str">
        <f t="shared" si="22"/>
        <v>Apr-20</v>
      </c>
      <c r="K44" s="73">
        <v>43937</v>
      </c>
      <c r="L44" s="72"/>
      <c r="M44" s="69" t="s">
        <v>75</v>
      </c>
      <c r="N44" s="69"/>
      <c r="O44" s="92">
        <f t="shared" si="23"/>
        <v>0</v>
      </c>
      <c r="P44" s="94" t="s">
        <v>403</v>
      </c>
      <c r="Q44" s="92" t="s">
        <v>370</v>
      </c>
      <c r="R44" s="92" t="s">
        <v>374</v>
      </c>
    </row>
    <row r="45" spans="2:18" ht="89.25" x14ac:dyDescent="0.25">
      <c r="B45" s="72">
        <v>54</v>
      </c>
      <c r="C45" s="38" t="s">
        <v>120</v>
      </c>
      <c r="D45" s="72" t="s">
        <v>86</v>
      </c>
      <c r="E45" s="72">
        <v>200</v>
      </c>
      <c r="G45" s="69">
        <v>200</v>
      </c>
      <c r="H45" s="69">
        <f t="shared" ref="H45" si="24">IF(D45="N/A",0,D45*E45)</f>
        <v>0</v>
      </c>
      <c r="I45" s="92"/>
      <c r="J45" s="69" t="str">
        <f t="shared" ref="J45" si="25">TEXT(K45,"mmm-yy")</f>
        <v>Apr-20</v>
      </c>
      <c r="K45" s="73">
        <v>43939</v>
      </c>
      <c r="L45" s="72"/>
      <c r="M45" s="69" t="s">
        <v>75</v>
      </c>
      <c r="N45" s="69"/>
      <c r="O45" s="92">
        <f t="shared" ref="O45" si="26">IF(AND(N45&gt;0,N45 &lt;&gt; ""),-G45+N45,0)</f>
        <v>0</v>
      </c>
      <c r="P45" s="75" t="s">
        <v>401</v>
      </c>
      <c r="Q45" s="92" t="s">
        <v>370</v>
      </c>
      <c r="R45" s="92" t="s">
        <v>374</v>
      </c>
    </row>
    <row r="46" spans="2:18" ht="89.25" x14ac:dyDescent="0.25">
      <c r="B46" s="72">
        <v>55</v>
      </c>
      <c r="C46" s="38" t="s">
        <v>209</v>
      </c>
      <c r="D46" s="72" t="s">
        <v>86</v>
      </c>
      <c r="E46" s="72">
        <v>200</v>
      </c>
      <c r="G46" s="69">
        <v>200</v>
      </c>
      <c r="H46" s="69">
        <f t="shared" ref="H46" si="27">IF(D46="N/A",0,D46*E46)</f>
        <v>0</v>
      </c>
      <c r="I46" s="92" t="s">
        <v>400</v>
      </c>
      <c r="J46" s="69" t="str">
        <f t="shared" ref="J46" si="28">TEXT(K46,"mmm-yy")</f>
        <v>Apr-20</v>
      </c>
      <c r="K46" s="73">
        <v>43939</v>
      </c>
      <c r="L46" s="72"/>
      <c r="M46" s="69" t="s">
        <v>75</v>
      </c>
      <c r="N46" s="69"/>
      <c r="O46" s="92">
        <f t="shared" ref="O46" si="29">IF(AND(N46&gt;0,N46 &lt;&gt; ""),-G46+N46,0)</f>
        <v>0</v>
      </c>
      <c r="P46" s="75" t="s">
        <v>402</v>
      </c>
      <c r="Q46" s="92" t="s">
        <v>370</v>
      </c>
      <c r="R46" s="92" t="s">
        <v>374</v>
      </c>
    </row>
    <row r="47" spans="2:18" ht="89.25" x14ac:dyDescent="0.25">
      <c r="B47" s="72">
        <v>56</v>
      </c>
      <c r="C47" s="38" t="s">
        <v>196</v>
      </c>
      <c r="D47" s="72" t="s">
        <v>86</v>
      </c>
      <c r="E47" s="72">
        <v>200</v>
      </c>
      <c r="G47" s="69">
        <v>200</v>
      </c>
      <c r="H47" s="69">
        <f t="shared" ref="H47" si="30">IF(D47="N/A",0,D47*E47)</f>
        <v>0</v>
      </c>
      <c r="I47" s="92"/>
      <c r="J47" s="69" t="str">
        <f t="shared" ref="J47" si="31">TEXT(K47,"mmm-yy")</f>
        <v>Apr-20</v>
      </c>
      <c r="K47" s="73">
        <v>43939</v>
      </c>
      <c r="L47" s="72"/>
      <c r="M47" s="69" t="s">
        <v>75</v>
      </c>
      <c r="N47" s="69"/>
      <c r="O47" s="92">
        <f t="shared" ref="O47" si="32">IF(AND(N47&gt;0,N47 &lt;&gt; ""),-G47+N47,0)</f>
        <v>0</v>
      </c>
      <c r="P47" s="94" t="s">
        <v>407</v>
      </c>
      <c r="Q47" s="92" t="s">
        <v>370</v>
      </c>
      <c r="R47" s="92" t="s">
        <v>374</v>
      </c>
    </row>
    <row r="48" spans="2:18" ht="114.75" x14ac:dyDescent="0.25">
      <c r="B48" s="92">
        <v>57</v>
      </c>
      <c r="C48" s="88" t="s">
        <v>163</v>
      </c>
      <c r="D48" s="92" t="s">
        <v>86</v>
      </c>
      <c r="E48" s="92">
        <v>200</v>
      </c>
      <c r="F48" s="89"/>
      <c r="G48" s="90">
        <f t="shared" ref="G48:G53" si="33">(E:E+F:F)</f>
        <v>200</v>
      </c>
      <c r="H48" s="90">
        <f t="shared" ref="H48" si="34">IF(D48="N/A",0,D48*E48)</f>
        <v>0</v>
      </c>
      <c r="I48" s="92"/>
      <c r="J48" s="90" t="str">
        <f t="shared" ref="J48" si="35">TEXT(K48,"mmm-yy")</f>
        <v>Apr-20</v>
      </c>
      <c r="K48" s="93">
        <v>43940</v>
      </c>
      <c r="L48" s="92"/>
      <c r="M48" s="90" t="s">
        <v>74</v>
      </c>
      <c r="N48" s="90"/>
      <c r="O48" s="92">
        <f t="shared" ref="O48" si="36">IF(AND(N48&gt;0,N48 &lt;&gt; ""),-G48+N48,0)</f>
        <v>0</v>
      </c>
      <c r="P48" s="94" t="s">
        <v>381</v>
      </c>
      <c r="Q48" s="92" t="s">
        <v>368</v>
      </c>
      <c r="R48" s="92"/>
    </row>
    <row r="49" spans="1:18" ht="89.25" x14ac:dyDescent="0.25">
      <c r="B49" s="92">
        <v>58</v>
      </c>
      <c r="C49" s="88" t="s">
        <v>120</v>
      </c>
      <c r="D49" s="92" t="s">
        <v>86</v>
      </c>
      <c r="E49" s="92">
        <v>250</v>
      </c>
      <c r="F49" s="89"/>
      <c r="G49" s="90">
        <f t="shared" si="33"/>
        <v>250</v>
      </c>
      <c r="H49" s="90">
        <f t="shared" ref="H49" si="37">IF(D49="N/A",0,D49*E49)</f>
        <v>0</v>
      </c>
      <c r="I49" s="92"/>
      <c r="J49" s="90" t="str">
        <f t="shared" ref="J49" si="38">TEXT(K49,"mmm-yy")</f>
        <v>Apr-20</v>
      </c>
      <c r="K49" s="93">
        <v>43947</v>
      </c>
      <c r="L49" s="92"/>
      <c r="M49" s="90" t="s">
        <v>75</v>
      </c>
      <c r="N49" s="90"/>
      <c r="O49" s="92">
        <f t="shared" ref="O49" si="39">IF(AND(N49&gt;0,N49 &lt;&gt; ""),-G49+N49,0)</f>
        <v>0</v>
      </c>
      <c r="P49" s="94" t="s">
        <v>396</v>
      </c>
      <c r="Q49" s="92" t="s">
        <v>368</v>
      </c>
      <c r="R49" s="92"/>
    </row>
    <row r="50" spans="1:18" ht="89.25" x14ac:dyDescent="0.25">
      <c r="B50" s="92">
        <v>59</v>
      </c>
      <c r="C50" s="88" t="s">
        <v>212</v>
      </c>
      <c r="D50" s="92">
        <v>76.28</v>
      </c>
      <c r="E50" s="92">
        <v>196</v>
      </c>
      <c r="F50" s="89"/>
      <c r="G50" s="90">
        <f t="shared" si="33"/>
        <v>196</v>
      </c>
      <c r="H50" s="90">
        <f t="shared" ref="H50:H52" si="40">IF(D50="N/A",0,D50*E50)</f>
        <v>14950.880000000001</v>
      </c>
      <c r="I50" s="92"/>
      <c r="J50" s="90" t="str">
        <f t="shared" ref="J50:J52" si="41">TEXT(K50,"mmm-yy")</f>
        <v>Apr-20</v>
      </c>
      <c r="K50" s="93">
        <v>43947</v>
      </c>
      <c r="L50" s="92"/>
      <c r="M50" s="90" t="s">
        <v>74</v>
      </c>
      <c r="N50" s="90"/>
      <c r="O50" s="92">
        <f t="shared" ref="O50:O52" si="42">IF(AND(N50&gt;0,N50 &lt;&gt; ""),-G50+N50,0)</f>
        <v>0</v>
      </c>
      <c r="P50" s="94" t="s">
        <v>382</v>
      </c>
      <c r="Q50" s="92" t="s">
        <v>370</v>
      </c>
      <c r="R50" s="92" t="s">
        <v>374</v>
      </c>
    </row>
    <row r="51" spans="1:18" ht="102" x14ac:dyDescent="0.25">
      <c r="B51" s="92">
        <v>60</v>
      </c>
      <c r="C51" s="88" t="s">
        <v>386</v>
      </c>
      <c r="D51" s="92" t="s">
        <v>86</v>
      </c>
      <c r="E51" s="92">
        <v>200</v>
      </c>
      <c r="F51" s="89"/>
      <c r="G51" s="90">
        <f t="shared" si="33"/>
        <v>200</v>
      </c>
      <c r="H51" s="90">
        <f t="shared" si="40"/>
        <v>0</v>
      </c>
      <c r="I51" s="92"/>
      <c r="J51" s="90" t="str">
        <f t="shared" si="41"/>
        <v>Apr-20</v>
      </c>
      <c r="K51" s="93">
        <v>43947</v>
      </c>
      <c r="L51" s="92"/>
      <c r="M51" s="90" t="s">
        <v>74</v>
      </c>
      <c r="N51" s="90"/>
      <c r="O51" s="92">
        <f t="shared" si="42"/>
        <v>0</v>
      </c>
      <c r="P51" s="94" t="s">
        <v>387</v>
      </c>
      <c r="Q51" s="92" t="s">
        <v>370</v>
      </c>
      <c r="R51" s="92" t="s">
        <v>374</v>
      </c>
    </row>
    <row r="52" spans="1:18" ht="102" x14ac:dyDescent="0.25">
      <c r="B52" s="92">
        <v>61</v>
      </c>
      <c r="C52" s="88" t="s">
        <v>163</v>
      </c>
      <c r="D52" s="92" t="s">
        <v>86</v>
      </c>
      <c r="E52" s="92">
        <v>225</v>
      </c>
      <c r="F52" s="89">
        <v>25</v>
      </c>
      <c r="G52" s="90">
        <f t="shared" si="33"/>
        <v>250</v>
      </c>
      <c r="H52" s="90">
        <f t="shared" si="40"/>
        <v>0</v>
      </c>
      <c r="I52" s="92"/>
      <c r="J52" s="90" t="str">
        <f t="shared" si="41"/>
        <v>Apr-20</v>
      </c>
      <c r="K52" s="93">
        <v>43947</v>
      </c>
      <c r="L52" s="92"/>
      <c r="M52" s="90" t="s">
        <v>74</v>
      </c>
      <c r="N52" s="90"/>
      <c r="O52" s="92">
        <f t="shared" si="42"/>
        <v>0</v>
      </c>
      <c r="P52" s="94" t="s">
        <v>388</v>
      </c>
      <c r="Q52" s="92" t="s">
        <v>370</v>
      </c>
      <c r="R52" s="92" t="s">
        <v>374</v>
      </c>
    </row>
    <row r="53" spans="1:18" ht="76.5" x14ac:dyDescent="0.25">
      <c r="B53" s="92">
        <v>62</v>
      </c>
      <c r="C53" s="88" t="s">
        <v>389</v>
      </c>
      <c r="D53" s="92" t="s">
        <v>86</v>
      </c>
      <c r="E53" s="92">
        <v>0</v>
      </c>
      <c r="F53" s="89">
        <v>250</v>
      </c>
      <c r="G53" s="90">
        <f t="shared" si="33"/>
        <v>250</v>
      </c>
      <c r="H53" s="90">
        <f t="shared" ref="H53" si="43">IF(D53="N/A",0,D53*E53)</f>
        <v>0</v>
      </c>
      <c r="I53" s="92"/>
      <c r="J53" s="90" t="str">
        <f t="shared" ref="J53" si="44">TEXT(K53,"mmm-yy")</f>
        <v>Apr-20</v>
      </c>
      <c r="K53" s="93">
        <v>43947</v>
      </c>
      <c r="L53" s="92"/>
      <c r="M53" s="90" t="s">
        <v>75</v>
      </c>
      <c r="N53" s="90"/>
      <c r="O53" s="92">
        <f t="shared" ref="O53" si="45">IF(AND(N53&gt;0,N53 &lt;&gt; ""),-G53+N53,0)</f>
        <v>0</v>
      </c>
      <c r="P53" s="94" t="s">
        <v>390</v>
      </c>
      <c r="Q53" s="92" t="s">
        <v>370</v>
      </c>
      <c r="R53" s="92" t="s">
        <v>374</v>
      </c>
    </row>
    <row r="54" spans="1:18" s="91" customFormat="1" ht="76.5" x14ac:dyDescent="0.25">
      <c r="A54" s="68"/>
      <c r="B54" s="92">
        <v>63</v>
      </c>
      <c r="C54" s="88" t="s">
        <v>393</v>
      </c>
      <c r="D54" s="92" t="s">
        <v>86</v>
      </c>
      <c r="E54" s="92">
        <v>250</v>
      </c>
      <c r="F54" s="89">
        <v>0</v>
      </c>
      <c r="G54" s="90">
        <f t="shared" ref="G54" si="46">(E:E+F:F)</f>
        <v>250</v>
      </c>
      <c r="H54" s="90">
        <f t="shared" ref="H54" si="47">IF(D54="N/A",0,D54*E54)</f>
        <v>0</v>
      </c>
      <c r="I54" s="92"/>
      <c r="J54" s="90" t="str">
        <f t="shared" ref="J54" si="48">TEXT(K54,"mmm-yy")</f>
        <v>May-20</v>
      </c>
      <c r="K54" s="93">
        <v>43952</v>
      </c>
      <c r="L54" s="92"/>
      <c r="M54" s="90" t="s">
        <v>75</v>
      </c>
      <c r="N54" s="90"/>
      <c r="O54" s="92">
        <f t="shared" ref="O54" si="49">IF(AND(N54&gt;0,N54 &lt;&gt; ""),-G54+N54,0)</f>
        <v>0</v>
      </c>
      <c r="P54" s="94" t="s">
        <v>392</v>
      </c>
      <c r="Q54" s="92" t="s">
        <v>368</v>
      </c>
      <c r="R54" s="92"/>
    </row>
    <row r="55" spans="1:18" s="91" customFormat="1" ht="76.5" x14ac:dyDescent="0.25">
      <c r="A55" s="68"/>
      <c r="B55" s="92">
        <v>64</v>
      </c>
      <c r="C55" s="88" t="s">
        <v>395</v>
      </c>
      <c r="D55" s="92" t="s">
        <v>86</v>
      </c>
      <c r="E55" s="92">
        <v>250</v>
      </c>
      <c r="F55" s="89">
        <v>0</v>
      </c>
      <c r="G55" s="90">
        <f t="shared" ref="G55:G59" si="50">(E:E+F:F)</f>
        <v>250</v>
      </c>
      <c r="H55" s="90">
        <f t="shared" ref="H55:H59" si="51">IF(D55="N/A",0,D55*E55)</f>
        <v>0</v>
      </c>
      <c r="I55" s="92"/>
      <c r="J55" s="90" t="str">
        <f t="shared" ref="J55:J59" si="52">TEXT(K55,"mmm-yy")</f>
        <v>May-20</v>
      </c>
      <c r="K55" s="93">
        <v>43952</v>
      </c>
      <c r="L55" s="92"/>
      <c r="M55" s="90" t="s">
        <v>74</v>
      </c>
      <c r="N55" s="90"/>
      <c r="O55" s="92">
        <f t="shared" ref="O55:O59" si="53">IF(AND(N55&gt;0,N55 &lt;&gt; ""),-G55+N55,0)</f>
        <v>0</v>
      </c>
      <c r="P55" s="94" t="s">
        <v>394</v>
      </c>
      <c r="Q55" s="92" t="s">
        <v>368</v>
      </c>
      <c r="R55" s="92"/>
    </row>
    <row r="56" spans="1:18" s="91" customFormat="1" ht="76.5" x14ac:dyDescent="0.25">
      <c r="A56" s="68"/>
      <c r="B56" s="92">
        <v>65</v>
      </c>
      <c r="C56" s="88" t="s">
        <v>393</v>
      </c>
      <c r="D56" s="92" t="s">
        <v>86</v>
      </c>
      <c r="E56" s="92">
        <v>200</v>
      </c>
      <c r="F56" s="89">
        <v>0</v>
      </c>
      <c r="G56" s="90">
        <f t="shared" si="50"/>
        <v>200</v>
      </c>
      <c r="H56" s="90">
        <f t="shared" si="51"/>
        <v>0</v>
      </c>
      <c r="I56" s="92"/>
      <c r="J56" s="90" t="str">
        <f t="shared" si="52"/>
        <v>May-20</v>
      </c>
      <c r="K56" s="93">
        <v>43953</v>
      </c>
      <c r="L56" s="92"/>
      <c r="M56" s="90" t="s">
        <v>74</v>
      </c>
      <c r="N56" s="90"/>
      <c r="O56" s="92">
        <f t="shared" si="53"/>
        <v>0</v>
      </c>
      <c r="P56" s="94" t="s">
        <v>397</v>
      </c>
      <c r="Q56" s="92" t="s">
        <v>370</v>
      </c>
      <c r="R56" s="92" t="s">
        <v>374</v>
      </c>
    </row>
    <row r="57" spans="1:18" ht="89.25" x14ac:dyDescent="0.25">
      <c r="B57" s="92">
        <v>66</v>
      </c>
      <c r="C57" s="88" t="s">
        <v>163</v>
      </c>
      <c r="D57" s="92" t="s">
        <v>86</v>
      </c>
      <c r="E57" s="92">
        <v>239</v>
      </c>
      <c r="F57" s="89">
        <v>0</v>
      </c>
      <c r="G57" s="90">
        <f t="shared" si="50"/>
        <v>239</v>
      </c>
      <c r="H57" s="90">
        <f t="shared" si="51"/>
        <v>0</v>
      </c>
      <c r="I57" s="92"/>
      <c r="J57" s="90" t="str">
        <f t="shared" si="52"/>
        <v>May-20</v>
      </c>
      <c r="K57" s="93">
        <v>43956</v>
      </c>
      <c r="L57" s="92"/>
      <c r="M57" s="90" t="s">
        <v>74</v>
      </c>
      <c r="N57" s="90"/>
      <c r="O57" s="92">
        <f t="shared" si="53"/>
        <v>0</v>
      </c>
      <c r="P57" s="94" t="s">
        <v>413</v>
      </c>
      <c r="Q57" s="92" t="s">
        <v>370</v>
      </c>
      <c r="R57" s="92" t="s">
        <v>374</v>
      </c>
    </row>
    <row r="58" spans="1:18" ht="89.25" x14ac:dyDescent="0.25">
      <c r="B58" s="92">
        <v>67</v>
      </c>
      <c r="C58" s="88" t="s">
        <v>411</v>
      </c>
      <c r="D58" s="92" t="s">
        <v>86</v>
      </c>
      <c r="E58" s="92">
        <v>50</v>
      </c>
      <c r="F58" s="89">
        <v>200</v>
      </c>
      <c r="G58" s="90">
        <f t="shared" si="50"/>
        <v>250</v>
      </c>
      <c r="H58" s="90">
        <f t="shared" si="51"/>
        <v>0</v>
      </c>
      <c r="I58" s="92"/>
      <c r="J58" s="90" t="str">
        <f t="shared" si="52"/>
        <v>May-20</v>
      </c>
      <c r="K58" s="93">
        <v>43956</v>
      </c>
      <c r="L58" s="92"/>
      <c r="M58" s="90" t="s">
        <v>74</v>
      </c>
      <c r="N58" s="90"/>
      <c r="O58" s="92">
        <f t="shared" si="53"/>
        <v>0</v>
      </c>
      <c r="P58" s="94" t="s">
        <v>414</v>
      </c>
      <c r="Q58" s="92" t="s">
        <v>370</v>
      </c>
      <c r="R58" s="92" t="s">
        <v>374</v>
      </c>
    </row>
    <row r="59" spans="1:18" ht="89.25" x14ac:dyDescent="0.25">
      <c r="B59" s="92">
        <v>68</v>
      </c>
      <c r="C59" s="88" t="s">
        <v>412</v>
      </c>
      <c r="D59" s="92" t="s">
        <v>86</v>
      </c>
      <c r="E59" s="92">
        <v>200</v>
      </c>
      <c r="F59" s="89">
        <v>0</v>
      </c>
      <c r="G59" s="90">
        <f t="shared" si="50"/>
        <v>200</v>
      </c>
      <c r="H59" s="90">
        <f t="shared" si="51"/>
        <v>0</v>
      </c>
      <c r="I59" s="92"/>
      <c r="J59" s="90" t="str">
        <f t="shared" si="52"/>
        <v>May-20</v>
      </c>
      <c r="K59" s="93">
        <v>43956</v>
      </c>
      <c r="L59" s="92"/>
      <c r="M59" s="90" t="s">
        <v>74</v>
      </c>
      <c r="N59" s="90"/>
      <c r="O59" s="92">
        <f t="shared" si="53"/>
        <v>0</v>
      </c>
      <c r="P59" s="94" t="s">
        <v>415</v>
      </c>
      <c r="Q59" s="92" t="s">
        <v>370</v>
      </c>
      <c r="R59" s="92" t="s">
        <v>374</v>
      </c>
    </row>
  </sheetData>
  <autoFilter ref="R1:R59" xr:uid="{BBD16F84-A978-478A-91F4-48F876812127}"/>
  <mergeCells count="11">
    <mergeCell ref="R1:R2"/>
    <mergeCell ref="Q1:Q2"/>
    <mergeCell ref="P1:P2"/>
    <mergeCell ref="A1:A2"/>
    <mergeCell ref="C1:C2"/>
    <mergeCell ref="B1:B2"/>
    <mergeCell ref="I1:I2"/>
    <mergeCell ref="J1:J2"/>
    <mergeCell ref="G1:H1"/>
    <mergeCell ref="E1:F1"/>
    <mergeCell ref="K1:O1"/>
  </mergeCells>
  <dataValidations xWindow="1162" yWindow="745" count="1">
    <dataValidation type="custom" allowBlank="1" showInputMessage="1" showErrorMessage="1" error="Invalid data. Change the status first" promptTitle="Validation" prompt="enter value here only if the beneficiary returned full or part of the money" sqref="N3:N59" xr:uid="{5DABF584-1F95-433C-8776-BF76A4B50A8E}">
      <formula1>$M3="Money Received back"</formula1>
    </dataValidation>
  </dataValidations>
  <hyperlinks>
    <hyperlink ref="Q3" location="'Archive Requests'!A1" display="Archive Requests" xr:uid="{61395809-ABE2-422D-8C23-5B5D5181504E}"/>
  </hyperlink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legacyDrawing r:id="rId2"/>
  <extLst>
    <ext xmlns:x14="http://schemas.microsoft.com/office/spreadsheetml/2009/9/main" uri="{CCE6A557-97BC-4b89-ADB6-D9C93CAAB3DF}">
      <x14:dataValidations xmlns:xm="http://schemas.microsoft.com/office/excel/2006/main" xWindow="1162" yWindow="745" count="4">
        <x14:dataValidation type="list" allowBlank="1" showInputMessage="1" showErrorMessage="1" promptTitle="Transaction Status" prompt="To be Started, Ack - Pending, Ack - Received " xr:uid="{294337E7-0CC9-44EA-AB37-D3FFFE760383}">
          <x14:formula1>
            <xm:f>Index!$B$38:$B$41</xm:f>
          </x14:formula1>
          <xm:sqref>M2 M4:M1048576 N60:O1048576</xm:sqref>
        </x14:dataValidation>
        <x14:dataValidation type="list" allowBlank="1" showInputMessage="1" showErrorMessage="1" promptTitle="Transaction Status" prompt="To be Started, Ack - Pending, Ack - Received , Money Received back" xr:uid="{9F022DCC-05B4-4451-9A7F-F0EF789354AD}">
          <x14:formula1>
            <xm:f>Index!$B$38:$B$41</xm:f>
          </x14:formula1>
          <xm:sqref>M3</xm:sqref>
        </x14:dataValidation>
        <x14:dataValidation type="list" allowBlank="1" showInputMessage="1" showErrorMessage="1" xr:uid="{BA06B019-E457-4E3E-9FD3-8A0BD1EB9066}">
          <x14:formula1>
            <xm:f>Index!$B$44:$B$50</xm:f>
          </x14:formula1>
          <xm:sqref>Q4:Q59</xm:sqref>
        </x14:dataValidation>
        <x14:dataValidation type="list" allowBlank="1" showInputMessage="1" showErrorMessage="1" xr:uid="{FF7B9692-9119-4AE8-90AD-B05AE382E7E3}">
          <x14:formula1>
            <xm:f>Index!$B$53:$B$57</xm:f>
          </x14:formula1>
          <xm:sqref>R3:R59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67280-E2A7-4EF6-8484-0784DE22B19B}">
  <dimension ref="A1:I29"/>
  <sheetViews>
    <sheetView workbookViewId="0">
      <selection activeCell="F19" sqref="F19"/>
    </sheetView>
  </sheetViews>
  <sheetFormatPr defaultRowHeight="15" x14ac:dyDescent="0.25"/>
  <cols>
    <col min="1" max="1" width="26.140625" customWidth="1"/>
    <col min="4" max="5" width="9.140625" customWidth="1"/>
    <col min="6" max="6" width="17.85546875" customWidth="1"/>
  </cols>
  <sheetData>
    <row r="1" spans="1:9" x14ac:dyDescent="0.25">
      <c r="A1" s="135" t="s">
        <v>239</v>
      </c>
      <c r="B1" s="135"/>
      <c r="C1" s="135"/>
      <c r="D1" s="135"/>
      <c r="E1" s="135"/>
      <c r="F1" s="135"/>
      <c r="G1" s="135"/>
      <c r="H1" s="135"/>
      <c r="I1" s="135"/>
    </row>
    <row r="3" spans="1:9" x14ac:dyDescent="0.25">
      <c r="D3" s="135" t="s">
        <v>240</v>
      </c>
      <c r="E3" s="135"/>
      <c r="F3" s="135"/>
      <c r="G3" s="135"/>
    </row>
    <row r="5" spans="1:9" ht="45" x14ac:dyDescent="0.25">
      <c r="A5" t="s">
        <v>241</v>
      </c>
      <c r="B5" s="82" t="s">
        <v>242</v>
      </c>
      <c r="C5" s="82" t="s">
        <v>243</v>
      </c>
      <c r="D5" t="s">
        <v>30</v>
      </c>
      <c r="E5" t="s">
        <v>244</v>
      </c>
      <c r="F5" t="s">
        <v>418</v>
      </c>
    </row>
    <row r="6" spans="1:9" x14ac:dyDescent="0.25">
      <c r="A6" s="77" t="s">
        <v>20</v>
      </c>
      <c r="B6">
        <v>370</v>
      </c>
      <c r="C6">
        <v>200</v>
      </c>
      <c r="D6">
        <f>B6+C6</f>
        <v>570</v>
      </c>
      <c r="E6" s="83" t="str">
        <f>TEXT("4/4/2020","mmm-yy")</f>
        <v>Apr-20</v>
      </c>
    </row>
    <row r="7" spans="1:9" s="84" customFormat="1" x14ac:dyDescent="0.25">
      <c r="A7" s="108" t="s">
        <v>54</v>
      </c>
      <c r="C7" s="84">
        <v>100</v>
      </c>
      <c r="D7" s="84">
        <f>B7+C7</f>
        <v>100</v>
      </c>
      <c r="E7" s="83" t="str">
        <f>TEXT("4/4/2020","mmm-yy")</f>
        <v>Apr-20</v>
      </c>
      <c r="F7" s="84" t="s">
        <v>419</v>
      </c>
    </row>
    <row r="8" spans="1:9" x14ac:dyDescent="0.25">
      <c r="A8" t="s">
        <v>27</v>
      </c>
      <c r="B8">
        <v>325</v>
      </c>
      <c r="C8">
        <v>0</v>
      </c>
      <c r="D8" s="84">
        <f t="shared" ref="D8:D20" si="0">B8+C8</f>
        <v>325</v>
      </c>
      <c r="E8" s="83" t="str">
        <f>TEXT("4/18/2020","mmm-yy")</f>
        <v>Apr-20</v>
      </c>
    </row>
    <row r="9" spans="1:9" x14ac:dyDescent="0.25">
      <c r="A9" t="s">
        <v>247</v>
      </c>
      <c r="B9">
        <v>300</v>
      </c>
      <c r="C9">
        <v>0</v>
      </c>
      <c r="D9" s="84">
        <f t="shared" si="0"/>
        <v>300</v>
      </c>
      <c r="E9" s="83" t="str">
        <f>TEXT("4/18/2020","mmm-yy")</f>
        <v>Apr-20</v>
      </c>
    </row>
    <row r="10" spans="1:9" x14ac:dyDescent="0.25">
      <c r="A10" t="s">
        <v>20</v>
      </c>
      <c r="B10">
        <v>200</v>
      </c>
      <c r="C10">
        <v>0</v>
      </c>
      <c r="D10" s="84">
        <f t="shared" si="0"/>
        <v>200</v>
      </c>
      <c r="E10" s="83" t="str">
        <f>TEXT("4/18/2020","mmm-yy")</f>
        <v>Apr-20</v>
      </c>
    </row>
    <row r="11" spans="1:9" x14ac:dyDescent="0.25">
      <c r="A11" t="s">
        <v>248</v>
      </c>
      <c r="B11">
        <v>100</v>
      </c>
      <c r="C11">
        <v>0</v>
      </c>
      <c r="D11" s="84">
        <f t="shared" si="0"/>
        <v>100</v>
      </c>
      <c r="E11" s="83" t="str">
        <f>TEXT("4/18/2020","mmm-yy")</f>
        <v>Apr-20</v>
      </c>
    </row>
    <row r="12" spans="1:9" x14ac:dyDescent="0.25">
      <c r="A12" t="s">
        <v>20</v>
      </c>
      <c r="B12">
        <v>580</v>
      </c>
      <c r="C12">
        <v>225</v>
      </c>
      <c r="D12" s="84">
        <f t="shared" si="0"/>
        <v>805</v>
      </c>
      <c r="E12" s="83" t="str">
        <f>TEXT("4/19/2020","mmm-yy")</f>
        <v>Apr-20</v>
      </c>
    </row>
    <row r="13" spans="1:9" x14ac:dyDescent="0.25">
      <c r="A13" t="s">
        <v>20</v>
      </c>
      <c r="B13">
        <v>200</v>
      </c>
      <c r="C13">
        <v>0</v>
      </c>
      <c r="D13" s="84">
        <f t="shared" si="0"/>
        <v>200</v>
      </c>
      <c r="E13" s="83" t="str">
        <f>TEXT("4/19/2020","mmm-yy")</f>
        <v>Apr-20</v>
      </c>
    </row>
    <row r="14" spans="1:9" x14ac:dyDescent="0.25">
      <c r="A14" t="s">
        <v>379</v>
      </c>
      <c r="B14">
        <v>110</v>
      </c>
      <c r="C14">
        <v>0</v>
      </c>
      <c r="D14" s="84">
        <f t="shared" si="0"/>
        <v>110</v>
      </c>
      <c r="E14" s="83" t="str">
        <f>TEXT("4/19/2020","mmm-yy")</f>
        <v>Apr-20</v>
      </c>
    </row>
    <row r="15" spans="1:9" x14ac:dyDescent="0.25">
      <c r="A15" t="s">
        <v>27</v>
      </c>
      <c r="C15">
        <v>100</v>
      </c>
      <c r="D15" s="84">
        <f t="shared" si="0"/>
        <v>100</v>
      </c>
      <c r="E15" s="83" t="str">
        <f>TEXT("4/19/2020","mmm-yy")</f>
        <v>Apr-20</v>
      </c>
    </row>
    <row r="16" spans="1:9" x14ac:dyDescent="0.25">
      <c r="A16" t="s">
        <v>20</v>
      </c>
      <c r="C16">
        <v>100</v>
      </c>
      <c r="D16" s="84">
        <f t="shared" si="0"/>
        <v>100</v>
      </c>
      <c r="E16" s="83" t="str">
        <f>TEXT("4/21/2020","mmm-yy")</f>
        <v>Apr-20</v>
      </c>
    </row>
    <row r="17" spans="1:6" s="84" customFormat="1" x14ac:dyDescent="0.25">
      <c r="A17" s="84" t="s">
        <v>21</v>
      </c>
      <c r="C17" s="84">
        <v>50</v>
      </c>
      <c r="D17" s="84">
        <f t="shared" si="0"/>
        <v>50</v>
      </c>
      <c r="E17" s="83" t="str">
        <f>TEXT("4/26/2020","mmm-yy")</f>
        <v>Apr-20</v>
      </c>
    </row>
    <row r="18" spans="1:6" s="84" customFormat="1" x14ac:dyDescent="0.25">
      <c r="A18" s="84" t="s">
        <v>391</v>
      </c>
      <c r="C18" s="84">
        <v>50</v>
      </c>
      <c r="D18" s="84">
        <f t="shared" si="0"/>
        <v>50</v>
      </c>
      <c r="E18" s="83" t="str">
        <f>TEXT("4/26/2020","mmm-yy")</f>
        <v>Apr-20</v>
      </c>
      <c r="F18" s="84" t="s">
        <v>419</v>
      </c>
    </row>
    <row r="19" spans="1:6" s="84" customFormat="1" x14ac:dyDescent="0.25">
      <c r="A19" s="84" t="s">
        <v>21</v>
      </c>
      <c r="B19" s="84">
        <v>475</v>
      </c>
      <c r="C19" s="84">
        <v>150</v>
      </c>
      <c r="D19" s="84">
        <f t="shared" si="0"/>
        <v>625</v>
      </c>
      <c r="E19" s="83" t="str">
        <f>TEXT("5/1/2020","mmm-yy")</f>
        <v>May-20</v>
      </c>
    </row>
    <row r="20" spans="1:6" s="84" customFormat="1" x14ac:dyDescent="0.25">
      <c r="A20" s="84" t="s">
        <v>391</v>
      </c>
      <c r="B20" s="84">
        <v>350</v>
      </c>
      <c r="C20" s="84">
        <v>0</v>
      </c>
      <c r="D20" s="84">
        <f t="shared" si="0"/>
        <v>350</v>
      </c>
      <c r="E20" s="83" t="str">
        <f>TEXT("5/4/2020","mmm-yy")</f>
        <v>May-20</v>
      </c>
      <c r="F20" s="84" t="s">
        <v>419</v>
      </c>
    </row>
    <row r="21" spans="1:6" x14ac:dyDescent="0.25">
      <c r="A21" t="s">
        <v>383</v>
      </c>
      <c r="B21">
        <f>SUM(B6:B20)</f>
        <v>3010</v>
      </c>
      <c r="C21" s="84">
        <f>SUM(C6:C20)</f>
        <v>975</v>
      </c>
      <c r="D21" s="84">
        <f>SUM(D6:D20)</f>
        <v>3985</v>
      </c>
    </row>
    <row r="25" spans="1:6" x14ac:dyDescent="0.25">
      <c r="A25" t="s">
        <v>384</v>
      </c>
      <c r="B25">
        <f>SUMIF('Summary - Expenditures'!R:R,"Corona Virus ",'Summary - Expenditures'!E:E)</f>
        <v>3010</v>
      </c>
      <c r="C25">
        <f>SUMIF('Summary - Expenditures'!R:R,"Corona Virus ",'Summary - Expenditures'!F:F)</f>
        <v>975</v>
      </c>
    </row>
    <row r="26" spans="1:6" x14ac:dyDescent="0.25">
      <c r="A26" t="s">
        <v>385</v>
      </c>
      <c r="B26">
        <f>IF(B21-B25 &gt; 0, B21-B25, 0)</f>
        <v>0</v>
      </c>
      <c r="C26" s="84">
        <f>IF(C21-C25 &gt; 0, C21-C25, 0)</f>
        <v>0</v>
      </c>
    </row>
    <row r="29" spans="1:6" x14ac:dyDescent="0.25">
      <c r="C29" s="86"/>
    </row>
  </sheetData>
  <mergeCells count="2">
    <mergeCell ref="A1:I1"/>
    <mergeCell ref="D3:G3"/>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D6:G57"/>
  <sheetViews>
    <sheetView tabSelected="1" topLeftCell="A82" zoomScale="145" zoomScaleNormal="145" workbookViewId="0">
      <selection activeCell="K93" sqref="K93"/>
    </sheetView>
  </sheetViews>
  <sheetFormatPr defaultColWidth="8.85546875" defaultRowHeight="12.75" x14ac:dyDescent="0.2"/>
  <cols>
    <col min="1" max="3" width="8.85546875" style="2"/>
    <col min="4" max="4" width="41.7109375" style="2" customWidth="1"/>
    <col min="5" max="5" width="20.5703125" style="14" customWidth="1"/>
    <col min="6" max="6" width="19.85546875" style="2" customWidth="1"/>
    <col min="7" max="7" width="10.5703125" style="2" customWidth="1"/>
    <col min="8" max="8" width="8.85546875" style="2" customWidth="1"/>
    <col min="9" max="16384" width="8.85546875" style="2"/>
  </cols>
  <sheetData>
    <row r="6" spans="4:5" ht="51" customHeight="1" x14ac:dyDescent="0.2">
      <c r="D6" s="136" t="s">
        <v>96</v>
      </c>
      <c r="E6" s="137"/>
    </row>
    <row r="7" spans="4:5" ht="16.5" x14ac:dyDescent="0.25">
      <c r="D7" s="46" t="s">
        <v>63</v>
      </c>
      <c r="E7" s="47">
        <v>30</v>
      </c>
    </row>
    <row r="8" spans="4:5" ht="16.5" x14ac:dyDescent="0.25">
      <c r="D8" s="46" t="s">
        <v>64</v>
      </c>
      <c r="E8" s="48" t="s">
        <v>162</v>
      </c>
    </row>
    <row r="9" spans="4:5" ht="16.5" x14ac:dyDescent="0.25">
      <c r="D9" s="46" t="s">
        <v>129</v>
      </c>
      <c r="E9" s="47">
        <f>LOOKUP(2,1/('Summary - Expenditures'!B:B&lt;&gt;""),'Summary - Expenditures'!B:B)</f>
        <v>68</v>
      </c>
    </row>
    <row r="10" spans="4:5" ht="16.5" x14ac:dyDescent="0.25">
      <c r="D10" s="46" t="s">
        <v>180</v>
      </c>
      <c r="E10" s="47">
        <f ca="1">COUNTIF( 'Summary - Expenditures'!J:J,TEXT(TODAY(),"mmm-yy"))</f>
        <v>6</v>
      </c>
    </row>
    <row r="11" spans="4:5" ht="16.5" x14ac:dyDescent="0.25">
      <c r="D11" s="46" t="s">
        <v>181</v>
      </c>
      <c r="E11" s="48" t="str">
        <f ca="1">_xlfn.CONCAT("$ ",SUMIF('Summary - Expenditures'!J3:J1048576,TEXT(TODAY(),"mmm-yy"), 'Summary - Expenditures'!G3:G1048576) )</f>
        <v>$ 1389</v>
      </c>
    </row>
    <row r="12" spans="4:5" ht="16.5" x14ac:dyDescent="0.25">
      <c r="D12" s="46" t="s">
        <v>171</v>
      </c>
      <c r="E12" s="47" t="str">
        <f ca="1">_xlfn.CONCAT("$ ",'Summary - Month'!E19)</f>
        <v>$ 19219.73</v>
      </c>
    </row>
    <row r="13" spans="4:5" ht="16.5" x14ac:dyDescent="0.25">
      <c r="D13" s="46" t="s">
        <v>170</v>
      </c>
      <c r="E13" s="47" t="str">
        <f ca="1">_xlfn.CONCAT("$ ",'Summary - Month'!F19)</f>
        <v>$ 1545</v>
      </c>
    </row>
    <row r="14" spans="4:5" ht="16.5" x14ac:dyDescent="0.25">
      <c r="D14" s="46" t="s">
        <v>94</v>
      </c>
      <c r="E14" s="47" t="str">
        <f ca="1">_xlfn.CONCAT("$ ",'Summary - Month'!G19)</f>
        <v>$ 20764.73</v>
      </c>
    </row>
    <row r="15" spans="4:5" ht="16.5" x14ac:dyDescent="0.25">
      <c r="D15" s="46" t="s">
        <v>95</v>
      </c>
      <c r="E15" s="47" t="str">
        <f ca="1">_xlfn.CONCAT("$ ",'Summary - Month'!J19)</f>
        <v>$ 20098.73</v>
      </c>
    </row>
    <row r="16" spans="4:5" ht="16.5" x14ac:dyDescent="0.25">
      <c r="D16" s="46" t="s">
        <v>232</v>
      </c>
      <c r="E16" s="50" t="str">
        <f>_xlfn.CONCAT("$ ",SUM('Summary - Expenditures'!N3:N99))</f>
        <v>$ 249</v>
      </c>
    </row>
    <row r="17" spans="4:5" ht="16.5" x14ac:dyDescent="0.25">
      <c r="D17" s="46" t="s">
        <v>174</v>
      </c>
      <c r="E17" s="50" t="str">
        <f ca="1">_xlfn.CONCAT("$ ",('Summary - Month'!E19-'Summary - Month'!H19))</f>
        <v>$ 666</v>
      </c>
    </row>
    <row r="18" spans="4:5" ht="16.5" x14ac:dyDescent="0.25">
      <c r="D18" s="46" t="s">
        <v>173</v>
      </c>
      <c r="E18" s="50" t="str">
        <f ca="1">_xlfn.CONCAT("$ ",('Summary - Month'!F19-'Summary - Month'!I19))</f>
        <v>$ 0</v>
      </c>
    </row>
    <row r="19" spans="4:5" ht="16.5" x14ac:dyDescent="0.25">
      <c r="D19" s="49" t="s">
        <v>172</v>
      </c>
      <c r="E19" s="50" t="str">
        <f ca="1">_xlfn.CONCAT("$ ",'Summary - Month'!E20)</f>
        <v>$ 915</v>
      </c>
    </row>
    <row r="20" spans="4:5" x14ac:dyDescent="0.2">
      <c r="E20" s="2"/>
    </row>
    <row r="21" spans="4:5" x14ac:dyDescent="0.2">
      <c r="E21" s="2"/>
    </row>
    <row r="22" spans="4:5" x14ac:dyDescent="0.2">
      <c r="E22" s="2"/>
    </row>
    <row r="24" spans="4:5" s="85" customFormat="1" x14ac:dyDescent="0.2">
      <c r="E24" s="14"/>
    </row>
    <row r="25" spans="4:5" s="85" customFormat="1" x14ac:dyDescent="0.2">
      <c r="E25" s="14"/>
    </row>
    <row r="26" spans="4:5" s="85" customFormat="1" x14ac:dyDescent="0.2">
      <c r="E26" s="14"/>
    </row>
    <row r="27" spans="4:5" s="85" customFormat="1" x14ac:dyDescent="0.2">
      <c r="E27" s="14"/>
    </row>
    <row r="28" spans="4:5" s="85" customFormat="1" x14ac:dyDescent="0.2">
      <c r="E28" s="14"/>
    </row>
    <row r="29" spans="4:5" s="85" customFormat="1" x14ac:dyDescent="0.2">
      <c r="E29" s="14"/>
    </row>
    <row r="30" spans="4:5" s="85" customFormat="1" x14ac:dyDescent="0.2">
      <c r="E30" s="14"/>
    </row>
    <row r="31" spans="4:5" s="85" customFormat="1" x14ac:dyDescent="0.2">
      <c r="E31" s="14"/>
    </row>
    <row r="32" spans="4:5" s="85" customFormat="1" x14ac:dyDescent="0.2">
      <c r="E32" s="14"/>
    </row>
    <row r="33" spans="4:7" s="85" customFormat="1" x14ac:dyDescent="0.2">
      <c r="E33" s="14"/>
    </row>
    <row r="34" spans="4:7" s="85" customFormat="1" x14ac:dyDescent="0.2">
      <c r="E34" s="14"/>
    </row>
    <row r="35" spans="4:7" s="85" customFormat="1" x14ac:dyDescent="0.2">
      <c r="E35" s="14"/>
    </row>
    <row r="36" spans="4:7" s="85" customFormat="1" x14ac:dyDescent="0.2">
      <c r="E36" s="14"/>
    </row>
    <row r="37" spans="4:7" s="85" customFormat="1" x14ac:dyDescent="0.2">
      <c r="E37" s="14"/>
    </row>
    <row r="38" spans="4:7" s="85" customFormat="1" x14ac:dyDescent="0.2">
      <c r="E38" s="14"/>
    </row>
    <row r="39" spans="4:7" ht="18.75" customHeight="1" x14ac:dyDescent="0.2">
      <c r="D39" s="136" t="s">
        <v>417</v>
      </c>
      <c r="E39" s="136"/>
      <c r="F39" s="136"/>
    </row>
    <row r="40" spans="4:7" x14ac:dyDescent="0.2">
      <c r="D40" s="110" t="s">
        <v>421</v>
      </c>
      <c r="E40" s="110" t="s">
        <v>420</v>
      </c>
      <c r="F40" s="110" t="s">
        <v>37</v>
      </c>
      <c r="G40" s="2" t="s">
        <v>37</v>
      </c>
    </row>
    <row r="41" spans="4:7" x14ac:dyDescent="0.2">
      <c r="D41" s="111" t="s">
        <v>368</v>
      </c>
      <c r="E41" s="110">
        <f>3+COUNTIF( 'Summary - Expenditures'!Q:Q,"Medical ")</f>
        <v>18</v>
      </c>
      <c r="F41" s="110" t="str">
        <f>_xlfn.CONCAT("$ ",1803+SUMIF('Summary - Expenditures'!Q:Q,"Medical ",'Summary - Expenditures'!G:G))</f>
        <v>$ 6363</v>
      </c>
      <c r="G41" s="2">
        <f>1803+SUMIF('Summary - Expenditures'!Q:Q,"Medical ",'Summary - Expenditures'!G:G)</f>
        <v>6363</v>
      </c>
    </row>
    <row r="42" spans="4:7" x14ac:dyDescent="0.2">
      <c r="D42" s="111" t="s">
        <v>369</v>
      </c>
      <c r="E42" s="110">
        <f>2+COUNTIF( 'Summary - Expenditures'!Q:Q,"Basic needs")</f>
        <v>10</v>
      </c>
      <c r="F42" s="110" t="str">
        <f>_xlfn.CONCAT("$ ",569.34+SUMIF('Summary - Expenditures'!Q:Q,"Basic needs",'Summary - Expenditures'!G:G))</f>
        <v>$ 3539.34</v>
      </c>
      <c r="G42" s="2">
        <f>569.34+SUMIF('Summary - Expenditures'!Q:Q,"Basic needs",'Summary - Expenditures'!G:G)</f>
        <v>3539.34</v>
      </c>
    </row>
    <row r="43" spans="4:7" x14ac:dyDescent="0.2">
      <c r="D43" s="111" t="s">
        <v>370</v>
      </c>
      <c r="E43" s="110">
        <f>5+COUNTIF( 'Summary - Expenditures'!Q:Q,"Natural Disaster")</f>
        <v>23</v>
      </c>
      <c r="F43" s="110" t="str">
        <f>_xlfn.CONCAT("$ ",1747.39+SUMIF('Summary - Expenditures'!Q:Q,"Natural Disaster",'Summary - Expenditures'!G:G))</f>
        <v>$ 5805.39</v>
      </c>
      <c r="G43" s="2">
        <f>1747.39+SUMIF('Summary - Expenditures'!Q:Q,"Natural Disaster",'Summary - Expenditures'!G:G)</f>
        <v>5805.39</v>
      </c>
    </row>
    <row r="44" spans="4:7" x14ac:dyDescent="0.2">
      <c r="D44" s="111" t="s">
        <v>323</v>
      </c>
      <c r="E44" s="110">
        <f>1+COUNTIF( 'Summary - Expenditures'!Q:Q,"Education")</f>
        <v>9</v>
      </c>
      <c r="F44" s="110" t="str">
        <f>_xlfn.CONCAT("$ ",140+SUMIF('Summary - Expenditures'!Q:Q,"Education",'Summary - Expenditures'!G:G))</f>
        <v>$ 2256</v>
      </c>
      <c r="G44" s="2">
        <f>140+SUMIF('Summary - Expenditures'!Q:Q,"Education",'Summary - Expenditures'!G:G)</f>
        <v>2256</v>
      </c>
    </row>
    <row r="45" spans="4:7" x14ac:dyDescent="0.2">
      <c r="D45" s="111" t="s">
        <v>371</v>
      </c>
      <c r="E45" s="110">
        <f>COUNTIF( 'Summary - Expenditures'!Q:Q,"Marriage")</f>
        <v>2</v>
      </c>
      <c r="F45" s="110" t="str">
        <f>_xlfn.CONCAT("$ ",SUMIF('Summary - Expenditures'!Q:Q,"Marriage",'Summary - Expenditures'!G:G))</f>
        <v>$ 450</v>
      </c>
      <c r="G45" s="2">
        <f>SUMIF('Summary - Expenditures'!Q:Q,"Marriage",'Summary - Expenditures'!G:G)</f>
        <v>450</v>
      </c>
    </row>
    <row r="46" spans="4:7" x14ac:dyDescent="0.2">
      <c r="D46" s="111" t="s">
        <v>376</v>
      </c>
      <c r="E46" s="110">
        <f>COUNTIF( 'Summary - Expenditures'!Q:Q,"Masjid &amp; Madrasa help")</f>
        <v>4</v>
      </c>
      <c r="F46" s="110" t="str">
        <f>_xlfn.CONCAT("$ ",SUMIF('Summary - Expenditures'!Q:Q,"Masjid &amp; Madrasa help",'Summary - Expenditures'!G:G))</f>
        <v>$ 1200</v>
      </c>
      <c r="G46" s="2">
        <f>SUMIF('Summary - Expenditures'!Q:Q,"Masjid &amp; Madrasa help",'Summary - Expenditures'!G:G)</f>
        <v>1200</v>
      </c>
    </row>
    <row r="47" spans="4:7" x14ac:dyDescent="0.2">
      <c r="D47" s="111" t="s">
        <v>378</v>
      </c>
      <c r="E47" s="110">
        <f>1+COUNTIF( 'Summary - Expenditures'!Q:Q,"Employment aid ")</f>
        <v>2</v>
      </c>
      <c r="F47" s="110" t="str">
        <f>_xlfn.CONCAT("$ ",225+SUMIF('Summary - Expenditures'!Q:Q,"Employment aid ",'Summary - Expenditures'!G:G))</f>
        <v>$ 485</v>
      </c>
      <c r="G47" s="2">
        <f>225+SUMIF('Summary - Expenditures'!Q:Q,"Employment aid ",'Summary - Expenditures'!G:G)</f>
        <v>485</v>
      </c>
    </row>
    <row r="50" spans="4:7" x14ac:dyDescent="0.2">
      <c r="D50" s="110" t="s">
        <v>421</v>
      </c>
      <c r="E50" s="110" t="s">
        <v>420</v>
      </c>
      <c r="F50" s="110" t="s">
        <v>37</v>
      </c>
      <c r="G50" s="85" t="s">
        <v>37</v>
      </c>
    </row>
    <row r="51" spans="4:7" x14ac:dyDescent="0.2">
      <c r="D51" s="111" t="s">
        <v>368</v>
      </c>
      <c r="E51" s="110">
        <f>COUNTIF( 'Summary - Expenditures'!Q:Q,"Medical ")-4</f>
        <v>11</v>
      </c>
      <c r="F51" s="110" t="str">
        <f>_xlfn.CONCAT("$ ",1803+SUMIF('Summary - Expenditures'!Q:Q,"Medical ",'Summary - Expenditures'!G:G))</f>
        <v>$ 6363</v>
      </c>
      <c r="G51" s="85">
        <f>SUMIF('Summary - Expenditures'!Q:Q,"Medical ",'Summary - Expenditures'!G:G)-1785</f>
        <v>2775</v>
      </c>
    </row>
    <row r="52" spans="4:7" x14ac:dyDescent="0.2">
      <c r="D52" s="111" t="s">
        <v>369</v>
      </c>
      <c r="E52" s="110">
        <f>COUNTIF( 'Summary - Expenditures'!Q:Q,"Basic needs")-2</f>
        <v>6</v>
      </c>
      <c r="F52" s="110" t="str">
        <f>_xlfn.CONCAT("$ ",569.34+SUMIF('Summary - Expenditures'!Q:Q,"Basic needs",'Summary - Expenditures'!G:G))</f>
        <v>$ 3539.34</v>
      </c>
      <c r="G52" s="85">
        <f>SUMIF('Summary - Expenditures'!Q:Q,"Basic needs",'Summary - Expenditures'!G:G)-770</f>
        <v>2200</v>
      </c>
    </row>
    <row r="53" spans="4:7" x14ac:dyDescent="0.2">
      <c r="D53" s="111" t="s">
        <v>370</v>
      </c>
      <c r="E53" s="110">
        <f>COUNTIF( 'Summary - Expenditures'!Q:Q,"Natural Disaster")-1</f>
        <v>17</v>
      </c>
      <c r="F53" s="110" t="str">
        <f>_xlfn.CONCAT("$ ",1747.39+SUMIF('Summary - Expenditures'!Q:Q,"Natural Disaster",'Summary - Expenditures'!G:G))</f>
        <v>$ 5805.39</v>
      </c>
      <c r="G53" s="85">
        <f>SUMIF('Summary - Expenditures'!Q:Q,"Natural Disaster",'Summary - Expenditures'!G:G)-73</f>
        <v>3985</v>
      </c>
    </row>
    <row r="54" spans="4:7" x14ac:dyDescent="0.2">
      <c r="D54" s="111" t="s">
        <v>323</v>
      </c>
      <c r="E54" s="110">
        <f>COUNTIF( 'Summary - Expenditures'!Q:Q,"Education")-1</f>
        <v>7</v>
      </c>
      <c r="F54" s="110" t="str">
        <f>_xlfn.CONCAT("$ ",140+SUMIF('Summary - Expenditures'!Q:Q,"Education",'Summary - Expenditures'!G:G))</f>
        <v>$ 2256</v>
      </c>
      <c r="G54" s="85">
        <f>SUMIF('Summary - Expenditures'!Q:Q,"Education",'Summary - Expenditures'!G:G)-435</f>
        <v>1681</v>
      </c>
    </row>
    <row r="55" spans="4:7" x14ac:dyDescent="0.2">
      <c r="D55" s="111" t="s">
        <v>371</v>
      </c>
      <c r="E55" s="110">
        <f>COUNTIF( 'Summary - Expenditures'!Q:Q,"Marriage")</f>
        <v>2</v>
      </c>
      <c r="F55" s="110" t="str">
        <f>_xlfn.CONCAT("$ ",SUMIF('Summary - Expenditures'!Q:Q,"Marriage",'Summary - Expenditures'!G:G))</f>
        <v>$ 450</v>
      </c>
      <c r="G55" s="85">
        <f>SUMIF('Summary - Expenditures'!Q:Q,"Marriage",'Summary - Expenditures'!G:G)</f>
        <v>450</v>
      </c>
    </row>
    <row r="56" spans="4:7" x14ac:dyDescent="0.2">
      <c r="D56" s="111" t="s">
        <v>376</v>
      </c>
      <c r="E56" s="110">
        <f>COUNTIF( 'Summary - Expenditures'!Q:Q,"Masjid &amp; Madrasa help")</f>
        <v>4</v>
      </c>
      <c r="F56" s="110" t="str">
        <f>_xlfn.CONCAT("$ ",SUMIF('Summary - Expenditures'!Q:Q,"Masjid &amp; Madrasa help",'Summary - Expenditures'!G:G))</f>
        <v>$ 1200</v>
      </c>
      <c r="G56" s="85">
        <f>SUMIF('Summary - Expenditures'!Q:Q,"Masjid &amp; Madrasa help",'Summary - Expenditures'!G:G)</f>
        <v>1200</v>
      </c>
    </row>
    <row r="57" spans="4:7" x14ac:dyDescent="0.2">
      <c r="D57" s="111" t="s">
        <v>378</v>
      </c>
      <c r="E57" s="110">
        <f>COUNTIF( 'Summary - Expenditures'!Q:Q,"Employment aid ")</f>
        <v>1</v>
      </c>
      <c r="F57" s="110" t="str">
        <f>_xlfn.CONCAT("$ ",225+SUMIF('Summary - Expenditures'!Q:Q,"Employment aid ",'Summary - Expenditures'!G:G))</f>
        <v>$ 485</v>
      </c>
      <c r="G57" s="85">
        <f>SUMIF('Summary - Expenditures'!Q:Q,"Employment aid ",'Summary - Expenditures'!G:G)</f>
        <v>260</v>
      </c>
    </row>
  </sheetData>
  <mergeCells count="2">
    <mergeCell ref="D6:E6"/>
    <mergeCell ref="D39:F39"/>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D1:G21"/>
  <sheetViews>
    <sheetView workbookViewId="0">
      <selection activeCell="F32" sqref="F32"/>
    </sheetView>
  </sheetViews>
  <sheetFormatPr defaultRowHeight="15" x14ac:dyDescent="0.25"/>
  <cols>
    <col min="4" max="4" width="21.5703125" bestFit="1" customWidth="1"/>
    <col min="6" max="6" width="9.5703125" bestFit="1" customWidth="1"/>
  </cols>
  <sheetData>
    <row r="1" spans="4:7" ht="15.75" thickBot="1" x14ac:dyDescent="0.3"/>
    <row r="2" spans="4:7" x14ac:dyDescent="0.25">
      <c r="D2" s="138" t="s">
        <v>93</v>
      </c>
      <c r="E2" s="139"/>
      <c r="F2" s="139"/>
      <c r="G2" s="140"/>
    </row>
    <row r="3" spans="4:7" ht="15.75" thickBot="1" x14ac:dyDescent="0.3">
      <c r="D3" s="141"/>
      <c r="E3" s="142"/>
      <c r="F3" s="142"/>
      <c r="G3" s="143"/>
    </row>
    <row r="10" spans="4:7" x14ac:dyDescent="0.25">
      <c r="D10" s="51" t="s">
        <v>97</v>
      </c>
      <c r="E10" s="51" t="s">
        <v>98</v>
      </c>
      <c r="F10" s="52">
        <v>5796</v>
      </c>
    </row>
    <row r="11" spans="4:7" x14ac:dyDescent="0.25">
      <c r="D11" s="51" t="s">
        <v>99</v>
      </c>
      <c r="E11" s="51" t="s">
        <v>100</v>
      </c>
      <c r="F11" s="52">
        <v>4259.7299999999996</v>
      </c>
    </row>
    <row r="12" spans="4:7" x14ac:dyDescent="0.25">
      <c r="D12" s="51" t="s">
        <v>131</v>
      </c>
      <c r="E12" s="51"/>
      <c r="F12" s="52">
        <v>0.73</v>
      </c>
    </row>
    <row r="13" spans="4:7" x14ac:dyDescent="0.25">
      <c r="D13" s="144" t="s">
        <v>101</v>
      </c>
      <c r="E13" s="144"/>
      <c r="F13" s="53">
        <f>F10-F11+F12</f>
        <v>1537.0000000000005</v>
      </c>
    </row>
    <row r="14" spans="4:7" x14ac:dyDescent="0.25">
      <c r="D14" s="145" t="s">
        <v>102</v>
      </c>
      <c r="E14" s="145"/>
      <c r="F14" s="145"/>
    </row>
    <row r="18" spans="4:6" x14ac:dyDescent="0.25">
      <c r="D18">
        <v>5</v>
      </c>
      <c r="E18">
        <v>1</v>
      </c>
      <c r="F18">
        <f>D18*E18</f>
        <v>5</v>
      </c>
    </row>
    <row r="19" spans="4:6" x14ac:dyDescent="0.25">
      <c r="D19">
        <v>10</v>
      </c>
      <c r="E19">
        <v>4</v>
      </c>
      <c r="F19">
        <f>D19*E19</f>
        <v>40</v>
      </c>
    </row>
    <row r="20" spans="4:6" x14ac:dyDescent="0.25">
      <c r="D20">
        <v>20</v>
      </c>
      <c r="E20">
        <v>34</v>
      </c>
      <c r="F20">
        <f>D20*E20</f>
        <v>680</v>
      </c>
    </row>
    <row r="21" spans="4:6" x14ac:dyDescent="0.25">
      <c r="E21" t="s">
        <v>116</v>
      </c>
      <c r="F21">
        <f>F18+F19+F20</f>
        <v>725</v>
      </c>
    </row>
  </sheetData>
  <mergeCells count="3">
    <mergeCell ref="D2:G3"/>
    <mergeCell ref="D13:E13"/>
    <mergeCell ref="D14:F14"/>
  </mergeCells>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drawing r:id="rId2"/>
  <legacyDrawing r:id="rId3"/>
  <oleObjects>
    <mc:AlternateContent xmlns:mc="http://schemas.openxmlformats.org/markup-compatibility/2006">
      <mc:Choice Requires="x14">
        <oleObject progId="Worksheet" dvAspect="DVASPECT_ICON" shapeId="9217" r:id="rId4">
          <objectPr defaultSize="0" autoPict="0" r:id="rId5">
            <anchor moveWithCells="1">
              <from>
                <xdr:col>3</xdr:col>
                <xdr:colOff>1428750</xdr:colOff>
                <xdr:row>3</xdr:row>
                <xdr:rowOff>9525</xdr:rowOff>
              </from>
              <to>
                <xdr:col>4</xdr:col>
                <xdr:colOff>600075</xdr:colOff>
                <xdr:row>9</xdr:row>
                <xdr:rowOff>0</xdr:rowOff>
              </to>
            </anchor>
          </objectPr>
        </oleObject>
      </mc:Choice>
      <mc:Fallback>
        <oleObject progId="Worksheet" dvAspect="DVASPECT_ICON" shapeId="9217" r:id="rId4"/>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07994-3F8E-4D17-8A45-16EF4246FA96}">
  <dimension ref="A1:AC14"/>
  <sheetViews>
    <sheetView workbookViewId="0"/>
  </sheetViews>
  <sheetFormatPr defaultRowHeight="15" x14ac:dyDescent="0.25"/>
  <cols>
    <col min="1" max="1" width="20.7109375" customWidth="1"/>
    <col min="2" max="2" width="16.140625" customWidth="1"/>
    <col min="3" max="3" width="18.28515625" customWidth="1"/>
    <col min="4" max="4" width="25.85546875" customWidth="1"/>
    <col min="5" max="5" width="20.42578125" customWidth="1"/>
    <col min="6" max="6" width="26.28515625" customWidth="1"/>
    <col min="7" max="7" width="36.5703125" customWidth="1"/>
    <col min="8" max="8" width="45.28515625" customWidth="1"/>
    <col min="9" max="9" width="36" customWidth="1"/>
    <col min="10" max="10" width="25.7109375" customWidth="1"/>
    <col min="11" max="11" width="15.42578125" customWidth="1"/>
    <col min="12" max="12" width="21" customWidth="1"/>
    <col min="13" max="13" width="21.42578125" customWidth="1"/>
    <col min="14" max="14" width="42" customWidth="1"/>
    <col min="15" max="15" width="35.28515625" customWidth="1"/>
    <col min="16" max="16" width="33.42578125" customWidth="1"/>
    <col min="17" max="17" width="25.28515625" customWidth="1"/>
    <col min="18" max="18" width="28.7109375" customWidth="1"/>
    <col min="19" max="19" width="36" customWidth="1"/>
    <col min="20" max="20" width="25" customWidth="1"/>
    <col min="21" max="21" width="27.42578125" customWidth="1"/>
    <col min="22" max="22" width="26.28515625" customWidth="1"/>
    <col min="23" max="23" width="25" customWidth="1"/>
    <col min="24" max="24" width="34.85546875" customWidth="1"/>
    <col min="25" max="25" width="25.140625" customWidth="1"/>
    <col min="26" max="26" width="22.7109375" customWidth="1"/>
    <col min="27" max="27" width="44" customWidth="1"/>
    <col min="28" max="28" width="37" customWidth="1"/>
    <col min="29" max="29" width="24.5703125" customWidth="1"/>
  </cols>
  <sheetData>
    <row r="1" spans="1:29" ht="15.75" x14ac:dyDescent="0.25">
      <c r="A1" s="95" t="s">
        <v>249</v>
      </c>
      <c r="B1" s="95" t="s">
        <v>250</v>
      </c>
      <c r="C1" s="95" t="s">
        <v>251</v>
      </c>
      <c r="D1" s="95" t="s">
        <v>252</v>
      </c>
      <c r="E1" s="95" t="s">
        <v>253</v>
      </c>
      <c r="F1" s="95" t="s">
        <v>254</v>
      </c>
      <c r="G1" s="96" t="s">
        <v>255</v>
      </c>
      <c r="H1" s="95" t="s">
        <v>256</v>
      </c>
      <c r="I1" s="95" t="s">
        <v>257</v>
      </c>
      <c r="J1" s="95" t="s">
        <v>255</v>
      </c>
      <c r="K1" s="95" t="s">
        <v>258</v>
      </c>
      <c r="L1" s="95" t="s">
        <v>259</v>
      </c>
      <c r="M1" s="95" t="s">
        <v>260</v>
      </c>
      <c r="N1" s="95" t="s">
        <v>261</v>
      </c>
      <c r="O1" s="95" t="s">
        <v>262</v>
      </c>
      <c r="P1" s="95" t="s">
        <v>263</v>
      </c>
      <c r="Q1" s="95" t="s">
        <v>264</v>
      </c>
      <c r="R1" s="95" t="s">
        <v>265</v>
      </c>
      <c r="S1" s="95" t="s">
        <v>266</v>
      </c>
      <c r="T1" s="95" t="s">
        <v>267</v>
      </c>
      <c r="U1" s="95" t="s">
        <v>268</v>
      </c>
      <c r="V1" s="95" t="s">
        <v>269</v>
      </c>
      <c r="W1" s="95" t="s">
        <v>270</v>
      </c>
      <c r="X1" s="95" t="s">
        <v>271</v>
      </c>
      <c r="Y1" s="95" t="s">
        <v>272</v>
      </c>
      <c r="Z1" s="95" t="s">
        <v>273</v>
      </c>
      <c r="AA1" s="95" t="s">
        <v>274</v>
      </c>
      <c r="AB1" s="95" t="s">
        <v>275</v>
      </c>
      <c r="AC1" s="97" t="s">
        <v>276</v>
      </c>
    </row>
    <row r="2" spans="1:29" ht="315" x14ac:dyDescent="0.25">
      <c r="A2" s="98">
        <v>1</v>
      </c>
      <c r="B2" s="98" t="s">
        <v>277</v>
      </c>
      <c r="C2" s="99" t="s">
        <v>278</v>
      </c>
      <c r="D2" s="100" t="s">
        <v>24</v>
      </c>
      <c r="E2" s="98" t="s">
        <v>279</v>
      </c>
      <c r="F2" s="98" t="s">
        <v>280</v>
      </c>
      <c r="G2" s="101" t="s">
        <v>281</v>
      </c>
      <c r="H2" s="98" t="s">
        <v>282</v>
      </c>
      <c r="I2" s="98" t="s">
        <v>283</v>
      </c>
      <c r="J2" s="102" t="s">
        <v>284</v>
      </c>
      <c r="K2" s="98">
        <v>35</v>
      </c>
      <c r="L2" s="98" t="s">
        <v>285</v>
      </c>
      <c r="M2" s="99" t="s">
        <v>286</v>
      </c>
      <c r="N2" s="98" t="s">
        <v>287</v>
      </c>
      <c r="O2" s="98" t="s">
        <v>288</v>
      </c>
      <c r="P2" s="98" t="s">
        <v>289</v>
      </c>
      <c r="Q2" s="98" t="s">
        <v>288</v>
      </c>
      <c r="R2" s="99" t="s">
        <v>290</v>
      </c>
      <c r="S2" s="99" t="s">
        <v>291</v>
      </c>
      <c r="T2" s="99" t="s">
        <v>292</v>
      </c>
      <c r="U2" s="99" t="s">
        <v>293</v>
      </c>
      <c r="V2" s="98" t="s">
        <v>294</v>
      </c>
      <c r="W2" s="99" t="s">
        <v>295</v>
      </c>
      <c r="X2" s="98" t="s">
        <v>296</v>
      </c>
      <c r="Y2" s="98">
        <v>1</v>
      </c>
      <c r="Z2" s="98" t="s">
        <v>297</v>
      </c>
      <c r="AA2" s="98" t="s">
        <v>298</v>
      </c>
      <c r="AB2" s="98" t="s">
        <v>299</v>
      </c>
      <c r="AC2" s="91" t="s">
        <v>300</v>
      </c>
    </row>
    <row r="3" spans="1:29" ht="15.75" x14ac:dyDescent="0.25">
      <c r="A3" s="98">
        <v>2</v>
      </c>
      <c r="B3" s="98" t="s">
        <v>277</v>
      </c>
      <c r="C3" s="99" t="s">
        <v>301</v>
      </c>
      <c r="D3" s="100" t="s">
        <v>27</v>
      </c>
      <c r="E3" s="98" t="s">
        <v>279</v>
      </c>
      <c r="F3" s="98" t="s">
        <v>288</v>
      </c>
      <c r="G3" s="101" t="s">
        <v>288</v>
      </c>
      <c r="H3" s="98" t="s">
        <v>288</v>
      </c>
      <c r="I3" s="98" t="s">
        <v>288</v>
      </c>
      <c r="J3" s="102" t="s">
        <v>288</v>
      </c>
      <c r="K3" s="98" t="s">
        <v>288</v>
      </c>
      <c r="L3" s="98" t="s">
        <v>288</v>
      </c>
      <c r="M3" s="99" t="s">
        <v>288</v>
      </c>
      <c r="N3" s="98" t="s">
        <v>288</v>
      </c>
      <c r="O3" s="98" t="s">
        <v>288</v>
      </c>
      <c r="P3" s="98" t="s">
        <v>288</v>
      </c>
      <c r="Q3" s="98" t="s">
        <v>288</v>
      </c>
      <c r="R3" s="98" t="s">
        <v>288</v>
      </c>
      <c r="S3" s="98" t="s">
        <v>288</v>
      </c>
      <c r="T3" s="98" t="s">
        <v>288</v>
      </c>
      <c r="U3" s="98" t="s">
        <v>288</v>
      </c>
      <c r="V3" s="98" t="s">
        <v>294</v>
      </c>
      <c r="W3" s="103" t="s">
        <v>288</v>
      </c>
      <c r="X3" s="98" t="s">
        <v>302</v>
      </c>
      <c r="Y3" s="98">
        <v>2</v>
      </c>
      <c r="Z3" s="98" t="s">
        <v>297</v>
      </c>
      <c r="AA3" s="98" t="s">
        <v>298</v>
      </c>
      <c r="AB3" s="98" t="s">
        <v>299</v>
      </c>
      <c r="AC3" s="97" t="s">
        <v>303</v>
      </c>
    </row>
    <row r="4" spans="1:29" ht="15.75" x14ac:dyDescent="0.25">
      <c r="A4" s="95" t="s">
        <v>249</v>
      </c>
      <c r="B4" s="95" t="s">
        <v>250</v>
      </c>
      <c r="C4" s="95" t="s">
        <v>251</v>
      </c>
      <c r="D4" s="95" t="s">
        <v>252</v>
      </c>
      <c r="E4" s="95" t="s">
        <v>253</v>
      </c>
      <c r="F4" s="95" t="s">
        <v>254</v>
      </c>
      <c r="G4" s="96" t="s">
        <v>255</v>
      </c>
      <c r="H4" s="95" t="s">
        <v>256</v>
      </c>
      <c r="I4" s="95" t="s">
        <v>257</v>
      </c>
      <c r="J4" s="95" t="s">
        <v>255</v>
      </c>
      <c r="K4" s="95" t="s">
        <v>258</v>
      </c>
      <c r="L4" s="95" t="s">
        <v>259</v>
      </c>
      <c r="M4" s="95" t="s">
        <v>260</v>
      </c>
      <c r="N4" s="95" t="s">
        <v>261</v>
      </c>
      <c r="O4" s="95" t="s">
        <v>262</v>
      </c>
      <c r="P4" s="95" t="s">
        <v>263</v>
      </c>
      <c r="Q4" s="95" t="s">
        <v>264</v>
      </c>
      <c r="R4" s="95" t="s">
        <v>265</v>
      </c>
      <c r="S4" s="95" t="s">
        <v>266</v>
      </c>
      <c r="T4" s="95" t="s">
        <v>267</v>
      </c>
      <c r="U4" s="95" t="s">
        <v>268</v>
      </c>
      <c r="V4" s="95" t="s">
        <v>269</v>
      </c>
      <c r="W4" s="95" t="s">
        <v>270</v>
      </c>
      <c r="X4" s="95" t="s">
        <v>271</v>
      </c>
      <c r="Y4" s="95" t="s">
        <v>272</v>
      </c>
      <c r="Z4" s="95" t="s">
        <v>273</v>
      </c>
      <c r="AA4" s="95" t="s">
        <v>274</v>
      </c>
      <c r="AB4" s="95" t="s">
        <v>275</v>
      </c>
      <c r="AC4" s="84"/>
    </row>
    <row r="5" spans="1:29" ht="299.25" x14ac:dyDescent="0.25">
      <c r="A5" s="98">
        <v>1</v>
      </c>
      <c r="B5" s="98" t="s">
        <v>304</v>
      </c>
      <c r="C5" s="99" t="s">
        <v>305</v>
      </c>
      <c r="D5" s="100" t="s">
        <v>306</v>
      </c>
      <c r="E5" s="98" t="s">
        <v>307</v>
      </c>
      <c r="F5" s="98" t="s">
        <v>307</v>
      </c>
      <c r="G5" s="101" t="s">
        <v>308</v>
      </c>
      <c r="H5" s="98" t="s">
        <v>309</v>
      </c>
      <c r="I5" s="98" t="s">
        <v>310</v>
      </c>
      <c r="J5" s="102" t="s">
        <v>311</v>
      </c>
      <c r="K5" s="98">
        <v>52</v>
      </c>
      <c r="L5" s="98" t="s">
        <v>312</v>
      </c>
      <c r="M5" s="99" t="s">
        <v>313</v>
      </c>
      <c r="N5" s="98" t="s">
        <v>314</v>
      </c>
      <c r="O5" s="98" t="s">
        <v>288</v>
      </c>
      <c r="P5" s="98" t="s">
        <v>314</v>
      </c>
      <c r="Q5" s="98" t="s">
        <v>288</v>
      </c>
      <c r="R5" s="99" t="s">
        <v>315</v>
      </c>
      <c r="S5" s="99" t="s">
        <v>316</v>
      </c>
      <c r="T5" s="99" t="s">
        <v>317</v>
      </c>
      <c r="U5" s="99" t="s">
        <v>318</v>
      </c>
      <c r="V5" s="98" t="s">
        <v>294</v>
      </c>
      <c r="W5" s="99" t="s">
        <v>319</v>
      </c>
      <c r="X5" s="98" t="s">
        <v>296</v>
      </c>
      <c r="Y5" s="98">
        <v>1</v>
      </c>
      <c r="Z5" s="98" t="s">
        <v>297</v>
      </c>
      <c r="AA5" s="98" t="s">
        <v>298</v>
      </c>
      <c r="AB5" s="98" t="s">
        <v>299</v>
      </c>
      <c r="AC5" s="97" t="s">
        <v>320</v>
      </c>
    </row>
    <row r="6" spans="1:29" ht="299.25" x14ac:dyDescent="0.25">
      <c r="A6" s="98">
        <v>2</v>
      </c>
      <c r="B6" s="98" t="s">
        <v>304</v>
      </c>
      <c r="C6" s="99" t="s">
        <v>321</v>
      </c>
      <c r="D6" s="100" t="s">
        <v>306</v>
      </c>
      <c r="E6" s="98" t="s">
        <v>307</v>
      </c>
      <c r="F6" s="98" t="s">
        <v>307</v>
      </c>
      <c r="G6" s="101" t="s">
        <v>308</v>
      </c>
      <c r="H6" s="98" t="s">
        <v>309</v>
      </c>
      <c r="I6" s="98" t="s">
        <v>310</v>
      </c>
      <c r="J6" s="102" t="s">
        <v>311</v>
      </c>
      <c r="K6" s="98">
        <v>52</v>
      </c>
      <c r="L6" s="98" t="s">
        <v>312</v>
      </c>
      <c r="M6" s="99" t="s">
        <v>313</v>
      </c>
      <c r="N6" s="98" t="s">
        <v>314</v>
      </c>
      <c r="O6" s="98" t="s">
        <v>288</v>
      </c>
      <c r="P6" s="98" t="s">
        <v>314</v>
      </c>
      <c r="Q6" s="98" t="s">
        <v>288</v>
      </c>
      <c r="R6" s="99" t="s">
        <v>315</v>
      </c>
      <c r="S6" s="99" t="s">
        <v>316</v>
      </c>
      <c r="T6" s="99" t="s">
        <v>317</v>
      </c>
      <c r="U6" s="99" t="s">
        <v>318</v>
      </c>
      <c r="V6" s="98" t="s">
        <v>294</v>
      </c>
      <c r="W6" s="99" t="s">
        <v>319</v>
      </c>
      <c r="X6" s="98" t="s">
        <v>322</v>
      </c>
      <c r="Y6" s="98">
        <v>1</v>
      </c>
      <c r="Z6" s="98" t="s">
        <v>297</v>
      </c>
      <c r="AA6" s="98" t="s">
        <v>298</v>
      </c>
      <c r="AB6" s="98" t="s">
        <v>299</v>
      </c>
      <c r="AC6" s="97" t="s">
        <v>323</v>
      </c>
    </row>
    <row r="7" spans="1:29" ht="15.75" x14ac:dyDescent="0.25">
      <c r="A7" s="98">
        <v>3</v>
      </c>
      <c r="B7" s="98" t="s">
        <v>304</v>
      </c>
      <c r="C7" s="99" t="s">
        <v>301</v>
      </c>
      <c r="D7" s="100" t="s">
        <v>306</v>
      </c>
      <c r="E7" s="98" t="s">
        <v>279</v>
      </c>
      <c r="F7" s="98" t="s">
        <v>288</v>
      </c>
      <c r="G7" s="101" t="s">
        <v>288</v>
      </c>
      <c r="H7" s="98" t="s">
        <v>288</v>
      </c>
      <c r="I7" s="98" t="s">
        <v>288</v>
      </c>
      <c r="J7" s="102" t="s">
        <v>288</v>
      </c>
      <c r="K7" s="98" t="s">
        <v>288</v>
      </c>
      <c r="L7" s="98" t="s">
        <v>288</v>
      </c>
      <c r="M7" s="99" t="s">
        <v>288</v>
      </c>
      <c r="N7" s="98" t="s">
        <v>288</v>
      </c>
      <c r="O7" s="98" t="s">
        <v>288</v>
      </c>
      <c r="P7" s="98" t="s">
        <v>288</v>
      </c>
      <c r="Q7" s="98" t="s">
        <v>288</v>
      </c>
      <c r="R7" s="98" t="s">
        <v>288</v>
      </c>
      <c r="S7" s="98" t="s">
        <v>288</v>
      </c>
      <c r="T7" s="98" t="s">
        <v>288</v>
      </c>
      <c r="U7" s="98" t="s">
        <v>288</v>
      </c>
      <c r="V7" s="98" t="s">
        <v>294</v>
      </c>
      <c r="W7" s="103" t="s">
        <v>288</v>
      </c>
      <c r="X7" s="98" t="s">
        <v>324</v>
      </c>
      <c r="Y7" s="98">
        <v>2</v>
      </c>
      <c r="Z7" s="98" t="s">
        <v>297</v>
      </c>
      <c r="AA7" s="98" t="s">
        <v>298</v>
      </c>
      <c r="AB7" s="98" t="s">
        <v>299</v>
      </c>
      <c r="AC7" s="97" t="s">
        <v>303</v>
      </c>
    </row>
    <row r="8" spans="1:29" ht="15.75" x14ac:dyDescent="0.25">
      <c r="A8" s="95" t="s">
        <v>249</v>
      </c>
      <c r="B8" s="95" t="s">
        <v>250</v>
      </c>
      <c r="C8" s="95" t="s">
        <v>251</v>
      </c>
      <c r="D8" s="95" t="s">
        <v>252</v>
      </c>
      <c r="E8" s="95" t="s">
        <v>253</v>
      </c>
      <c r="F8" s="95" t="s">
        <v>254</v>
      </c>
      <c r="G8" s="96" t="s">
        <v>255</v>
      </c>
      <c r="H8" s="95" t="s">
        <v>256</v>
      </c>
      <c r="I8" s="95" t="s">
        <v>257</v>
      </c>
      <c r="J8" s="95" t="s">
        <v>255</v>
      </c>
      <c r="K8" s="95" t="s">
        <v>258</v>
      </c>
      <c r="L8" s="95" t="s">
        <v>259</v>
      </c>
      <c r="M8" s="95" t="s">
        <v>260</v>
      </c>
      <c r="N8" s="95" t="s">
        <v>261</v>
      </c>
      <c r="O8" s="95" t="s">
        <v>262</v>
      </c>
      <c r="P8" s="95" t="s">
        <v>263</v>
      </c>
      <c r="Q8" s="95" t="s">
        <v>264</v>
      </c>
      <c r="R8" s="95" t="s">
        <v>265</v>
      </c>
      <c r="S8" s="95" t="s">
        <v>266</v>
      </c>
      <c r="T8" s="95" t="s">
        <v>267</v>
      </c>
      <c r="U8" s="95" t="s">
        <v>268</v>
      </c>
      <c r="V8" s="95" t="s">
        <v>269</v>
      </c>
      <c r="W8" s="95" t="s">
        <v>270</v>
      </c>
      <c r="X8" s="95" t="s">
        <v>271</v>
      </c>
      <c r="Y8" s="95" t="s">
        <v>272</v>
      </c>
      <c r="Z8" s="95" t="s">
        <v>273</v>
      </c>
      <c r="AA8" s="95" t="s">
        <v>274</v>
      </c>
      <c r="AB8" s="95" t="s">
        <v>275</v>
      </c>
      <c r="AC8" s="84"/>
    </row>
    <row r="9" spans="1:29" ht="15.75" x14ac:dyDescent="0.25">
      <c r="A9" s="98">
        <v>1</v>
      </c>
      <c r="B9" s="98" t="s">
        <v>325</v>
      </c>
      <c r="C9" s="99" t="s">
        <v>326</v>
      </c>
      <c r="D9" s="100" t="s">
        <v>27</v>
      </c>
      <c r="E9" s="98" t="s">
        <v>279</v>
      </c>
      <c r="F9" s="98" t="s">
        <v>288</v>
      </c>
      <c r="G9" s="101" t="s">
        <v>288</v>
      </c>
      <c r="H9" s="98" t="s">
        <v>288</v>
      </c>
      <c r="I9" s="98" t="s">
        <v>288</v>
      </c>
      <c r="J9" s="102" t="s">
        <v>288</v>
      </c>
      <c r="K9" s="98" t="s">
        <v>288</v>
      </c>
      <c r="L9" s="98" t="s">
        <v>288</v>
      </c>
      <c r="M9" s="99" t="s">
        <v>288</v>
      </c>
      <c r="N9" s="98" t="s">
        <v>288</v>
      </c>
      <c r="O9" s="98" t="s">
        <v>288</v>
      </c>
      <c r="P9" s="98" t="s">
        <v>288</v>
      </c>
      <c r="Q9" s="98" t="s">
        <v>288</v>
      </c>
      <c r="R9" s="98" t="s">
        <v>288</v>
      </c>
      <c r="S9" s="98" t="s">
        <v>288</v>
      </c>
      <c r="T9" s="98" t="s">
        <v>288</v>
      </c>
      <c r="U9" s="98" t="s">
        <v>288</v>
      </c>
      <c r="V9" s="98" t="s">
        <v>294</v>
      </c>
      <c r="W9" s="103" t="s">
        <v>288</v>
      </c>
      <c r="X9" s="98" t="s">
        <v>327</v>
      </c>
      <c r="Y9" s="98">
        <v>2</v>
      </c>
      <c r="Z9" s="98" t="s">
        <v>297</v>
      </c>
      <c r="AA9" s="98" t="s">
        <v>298</v>
      </c>
      <c r="AB9" s="98" t="s">
        <v>299</v>
      </c>
      <c r="AC9" s="97" t="s">
        <v>303</v>
      </c>
    </row>
    <row r="10" spans="1:29" ht="15.75" x14ac:dyDescent="0.25">
      <c r="A10" s="95" t="s">
        <v>249</v>
      </c>
      <c r="B10" s="95" t="s">
        <v>250</v>
      </c>
      <c r="C10" s="95" t="s">
        <v>251</v>
      </c>
      <c r="D10" s="95" t="s">
        <v>252</v>
      </c>
      <c r="E10" s="95" t="s">
        <v>253</v>
      </c>
      <c r="F10" s="95" t="s">
        <v>254</v>
      </c>
      <c r="G10" s="96" t="s">
        <v>255</v>
      </c>
      <c r="H10" s="95" t="s">
        <v>256</v>
      </c>
      <c r="I10" s="95" t="s">
        <v>257</v>
      </c>
      <c r="J10" s="95" t="s">
        <v>255</v>
      </c>
      <c r="K10" s="95" t="s">
        <v>258</v>
      </c>
      <c r="L10" s="95" t="s">
        <v>259</v>
      </c>
      <c r="M10" s="95" t="s">
        <v>260</v>
      </c>
      <c r="N10" s="95" t="s">
        <v>261</v>
      </c>
      <c r="O10" s="95" t="s">
        <v>262</v>
      </c>
      <c r="P10" s="95" t="s">
        <v>263</v>
      </c>
      <c r="Q10" s="95" t="s">
        <v>264</v>
      </c>
      <c r="R10" s="95" t="s">
        <v>265</v>
      </c>
      <c r="S10" s="95" t="s">
        <v>266</v>
      </c>
      <c r="T10" s="95" t="s">
        <v>267</v>
      </c>
      <c r="U10" s="95" t="s">
        <v>268</v>
      </c>
      <c r="V10" s="95" t="s">
        <v>269</v>
      </c>
      <c r="W10" s="95" t="s">
        <v>270</v>
      </c>
      <c r="X10" s="95" t="s">
        <v>271</v>
      </c>
      <c r="Y10" s="95" t="s">
        <v>272</v>
      </c>
      <c r="Z10" s="95" t="s">
        <v>273</v>
      </c>
      <c r="AA10" s="95" t="s">
        <v>274</v>
      </c>
      <c r="AB10" s="95" t="s">
        <v>275</v>
      </c>
      <c r="AC10" s="84"/>
    </row>
    <row r="11" spans="1:29" ht="409.5" x14ac:dyDescent="0.25">
      <c r="A11" s="98">
        <v>1</v>
      </c>
      <c r="B11" s="98" t="s">
        <v>328</v>
      </c>
      <c r="C11" s="99" t="s">
        <v>329</v>
      </c>
      <c r="D11" s="100" t="s">
        <v>330</v>
      </c>
      <c r="E11" s="98" t="s">
        <v>331</v>
      </c>
      <c r="F11" s="98" t="s">
        <v>332</v>
      </c>
      <c r="G11" s="101" t="s">
        <v>333</v>
      </c>
      <c r="H11" s="98" t="s">
        <v>334</v>
      </c>
      <c r="I11" s="98" t="s">
        <v>335</v>
      </c>
      <c r="J11" s="102" t="s">
        <v>288</v>
      </c>
      <c r="K11" s="98">
        <v>35</v>
      </c>
      <c r="L11" s="98" t="s">
        <v>336</v>
      </c>
      <c r="M11" s="99" t="s">
        <v>337</v>
      </c>
      <c r="N11" s="98" t="s">
        <v>86</v>
      </c>
      <c r="O11" s="98" t="s">
        <v>86</v>
      </c>
      <c r="P11" s="98" t="s">
        <v>338</v>
      </c>
      <c r="Q11" s="98" t="s">
        <v>339</v>
      </c>
      <c r="R11" s="99" t="s">
        <v>340</v>
      </c>
      <c r="S11" s="99" t="s">
        <v>341</v>
      </c>
      <c r="T11" s="99" t="s">
        <v>342</v>
      </c>
      <c r="U11" s="99" t="s">
        <v>343</v>
      </c>
      <c r="V11" s="98" t="s">
        <v>344</v>
      </c>
      <c r="W11" s="99" t="s">
        <v>345</v>
      </c>
      <c r="X11" s="98" t="s">
        <v>346</v>
      </c>
      <c r="Y11" s="98">
        <v>1</v>
      </c>
      <c r="Z11" s="98" t="s">
        <v>297</v>
      </c>
      <c r="AA11" s="98" t="s">
        <v>298</v>
      </c>
      <c r="AB11" s="98" t="s">
        <v>299</v>
      </c>
      <c r="AC11" s="97" t="s">
        <v>300</v>
      </c>
    </row>
    <row r="12" spans="1:29" ht="15.75" x14ac:dyDescent="0.25">
      <c r="A12" s="98">
        <v>2</v>
      </c>
      <c r="B12" s="98" t="s">
        <v>328</v>
      </c>
      <c r="C12" s="99" t="s">
        <v>347</v>
      </c>
      <c r="D12" s="100" t="s">
        <v>65</v>
      </c>
      <c r="E12" s="98" t="s">
        <v>348</v>
      </c>
      <c r="F12" s="98" t="s">
        <v>349</v>
      </c>
      <c r="G12" s="101" t="s">
        <v>350</v>
      </c>
      <c r="H12" s="98" t="s">
        <v>351</v>
      </c>
      <c r="I12" s="99" t="s">
        <v>347</v>
      </c>
      <c r="J12" s="101" t="s">
        <v>350</v>
      </c>
      <c r="K12" s="98">
        <v>31</v>
      </c>
      <c r="L12" s="98" t="s">
        <v>65</v>
      </c>
      <c r="M12" s="98" t="s">
        <v>86</v>
      </c>
      <c r="N12" s="98" t="s">
        <v>86</v>
      </c>
      <c r="O12" s="98" t="s">
        <v>86</v>
      </c>
      <c r="P12" s="98" t="s">
        <v>86</v>
      </c>
      <c r="Q12" s="98" t="s">
        <v>86</v>
      </c>
      <c r="R12" s="98" t="s">
        <v>86</v>
      </c>
      <c r="S12" s="98" t="s">
        <v>86</v>
      </c>
      <c r="T12" s="98" t="s">
        <v>86</v>
      </c>
      <c r="U12" s="99" t="s">
        <v>352</v>
      </c>
      <c r="V12" s="98" t="s">
        <v>294</v>
      </c>
      <c r="W12" s="99" t="s">
        <v>353</v>
      </c>
      <c r="X12" s="98" t="s">
        <v>324</v>
      </c>
      <c r="Y12" s="98">
        <v>2</v>
      </c>
      <c r="Z12" s="98" t="s">
        <v>297</v>
      </c>
      <c r="AA12" s="98" t="s">
        <v>298</v>
      </c>
      <c r="AB12" s="98" t="s">
        <v>299</v>
      </c>
      <c r="AC12" s="97" t="s">
        <v>303</v>
      </c>
    </row>
    <row r="13" spans="1:29" ht="63" x14ac:dyDescent="0.25">
      <c r="A13" s="98">
        <v>3</v>
      </c>
      <c r="B13" s="98" t="s">
        <v>328</v>
      </c>
      <c r="C13" s="99" t="s">
        <v>320</v>
      </c>
      <c r="D13" s="100" t="s">
        <v>53</v>
      </c>
      <c r="E13" s="98" t="s">
        <v>354</v>
      </c>
      <c r="F13" s="98" t="s">
        <v>355</v>
      </c>
      <c r="G13" s="101" t="s">
        <v>356</v>
      </c>
      <c r="H13" s="98" t="s">
        <v>334</v>
      </c>
      <c r="I13" s="99" t="s">
        <v>357</v>
      </c>
      <c r="J13" s="101" t="s">
        <v>358</v>
      </c>
      <c r="K13" s="98">
        <v>32</v>
      </c>
      <c r="L13" s="98" t="s">
        <v>53</v>
      </c>
      <c r="M13" s="99" t="s">
        <v>359</v>
      </c>
      <c r="N13" s="99" t="s">
        <v>359</v>
      </c>
      <c r="O13" s="99" t="s">
        <v>359</v>
      </c>
      <c r="P13" s="99" t="s">
        <v>359</v>
      </c>
      <c r="Q13" s="99" t="s">
        <v>359</v>
      </c>
      <c r="R13" s="99" t="s">
        <v>359</v>
      </c>
      <c r="S13" s="99" t="s">
        <v>359</v>
      </c>
      <c r="T13" s="99" t="s">
        <v>360</v>
      </c>
      <c r="U13" s="99" t="s">
        <v>361</v>
      </c>
      <c r="V13" s="98" t="s">
        <v>294</v>
      </c>
      <c r="W13" s="99" t="s">
        <v>362</v>
      </c>
      <c r="X13" s="98" t="s">
        <v>363</v>
      </c>
      <c r="Y13" s="98">
        <v>3</v>
      </c>
      <c r="Z13" s="98" t="s">
        <v>297</v>
      </c>
      <c r="AA13" s="98" t="s">
        <v>298</v>
      </c>
      <c r="AB13" s="98" t="s">
        <v>299</v>
      </c>
      <c r="AC13" s="97" t="s">
        <v>320</v>
      </c>
    </row>
    <row r="14" spans="1:29" ht="15.75" x14ac:dyDescent="0.25">
      <c r="A14" s="98">
        <v>4</v>
      </c>
      <c r="B14" s="98" t="s">
        <v>328</v>
      </c>
      <c r="C14" s="99" t="s">
        <v>347</v>
      </c>
      <c r="D14" s="104" t="s">
        <v>364</v>
      </c>
      <c r="E14" s="98" t="s">
        <v>279</v>
      </c>
      <c r="F14" s="98" t="s">
        <v>288</v>
      </c>
      <c r="G14" s="101" t="s">
        <v>288</v>
      </c>
      <c r="H14" s="98" t="s">
        <v>288</v>
      </c>
      <c r="I14" s="98" t="s">
        <v>288</v>
      </c>
      <c r="J14" s="102" t="s">
        <v>288</v>
      </c>
      <c r="K14" s="98" t="s">
        <v>288</v>
      </c>
      <c r="L14" s="98" t="s">
        <v>288</v>
      </c>
      <c r="M14" s="99" t="s">
        <v>288</v>
      </c>
      <c r="N14" s="98" t="s">
        <v>288</v>
      </c>
      <c r="O14" s="98" t="s">
        <v>288</v>
      </c>
      <c r="P14" s="98" t="s">
        <v>288</v>
      </c>
      <c r="Q14" s="98" t="s">
        <v>288</v>
      </c>
      <c r="R14" s="98" t="s">
        <v>288</v>
      </c>
      <c r="S14" s="98" t="s">
        <v>288</v>
      </c>
      <c r="T14" s="98" t="s">
        <v>288</v>
      </c>
      <c r="U14" s="98" t="s">
        <v>288</v>
      </c>
      <c r="V14" s="98" t="s">
        <v>294</v>
      </c>
      <c r="W14" s="103" t="s">
        <v>288</v>
      </c>
      <c r="X14" s="98" t="s">
        <v>365</v>
      </c>
      <c r="Y14" s="98">
        <v>2</v>
      </c>
      <c r="Z14" s="98" t="s">
        <v>297</v>
      </c>
      <c r="AA14" s="98" t="s">
        <v>298</v>
      </c>
      <c r="AB14" s="98" t="s">
        <v>299</v>
      </c>
      <c r="AC14" s="97" t="s">
        <v>303</v>
      </c>
    </row>
  </sheetData>
  <pageMargins left="0.7" right="0.7" top="0.75" bottom="0.75" header="0.3" footer="0.3"/>
  <pageSetup orientation="portrait" r:id="rId1"/>
  <headerFooter>
    <oddFooter xml:space="preserve">&amp;LUnrestricted </oddFooter>
    <evenFooter xml:space="preserve">&amp;LUnrestricted </evenFooter>
    <firstFooter xml:space="preserve">&amp;LUnrestricted </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e Z 6 N U J a p 7 C a o A A A A + A A A A B I A H A B D b 2 5 m a W c v U G F j a 2 F n Z S 5 4 b W w g o h g A K K A U A A A A A A A A A A A A A A A A A A A A A A A A A A A A h Y 9 N D o I w G E S v Q r q n L R h + Q j 7 K w q 0 k J k T j t q k V G q E Y W i x 3 c + G R v I I k i r p z O Z M 3 y Z v H 7 Q 7 F 1 L X e V Q 5 G 9 T p H A a b I k 1 r 0 R 6 X r H I 3 2 5 K e o Y L D l 4 s x r 6 c 2 w N t l k V I 4 a a y 8 Z I c 4 5 7 F a 4 H 2 o S U h q Q Q 7 m p R C M 7 7 i t t L N d C o s / q + H + F G O x f M i z E S Y y j O E l x l A Z A l h p K p b 9 I O B t j C u S n h P X Y 2 n G Q T G p / V w F Z I p D 3 C / Y E U E s D B B Q A A g A I A H m e j V 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n o 1 Q K I p H u A 4 A A A A R A A A A E w A c A E Z v c m 1 1 b G F z L 1 N l Y 3 R p b 2 4 x L m 0 g o h g A K K A U A A A A A A A A A A A A A A A A A A A A A A A A A A A A K 0 5 N L s n M z 1 M I h t C G 1 g B Q S w E C L Q A U A A I A C A B 5 n o 1 Q l q n s J q g A A A D 4 A A A A E g A A A A A A A A A A A A A A A A A A A A A A Q 2 9 u Z m l n L 1 B h Y 2 t h Z 2 U u e G 1 s U E s B A i 0 A F A A C A A g A e Z 6 N U A / K 6 a u k A A A A 6 Q A A A B M A A A A A A A A A A A A A A A A A 9 A A A A F t D b 2 5 0 Z W 5 0 X 1 R 5 c G V z X S 5 4 b W x Q S w E C L Q A U A A I A C A B 5 n o 1 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v b N u P V 0 p P U i B h v w U W g C C 5 w A A A A A C A A A A A A A D Z g A A w A A A A B A A A A A T m 1 h w 8 i k Y f g C 1 7 j K 0 V N Z V A A A A A A S A A A C g A A A A E A A A A B U T B K Z 6 5 V Q C 6 y 3 N R l h x r 0 p Q A A A A J G T 1 s 9 o p x Z J 7 K F 8 i r V U c a p t N t + s 0 b A y 8 s x M y B y L h C C v L 5 f 8 r v g e y k F m Z W k c J n 3 B U t h 5 + 3 2 y d 9 h / I P 8 F F / J S y H K t A J l i g D p W r 3 R W k O H r c 1 6 s U A A A A K x + J 1 u z U p A G C t 0 S 9 g 7 4 A Z w l a D 2 4 = < / D a t a M a s h u p > 
</file>

<file path=customXml/itemProps1.xml><?xml version="1.0" encoding="utf-8"?>
<ds:datastoreItem xmlns:ds="http://schemas.openxmlformats.org/officeDocument/2006/customXml" ds:itemID="{47ED23B5-ACDC-4701-909A-72A8EDCDD8A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Index</vt:lpstr>
      <vt:lpstr>Contributors</vt:lpstr>
      <vt:lpstr>Summary - Person</vt:lpstr>
      <vt:lpstr>Summary - Month</vt:lpstr>
      <vt:lpstr>Summary - Expenditures</vt:lpstr>
      <vt:lpstr>Natural Disaster fund</vt:lpstr>
      <vt:lpstr>Summary - Overall</vt:lpstr>
      <vt:lpstr>Archive (Old Data)</vt:lpstr>
      <vt:lpstr>Archive Requests</vt:lpstr>
      <vt:lpstr>Formulas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Kaleem, Mohammed Rafi</dc:creator>
  <cp:keywords>C_Unrestricted</cp:keywords>
  <cp:lastModifiedBy>Kannan, Sriram (RC-US SI DG SW&amp;C EN-GC GC)</cp:lastModifiedBy>
  <dcterms:created xsi:type="dcterms:W3CDTF">2019-01-26T19:36:56Z</dcterms:created>
  <dcterms:modified xsi:type="dcterms:W3CDTF">2020-05-31T19:22:24Z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Unrestricted</vt:lpwstr>
  </property>
  <property fmtid="{D5CDD505-2E9C-101B-9397-08002B2CF9AE}" pid="3" name="sodocoClasLang">
    <vt:lpwstr>Unrestricted</vt:lpwstr>
  </property>
  <property fmtid="{D5CDD505-2E9C-101B-9397-08002B2CF9AE}" pid="4" name="sodocoClasLangId">
    <vt:i4>0</vt:i4>
  </property>
  <property fmtid="{D5CDD505-2E9C-101B-9397-08002B2CF9AE}" pid="5" name="sodocoClasId">
    <vt:i4>0</vt:i4>
  </property>
</Properties>
</file>