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vacmfgathens-my.sharepoint.com/personal/mpatterson_hvacmfg_com/Documents/Desktop/"/>
    </mc:Choice>
  </mc:AlternateContent>
  <xr:revisionPtr revIDLastSave="17" documentId="8_{4734077E-B48F-4EA8-89FB-FA62DFB62396}" xr6:coauthVersionLast="47" xr6:coauthVersionMax="47" xr10:uidLastSave="{7B97061C-A516-4A08-A5E6-8E0B5F9FD202}"/>
  <bookViews>
    <workbookView xWindow="-120" yWindow="-120" windowWidth="29040" windowHeight="15720" firstSheet="1" activeTab="1" xr2:uid="{05933F90-EC7D-42DF-8F9E-36CB5637E630}"/>
  </bookViews>
  <sheets>
    <sheet name="Order_Summary" sheetId="12" state="hidden" r:id="rId1"/>
    <sheet name="Coil Calculator" sheetId="10" r:id="rId2"/>
    <sheet name="Notes &amp; Tables" sheetId="8" state="hidden" r:id="rId3"/>
    <sheet name="Sheet1" sheetId="1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2" l="1"/>
  <c r="O5" i="10" l="1"/>
  <c r="B1" i="10" s="1"/>
  <c r="D17" i="12"/>
  <c r="D18" i="12" a="1"/>
  <c r="D18" i="12" s="1"/>
  <c r="F18" i="12" s="1"/>
  <c r="D50" i="12"/>
  <c r="D49" i="12"/>
  <c r="D51" i="12"/>
  <c r="D53" i="12"/>
  <c r="D52" i="12"/>
  <c r="D54" i="12"/>
  <c r="D55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I41" i="8"/>
  <c r="D13" i="12" l="1"/>
  <c r="G11" i="8"/>
  <c r="H11" i="8"/>
  <c r="H9" i="8"/>
  <c r="H10" i="8"/>
  <c r="H12" i="8"/>
  <c r="G10" i="8"/>
  <c r="G12" i="8"/>
  <c r="G9" i="8"/>
  <c r="H8" i="8"/>
  <c r="G8" i="8"/>
  <c r="D14" i="12" l="1"/>
  <c r="F14" i="12" s="1"/>
  <c r="B48" i="8"/>
  <c r="B45" i="8"/>
  <c r="C46" i="8"/>
  <c r="B47" i="8"/>
  <c r="B46" i="8"/>
  <c r="C48" i="8"/>
  <c r="C45" i="8"/>
  <c r="C49" i="8"/>
  <c r="B49" i="8"/>
  <c r="C47" i="8"/>
  <c r="F52" i="12" l="1"/>
  <c r="F51" i="12"/>
  <c r="F48" i="12"/>
  <c r="F50" i="12"/>
  <c r="F49" i="12"/>
  <c r="F54" i="12"/>
  <c r="F47" i="12"/>
  <c r="F46" i="12"/>
  <c r="F45" i="12"/>
  <c r="F44" i="12"/>
  <c r="F43" i="12"/>
  <c r="F41" i="12"/>
  <c r="F42" i="12"/>
  <c r="F40" i="12"/>
  <c r="F39" i="12"/>
  <c r="F38" i="12"/>
  <c r="F37" i="12"/>
  <c r="F36" i="12"/>
  <c r="F17" i="12"/>
  <c r="F16" i="12"/>
  <c r="F55" i="12"/>
  <c r="F53" i="12"/>
  <c r="D15" i="12" l="1"/>
  <c r="D10" i="12"/>
  <c r="F10" i="12" s="1"/>
  <c r="D9" i="12"/>
  <c r="F9" i="12" s="1"/>
  <c r="D12" i="12"/>
  <c r="F12" i="12" s="1"/>
  <c r="F13" i="12"/>
  <c r="D11" i="12"/>
  <c r="F11" i="12" s="1"/>
  <c r="F15" i="12" l="1"/>
  <c r="D19" i="12" l="1" a="1"/>
  <c r="D19" i="12" s="1"/>
  <c r="F19" i="12" s="1"/>
  <c r="D20" i="12" a="1"/>
  <c r="D20" i="12" s="1"/>
  <c r="F20" i="12" s="1"/>
  <c r="D32" i="12"/>
  <c r="F32" i="12" s="1"/>
  <c r="D31" i="12"/>
  <c r="F31" i="12" s="1"/>
  <c r="D23" i="12" l="1"/>
  <c r="F23" i="12" s="1"/>
  <c r="D26" i="12"/>
  <c r="F26" i="12" s="1"/>
  <c r="D28" i="12"/>
  <c r="F28" i="12" s="1"/>
  <c r="D35" i="12"/>
  <c r="F35" i="12" s="1"/>
  <c r="D34" i="12"/>
  <c r="F34" i="12" s="1"/>
  <c r="D33" i="12"/>
  <c r="F33" i="12" s="1"/>
  <c r="D29" i="12"/>
  <c r="F29" i="12" s="1"/>
  <c r="D27" i="12"/>
  <c r="F27" i="12" s="1"/>
  <c r="D25" i="12"/>
  <c r="F25" i="12" s="1"/>
  <c r="D30" i="12"/>
  <c r="F30" i="12" s="1"/>
  <c r="D24" i="12"/>
  <c r="F24" i="12" s="1"/>
  <c r="D22" i="12"/>
  <c r="F22" i="12" s="1"/>
  <c r="D21" i="12"/>
  <c r="F21" i="12" s="1"/>
  <c r="D8" i="12"/>
  <c r="F8" i="12" s="1"/>
  <c r="D7" i="12"/>
  <c r="F7" i="12" s="1"/>
  <c r="D6" i="12"/>
  <c r="F6" i="12" s="1"/>
  <c r="D5" i="12"/>
  <c r="F5" i="12" s="1"/>
  <c r="D4" i="12"/>
  <c r="F4" i="12" s="1"/>
  <c r="T4" i="10"/>
  <c r="V2" i="10"/>
  <c r="T2" i="10"/>
  <c r="T3" i="10" s="1"/>
  <c r="T5" i="10" l="1"/>
  <c r="T7" i="10"/>
  <c r="T8" i="10" s="1"/>
  <c r="O7" i="10"/>
  <c r="O8" i="10" s="1"/>
  <c r="O3" i="10"/>
  <c r="B5" i="10"/>
  <c r="H13" i="10" l="1"/>
  <c r="H15" i="10"/>
  <c r="H23" i="10"/>
  <c r="H31" i="10"/>
  <c r="H39" i="10"/>
  <c r="H47" i="10"/>
  <c r="H55" i="10"/>
  <c r="H24" i="10"/>
  <c r="H40" i="10"/>
  <c r="H48" i="10"/>
  <c r="H26" i="10"/>
  <c r="H42" i="10"/>
  <c r="H19" i="10"/>
  <c r="H35" i="10"/>
  <c r="H20" i="10"/>
  <c r="H36" i="10"/>
  <c r="H29" i="10"/>
  <c r="H53" i="10"/>
  <c r="H30" i="10"/>
  <c r="H54" i="10"/>
  <c r="H16" i="10"/>
  <c r="H32" i="10"/>
  <c r="H50" i="10"/>
  <c r="H27" i="10"/>
  <c r="H43" i="10"/>
  <c r="H12" i="10"/>
  <c r="H52" i="10"/>
  <c r="H37" i="10"/>
  <c r="H22" i="10"/>
  <c r="H46" i="10"/>
  <c r="H17" i="10"/>
  <c r="H25" i="10"/>
  <c r="H33" i="10"/>
  <c r="H41" i="10"/>
  <c r="H49" i="10"/>
  <c r="H18" i="10"/>
  <c r="H34" i="10"/>
  <c r="H51" i="10"/>
  <c r="H28" i="10"/>
  <c r="H44" i="10"/>
  <c r="H21" i="10"/>
  <c r="H45" i="10"/>
  <c r="H14" i="10"/>
  <c r="H38" i="10"/>
  <c r="H11" i="10"/>
  <c r="B6" i="10"/>
  <c r="M29" i="10" l="1"/>
  <c r="M31" i="10"/>
  <c r="M51" i="10"/>
  <c r="M48" i="10"/>
  <c r="M13" i="10"/>
  <c r="M43" i="10"/>
  <c r="M23" i="10"/>
  <c r="M44" i="10"/>
  <c r="M12" i="10"/>
  <c r="M49" i="10"/>
  <c r="M26" i="10"/>
  <c r="M45" i="10"/>
  <c r="M41" i="10"/>
  <c r="M35" i="10"/>
  <c r="M46" i="10"/>
  <c r="M11" i="10"/>
  <c r="B9" i="10"/>
  <c r="M18" i="10"/>
  <c r="M39" i="10"/>
  <c r="M30" i="10"/>
  <c r="M28" i="10"/>
  <c r="M14" i="10"/>
  <c r="M19" i="10"/>
  <c r="M42" i="10"/>
  <c r="M16" i="10"/>
  <c r="M33" i="10"/>
  <c r="M34" i="10"/>
  <c r="M32" i="10"/>
  <c r="M25" i="10"/>
  <c r="M55" i="10"/>
  <c r="M53" i="10"/>
  <c r="M36" i="10"/>
  <c r="I17" i="10"/>
  <c r="J17" i="10"/>
  <c r="K17" i="10" s="1"/>
  <c r="L17" i="10" s="1"/>
  <c r="I40" i="10"/>
  <c r="J40" i="10"/>
  <c r="K40" i="10" s="1"/>
  <c r="L40" i="10" s="1"/>
  <c r="J21" i="10"/>
  <c r="K21" i="10" s="1"/>
  <c r="L21" i="10" s="1"/>
  <c r="I21" i="10"/>
  <c r="I54" i="10"/>
  <c r="J54" i="10"/>
  <c r="K54" i="10" s="1"/>
  <c r="L54" i="10" s="1"/>
  <c r="I15" i="10"/>
  <c r="J15" i="10"/>
  <c r="K15" i="10" s="1"/>
  <c r="L15" i="10" s="1"/>
  <c r="I47" i="10"/>
  <c r="J47" i="10"/>
  <c r="K47" i="10" s="1"/>
  <c r="L47" i="10" s="1"/>
  <c r="M21" i="10"/>
  <c r="I48" i="10"/>
  <c r="J48" i="10"/>
  <c r="K48" i="10" s="1"/>
  <c r="L48" i="10" s="1"/>
  <c r="I38" i="10"/>
  <c r="J38" i="10"/>
  <c r="K38" i="10" s="1"/>
  <c r="L38" i="10" s="1"/>
  <c r="I52" i="10"/>
  <c r="J52" i="10"/>
  <c r="K52" i="10" s="1"/>
  <c r="L52" i="10" s="1"/>
  <c r="J23" i="10"/>
  <c r="K23" i="10" s="1"/>
  <c r="L23" i="10" s="1"/>
  <c r="I23" i="10"/>
  <c r="I44" i="10"/>
  <c r="J44" i="10"/>
  <c r="K44" i="10" s="1"/>
  <c r="L44" i="10" s="1"/>
  <c r="I24" i="10"/>
  <c r="J24" i="10"/>
  <c r="K24" i="10" s="1"/>
  <c r="L24" i="10" s="1"/>
  <c r="I36" i="10"/>
  <c r="J36" i="10"/>
  <c r="K36" i="10" s="1"/>
  <c r="L36" i="10" s="1"/>
  <c r="M24" i="10"/>
  <c r="M17" i="10"/>
  <c r="I31" i="10"/>
  <c r="J31" i="10"/>
  <c r="K31" i="10" s="1"/>
  <c r="L31" i="10" s="1"/>
  <c r="I51" i="10"/>
  <c r="J51" i="10"/>
  <c r="K51" i="10" s="1"/>
  <c r="L51" i="10" s="1"/>
  <c r="M54" i="10"/>
  <c r="M47" i="10"/>
  <c r="M52" i="10"/>
  <c r="J41" i="10"/>
  <c r="K41" i="10" s="1"/>
  <c r="L41" i="10" s="1"/>
  <c r="I41" i="10"/>
  <c r="I35" i="10"/>
  <c r="J35" i="10"/>
  <c r="K35" i="10" s="1"/>
  <c r="L35" i="10" s="1"/>
  <c r="J29" i="10"/>
  <c r="K29" i="10" s="1"/>
  <c r="L29" i="10" s="1"/>
  <c r="I29" i="10"/>
  <c r="I46" i="10"/>
  <c r="J46" i="10"/>
  <c r="K46" i="10" s="1"/>
  <c r="L46" i="10" s="1"/>
  <c r="J11" i="10"/>
  <c r="K11" i="10" s="1"/>
  <c r="L11" i="10" s="1"/>
  <c r="I11" i="10"/>
  <c r="J53" i="10"/>
  <c r="K53" i="10" s="1"/>
  <c r="L53" i="10" s="1"/>
  <c r="I53" i="10"/>
  <c r="I27" i="10"/>
  <c r="J27" i="10"/>
  <c r="K27" i="10" s="1"/>
  <c r="L27" i="10" s="1"/>
  <c r="J39" i="10"/>
  <c r="K39" i="10" s="1"/>
  <c r="L39" i="10" s="1"/>
  <c r="I39" i="10"/>
  <c r="I50" i="10"/>
  <c r="J50" i="10"/>
  <c r="K50" i="10" s="1"/>
  <c r="L50" i="10" s="1"/>
  <c r="I30" i="10"/>
  <c r="J30" i="10"/>
  <c r="K30" i="10" s="1"/>
  <c r="L30" i="10" s="1"/>
  <c r="I42" i="10"/>
  <c r="J42" i="10"/>
  <c r="K42" i="10" s="1"/>
  <c r="L42" i="10" s="1"/>
  <c r="J26" i="10"/>
  <c r="K26" i="10" s="1"/>
  <c r="L26" i="10" s="1"/>
  <c r="I26" i="10"/>
  <c r="I20" i="10"/>
  <c r="J20" i="10"/>
  <c r="K20" i="10" s="1"/>
  <c r="L20" i="10" s="1"/>
  <c r="M20" i="10"/>
  <c r="M50" i="10"/>
  <c r="I33" i="10"/>
  <c r="J33" i="10"/>
  <c r="K33" i="10" s="1"/>
  <c r="L33" i="10" s="1"/>
  <c r="J18" i="10"/>
  <c r="K18" i="10" s="1"/>
  <c r="L18" i="10" s="1"/>
  <c r="I18" i="10"/>
  <c r="J49" i="10"/>
  <c r="K49" i="10" s="1"/>
  <c r="L49" i="10" s="1"/>
  <c r="I49" i="10"/>
  <c r="J34" i="10"/>
  <c r="K34" i="10" s="1"/>
  <c r="L34" i="10" s="1"/>
  <c r="I34" i="10"/>
  <c r="J14" i="10"/>
  <c r="K14" i="10" s="1"/>
  <c r="L14" i="10" s="1"/>
  <c r="I14" i="10"/>
  <c r="I13" i="10"/>
  <c r="J13" i="10"/>
  <c r="K13" i="10" s="1"/>
  <c r="L13" i="10" s="1"/>
  <c r="M40" i="10"/>
  <c r="J37" i="10"/>
  <c r="K37" i="10" s="1"/>
  <c r="L37" i="10" s="1"/>
  <c r="I37" i="10"/>
  <c r="I28" i="10"/>
  <c r="J28" i="10"/>
  <c r="K28" i="10" s="1"/>
  <c r="L28" i="10" s="1"/>
  <c r="M15" i="10"/>
  <c r="I12" i="10"/>
  <c r="J12" i="10"/>
  <c r="K12" i="10" s="1"/>
  <c r="L12" i="10" s="1"/>
  <c r="I19" i="10"/>
  <c r="J19" i="10"/>
  <c r="K19" i="10" s="1"/>
  <c r="L19" i="10" s="1"/>
  <c r="J22" i="10"/>
  <c r="K22" i="10" s="1"/>
  <c r="L22" i="10" s="1"/>
  <c r="I22" i="10"/>
  <c r="M37" i="10"/>
  <c r="M38" i="10"/>
  <c r="M22" i="10"/>
  <c r="M27" i="10"/>
  <c r="I25" i="10"/>
  <c r="J25" i="10"/>
  <c r="K25" i="10" s="1"/>
  <c r="L25" i="10" s="1"/>
  <c r="I32" i="10"/>
  <c r="J32" i="10"/>
  <c r="K32" i="10" s="1"/>
  <c r="L32" i="10" s="1"/>
  <c r="I16" i="10"/>
  <c r="J16" i="10"/>
  <c r="K16" i="10" s="1"/>
  <c r="L16" i="10" s="1"/>
  <c r="J55" i="10"/>
  <c r="K55" i="10" s="1"/>
  <c r="L55" i="10" s="1"/>
  <c r="I55" i="10"/>
  <c r="J45" i="10"/>
  <c r="K45" i="10" s="1"/>
  <c r="L45" i="10" s="1"/>
  <c r="I45" i="10"/>
  <c r="J43" i="10"/>
  <c r="K43" i="10" s="1"/>
  <c r="L43" i="10" s="1"/>
  <c r="I4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<sst xmlns="http://schemas.openxmlformats.org/spreadsheetml/2006/main" count="691" uniqueCount="312">
  <si>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LINE</t>
  </si>
  <si>
    <t>TAG #</t>
  </si>
  <si>
    <t>SIZE</t>
  </si>
  <si>
    <t>COIL HANDING</t>
  </si>
  <si>
    <t>HEATING TYPE</t>
  </si>
  <si>
    <t>VOLTAGE</t>
  </si>
  <si>
    <t>ELECTRIC STAGING</t>
  </si>
  <si>
    <t>kW</t>
  </si>
  <si>
    <t>LOCATION</t>
  </si>
  <si>
    <t>Part Number</t>
  </si>
  <si>
    <t xml:space="preserve">Summary </t>
  </si>
  <si>
    <t xml:space="preserve">Items </t>
  </si>
  <si>
    <t>Size</t>
  </si>
  <si>
    <t>Unit</t>
  </si>
  <si>
    <t xml:space="preserve">Description </t>
  </si>
  <si>
    <t>Line wire</t>
  </si>
  <si>
    <t>12 AWG-Black</t>
  </si>
  <si>
    <t>ft.</t>
  </si>
  <si>
    <t xml:space="preserve">Must have THHN insulation </t>
  </si>
  <si>
    <t>18 AWG-Red</t>
  </si>
  <si>
    <t>Nichrome wire</t>
  </si>
  <si>
    <t>20 AWG</t>
  </si>
  <si>
    <t>22 AWG</t>
  </si>
  <si>
    <t>Ceramics</t>
  </si>
  <si>
    <t>-</t>
  </si>
  <si>
    <t>#</t>
  </si>
  <si>
    <t>Ceramic/Porcelain Insulator Bushing Spacers (infraredheaters.com)</t>
  </si>
  <si>
    <t>Threaded crimp heads</t>
  </si>
  <si>
    <t>Crimphead10-32-100 Threaded Crimp Heads (morelectricheating.com)</t>
  </si>
  <si>
    <t>Ceramics (Plug and Cap)</t>
  </si>
  <si>
    <t>Fuse block</t>
  </si>
  <si>
    <t>30 Amps</t>
  </si>
  <si>
    <t xml:space="preserve">Fuse </t>
  </si>
  <si>
    <t>6 Amps</t>
  </si>
  <si>
    <t>10 Amps</t>
  </si>
  <si>
    <t>15 Amps</t>
  </si>
  <si>
    <t>20 Amps</t>
  </si>
  <si>
    <t>25 Amps</t>
  </si>
  <si>
    <t>Contactor</t>
  </si>
  <si>
    <t>40 Amps</t>
  </si>
  <si>
    <t>Altran Magnetics</t>
  </si>
  <si>
    <t>Transformer</t>
  </si>
  <si>
    <t>50 VA</t>
  </si>
  <si>
    <t>Intec- 5041MWCB-D, 50VA, class 2 transformer, primary 120, 240, 277, or 480V, secondary 24V</t>
  </si>
  <si>
    <t>Pressure Switch</t>
  </si>
  <si>
    <t>Manual thermal reset</t>
  </si>
  <si>
    <t>Auto thermal reset</t>
  </si>
  <si>
    <t>Selco Products Co- SE-L120, 120/240VAC, 25A resistive, open @ 120°F ± 7°F, close @ 106°F ± 9°F</t>
  </si>
  <si>
    <t xml:space="preserve">Ground lug </t>
  </si>
  <si>
    <t>12/14 AWG</t>
  </si>
  <si>
    <t>Fork terminals</t>
  </si>
  <si>
    <t>18 AWG</t>
  </si>
  <si>
    <t>Ring terminals</t>
  </si>
  <si>
    <t>Butt connectors</t>
  </si>
  <si>
    <t>8/32 screw</t>
  </si>
  <si>
    <t>8/32 Star nuts</t>
  </si>
  <si>
    <t>8/32 pem nuts</t>
  </si>
  <si>
    <t>Extension Spring</t>
  </si>
  <si>
    <t>McMaster-Carr</t>
  </si>
  <si>
    <t>Control wire</t>
  </si>
  <si>
    <t>Phase</t>
  </si>
  <si>
    <t>HDW0065</t>
  </si>
  <si>
    <t>PT-SC00-SAD5-L013-01</t>
  </si>
  <si>
    <t>TEK SCREW, ZINC, 10 X 1/2"</t>
  </si>
  <si>
    <t>PC-XF00-PMS0-5000-01</t>
  </si>
  <si>
    <t>PC-GL00-1110-0000-01</t>
  </si>
  <si>
    <t>Ground Lug, 1 mt, 1 sc, 6str</t>
  </si>
  <si>
    <t>PM-SK00-8-32-5-GS</t>
  </si>
  <si>
    <t xml:space="preserve">SCREW, 8-32 X .5" PPH,GVS </t>
  </si>
  <si>
    <t>PM-HD00-115A-935C-3E</t>
  </si>
  <si>
    <t>RIVET SS 1/8"X3/16"-3/8" LENGTH</t>
  </si>
  <si>
    <t>ELE0029</t>
  </si>
  <si>
    <t>PM-HD00-115A-935C-3M</t>
  </si>
  <si>
    <t>RIVET 3/16DIA,GRIP.126/.187,SS</t>
  </si>
  <si>
    <t>PEM NUT,8-32,MIN THICK 0.056"</t>
  </si>
  <si>
    <t>PM-HG00-060G-0100-01</t>
  </si>
  <si>
    <t>Hinge, W0.75xL2.00, 0.125pin</t>
  </si>
  <si>
    <t>HDW0073</t>
  </si>
  <si>
    <t>HDW0069</t>
  </si>
  <si>
    <t>1330K29</t>
  </si>
  <si>
    <t>Rivet</t>
  </si>
  <si>
    <t>Grommet</t>
  </si>
  <si>
    <t>NUT, 8-32, LOCKING, GVS</t>
  </si>
  <si>
    <t>PC-BU00-D700-0000-P1</t>
  </si>
  <si>
    <t>Hinges</t>
  </si>
  <si>
    <t>Self Tapping Screws</t>
  </si>
  <si>
    <t xml:space="preserve">7/8" SNAP-IN BUSHING GROMMET </t>
  </si>
  <si>
    <t>Pitot Tube</t>
  </si>
  <si>
    <t>PT-HD00-115B-1C49-F7</t>
  </si>
  <si>
    <t>GOL16,PITOT TUBE,TRAILING,SS</t>
  </si>
  <si>
    <t>Ampacity</t>
  </si>
  <si>
    <t>\ADVAULT\Q-Drive\Area 51\Products\Electric Reheat\Documentation\Rashish\submittal\Electric Reheat Configurations.xls</t>
  </si>
  <si>
    <t>Resistance</t>
  </si>
  <si>
    <t>Line Current</t>
  </si>
  <si>
    <t>Wye Connection</t>
  </si>
  <si>
    <t>Unit Height</t>
  </si>
  <si>
    <t>Unit Width</t>
  </si>
  <si>
    <t>Phase Voltage</t>
  </si>
  <si>
    <t>No. of Passes</t>
  </si>
  <si>
    <t>Power (kw)</t>
  </si>
  <si>
    <t>Distance between Passes</t>
  </si>
  <si>
    <t>Resitance per wire (3)</t>
  </si>
  <si>
    <t>Desired Streched Length of Coil (in)</t>
  </si>
  <si>
    <t>Power Factor</t>
  </si>
  <si>
    <t>Pitch (Linear Distance (in)/Turn)</t>
  </si>
  <si>
    <t>Coil Wounding Diameter (in)</t>
  </si>
  <si>
    <t>Phase Current</t>
  </si>
  <si>
    <t>Estimated UnWounded Length (in)</t>
  </si>
  <si>
    <t>Gage AWG</t>
  </si>
  <si>
    <t>Resistance at 68F Ω/ft</t>
  </si>
  <si>
    <t>Resistance at 68F Ω/lb</t>
  </si>
  <si>
    <t>Weight lb/1000 ft</t>
  </si>
  <si>
    <t>in2/Ω at 68F</t>
  </si>
  <si>
    <t>Unstretch Wounded Length (in)</t>
  </si>
  <si>
    <t>Actual Streched Length of Coil (in)</t>
  </si>
  <si>
    <t>No. of passes possible</t>
  </si>
  <si>
    <t>Actual Passes</t>
  </si>
  <si>
    <t>Actual Pitch</t>
  </si>
  <si>
    <t>Delta Connection</t>
  </si>
  <si>
    <t>Line Voltage</t>
  </si>
  <si>
    <t>Power (kW)</t>
  </si>
  <si>
    <t>Resistance per Wire (3)</t>
  </si>
  <si>
    <t>Diameter (in)</t>
  </si>
  <si>
    <t>Surface Area in2/ft</t>
  </si>
  <si>
    <t>Unwound Length (in)</t>
  </si>
  <si>
    <t>\ADVAULT\Q-Drive\Area 51\Products\Electric Reheat\Documentation\Rashish\BOM\Electric Reheat BOM 480V 10kW.xls</t>
  </si>
  <si>
    <t xml:space="preserve">Qty </t>
  </si>
  <si>
    <t>Standard Disconnect</t>
  </si>
  <si>
    <t>60 Amps</t>
  </si>
  <si>
    <t>45 Amps</t>
  </si>
  <si>
    <t>HDW0066</t>
  </si>
  <si>
    <t>14 AWG-Black</t>
  </si>
  <si>
    <t>18 AWG-Blue</t>
  </si>
  <si>
    <t>12-10 AWG</t>
  </si>
  <si>
    <t>Slide\Spade\Disconnector (female) terminals</t>
  </si>
  <si>
    <t>16-14 AWG</t>
  </si>
  <si>
    <t>22-18 AWG</t>
  </si>
  <si>
    <t>10/32 Star Nuts</t>
  </si>
  <si>
    <t>NUT,10-32,STEEL,W TOOTH WASHER</t>
  </si>
  <si>
    <t>https://www.grainger.com/product/BUSSMANN-Fuse-Block-Fits-Industrial-1DT33</t>
  </si>
  <si>
    <t>Fuse Sizes</t>
  </si>
  <si>
    <t>8 AWG-Black</t>
  </si>
  <si>
    <t>16 AWG-Black</t>
  </si>
  <si>
    <t>18 AWG-Black</t>
  </si>
  <si>
    <t>Basis for Nichrome Wire</t>
  </si>
  <si>
    <t>Basis for Ampacity &amp; Wire Size</t>
  </si>
  <si>
    <t>Schneider DPE18B7</t>
  </si>
  <si>
    <t>Schneider DPE32B7</t>
  </si>
  <si>
    <t>https://www.grainger.com/product/BUSSMANN-Fuse-45-A-Amps-6F483</t>
  </si>
  <si>
    <t xml:space="preserve">SCR </t>
  </si>
  <si>
    <t>50% @40C</t>
  </si>
  <si>
    <t>SSR (Amps)</t>
  </si>
  <si>
    <t>80% (Amps)</t>
  </si>
  <si>
    <t>50% @40c (Amp)</t>
  </si>
  <si>
    <t>80%</t>
  </si>
  <si>
    <t>Column1</t>
  </si>
  <si>
    <t>In Stock</t>
  </si>
  <si>
    <t>Bussmann JJS-6</t>
  </si>
  <si>
    <t>Bussmann JJS-10</t>
  </si>
  <si>
    <t>Bussmann JJS-15</t>
  </si>
  <si>
    <t>Bussmann JJS-20</t>
  </si>
  <si>
    <t>Bussmann JJS-30</t>
  </si>
  <si>
    <t>Bussmann JJS-45</t>
  </si>
  <si>
    <t>Model Number</t>
  </si>
  <si>
    <t>Bussmann T60030-3CR</t>
  </si>
  <si>
    <t>2xASR-SN480D40ZW-L+ASR-HS3A150+PWM Board (46112010001)</t>
  </si>
  <si>
    <t>Encore Wire 106100701440</t>
  </si>
  <si>
    <t>Encore Wire 106100801440</t>
  </si>
  <si>
    <t>Encore Wire 106100503440</t>
  </si>
  <si>
    <t>Southwire 63949205</t>
  </si>
  <si>
    <t>RS 466-283</t>
  </si>
  <si>
    <t>Selco Products Co- SE-L160M, 120/240VAC, 25A resistive, open @ 160°F ± 11°F, manual reset</t>
  </si>
  <si>
    <t>Bussmann T60060-3CR</t>
  </si>
  <si>
    <t>Order Total</t>
  </si>
  <si>
    <t>https://www.grainger.com/product/BUSSMANN-Fuse-Block-Fits-Industrial-1CP58</t>
  </si>
  <si>
    <t>https://www.grainger.com/product/BUSSMANN-Fuse-6-A-Amps-6F475</t>
  </si>
  <si>
    <t>https://www.grainger.com/product/BUSSMANN-Fuse-10-A-Amps-6F476</t>
  </si>
  <si>
    <t>https://www.grainger.com/product/BUSSMANN-Fuse-15-A-Amps-6F477</t>
  </si>
  <si>
    <t>https://www.grainger.com/product/BUSSMANN-Fuse-20-A-Amps-6F478</t>
  </si>
  <si>
    <t>https://www.grainger.com/product/BUSSMANN-Fuse-30-A-Amps-6F480</t>
  </si>
  <si>
    <t>https://www.se.com/us/en/product/DPE18B7/iec-contactoreasy-tesys-dpenonreversing18a3p7-5hp-at-480v-ac24v-50-60hz-coil/</t>
  </si>
  <si>
    <t>https://www.se.com/us/en/product/DPE32B7/iec-contactoreasy-tesys-dpenonreversing32a3p15hp-at-480v-ac24v-50-60hz-coil/</t>
  </si>
  <si>
    <t>https://www.controlsystemsusa.com/controlsystemsusa/product.asp?pid=332-INTEC_5041MWCB-D_control_transformers_120240277480_to_24_vac</t>
  </si>
  <si>
    <t>MekTronics MKD-S225-31309MB34RDYR</t>
  </si>
  <si>
    <t>https://www.mek-tronics.com/images/pdf/rotary-disconnect.pdf</t>
  </si>
  <si>
    <t>https://www.grainger.com/product/CLEVELAND-CONTROLS-Air-Sensing-Switch-Adj-6XPX7</t>
  </si>
  <si>
    <t>https://us.rs-online.com/product/rs-pro/466283/70822695/</t>
  </si>
  <si>
    <t>https://us.rs-online.com/product/selco/se-l160m/70306716/</t>
  </si>
  <si>
    <t>https://us.rs-online.com/product/selco/se-l120/70098733/?keyword=se-l120</t>
  </si>
  <si>
    <t>https://www.elliottelectric.com/P/Item/TAB/10RC10FL/</t>
  </si>
  <si>
    <t>https://www.elliottelectric.com/P/Item/TAB/10RC10E/</t>
  </si>
  <si>
    <t>https://www.elliottelectric.com/P/Item/TAB/14RB250FE/</t>
  </si>
  <si>
    <t>https://www.elliottelectric.com/P/Item/TAB/2RA18XE/</t>
  </si>
  <si>
    <t>RM-WI00-NICR-18GA-01</t>
  </si>
  <si>
    <t>RM-WI00-NICR-20GA-01</t>
  </si>
  <si>
    <t>RM-WI00-NICR-22GA-01</t>
  </si>
  <si>
    <t>ELE0045</t>
  </si>
  <si>
    <t>ELE0046</t>
  </si>
  <si>
    <t>ELE0041</t>
  </si>
  <si>
    <t>ELE0042</t>
  </si>
  <si>
    <t>ELE0035</t>
  </si>
  <si>
    <t>ELE0036</t>
  </si>
  <si>
    <t>ELE0037</t>
  </si>
  <si>
    <t>ELE0038</t>
  </si>
  <si>
    <t>ELE0039</t>
  </si>
  <si>
    <t>ELE0040</t>
  </si>
  <si>
    <t>ELE0033</t>
  </si>
  <si>
    <t>ELE0034</t>
  </si>
  <si>
    <t>ELE0030</t>
  </si>
  <si>
    <t>ELE0043</t>
  </si>
  <si>
    <t>ELE0044</t>
  </si>
  <si>
    <t>PC-TF00-FEMA-12GA-01</t>
  </si>
  <si>
    <t>CNR0003</t>
  </si>
  <si>
    <t>PC-CN00-FEMA-16GA-01</t>
  </si>
  <si>
    <t>PC-CN00-BUTT-16GA-P1</t>
  </si>
  <si>
    <t>HDW0002</t>
  </si>
  <si>
    <t>=IF([@['#]]='Notes &amp; Tables'!$F8,'Notes &amp; Tables'!O8,0)</t>
  </si>
  <si>
    <t>Knife Edge Disconnect</t>
  </si>
  <si>
    <t>24 AWG</t>
  </si>
  <si>
    <t>https://www.remingtonindustries.com/uninsulated-wire/nichrome-wire/nickel-chromium-resistance-wire-nichrome-80-24-awg-7-lengths-available/</t>
  </si>
  <si>
    <t>https://www.remingtonindustries.com/uninsulated-wire/nichrome-wire/nickel-chromium-resistance-wire-nichrome-80-22-awg-7-lengths-available/</t>
  </si>
  <si>
    <t>https://www.remingtonindustries.com/uninsulated-wire/nichrome-wire/nickel-chromium-resistance-wire-nichrome-80-20-awg-7-lengths-available/</t>
  </si>
  <si>
    <t>https://www.remingtonindustries.com/uninsulated-wire/nichrome-wire/nickel-chromium-resistance-wire-nichrome-80-18-awg-7-lengths-available/</t>
  </si>
  <si>
    <t>Remington Industries 24N80</t>
  </si>
  <si>
    <t>Remington Industries 22N80</t>
  </si>
  <si>
    <t>Remington Industries 20N80</t>
  </si>
  <si>
    <t>Remington Industries 18N80</t>
  </si>
  <si>
    <t>2 Amps</t>
  </si>
  <si>
    <t>ELE0031 (NOTE WE CAN USE THE 40 AMP VERSION FOR THIS ONE, SINCE WE HAVE STOCK)</t>
  </si>
  <si>
    <t>Did we change the useof these?</t>
  </si>
  <si>
    <t>RM-WI00-NICR-24GA-01</t>
  </si>
  <si>
    <t>ELE0051</t>
  </si>
  <si>
    <t>ELE0047</t>
  </si>
  <si>
    <t>RC-WI00-E1BK-L500-02</t>
  </si>
  <si>
    <t>RC-WI00-H1BK-L500-02</t>
  </si>
  <si>
    <t>RC-WI00-I1BK-L500-02</t>
  </si>
  <si>
    <t>RC-WI00-I1RD-L500-02</t>
  </si>
  <si>
    <t>RC-WI00-I1BL-L500-02</t>
  </si>
  <si>
    <t>HDW0074</t>
  </si>
  <si>
    <t>HDW0045</t>
  </si>
  <si>
    <t>Table 16.1</t>
  </si>
  <si>
    <t>NEC310-16</t>
  </si>
  <si>
    <t>SCR</t>
  </si>
  <si>
    <t>60308T</t>
  </si>
  <si>
    <t>SN480D40ZW</t>
  </si>
  <si>
    <t>DPE18B7</t>
  </si>
  <si>
    <t>Right</t>
  </si>
  <si>
    <t>Left</t>
  </si>
  <si>
    <t>Upstream</t>
  </si>
  <si>
    <t>STD</t>
  </si>
  <si>
    <t>466-273</t>
  </si>
  <si>
    <t>Parallel</t>
  </si>
  <si>
    <t>3,5</t>
  </si>
  <si>
    <t>VAV-45.3</t>
  </si>
  <si>
    <t>VAV-45.4</t>
  </si>
  <si>
    <t>VAV-45.5</t>
  </si>
  <si>
    <t>VAV-50.4</t>
  </si>
  <si>
    <t>VAV-54.2</t>
  </si>
  <si>
    <t>VAV-54.3</t>
  </si>
  <si>
    <t>VAV-54.4</t>
  </si>
  <si>
    <t>VAV-54.6</t>
  </si>
  <si>
    <t>VAV-45.1</t>
  </si>
  <si>
    <t>VAV-45.2</t>
  </si>
  <si>
    <t>VAV-50.1</t>
  </si>
  <si>
    <t>VAV-50.2</t>
  </si>
  <si>
    <t>VAV-50.3</t>
  </si>
  <si>
    <t>VAV-50.5</t>
  </si>
  <si>
    <t>VAV-50.6</t>
  </si>
  <si>
    <t>VAV-50.7</t>
  </si>
  <si>
    <t>VAV-50.8</t>
  </si>
  <si>
    <t>VAV-50.9</t>
  </si>
  <si>
    <t>VAV-54.1</t>
  </si>
  <si>
    <t>VAV-54.5</t>
  </si>
  <si>
    <t>VAV-54.7</t>
  </si>
  <si>
    <t>VAV-54.8</t>
  </si>
  <si>
    <t>Electric Reheat</t>
  </si>
  <si>
    <t>Single</t>
  </si>
  <si>
    <t>PHASE</t>
  </si>
  <si>
    <t>ΔT (°F)</t>
  </si>
  <si>
    <t>MAX HEATING CFM</t>
  </si>
  <si>
    <t>LINE WIRE AWG</t>
  </si>
  <si>
    <t>FUSE AMPS</t>
  </si>
  <si>
    <t>FUSES PER UNIT</t>
  </si>
  <si>
    <t>FPM</t>
  </si>
  <si>
    <t>CONNECTION TYPE</t>
  </si>
  <si>
    <t>PASSES</t>
  </si>
  <si>
    <t>UNIT WIDTH</t>
  </si>
  <si>
    <t>FUSE BLOCK AMPS</t>
  </si>
  <si>
    <t>DISCONNECT</t>
  </si>
  <si>
    <t>DISCONNECT AMPS</t>
  </si>
  <si>
    <t>CONTACTOR SIZE  AMPS</t>
  </si>
  <si>
    <t>SCR AMPS</t>
  </si>
  <si>
    <t>DIP SWITCH ON</t>
  </si>
  <si>
    <t>TRANSFORMER WIRE USED</t>
  </si>
  <si>
    <t>FUSE BLOCK MODEL</t>
  </si>
  <si>
    <t>CONTACTOR MODEL</t>
  </si>
  <si>
    <t>DISCONNECT MODEL</t>
  </si>
  <si>
    <t>SCR MODEL</t>
  </si>
  <si>
    <t>COIL PN# FOR X3</t>
  </si>
  <si>
    <t>Rectangular 10" x 15"</t>
  </si>
  <si>
    <t>Normal</t>
  </si>
  <si>
    <t>ERU-F3R0200SE6A</t>
  </si>
  <si>
    <t>ERU-F3R0150SE6A</t>
  </si>
  <si>
    <t>ERU-F3R0100SE5A</t>
  </si>
  <si>
    <t>ERU-F3L0100SE5A</t>
  </si>
  <si>
    <t>DPE32B7</t>
  </si>
  <si>
    <t>466-277</t>
  </si>
  <si>
    <t>ERU-F3L0400SA9A</t>
  </si>
  <si>
    <t>ERU-F3L0200SE6A</t>
  </si>
  <si>
    <t>ERU-F3L0150SE6A</t>
  </si>
  <si>
    <t>60608T</t>
  </si>
  <si>
    <t>ERU-F3L0500S8AA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</si>
</sst>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2" xfId="0" applyBorder="1"/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/>
    <xf numFmtId="0" fontId="9" fillId="0" borderId="0" xfId="3" applyAlignment="1">
      <alignment horizontal="center" wrapText="1"/>
    </xf>
    <xf numFmtId="0" fontId="9" fillId="3" borderId="0" xfId="3" applyFill="1"/>
    <xf numFmtId="0" fontId="9" fillId="0" borderId="0" xfId="3"/>
    <xf numFmtId="2" fontId="9" fillId="0" borderId="0" xfId="3" applyNumberFormat="1"/>
    <xf numFmtId="0" fontId="10" fillId="0" borderId="0" xfId="6"/>
    <xf numFmtId="1" fontId="9" fillId="0" borderId="0" xfId="3" applyNumberFormat="1"/>
    <xf numFmtId="2" fontId="6" fillId="0" borderId="0" xfId="0" applyNumberFormat="1" applyFont="1" applyAlignment="1">
      <alignment horizontal="center" vertical="center"/>
    </xf>
    <xf numFmtId="2" fontId="9" fillId="3" borderId="0" xfId="3" applyNumberFormat="1" applyFill="1"/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1" fillId="0" borderId="0" xfId="0" applyFont="1"/>
    <xf numFmtId="9" fontId="0" fillId="0" borderId="0" xfId="0" applyNumberFormat="1"/>
    <xf numFmtId="0" fontId="0" fillId="5" borderId="0" xfId="0" applyFill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0" xfId="2" applyFill="1" applyBorder="1" applyAlignment="1">
      <alignment vertical="center"/>
    </xf>
    <xf numFmtId="0" fontId="4" fillId="0" borderId="0" xfId="2" applyFill="1" applyBorder="1" applyAlignment="1"/>
    <xf numFmtId="0" fontId="4" fillId="0" borderId="0" xfId="2" applyBorder="1" applyAlignment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/>
    </xf>
    <xf numFmtId="0" fontId="4" fillId="7" borderId="0" xfId="2" applyFill="1" applyBorder="1" applyAlignment="1"/>
    <xf numFmtId="0" fontId="3" fillId="0" borderId="0" xfId="0" applyFont="1" applyAlignment="1">
      <alignment horizontal="left" vertical="center"/>
    </xf>
    <xf numFmtId="0" fontId="0" fillId="8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7">
    <cellStyle name="Calculation" xfId="1" builtinId="22"/>
    <cellStyle name="Currency 2" xfId="4" xr:uid="{A7E92F72-78DB-4142-BD52-F6819E7F8310}"/>
    <cellStyle name="Hyperlink" xfId="2" builtinId="8"/>
    <cellStyle name="Hyperlink 2" xfId="6" xr:uid="{7990ED51-E12D-41E2-AE51-3FAD559049DB}"/>
    <cellStyle name="Normal" xfId="0" builtinId="0"/>
    <cellStyle name="Normal 2" xfId="3" xr:uid="{17DFF312-C670-4848-9428-3BD39B366114}"/>
    <cellStyle name="Percent 2" xfId="5" xr:uid="{C0EF5307-D61A-4F11-B035-BF775E91280C}"/>
  </cellStyles>
  <dxfs count="60"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FFF00"/>
        </patternFill>
      </fill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E2104BC-1845-4103-850C-4875EBF03A1B}" name="OrderSummary" displayName="OrderSummary" ref="C3:J55" totalsRowShown="0" headerRowDxfId="59" headerRowBorderDxfId="58" tableBorderDxfId="57">
  <autoFilter ref="C3:J55" xr:uid="{CE2104BC-1845-4103-850C-4875EBF03A1B}"/>
  <tableColumns count="8">
    <tableColumn id="1" xr3:uid="{0CF831BD-E425-4ECE-97E1-BB014BF3C661}" name="Size" totalsRowDxfId="56"/>
    <tableColumn id="2" xr3:uid="{10DA4263-1952-43B8-8D16-49BF6FF33899}" name="Qty " dataDxfId="55" totalsRowDxfId="54"/>
    <tableColumn id="4" xr3:uid="{4605CA3B-BD1D-442E-90BD-B2FC7DD838F6}" name="In Stock" dataDxfId="53" totalsRowDxfId="52"/>
    <tableColumn id="5" xr3:uid="{47A6326C-0655-49DD-9408-11B087101AA7}" name="Order Total" dataDxfId="51">
      <calculatedColumnFormula>MAX(0,OrderSummary[[#This Row],[Qty ]]-OrderSummary[[#This Row],[In Stock]])</calculatedColumnFormula>
    </tableColumn>
    <tableColumn id="6" xr3:uid="{CF567895-527E-4C01-96FE-248D59333581}" name="Unit" totalsRowDxfId="50"/>
    <tableColumn id="8" xr3:uid="{E67ABE73-1CB8-4520-9274-EE941F708519}" name="Part Number" dataDxfId="49" totalsRowDxfId="48"/>
    <tableColumn id="3" xr3:uid="{A9ED061D-C1AE-40D1-B49E-E0A2579F52B9}" name="Model Number" dataDxfId="47" totalsRowDxfId="46"/>
    <tableColumn id="7" xr3:uid="{A1FD46AE-5D20-4541-9F09-A2052766DBCE}" name="Description " dataDxfId="45" totalsRowDxfId="44" dataCellStyle="Hyperlink" totalsRowCellStyle="Hyperlink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D64114-65AB-47ED-8F44-DD3AAD9BD16A}" name="FuseSizes" displayName="FuseSizes" ref="A7:A39" totalsRowShown="0">
  <autoFilter ref="A7:A39" xr:uid="{E1D64114-65AB-47ED-8F44-DD3AAD9BD16A}"/>
  <tableColumns count="1">
    <tableColumn id="1" xr3:uid="{EEB089E4-02C4-4068-9E83-4C7140383C5F}" name="Fuse Siz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6D2C43-46E8-4AD7-9470-7548230BCFB3}" name="AmpacityTable" displayName="AmpacityTable" ref="C7:D18" totalsRowShown="0" headerRowDxfId="43" headerRowBorderDxfId="42" tableBorderDxfId="41" totalsRowBorderDxfId="40">
  <autoFilter ref="C7:D18" xr:uid="{D46D2C43-46E8-4AD7-9470-7548230BCFB3}"/>
  <tableColumns count="2">
    <tableColumn id="1" xr3:uid="{87015863-E0C1-42BA-B7B5-B94CEE55ED90}" name="Size"/>
    <tableColumn id="2" xr3:uid="{2EAA23A7-5098-4733-9887-42BA36D942A6}" name="Ampac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EC8AE8-58D0-4D6F-8192-A867F8B485A8}" name="Table2" displayName="Table2" ref="A44:D49" totalsRowShown="0">
  <autoFilter ref="A44:D49" xr:uid="{DEEC8AE8-58D0-4D6F-8192-A867F8B485A8}"/>
  <tableColumns count="4">
    <tableColumn id="1" xr3:uid="{09273496-5C21-4BCB-9E24-2763B0766C52}" name="Line Current" dataDxfId="39"/>
    <tableColumn id="2" xr3:uid="{26B65EAE-3237-4B5E-87C8-4D1CB827911F}" name="80%" dataDxfId="38">
      <calculatedColumnFormula>IF(Table2[[#This Row],[Line Current]]&lt;=$G$8,$F$8,IF(Table2[[#This Row],[Line Current]]&lt;=$G$9,$F$9,IF(Table2[[#This Row],[Line Current]]&lt;=$G$10,$F$10,IF(Table2[[#This Row],[Line Current]]&lt;=$G$11,$F$11,IF(Table2[[#This Row],[Line Current]]&lt;=$G$12,$F$12,0)))))</calculatedColumnFormula>
    </tableColumn>
    <tableColumn id="3" xr3:uid="{9202D769-5955-45EE-8AFE-FD9CF15C7A15}" name="50% @40C" dataDxfId="37">
      <calculatedColumnFormula>IF(Table2[[#This Row],[Line Current]]&lt;=$H$8,$F$8,IF(Table2[[#This Row],[Line Current]]&lt;=$H$9,$F$9,IF(Table2[[#This Row],[Line Current]]&lt;=$H$10,$F$10,IF(Table2[[#This Row],[Line Current]]&lt;=$H$11,$F$11,IF(Table2[[#This Row],[Line Current]]&lt;=$H$12,$F$12,0)))))</calculatedColumnFormula>
    </tableColumn>
    <tableColumn id="4" xr3:uid="{EFB19977-DD98-4223-8EDF-532A208DC04B}" name="Column1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196290-00DD-421F-A0FA-CE2ECD7E193E}" name="SCRTable" displayName="SCRTable" ref="F7:H12" totalsRowShown="0">
  <autoFilter ref="F7:H12" xr:uid="{3F196290-00DD-421F-A0FA-CE2ECD7E193E}"/>
  <tableColumns count="3">
    <tableColumn id="1" xr3:uid="{2705889E-EC28-4AB4-B245-C61C47ABB69B}" name="SSR (Amps)" dataDxfId="36"/>
    <tableColumn id="2" xr3:uid="{668152F2-7084-464E-85E4-C9C496A24F07}" name="80% (Amps)">
      <calculatedColumnFormula>F8*0.8</calculatedColumnFormula>
    </tableColumn>
    <tableColumn id="3" xr3:uid="{35370795-5D5B-4776-9AA2-08D3C178487D}" name="50% @40c (Amp)">
      <calculatedColumnFormula>F8*0.5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161805F-F1D8-4EF9-A79B-A65372E7FBF8}" name="Table15" displayName="Table15" ref="B2:AG24" totalsRowShown="0" dataDxfId="35">
  <autoFilter ref="B2:AG24" xr:uid="{9161805F-F1D8-4EF9-A79B-A65372E7FBF8}"/>
  <tableColumns count="32">
    <tableColumn id="1" xr3:uid="{D9359B32-4468-4CF0-9A7E-772443A08814}" name="LINE" dataDxfId="34"/>
    <tableColumn id="2" xr3:uid="{2903D7E4-1C24-4D90-A16C-688606207843}" name="TAG #" dataDxfId="33"/>
    <tableColumn id="3" xr3:uid="{6AD1CD53-928C-44C5-B1DC-4CC40F93776E}" name="SIZE" dataDxfId="32"/>
    <tableColumn id="4" xr3:uid="{04EAD6B8-FCF9-487D-A4D2-8B895206C801}" name="HEATING TYPE" dataDxfId="31"/>
    <tableColumn id="5" xr3:uid="{DFA072A9-F780-4604-BB68-7CA8C82C9E37}" name="VOLTAGE" dataDxfId="30"/>
    <tableColumn id="6" xr3:uid="{E8ED090C-2AAE-43B0-B94C-FBCEFDE2430B}" name="PHASE" dataDxfId="29"/>
    <tableColumn id="7" xr3:uid="{CE07A510-ED40-4647-B99B-A49D0457FA39}" name="ELECTRIC STAGING" dataDxfId="28"/>
    <tableColumn id="8" xr3:uid="{FC986420-6D9C-429A-912E-EEA3E632A7E7}" name="kW" dataDxfId="27"/>
    <tableColumn id="9" xr3:uid="{926E2553-FEB2-4351-A2D1-FE6F855F7D2A}" name="ΔT (°F)" dataDxfId="26"/>
    <tableColumn id="10" xr3:uid="{682C546F-4B5B-4D19-B570-6BC69723A916}" name="MAX HEATING CFM" dataDxfId="25"/>
    <tableColumn id="11" xr3:uid="{1A6D402D-6ED4-4217-93C1-2AA29F6D0CCF}" name="LINE WIRE AWG" dataDxfId="24"/>
    <tableColumn id="12" xr3:uid="{CE902DFC-DDD0-4E89-B128-B4F47458890C}" name="FUSE AMPS" dataDxfId="23"/>
    <tableColumn id="13" xr3:uid="{8C04AEA4-25C1-4BC1-B38F-C9E2EE94E035}" name="FUSES PER UNIT" dataDxfId="22"/>
    <tableColumn id="14" xr3:uid="{925BD35C-9CFB-4D09-92C4-92243E20930F}" name="FPM" dataDxfId="21"/>
    <tableColumn id="15" xr3:uid="{7452F709-758C-42A7-84C4-457FE64E2DEA}" name="COIL HANDING" dataDxfId="20"/>
    <tableColumn id="16" xr3:uid="{ECB9565A-D0AC-4565-9908-3DEEA9B57D69}" name="CONNECTION TYPE" dataDxfId="19"/>
    <tableColumn id="17" xr3:uid="{D78ED843-83B8-479F-A15F-ED250C0AE131}" name="PASSES" dataDxfId="18"/>
    <tableColumn id="18" xr3:uid="{4E6451A0-5E3B-40D5-B6B5-3B044D319FA8}" name="UNIT WIDTH" dataDxfId="17"/>
    <tableColumn id="19" xr3:uid="{F6EE70DE-C98C-4155-AAC9-597A333D61D9}" name="FUSE BLOCK AMPS" dataDxfId="16"/>
    <tableColumn id="20" xr3:uid="{32C80145-705B-4F0D-AAEC-D051981411F9}" name="DISCONNECT" dataDxfId="15"/>
    <tableColumn id="21" xr3:uid="{8279CA27-B432-4CBA-91FA-F0D13E48A0F7}" name="DISCONNECT AMPS" dataDxfId="14"/>
    <tableColumn id="22" xr3:uid="{5F9CCD1A-04B0-4BEB-B76D-12CC8B0A36D2}" name="CONTACTOR SIZE  AMPS" dataDxfId="13"/>
    <tableColumn id="23" xr3:uid="{93C98915-7D79-4465-BB3F-03971BFCEB15}" name="SCR AMPS" dataDxfId="12"/>
    <tableColumn id="24" xr3:uid="{EBFE5596-69AF-4B00-853C-3F4FB0EF15D9}" name="DIP SWITCH ON" dataDxfId="11"/>
    <tableColumn id="25" xr3:uid="{8B1FD209-411F-400E-9503-A3B26E07F4DF}" name="TRANSFORMER WIRE USED" dataDxfId="10"/>
    <tableColumn id="26" xr3:uid="{8CFE8974-0913-470B-983E-0C9FF7468BCA}" name="FUSE BLOCK MODEL" dataDxfId="9"/>
    <tableColumn id="27" xr3:uid="{5FEB3AD6-B564-4B5A-B62A-17B1B019D3AC}" name="CONTACTOR MODEL" dataDxfId="8"/>
    <tableColumn id="28" xr3:uid="{AA5E06AC-9223-4FB2-89FC-8D036D663F88}" name="DISCONNECT MODEL" dataDxfId="7"/>
    <tableColumn id="29" xr3:uid="{5198B6AF-3A70-4B3B-AF1F-0F8B204F7942}" name="SCR MODEL" dataDxfId="6"/>
    <tableColumn id="30" xr3:uid="{026F3E29-14B0-4E44-8931-C7DE827B7967}" name="LOCATION" dataDxfId="5"/>
    <tableColumn id="31" xr3:uid="{F7C3A57F-AD22-4E1A-A830-5F8CEB9D1612}" name="COIL PN# FOR X3" dataDxfId="4"/>
    <tableColumn id="32" xr3:uid="{C5B9F128-89C5-4538-AC5D-04C260214293}" name="Column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k-tronics.com/images/pdf/rotary-disconnect.pdf" TargetMode="External"/><Relationship Id="rId13" Type="http://schemas.openxmlformats.org/officeDocument/2006/relationships/hyperlink" Target="https://www.se.com/us/en/product/DPE18B7/iec-contactoreasy-tesys-dpenonreversing18a3p7-5hp-at-480v-ac24v-50-60hz-coil/" TargetMode="External"/><Relationship Id="rId3" Type="http://schemas.openxmlformats.org/officeDocument/2006/relationships/hyperlink" Target="https://morelectricheating.com/crimphead10-32-100-threaded-crimp-heads-morparts10003" TargetMode="External"/><Relationship Id="rId7" Type="http://schemas.openxmlformats.org/officeDocument/2006/relationships/hyperlink" Target="https://www.controlsystemsusa.com/controlsystemsusa/product.asp?pid=332-INTEC_5041MWCB-D_control_transformers_120240277480_to_24_vac" TargetMode="External"/><Relationship Id="rId12" Type="http://schemas.openxmlformats.org/officeDocument/2006/relationships/hyperlink" Target="https://www.elliottelectric.com/P/Item/TAB/14RB250FE/" TargetMode="External"/><Relationship Id="rId2" Type="http://schemas.openxmlformats.org/officeDocument/2006/relationships/hyperlink" Target="https://infraredheaters.com/insulator.html" TargetMode="External"/><Relationship Id="rId1" Type="http://schemas.openxmlformats.org/officeDocument/2006/relationships/hyperlink" Target="https://infraredheaters.com/insulator.html" TargetMode="External"/><Relationship Id="rId6" Type="http://schemas.openxmlformats.org/officeDocument/2006/relationships/hyperlink" Target="https://www.grainger.com/product/BUSSMANN-Fuse-45-A-Amps-6F483" TargetMode="External"/><Relationship Id="rId11" Type="http://schemas.openxmlformats.org/officeDocument/2006/relationships/hyperlink" Target="https://us.rs-online.com/product/selco/se-l120/70098733/?keyword=se-l120" TargetMode="External"/><Relationship Id="rId5" Type="http://schemas.openxmlformats.org/officeDocument/2006/relationships/hyperlink" Target="https://www.grainger.com/product/BUSSMANN-Fuse-Block-Fits-Industrial-1DT33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us.rs-online.com/product/selco/se-l160m/70306716/" TargetMode="External"/><Relationship Id="rId4" Type="http://schemas.openxmlformats.org/officeDocument/2006/relationships/hyperlink" Target="https://www.mcmaster.com/1330K29/" TargetMode="External"/><Relationship Id="rId9" Type="http://schemas.openxmlformats.org/officeDocument/2006/relationships/hyperlink" Target="https://www.grainger.com/product/CLEVELAND-CONTROLS-Air-Sensing-Switch-Adj-6XPX7" TargetMode="External"/><Relationship Id="rId14" Type="http://schemas.openxmlformats.org/officeDocument/2006/relationships/hyperlink" Target="https://www.se.com/us/en/product/DPE32B7/iec-contactoreasy-tesys-dpenonreversing32a3p15hp-at-480v-ac24v-50-60hz-coi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CC26-CBB8-4B6F-BA63-0EEEAC10F7B5}">
  <sheetPr codeName="Sheet5">
    <tabColor rgb="FF00B0F0"/>
  </sheetPr>
  <dimension ref="A2:K72"/>
  <sheetViews>
    <sheetView workbookViewId="0"/>
  </sheetViews>
  <sheetFormatPr defaultRowHeight="15" x14ac:dyDescent="0.25"/>
  <cols>
    <col min="2" max="2" width="41.42578125" customWidth="1"/>
    <col min="3" max="3" width="19.85546875" customWidth="1"/>
    <col min="4" max="4" width="9.28515625" customWidth="1"/>
    <col min="5" max="5" width="16.5703125" customWidth="1"/>
    <col min="6" max="6" width="15.42578125" customWidth="1"/>
    <col min="7" max="7" width="10.140625" customWidth="1"/>
    <col min="8" max="8" width="32.140625" customWidth="1"/>
    <col min="9" max="9" width="57.85546875" customWidth="1"/>
    <col min="10" max="10" width="14.42578125" customWidth="1"/>
    <col min="11" max="11" width="120.85546875" customWidth="1"/>
  </cols>
  <sheetData>
    <row r="2" spans="2:11" x14ac:dyDescent="0.25">
      <c r="B2" s="49" t="s">
        <v>10</v>
      </c>
      <c r="C2" s="49"/>
      <c r="D2" s="49"/>
      <c r="E2" s="49"/>
      <c r="F2" s="49"/>
      <c r="G2" s="49"/>
      <c r="H2" s="49"/>
      <c r="I2" s="49"/>
      <c r="J2" s="49"/>
      <c r="K2" s="3"/>
    </row>
    <row r="3" spans="2:11" x14ac:dyDescent="0.25">
      <c r="B3" s="4" t="s">
        <v>11</v>
      </c>
      <c r="C3" s="33" t="s">
        <v>12</v>
      </c>
      <c r="D3" s="34" t="s">
        <v>126</v>
      </c>
      <c r="E3" s="34" t="s">
        <v>156</v>
      </c>
      <c r="F3" s="34" t="s">
        <v>173</v>
      </c>
      <c r="G3" s="34" t="s">
        <v>13</v>
      </c>
      <c r="H3" s="35" t="s">
        <v>9</v>
      </c>
      <c r="I3" s="36" t="s">
        <v>163</v>
      </c>
      <c r="J3" s="35" t="s">
        <v>14</v>
      </c>
    </row>
    <row r="4" spans="2:11" x14ac:dyDescent="0.25">
      <c r="B4" s="46" t="s">
        <v>15</v>
      </c>
      <c r="C4" s="6" t="s">
        <v>141</v>
      </c>
      <c r="D4" s="6" t="e">
        <f>ROUNDUP(SUMIF(#REF!, "8", #REF!)*1.1,0)</f>
        <v>#REF!</v>
      </c>
      <c r="E4" s="6"/>
      <c r="F4" s="6" t="e">
        <f>MAX(0,OrderSummary[[#This Row],[Qty ]]-OrderSummary[[#This Row],[In Stock]])</f>
        <v>#REF!</v>
      </c>
      <c r="G4" s="6" t="s">
        <v>17</v>
      </c>
      <c r="H4" s="40"/>
      <c r="I4" s="22" t="s">
        <v>169</v>
      </c>
      <c r="J4" s="21" t="s">
        <v>18</v>
      </c>
    </row>
    <row r="5" spans="2:11" x14ac:dyDescent="0.25">
      <c r="B5" s="47"/>
      <c r="C5" s="6" t="s">
        <v>16</v>
      </c>
      <c r="D5" s="6" t="e">
        <f>ROUNDUP(SUMIF(#REF!, "12", #REF!)*1.1,0)</f>
        <v>#REF!</v>
      </c>
      <c r="E5" s="6"/>
      <c r="F5" s="6" t="e">
        <f>MAX(0,OrderSummary[[#This Row],[Qty ]]-OrderSummary[[#This Row],[In Stock]])</f>
        <v>#REF!</v>
      </c>
      <c r="G5" s="6" t="s">
        <v>17</v>
      </c>
      <c r="H5" s="40"/>
      <c r="I5" s="22" t="s">
        <v>167</v>
      </c>
      <c r="J5" s="21" t="s">
        <v>18</v>
      </c>
    </row>
    <row r="6" spans="2:11" x14ac:dyDescent="0.25">
      <c r="B6" s="47"/>
      <c r="C6" s="6" t="s">
        <v>131</v>
      </c>
      <c r="D6" s="6" t="e">
        <f>ROUNDUP(SUMIF(#REF!, "14", #REF!)*1.1,0)</f>
        <v>#REF!</v>
      </c>
      <c r="E6" s="6"/>
      <c r="F6" s="1" t="e">
        <f>MAX(0,OrderSummary[[#This Row],[Qty ]]-OrderSummary[[#This Row],[In Stock]])</f>
        <v>#REF!</v>
      </c>
      <c r="G6" s="6" t="s">
        <v>17</v>
      </c>
      <c r="H6" s="6" t="s">
        <v>233</v>
      </c>
      <c r="I6" s="22" t="s">
        <v>166</v>
      </c>
      <c r="J6" s="21" t="s">
        <v>18</v>
      </c>
    </row>
    <row r="7" spans="2:11" x14ac:dyDescent="0.25">
      <c r="B7" s="47"/>
      <c r="C7" s="6" t="s">
        <v>142</v>
      </c>
      <c r="D7" s="6" t="e">
        <f>ROUNDUP(SUMIF(#REF!, "16", #REF!)*1.1,0)</f>
        <v>#REF!</v>
      </c>
      <c r="E7" s="6"/>
      <c r="F7" s="6" t="e">
        <f>MAX(0,OrderSummary[[#This Row],[Qty ]]-OrderSummary[[#This Row],[In Stock]])</f>
        <v>#REF!</v>
      </c>
      <c r="G7" s="6" t="s">
        <v>17</v>
      </c>
      <c r="H7" s="6" t="s">
        <v>234</v>
      </c>
      <c r="I7" s="44"/>
      <c r="J7" s="21" t="s">
        <v>18</v>
      </c>
    </row>
    <row r="8" spans="2:11" x14ac:dyDescent="0.25">
      <c r="B8" s="48"/>
      <c r="C8" s="6" t="s">
        <v>143</v>
      </c>
      <c r="D8" s="6" t="e">
        <f>ROUNDUP(SUMIF(#REF!, "18", #REF!)*1.1,0)</f>
        <v>#REF!</v>
      </c>
      <c r="E8" s="6"/>
      <c r="F8" s="1" t="e">
        <f>MAX(0,OrderSummary[[#This Row],[Qty ]]-OrderSummary[[#This Row],[In Stock]])</f>
        <v>#REF!</v>
      </c>
      <c r="G8" s="6" t="s">
        <v>17</v>
      </c>
      <c r="H8" s="6" t="s">
        <v>235</v>
      </c>
      <c r="I8" s="22"/>
      <c r="J8" s="21" t="s">
        <v>18</v>
      </c>
    </row>
    <row r="9" spans="2:11" x14ac:dyDescent="0.25">
      <c r="B9" s="47" t="s">
        <v>59</v>
      </c>
      <c r="C9" s="6" t="s">
        <v>19</v>
      </c>
      <c r="D9" s="6" t="e">
        <f>ROUNDUP(SUMIF(#REF!, "18", #REF!)*1.1,0)</f>
        <v>#REF!</v>
      </c>
      <c r="E9" s="6"/>
      <c r="F9" s="1" t="e">
        <f>MAX(0,OrderSummary[[#This Row],[Qty ]]-OrderSummary[[#This Row],[In Stock]])</f>
        <v>#REF!</v>
      </c>
      <c r="G9" s="6" t="s">
        <v>17</v>
      </c>
      <c r="H9" s="6" t="s">
        <v>236</v>
      </c>
      <c r="I9" s="22" t="s">
        <v>168</v>
      </c>
      <c r="J9" s="21" t="s">
        <v>18</v>
      </c>
    </row>
    <row r="10" spans="2:11" x14ac:dyDescent="0.25">
      <c r="B10" s="48"/>
      <c r="C10" s="6" t="s">
        <v>132</v>
      </c>
      <c r="D10" s="6" t="e">
        <f>ROUNDUP(SUMIF(#REF!, "18", #REF!)*1.1,0)</f>
        <v>#REF!</v>
      </c>
      <c r="E10" s="6"/>
      <c r="F10" s="1" t="e">
        <f>MAX(0,OrderSummary[[#This Row],[Qty ]]-OrderSummary[[#This Row],[In Stock]])</f>
        <v>#REF!</v>
      </c>
      <c r="G10" s="6" t="s">
        <v>17</v>
      </c>
      <c r="H10" s="6" t="s">
        <v>237</v>
      </c>
      <c r="I10" s="22"/>
      <c r="J10" s="21" t="s">
        <v>18</v>
      </c>
    </row>
    <row r="11" spans="2:11" x14ac:dyDescent="0.25">
      <c r="B11" s="46" t="s">
        <v>20</v>
      </c>
      <c r="C11" s="6" t="s">
        <v>51</v>
      </c>
      <c r="D11" s="6" t="e">
        <f>ROUNDUP(SUMIF(#REF!, "18", #REF!)*1.1,0)</f>
        <v>#REF!</v>
      </c>
      <c r="E11" s="6"/>
      <c r="F11" s="1" t="e">
        <f>MAX(0,OrderSummary[[#This Row],[Qty ]]-OrderSummary[[#This Row],[In Stock]])</f>
        <v>#REF!</v>
      </c>
      <c r="G11" s="6" t="s">
        <v>17</v>
      </c>
      <c r="H11" s="22" t="s">
        <v>193</v>
      </c>
      <c r="I11" s="22" t="s">
        <v>226</v>
      </c>
      <c r="J11" s="37" t="s">
        <v>222</v>
      </c>
    </row>
    <row r="12" spans="2:11" x14ac:dyDescent="0.25">
      <c r="B12" s="47"/>
      <c r="C12" s="6" t="s">
        <v>21</v>
      </c>
      <c r="D12" s="6" t="e">
        <f>ROUNDUP(SUMIF(#REF!, "20", #REF!)*1.1,0)</f>
        <v>#REF!</v>
      </c>
      <c r="E12" s="6"/>
      <c r="F12" s="1" t="e">
        <f>MAX(0,OrderSummary[[#This Row],[Qty ]]-OrderSummary[[#This Row],[In Stock]])</f>
        <v>#REF!</v>
      </c>
      <c r="G12" s="6" t="s">
        <v>17</v>
      </c>
      <c r="H12" s="22" t="s">
        <v>194</v>
      </c>
      <c r="I12" s="22" t="s">
        <v>225</v>
      </c>
      <c r="J12" s="37" t="s">
        <v>221</v>
      </c>
    </row>
    <row r="13" spans="2:11" x14ac:dyDescent="0.25">
      <c r="B13" s="47"/>
      <c r="C13" s="6" t="s">
        <v>22</v>
      </c>
      <c r="D13" s="6" t="e">
        <f>ROUNDUP(SUMIF(#REF!, "22", #REF!)*1.1,0)</f>
        <v>#REF!</v>
      </c>
      <c r="E13" s="6"/>
      <c r="F13" s="1" t="e">
        <f>MAX(0,OrderSummary[[#This Row],[Qty ]]-OrderSummary[[#This Row],[In Stock]])</f>
        <v>#REF!</v>
      </c>
      <c r="G13" s="6" t="s">
        <v>17</v>
      </c>
      <c r="H13" s="22" t="s">
        <v>195</v>
      </c>
      <c r="I13" s="22" t="s">
        <v>224</v>
      </c>
      <c r="J13" s="37" t="s">
        <v>220</v>
      </c>
    </row>
    <row r="14" spans="2:11" x14ac:dyDescent="0.25">
      <c r="B14" s="48"/>
      <c r="C14" s="6" t="s">
        <v>218</v>
      </c>
      <c r="D14" s="6" t="e">
        <f>ROUNDUP(SUMIF(#REF!, "24", #REF!)*1.1,0)</f>
        <v>#REF!</v>
      </c>
      <c r="E14" s="1"/>
      <c r="F14" s="1" t="e">
        <f>MAX(0,OrderSummary[[#This Row],[Qty ]]-OrderSummary[[#This Row],[In Stock]])</f>
        <v>#REF!</v>
      </c>
      <c r="G14" s="6" t="s">
        <v>17</v>
      </c>
      <c r="H14" s="22" t="s">
        <v>230</v>
      </c>
      <c r="I14" s="22" t="s">
        <v>223</v>
      </c>
      <c r="J14" s="37" t="s">
        <v>219</v>
      </c>
    </row>
    <row r="15" spans="2:11" x14ac:dyDescent="0.25">
      <c r="B15" s="26" t="s">
        <v>23</v>
      </c>
      <c r="C15" s="6" t="s">
        <v>24</v>
      </c>
      <c r="D15" s="6" t="e">
        <f>ROUNDUP(SUM(#REF!)*1.1,0)</f>
        <v>#REF!</v>
      </c>
      <c r="E15" s="6"/>
      <c r="F15" s="1" t="e">
        <f>MAX(0,OrderSummary[[#This Row],[Qty ]]-OrderSummary[[#This Row],[In Stock]])</f>
        <v>#REF!</v>
      </c>
      <c r="G15" s="6" t="s">
        <v>25</v>
      </c>
      <c r="H15" s="22" t="s">
        <v>61</v>
      </c>
      <c r="I15" s="22"/>
      <c r="J15" s="38" t="s">
        <v>26</v>
      </c>
    </row>
    <row r="16" spans="2:11" x14ac:dyDescent="0.25">
      <c r="B16" s="26" t="s">
        <v>27</v>
      </c>
      <c r="C16" s="6" t="s">
        <v>24</v>
      </c>
      <c r="D16" s="6" t="e">
        <f>ROUNDUP(SUM(#REF!)*1.1,0)</f>
        <v>#REF!</v>
      </c>
      <c r="E16" s="6"/>
      <c r="F16" s="1" t="e">
        <f>MAX(0,OrderSummary[[#This Row],[Qty ]]-OrderSummary[[#This Row],[In Stock]])</f>
        <v>#REF!</v>
      </c>
      <c r="G16" s="6" t="s">
        <v>25</v>
      </c>
      <c r="H16" s="22" t="s">
        <v>77</v>
      </c>
      <c r="I16" s="22"/>
      <c r="J16" s="38" t="s">
        <v>28</v>
      </c>
    </row>
    <row r="17" spans="2:10" x14ac:dyDescent="0.25">
      <c r="B17" s="26" t="s">
        <v>29</v>
      </c>
      <c r="C17" s="6" t="s">
        <v>24</v>
      </c>
      <c r="D17" s="6" t="e">
        <f>ROUNDUP(SUM(#REF!)*1.1,0)</f>
        <v>#REF!</v>
      </c>
      <c r="E17" s="6"/>
      <c r="F17" s="1" t="e">
        <f>MAX(0,OrderSummary[[#This Row],[Qty ]]-OrderSummary[[#This Row],[In Stock]])</f>
        <v>#REF!</v>
      </c>
      <c r="G17" s="6" t="s">
        <v>25</v>
      </c>
      <c r="H17" s="22" t="s">
        <v>130</v>
      </c>
      <c r="I17" s="22"/>
      <c r="J17" s="38" t="s">
        <v>26</v>
      </c>
    </row>
    <row r="18" spans="2:10" x14ac:dyDescent="0.25">
      <c r="B18" s="27" t="s">
        <v>217</v>
      </c>
      <c r="C18" s="6"/>
      <c r="D18" s="6" t="e" cm="1">
        <f t="array" ref="D18">ROUNDUP(SUMPRODUCT((#REF!="KE") * #REF! * 1.1), 0)</f>
        <v>#REF!</v>
      </c>
      <c r="E18" s="1"/>
      <c r="F18" s="1" t="e">
        <f>MAX(0,OrderSummary[[#This Row],[Qty ]]-OrderSummary[[#This Row],[In Stock]])</f>
        <v>#REF!</v>
      </c>
      <c r="G18" s="6"/>
      <c r="H18" s="42"/>
      <c r="I18" s="41"/>
      <c r="J18" s="43"/>
    </row>
    <row r="19" spans="2:10" x14ac:dyDescent="0.25">
      <c r="B19" s="46" t="s">
        <v>127</v>
      </c>
      <c r="C19" s="6" t="s">
        <v>37</v>
      </c>
      <c r="D19" s="6" t="e" cm="1">
        <f t="array" ref="D19">ROUNDUP(SUMPRODUCT((#REF!="STD") * (#REF!=25) * #REF! * 1.1), 0)</f>
        <v>#REF!</v>
      </c>
      <c r="E19" s="1"/>
      <c r="F19" s="1" t="e">
        <f>MAX(0,OrderSummary[[#This Row],[Qty ]]-OrderSummary[[#This Row],[In Stock]])</f>
        <v>#REF!</v>
      </c>
      <c r="G19" s="6" t="s">
        <v>25</v>
      </c>
      <c r="H19" s="22" t="s">
        <v>196</v>
      </c>
      <c r="I19" s="22" t="s">
        <v>183</v>
      </c>
      <c r="J19" s="39" t="s">
        <v>184</v>
      </c>
    </row>
    <row r="20" spans="2:10" x14ac:dyDescent="0.25">
      <c r="B20" s="48"/>
      <c r="C20" s="6" t="s">
        <v>39</v>
      </c>
      <c r="D20" s="6" t="e" cm="1">
        <f t="array" ref="D20">ROUNDUP(SUMPRODUCT((#REF!="STD") * (#REF!=40) * #REF! * 1.1), 0)</f>
        <v>#REF!</v>
      </c>
      <c r="E20" s="1"/>
      <c r="F20" s="1" t="e">
        <f>MAX(0,OrderSummary[[#This Row],[Qty ]]-OrderSummary[[#This Row],[In Stock]])</f>
        <v>#REF!</v>
      </c>
      <c r="G20" s="6"/>
      <c r="H20" s="7" t="s">
        <v>197</v>
      </c>
      <c r="I20" s="22" t="s">
        <v>170</v>
      </c>
      <c r="J20" s="38" t="s">
        <v>186</v>
      </c>
    </row>
    <row r="21" spans="2:10" x14ac:dyDescent="0.25">
      <c r="B21" s="46" t="s">
        <v>30</v>
      </c>
      <c r="C21" s="6" t="s">
        <v>31</v>
      </c>
      <c r="D21" s="6" t="e">
        <f>ROUNDUP(SUMIF(#REF!, "30", #REF!)*1.1,0)</f>
        <v>#REF!</v>
      </c>
      <c r="E21" s="1"/>
      <c r="F21" s="1" t="e">
        <f>MAX(0,OrderSummary[[#This Row],[Qty ]]-OrderSummary[[#This Row],[In Stock]])</f>
        <v>#REF!</v>
      </c>
      <c r="G21" s="6" t="s">
        <v>25</v>
      </c>
      <c r="H21" s="22" t="s">
        <v>198</v>
      </c>
      <c r="I21" s="22" t="s">
        <v>164</v>
      </c>
      <c r="J21" s="38" t="s">
        <v>174</v>
      </c>
    </row>
    <row r="22" spans="2:10" x14ac:dyDescent="0.25">
      <c r="B22" s="48"/>
      <c r="C22" s="6" t="s">
        <v>128</v>
      </c>
      <c r="D22" s="6" t="e">
        <f>ROUNDUP(SUMIF(#REF!, "60", #REF!)*1.1,0)</f>
        <v>#REF!</v>
      </c>
      <c r="E22" s="1"/>
      <c r="F22" s="1" t="e">
        <f>MAX(0,OrderSummary[[#This Row],[Qty ]]-OrderSummary[[#This Row],[In Stock]])</f>
        <v>#REF!</v>
      </c>
      <c r="G22" s="6" t="s">
        <v>25</v>
      </c>
      <c r="H22" s="22" t="s">
        <v>199</v>
      </c>
      <c r="I22" s="22" t="s">
        <v>172</v>
      </c>
      <c r="J22" s="38" t="s">
        <v>139</v>
      </c>
    </row>
    <row r="23" spans="2:10" x14ac:dyDescent="0.25">
      <c r="B23" s="50" t="s">
        <v>32</v>
      </c>
      <c r="C23" s="6" t="s">
        <v>227</v>
      </c>
      <c r="D23" s="6" t="e">
        <f>ROUNDUP(SUMIF(#REF!, "2", #REF!)*1.1,0)</f>
        <v>#REF!</v>
      </c>
      <c r="E23" s="1"/>
      <c r="F23" s="1" t="e">
        <f>MAX(0,OrderSummary[[#This Row],[Qty ]]-OrderSummary[[#This Row],[In Stock]])</f>
        <v>#REF!</v>
      </c>
      <c r="G23" s="6"/>
      <c r="H23" s="22" t="s">
        <v>231</v>
      </c>
      <c r="I23" s="22"/>
      <c r="J23" s="38"/>
    </row>
    <row r="24" spans="2:10" x14ac:dyDescent="0.25">
      <c r="B24" s="51"/>
      <c r="C24" s="6" t="s">
        <v>33</v>
      </c>
      <c r="D24" s="6" t="e">
        <f>ROUNDUP(SUMIF(#REF!, "6", #REF!)*1.1,0)</f>
        <v>#REF!</v>
      </c>
      <c r="E24" s="1"/>
      <c r="F24" s="1" t="e">
        <f>MAX(0,OrderSummary[[#This Row],[Qty ]]-OrderSummary[[#This Row],[In Stock]])</f>
        <v>#REF!</v>
      </c>
      <c r="G24" s="6" t="s">
        <v>25</v>
      </c>
      <c r="H24" s="22" t="s">
        <v>200</v>
      </c>
      <c r="I24" s="22" t="s">
        <v>157</v>
      </c>
      <c r="J24" s="38" t="s">
        <v>175</v>
      </c>
    </row>
    <row r="25" spans="2:10" x14ac:dyDescent="0.25">
      <c r="B25" s="51"/>
      <c r="C25" s="6" t="s">
        <v>34</v>
      </c>
      <c r="D25" s="6" t="e">
        <f>ROUNDUP(SUMIF(#REF!, "10", #REF!)*1.1,0)</f>
        <v>#REF!</v>
      </c>
      <c r="E25" s="1"/>
      <c r="F25" s="1" t="e">
        <f>MAX(0,OrderSummary[[#This Row],[Qty ]]-OrderSummary[[#This Row],[In Stock]])</f>
        <v>#REF!</v>
      </c>
      <c r="G25" s="6" t="s">
        <v>25</v>
      </c>
      <c r="H25" s="22" t="s">
        <v>201</v>
      </c>
      <c r="I25" s="22" t="s">
        <v>158</v>
      </c>
      <c r="J25" s="38" t="s">
        <v>176</v>
      </c>
    </row>
    <row r="26" spans="2:10" x14ac:dyDescent="0.25">
      <c r="B26" s="51"/>
      <c r="C26" s="6" t="s">
        <v>35</v>
      </c>
      <c r="D26" s="6" t="e">
        <f>ROUNDUP(SUMIF(#REF!, 15, #REF!)*1.1,0)</f>
        <v>#REF!</v>
      </c>
      <c r="E26" s="1"/>
      <c r="F26" s="1" t="e">
        <f>MAX(0,OrderSummary[[#This Row],[Qty ]]-OrderSummary[[#This Row],[In Stock]])</f>
        <v>#REF!</v>
      </c>
      <c r="G26" s="6" t="s">
        <v>25</v>
      </c>
      <c r="H26" s="22" t="s">
        <v>202</v>
      </c>
      <c r="I26" s="22" t="s">
        <v>159</v>
      </c>
      <c r="J26" s="38" t="s">
        <v>177</v>
      </c>
    </row>
    <row r="27" spans="2:10" x14ac:dyDescent="0.25">
      <c r="B27" s="51"/>
      <c r="C27" s="6" t="s">
        <v>36</v>
      </c>
      <c r="D27" s="6" t="e">
        <f>ROUNDUP(SUMIF(#REF!, "20", #REF!)*1.1,0)</f>
        <v>#REF!</v>
      </c>
      <c r="E27" s="1"/>
      <c r="F27" s="1" t="e">
        <f>MAX(0,OrderSummary[[#This Row],[Qty ]]-OrderSummary[[#This Row],[In Stock]])</f>
        <v>#REF!</v>
      </c>
      <c r="G27" s="6" t="s">
        <v>25</v>
      </c>
      <c r="H27" s="22" t="s">
        <v>203</v>
      </c>
      <c r="I27" s="22" t="s">
        <v>160</v>
      </c>
      <c r="J27" s="38" t="s">
        <v>178</v>
      </c>
    </row>
    <row r="28" spans="2:10" x14ac:dyDescent="0.25">
      <c r="B28" s="51"/>
      <c r="C28" s="6" t="s">
        <v>37</v>
      </c>
      <c r="D28" s="6" t="e">
        <f>ROUNDUP(SUMIF(#REF!, 25, #REF!)*1.1,0)</f>
        <v>#REF!</v>
      </c>
      <c r="E28" s="1"/>
      <c r="F28" s="1" t="e">
        <f>MAX(0,OrderSummary[[#This Row],[Qty ]]-OrderSummary[[#This Row],[In Stock]])</f>
        <v>#REF!</v>
      </c>
      <c r="G28" s="6"/>
      <c r="H28" s="42"/>
      <c r="I28" s="41"/>
      <c r="J28" s="43"/>
    </row>
    <row r="29" spans="2:10" x14ac:dyDescent="0.25">
      <c r="B29" s="51"/>
      <c r="C29" s="5" t="s">
        <v>31</v>
      </c>
      <c r="D29" s="6" t="e">
        <f>ROUNDUP(SUMIF(#REF!, "30", #REF!)*1.1,0)</f>
        <v>#REF!</v>
      </c>
      <c r="E29" s="1"/>
      <c r="F29" s="1" t="e">
        <f>MAX(0,OrderSummary[[#This Row],[Qty ]]-OrderSummary[[#This Row],[In Stock]])</f>
        <v>#REF!</v>
      </c>
      <c r="G29" s="6" t="s">
        <v>25</v>
      </c>
      <c r="H29" s="22" t="s">
        <v>204</v>
      </c>
      <c r="I29" s="22" t="s">
        <v>161</v>
      </c>
      <c r="J29" s="38" t="s">
        <v>179</v>
      </c>
    </row>
    <row r="30" spans="2:10" x14ac:dyDescent="0.25">
      <c r="B30" s="52"/>
      <c r="C30" s="5" t="s">
        <v>129</v>
      </c>
      <c r="D30" s="6" t="e">
        <f>ROUNDUP(SUMIF(#REF!, "45", #REF!)*1.1,0)</f>
        <v>#REF!</v>
      </c>
      <c r="E30" s="1"/>
      <c r="F30" s="1" t="e">
        <f>MAX(0,OrderSummary[[#This Row],[Qty ]]-OrderSummary[[#This Row],[In Stock]])</f>
        <v>#REF!</v>
      </c>
      <c r="G30" s="6" t="s">
        <v>25</v>
      </c>
      <c r="H30" s="22" t="s">
        <v>205</v>
      </c>
      <c r="I30" s="22" t="s">
        <v>162</v>
      </c>
      <c r="J30" s="38" t="s">
        <v>148</v>
      </c>
    </row>
    <row r="31" spans="2:10" x14ac:dyDescent="0.25">
      <c r="B31" s="46" t="s">
        <v>38</v>
      </c>
      <c r="C31" s="6" t="s">
        <v>37</v>
      </c>
      <c r="D31" s="6" t="e">
        <f>ROUNDUP(SUMIF(#REF!, "25", #REF!)*1.1,0)</f>
        <v>#REF!</v>
      </c>
      <c r="E31" s="1"/>
      <c r="F31" s="1" t="e">
        <f>MAX(0,OrderSummary[[#This Row],[Qty ]]-OrderSummary[[#This Row],[In Stock]])</f>
        <v>#REF!</v>
      </c>
      <c r="G31" s="6" t="s">
        <v>25</v>
      </c>
      <c r="H31" s="22" t="s">
        <v>206</v>
      </c>
      <c r="I31" s="22" t="s">
        <v>146</v>
      </c>
      <c r="J31" s="39" t="s">
        <v>180</v>
      </c>
    </row>
    <row r="32" spans="2:10" x14ac:dyDescent="0.25">
      <c r="B32" s="47"/>
      <c r="C32" s="6" t="s">
        <v>39</v>
      </c>
      <c r="D32" s="6" t="e">
        <f>ROUNDUP(SUMIF(#REF!, "40", #REF!)*1.1,0)</f>
        <v>#REF!</v>
      </c>
      <c r="E32" s="1"/>
      <c r="F32" s="1" t="e">
        <f>MAX(0,OrderSummary[[#This Row],[Qty ]]-OrderSummary[[#This Row],[In Stock]])</f>
        <v>#REF!</v>
      </c>
      <c r="G32" s="6" t="s">
        <v>25</v>
      </c>
      <c r="H32" s="22" t="s">
        <v>207</v>
      </c>
      <c r="I32" s="22" t="s">
        <v>147</v>
      </c>
      <c r="J32" s="39" t="s">
        <v>181</v>
      </c>
    </row>
    <row r="33" spans="1:10" x14ac:dyDescent="0.25">
      <c r="B33" s="46" t="s">
        <v>149</v>
      </c>
      <c r="C33" s="6" t="s">
        <v>37</v>
      </c>
      <c r="D33" s="6" t="e">
        <f>ROUNDUP(SUMIF(#REF!, "25", #REF!)*1.1,0)</f>
        <v>#REF!</v>
      </c>
      <c r="E33" s="1"/>
      <c r="F33" s="1" t="e">
        <f>MAX(0,OrderSummary[[#This Row],[Qty ]]-OrderSummary[[#This Row],[In Stock]])</f>
        <v>#REF!</v>
      </c>
      <c r="G33" s="6" t="s">
        <v>25</v>
      </c>
      <c r="H33" s="22" t="s">
        <v>228</v>
      </c>
      <c r="I33" s="22"/>
      <c r="J33" s="21" t="s">
        <v>40</v>
      </c>
    </row>
    <row r="34" spans="1:10" x14ac:dyDescent="0.25">
      <c r="B34" s="47"/>
      <c r="C34" s="6" t="s">
        <v>39</v>
      </c>
      <c r="D34" s="6" t="e">
        <f>ROUNDUP(SUMIF(#REF!, "40", #REF!)*1.1,0)</f>
        <v>#REF!</v>
      </c>
      <c r="E34" s="1"/>
      <c r="F34" s="1" t="e">
        <f>MAX(0,OrderSummary[[#This Row],[Qty ]]-OrderSummary[[#This Row],[In Stock]])</f>
        <v>#REF!</v>
      </c>
      <c r="G34" s="6" t="s">
        <v>25</v>
      </c>
      <c r="H34" s="22" t="s">
        <v>208</v>
      </c>
      <c r="I34" s="22" t="s">
        <v>165</v>
      </c>
      <c r="J34" t="s">
        <v>24</v>
      </c>
    </row>
    <row r="35" spans="1:10" x14ac:dyDescent="0.25">
      <c r="B35" s="48"/>
      <c r="C35" s="6" t="s">
        <v>128</v>
      </c>
      <c r="D35" s="6" t="e">
        <f>ROUNDUP(SUMIF(#REF!, "&gt;40", #REF!)*1.1,0)</f>
        <v>#REF!</v>
      </c>
      <c r="E35" s="1"/>
      <c r="F35" s="1" t="e">
        <f>MAX(0,OrderSummary[[#This Row],[Qty ]]-OrderSummary[[#This Row],[In Stock]])</f>
        <v>#REF!</v>
      </c>
      <c r="G35" s="6" t="s">
        <v>25</v>
      </c>
      <c r="H35" s="22" t="s">
        <v>71</v>
      </c>
      <c r="I35" s="22"/>
      <c r="J35" s="37"/>
    </row>
    <row r="36" spans="1:10" x14ac:dyDescent="0.25">
      <c r="B36" s="29" t="s">
        <v>41</v>
      </c>
      <c r="C36" s="6" t="s">
        <v>42</v>
      </c>
      <c r="D36" s="42" t="e">
        <f>ROUNDUP(SUM(#REF!)*1.1,0)</f>
        <v>#REF!</v>
      </c>
      <c r="E36" s="1"/>
      <c r="F36" s="1" t="e">
        <f>MAX(0,OrderSummary[[#This Row],[Qty ]]-OrderSummary[[#This Row],[In Stock]])</f>
        <v>#REF!</v>
      </c>
      <c r="G36" s="6" t="s">
        <v>25</v>
      </c>
      <c r="H36" s="22" t="s">
        <v>64</v>
      </c>
      <c r="I36" t="s">
        <v>43</v>
      </c>
      <c r="J36" s="39" t="s">
        <v>182</v>
      </c>
    </row>
    <row r="37" spans="1:10" x14ac:dyDescent="0.25">
      <c r="B37" s="26" t="s">
        <v>44</v>
      </c>
      <c r="C37" s="6" t="s">
        <v>24</v>
      </c>
      <c r="D37" s="42" t="e">
        <f>ROUNDUP(SUM(#REF!)*1.1,0)</f>
        <v>#REF!</v>
      </c>
      <c r="E37" s="1"/>
      <c r="F37" s="1" t="e">
        <f>MAX(0,OrderSummary[[#This Row],[Qty ]]-OrderSummary[[#This Row],[In Stock]])</f>
        <v>#REF!</v>
      </c>
      <c r="G37" s="6" t="s">
        <v>25</v>
      </c>
      <c r="H37" s="22" t="s">
        <v>232</v>
      </c>
      <c r="I37" s="22"/>
      <c r="J37" s="39" t="s">
        <v>185</v>
      </c>
    </row>
    <row r="38" spans="1:10" x14ac:dyDescent="0.25">
      <c r="B38" s="26" t="s">
        <v>45</v>
      </c>
      <c r="C38" s="6" t="s">
        <v>24</v>
      </c>
      <c r="D38" s="42" t="e">
        <f>ROUNDUP(SUM(#REF!)*1.1,0)</f>
        <v>#REF!</v>
      </c>
      <c r="E38" s="1"/>
      <c r="F38" s="1" t="e">
        <f>MAX(0,OrderSummary[[#This Row],[Qty ]]-OrderSummary[[#This Row],[In Stock]])</f>
        <v>#REF!</v>
      </c>
      <c r="G38" s="6" t="s">
        <v>25</v>
      </c>
      <c r="H38" s="22" t="s">
        <v>209</v>
      </c>
      <c r="I38" t="s">
        <v>171</v>
      </c>
      <c r="J38" s="39" t="s">
        <v>187</v>
      </c>
    </row>
    <row r="39" spans="1:10" x14ac:dyDescent="0.25">
      <c r="B39" s="26" t="s">
        <v>46</v>
      </c>
      <c r="C39" s="6" t="s">
        <v>24</v>
      </c>
      <c r="D39" s="42" t="e">
        <f>ROUNDUP(SUM(#REF!)*1.1,0)</f>
        <v>#REF!</v>
      </c>
      <c r="E39" s="1"/>
      <c r="F39" s="1" t="e">
        <f>MAX(0,OrderSummary[[#This Row],[Qty ]]-OrderSummary[[#This Row],[In Stock]])</f>
        <v>#REF!</v>
      </c>
      <c r="G39" s="6" t="s">
        <v>25</v>
      </c>
      <c r="H39" s="22" t="s">
        <v>210</v>
      </c>
      <c r="I39" t="s">
        <v>47</v>
      </c>
      <c r="J39" s="39" t="s">
        <v>188</v>
      </c>
    </row>
    <row r="40" spans="1:10" x14ac:dyDescent="0.25">
      <c r="B40" s="30" t="s">
        <v>48</v>
      </c>
      <c r="C40" s="6" t="s">
        <v>49</v>
      </c>
      <c r="D40" s="42" t="e">
        <f>ROUNDUP(SUM(#REF!)*1.1,0)</f>
        <v>#REF!</v>
      </c>
      <c r="E40" s="1"/>
      <c r="F40" s="1" t="e">
        <f>MAX(0,OrderSummary[[#This Row],[Qty ]]-OrderSummary[[#This Row],[In Stock]])</f>
        <v>#REF!</v>
      </c>
      <c r="G40" s="6" t="s">
        <v>25</v>
      </c>
      <c r="H40" s="22" t="s">
        <v>65</v>
      </c>
      <c r="I40" s="22"/>
      <c r="J40" t="s">
        <v>66</v>
      </c>
    </row>
    <row r="41" spans="1:10" x14ac:dyDescent="0.25">
      <c r="A41" t="s">
        <v>229</v>
      </c>
      <c r="B41" s="27" t="s">
        <v>50</v>
      </c>
      <c r="C41" s="5" t="s">
        <v>133</v>
      </c>
      <c r="D41" s="42" t="e">
        <f>ROUNDUP(SUM(#REF!)*1.1,0)</f>
        <v>#REF!</v>
      </c>
      <c r="E41" s="1"/>
      <c r="F41" s="1" t="e">
        <f>MAX(0,OrderSummary[[#This Row],[Qty ]]-OrderSummary[[#This Row],[In Stock]])</f>
        <v>#REF!</v>
      </c>
      <c r="G41" s="6" t="s">
        <v>25</v>
      </c>
      <c r="H41" s="22" t="s">
        <v>211</v>
      </c>
      <c r="I41" s="22"/>
      <c r="J41" s="37" t="s">
        <v>189</v>
      </c>
    </row>
    <row r="42" spans="1:10" x14ac:dyDescent="0.25">
      <c r="B42" s="27" t="s">
        <v>52</v>
      </c>
      <c r="C42" s="6" t="s">
        <v>133</v>
      </c>
      <c r="D42" s="42" t="e">
        <f>ROUNDUP(SUM(#REF!)*1.1,0)</f>
        <v>#REF!</v>
      </c>
      <c r="E42" s="1"/>
      <c r="F42" s="1" t="e">
        <f>MAX(0,OrderSummary[[#This Row],[Qty ]]-OrderSummary[[#This Row],[In Stock]])</f>
        <v>#REF!</v>
      </c>
      <c r="G42" s="6" t="s">
        <v>25</v>
      </c>
      <c r="H42" s="22" t="s">
        <v>212</v>
      </c>
      <c r="I42" s="22"/>
      <c r="J42" s="37" t="s">
        <v>190</v>
      </c>
    </row>
    <row r="43" spans="1:10" x14ac:dyDescent="0.25">
      <c r="B43" s="26" t="s">
        <v>134</v>
      </c>
      <c r="C43" s="6" t="s">
        <v>135</v>
      </c>
      <c r="D43" s="42" t="e">
        <f>ROUNDUP(SUM(#REF!)*1.1,0)</f>
        <v>#REF!</v>
      </c>
      <c r="E43" s="1"/>
      <c r="F43" s="1" t="e">
        <f>MAX(0,OrderSummary[[#This Row],[Qty ]]-OrderSummary[[#This Row],[In Stock]])</f>
        <v>#REF!</v>
      </c>
      <c r="G43" s="6" t="s">
        <v>25</v>
      </c>
      <c r="H43" s="22" t="s">
        <v>213</v>
      </c>
      <c r="I43" s="22"/>
      <c r="J43" s="39" t="s">
        <v>191</v>
      </c>
    </row>
    <row r="44" spans="1:10" x14ac:dyDescent="0.25">
      <c r="B44" s="28" t="s">
        <v>53</v>
      </c>
      <c r="C44" s="5" t="s">
        <v>136</v>
      </c>
      <c r="D44" s="42" t="e">
        <f>ROUNDUP(SUM(#REF!)*1.1,0)</f>
        <v>#REF!</v>
      </c>
      <c r="E44" s="1"/>
      <c r="F44" s="1" t="e">
        <f>MAX(0,OrderSummary[[#This Row],[Qty ]]-OrderSummary[[#This Row],[In Stock]])</f>
        <v>#REF!</v>
      </c>
      <c r="G44" s="6" t="s">
        <v>25</v>
      </c>
      <c r="H44" s="22" t="s">
        <v>214</v>
      </c>
      <c r="I44" s="22"/>
      <c r="J44" s="37" t="s">
        <v>192</v>
      </c>
    </row>
    <row r="45" spans="1:10" x14ac:dyDescent="0.25">
      <c r="B45" s="31" t="s">
        <v>54</v>
      </c>
      <c r="C45" s="6" t="s">
        <v>24</v>
      </c>
      <c r="D45" s="42" t="e">
        <f>ROUNDUP(SUM(#REF!)*1.1,0)</f>
        <v>#REF!</v>
      </c>
      <c r="E45" s="1"/>
      <c r="F45" s="1" t="e">
        <f>MAX(0,OrderSummary[[#This Row],[Qty ]]-OrderSummary[[#This Row],[In Stock]])</f>
        <v>#REF!</v>
      </c>
      <c r="G45" s="6" t="s">
        <v>25</v>
      </c>
      <c r="H45" s="22" t="s">
        <v>67</v>
      </c>
      <c r="I45" s="22"/>
      <c r="J45" t="s">
        <v>68</v>
      </c>
    </row>
    <row r="46" spans="1:10" x14ac:dyDescent="0.25">
      <c r="B46" s="31" t="s">
        <v>55</v>
      </c>
      <c r="C46" s="6" t="s">
        <v>24</v>
      </c>
      <c r="D46" s="42" t="e">
        <f>ROUNDUP(SUM(#REF!)*1.1,0)</f>
        <v>#REF!</v>
      </c>
      <c r="E46" s="1"/>
      <c r="F46" s="1" t="e">
        <f>MAX(0,OrderSummary[[#This Row],[Qty ]]-OrderSummary[[#This Row],[In Stock]])</f>
        <v>#REF!</v>
      </c>
      <c r="G46" s="6" t="s">
        <v>25</v>
      </c>
      <c r="H46" s="22" t="s">
        <v>238</v>
      </c>
      <c r="I46" s="22"/>
      <c r="J46" t="s">
        <v>82</v>
      </c>
    </row>
    <row r="47" spans="1:10" x14ac:dyDescent="0.25">
      <c r="B47" s="31" t="s">
        <v>56</v>
      </c>
      <c r="C47" s="5"/>
      <c r="D47" s="42" t="e">
        <f>ROUNDUP(SUM(#REF!)*1.1,0)</f>
        <v>#REF!</v>
      </c>
      <c r="E47" s="1"/>
      <c r="F47" s="1" t="e">
        <f>MAX(0,OrderSummary[[#This Row],[Qty ]]-OrderSummary[[#This Row],[In Stock]])</f>
        <v>#REF!</v>
      </c>
      <c r="G47" s="6" t="s">
        <v>25</v>
      </c>
      <c r="H47" s="22" t="s">
        <v>215</v>
      </c>
      <c r="I47" s="22"/>
      <c r="J47" t="s">
        <v>74</v>
      </c>
    </row>
    <row r="48" spans="1:10" x14ac:dyDescent="0.25">
      <c r="B48" s="31" t="s">
        <v>57</v>
      </c>
      <c r="C48" s="6" t="s">
        <v>24</v>
      </c>
      <c r="D48" s="42" t="e">
        <f>ROUNDUP(SUM(#REF!)*1.1,0)</f>
        <v>#REF!</v>
      </c>
      <c r="E48" s="1"/>
      <c r="F48" s="1" t="e">
        <f>MAX(0,OrderSummary[[#This Row],[Qty ]]-OrderSummary[[#This Row],[In Stock]])</f>
        <v>#REF!</v>
      </c>
      <c r="G48" s="6" t="s">
        <v>25</v>
      </c>
      <c r="H48" s="22" t="s">
        <v>78</v>
      </c>
      <c r="I48" s="22" t="s">
        <v>79</v>
      </c>
      <c r="J48" s="38" t="s">
        <v>58</v>
      </c>
    </row>
    <row r="49" spans="2:10" x14ac:dyDescent="0.25">
      <c r="B49" s="32" t="s">
        <v>80</v>
      </c>
      <c r="C49" s="1" t="s">
        <v>24</v>
      </c>
      <c r="D49" s="42" t="e">
        <f>ROUNDUP(SUM(#REF!)*1.1,0)</f>
        <v>#REF!</v>
      </c>
      <c r="E49" s="1"/>
      <c r="F49" s="1" t="e">
        <f>MAX(0,OrderSummary[[#This Row],[Qty ]]-OrderSummary[[#This Row],[In Stock]])</f>
        <v>#REF!</v>
      </c>
      <c r="G49" s="1" t="s">
        <v>25</v>
      </c>
      <c r="H49" s="7" t="s">
        <v>69</v>
      </c>
      <c r="I49" s="7"/>
      <c r="J49" t="s">
        <v>70</v>
      </c>
    </row>
    <row r="50" spans="2:10" x14ac:dyDescent="0.25">
      <c r="B50" s="31" t="s">
        <v>80</v>
      </c>
      <c r="C50" s="1" t="s">
        <v>24</v>
      </c>
      <c r="D50" s="42" t="e">
        <f>ROUNDUP(SUM(#REF!)*1.1,0)</f>
        <v>#REF!</v>
      </c>
      <c r="E50" s="1"/>
      <c r="F50" s="1" t="e">
        <f>MAX(0,OrderSummary[[#This Row],[Qty ]]-OrderSummary[[#This Row],[In Stock]])</f>
        <v>#REF!</v>
      </c>
      <c r="G50" s="1" t="s">
        <v>25</v>
      </c>
      <c r="H50" s="7" t="s">
        <v>72</v>
      </c>
      <c r="I50" s="7"/>
      <c r="J50" t="s">
        <v>73</v>
      </c>
    </row>
    <row r="51" spans="2:10" x14ac:dyDescent="0.25">
      <c r="B51" s="32" t="s">
        <v>84</v>
      </c>
      <c r="C51" s="1" t="s">
        <v>24</v>
      </c>
      <c r="D51" s="42" t="e">
        <f>ROUNDUP(SUM(#REF!)*1.1,0)</f>
        <v>#REF!</v>
      </c>
      <c r="E51" s="1"/>
      <c r="F51" s="1" t="e">
        <f>MAX(0,OrderSummary[[#This Row],[Qty ]]-OrderSummary[[#This Row],[In Stock]])</f>
        <v>#REF!</v>
      </c>
      <c r="G51" s="1" t="s">
        <v>25</v>
      </c>
      <c r="H51" s="7" t="s">
        <v>75</v>
      </c>
      <c r="I51" s="7"/>
      <c r="J51" t="s">
        <v>76</v>
      </c>
    </row>
    <row r="52" spans="2:10" x14ac:dyDescent="0.25">
      <c r="B52" s="32" t="s">
        <v>81</v>
      </c>
      <c r="C52" s="1" t="s">
        <v>24</v>
      </c>
      <c r="D52" s="42" t="e">
        <f>ROUNDUP(SUM(#REF!)*1.1,0)</f>
        <v>#REF!</v>
      </c>
      <c r="E52" s="1"/>
      <c r="F52" s="1" t="e">
        <f>MAX(0,OrderSummary[[#This Row],[Qty ]]-OrderSummary[[#This Row],[In Stock]])</f>
        <v>#REF!</v>
      </c>
      <c r="G52" s="1" t="s">
        <v>25</v>
      </c>
      <c r="H52" s="7" t="s">
        <v>83</v>
      </c>
      <c r="I52" s="7"/>
      <c r="J52" t="s">
        <v>86</v>
      </c>
    </row>
    <row r="53" spans="2:10" x14ac:dyDescent="0.25">
      <c r="B53" s="32" t="s">
        <v>87</v>
      </c>
      <c r="C53" s="1" t="s">
        <v>24</v>
      </c>
      <c r="D53" s="42" t="e">
        <f>ROUNDUP(SUM(#REF!)*1.1,0)</f>
        <v>#REF!</v>
      </c>
      <c r="E53" s="1"/>
      <c r="F53" s="1" t="e">
        <f>MAX(0,OrderSummary[[#This Row],[Qty ]]-OrderSummary[[#This Row],[In Stock]])</f>
        <v>#REF!</v>
      </c>
      <c r="G53" s="1" t="s">
        <v>25</v>
      </c>
      <c r="H53" s="7" t="s">
        <v>88</v>
      </c>
      <c r="I53" s="7"/>
      <c r="J53" t="s">
        <v>89</v>
      </c>
    </row>
    <row r="54" spans="2:10" x14ac:dyDescent="0.25">
      <c r="B54" s="32" t="s">
        <v>85</v>
      </c>
      <c r="C54" s="1" t="s">
        <v>24</v>
      </c>
      <c r="D54" s="42" t="e">
        <f>ROUNDUP(SUM(#REF!)*1.1,0)</f>
        <v>#REF!</v>
      </c>
      <c r="E54" s="1"/>
      <c r="F54" s="1" t="e">
        <f>MAX(0,OrderSummary[[#This Row],[Qty ]]-OrderSummary[[#This Row],[In Stock]])</f>
        <v>#REF!</v>
      </c>
      <c r="G54" s="1" t="s">
        <v>25</v>
      </c>
      <c r="H54" s="7" t="s">
        <v>62</v>
      </c>
      <c r="I54" s="7"/>
      <c r="J54" t="s">
        <v>63</v>
      </c>
    </row>
    <row r="55" spans="2:10" x14ac:dyDescent="0.25">
      <c r="B55" s="32" t="s">
        <v>137</v>
      </c>
      <c r="C55" s="1" t="s">
        <v>24</v>
      </c>
      <c r="D55" s="42" t="e">
        <f>ROUNDUP(SUM(#REF!)*1.1,0)</f>
        <v>#REF!</v>
      </c>
      <c r="E55" s="1"/>
      <c r="F55" s="1" t="e">
        <f>MAX(0,OrderSummary[[#This Row],[Qty ]]-OrderSummary[[#This Row],[In Stock]])</f>
        <v>#REF!</v>
      </c>
      <c r="G55" s="1" t="s">
        <v>25</v>
      </c>
      <c r="H55" s="22" t="s">
        <v>239</v>
      </c>
      <c r="I55" s="22"/>
      <c r="J55" t="s">
        <v>138</v>
      </c>
    </row>
    <row r="56" spans="2:10" x14ac:dyDescent="0.25">
      <c r="C56" s="1"/>
      <c r="D56" s="1"/>
      <c r="F56" s="1"/>
      <c r="G56" s="7"/>
      <c r="H56" s="7"/>
      <c r="I56" s="7"/>
    </row>
    <row r="57" spans="2:10" x14ac:dyDescent="0.25">
      <c r="C57" s="1"/>
      <c r="D57" s="1"/>
      <c r="F57" s="1"/>
      <c r="G57" s="7"/>
      <c r="H57" s="7"/>
      <c r="I57" s="7"/>
    </row>
    <row r="58" spans="2:10" x14ac:dyDescent="0.25">
      <c r="B58" s="1"/>
      <c r="C58" s="1"/>
      <c r="D58" s="1"/>
      <c r="F58" s="1"/>
      <c r="G58" s="7"/>
      <c r="H58" s="7"/>
    </row>
    <row r="59" spans="2:10" x14ac:dyDescent="0.25">
      <c r="B59" s="1"/>
      <c r="C59" s="1"/>
      <c r="D59" s="1"/>
      <c r="F59" s="1"/>
      <c r="G59" s="7"/>
      <c r="H59" s="7"/>
      <c r="I59" s="7"/>
    </row>
    <row r="60" spans="2:10" x14ac:dyDescent="0.25">
      <c r="B60" s="1"/>
      <c r="C60" s="1"/>
      <c r="D60" s="1"/>
      <c r="F60" s="1"/>
      <c r="G60" s="7"/>
      <c r="H60" s="7"/>
      <c r="I60" s="7"/>
    </row>
    <row r="61" spans="2:10" x14ac:dyDescent="0.25">
      <c r="B61" s="1"/>
    </row>
    <row r="63" spans="2:10" x14ac:dyDescent="0.25">
      <c r="G63" s="7"/>
      <c r="H63" s="7"/>
    </row>
    <row r="66" spans="3:9" x14ac:dyDescent="0.25">
      <c r="C66" s="1"/>
      <c r="D66" s="1"/>
      <c r="F66" s="1"/>
      <c r="G66" s="7"/>
      <c r="H66" s="7"/>
      <c r="I66" s="7"/>
    </row>
    <row r="67" spans="3:9" x14ac:dyDescent="0.25">
      <c r="C67" s="1"/>
      <c r="D67" s="1"/>
      <c r="F67" s="1"/>
      <c r="G67" s="7"/>
      <c r="H67" s="7"/>
      <c r="I67" s="7"/>
    </row>
    <row r="68" spans="3:9" x14ac:dyDescent="0.25">
      <c r="C68" s="1"/>
      <c r="D68" s="1"/>
      <c r="F68" s="1"/>
      <c r="G68" s="7"/>
      <c r="H68" s="7"/>
      <c r="I68" s="7"/>
    </row>
    <row r="69" spans="3:9" x14ac:dyDescent="0.25">
      <c r="C69" s="1"/>
      <c r="D69" s="1"/>
      <c r="F69" s="1"/>
      <c r="G69" s="7"/>
      <c r="H69" s="7"/>
    </row>
    <row r="70" spans="3:9" x14ac:dyDescent="0.25">
      <c r="C70" s="1"/>
      <c r="D70" s="1"/>
      <c r="F70" s="1"/>
      <c r="G70" s="7"/>
      <c r="H70" s="7"/>
      <c r="I70" s="7"/>
    </row>
    <row r="71" spans="3:9" x14ac:dyDescent="0.25">
      <c r="C71" s="1"/>
      <c r="D71" s="1"/>
      <c r="F71" s="1"/>
      <c r="G71" s="7"/>
      <c r="H71" s="7"/>
      <c r="I71" s="7"/>
    </row>
    <row r="72" spans="3:9" x14ac:dyDescent="0.25">
      <c r="C72" s="1"/>
      <c r="D72" s="1"/>
      <c r="F72" s="1"/>
      <c r="G72" s="7"/>
      <c r="H72" s="7"/>
      <c r="I72" s="7"/>
    </row>
  </sheetData>
  <mergeCells count="9">
    <mergeCell ref="B31:B32"/>
    <mergeCell ref="B33:B35"/>
    <mergeCell ref="B21:B22"/>
    <mergeCell ref="B2:J2"/>
    <mergeCell ref="B4:B8"/>
    <mergeCell ref="B9:B10"/>
    <mergeCell ref="B19:B20"/>
    <mergeCell ref="B11:B14"/>
    <mergeCell ref="B23:B30"/>
  </mergeCells>
  <conditionalFormatting sqref="F4:F55">
    <cfRule type="cellIs" dxfId="2" priority="1" operator="greaterThan">
      <formula>0</formula>
    </cfRule>
    <cfRule type="cellIs" dxfId="1" priority="2" operator="greaterThan">
      <formula>"&gt;0"</formula>
    </cfRule>
  </conditionalFormatting>
  <hyperlinks>
    <hyperlink ref="J15" r:id="rId1" display="https://infraredheaters.com/insulator.html" xr:uid="{8B818FB2-E6F8-4E44-879B-46875AFAE6EE}"/>
    <hyperlink ref="J17" r:id="rId2" display="https://infraredheaters.com/insulator.html" xr:uid="{1B98712B-ABE9-408E-B560-EFBC5FC6C4F9}"/>
    <hyperlink ref="J16" r:id="rId3" display="https://morelectricheating.com/crimphead10-32-100-threaded-crimp-heads-morparts10003" xr:uid="{4F773171-9C3B-4CCD-9565-2E988447E208}"/>
    <hyperlink ref="J48" r:id="rId4" display="https://www.mcmaster.com/1330K29/" xr:uid="{B1500098-30D4-473D-A92F-29F3BBC1B485}"/>
    <hyperlink ref="J22" r:id="rId5" xr:uid="{26980888-B37B-48DD-BACA-DF1CF98C4560}"/>
    <hyperlink ref="J30" r:id="rId6" xr:uid="{69C5FDDF-7EBF-4B15-A3EB-0E66C77E8462}"/>
    <hyperlink ref="J36" r:id="rId7" xr:uid="{C5E2F773-BD14-4A59-AC1D-52948BCCBED9}"/>
    <hyperlink ref="J19" r:id="rId8" xr:uid="{4FCF0847-D2C7-41DA-AD27-3BA389FB9F76}"/>
    <hyperlink ref="J37" r:id="rId9" xr:uid="{AAEDFB52-F858-4935-818C-87DB69892DA0}"/>
    <hyperlink ref="J38" r:id="rId10" xr:uid="{E9ACC879-572B-4221-8A0B-D76E8276CA48}"/>
    <hyperlink ref="J39" r:id="rId11" xr:uid="{61470975-2D78-4289-89B6-FFD43512CE93}"/>
    <hyperlink ref="J43" r:id="rId12" xr:uid="{FFFCFC21-2CFD-49DA-8C5D-4F1ED020A271}"/>
    <hyperlink ref="J31" r:id="rId13" xr:uid="{63E68294-1AFA-4E63-981D-A405DBD9161B}"/>
    <hyperlink ref="J32" r:id="rId14" xr:uid="{F305B1AC-D8C1-45E9-BF90-3815685DEBC1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2665-0066-4FC9-8780-BE553C4F3001}">
  <sheetPr codeName="Sheet3"/>
  <dimension ref="A1:AG55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33" customWidth="1"/>
    <col min="2" max="2" width="12.5703125" customWidth="1"/>
    <col min="3" max="13" width="10.7109375" customWidth="1"/>
    <col min="14" max="14" width="16.42578125" customWidth="1"/>
    <col min="15" max="15" width="12" bestFit="1" customWidth="1"/>
    <col min="19" max="19" width="24.28515625" customWidth="1"/>
  </cols>
  <sheetData>
    <row r="1" spans="1:33" x14ac:dyDescent="0.25">
      <c r="A1" s="13" t="s">
        <v>92</v>
      </c>
      <c r="B1" s="18">
        <f>O5</f>
        <v>153.6</v>
      </c>
      <c r="C1" s="13"/>
      <c r="D1" s="13"/>
      <c r="E1" s="13"/>
      <c r="F1" s="13"/>
      <c r="G1" s="13"/>
      <c r="H1" s="15"/>
      <c r="I1" s="13"/>
      <c r="J1" s="13"/>
      <c r="K1" s="13"/>
      <c r="L1" s="13"/>
      <c r="M1" s="13"/>
      <c r="N1" s="13" t="s">
        <v>94</v>
      </c>
      <c r="O1" s="13"/>
      <c r="P1" s="13"/>
      <c r="Q1" s="13"/>
      <c r="R1" s="13"/>
      <c r="S1" s="13" t="s">
        <v>118</v>
      </c>
      <c r="T1" s="13"/>
      <c r="U1" s="13"/>
      <c r="V1" s="13"/>
      <c r="W1" s="15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x14ac:dyDescent="0.25">
      <c r="A2" s="13" t="s">
        <v>95</v>
      </c>
      <c r="B2" s="13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 t="s">
        <v>119</v>
      </c>
      <c r="O2" s="12">
        <v>480</v>
      </c>
      <c r="P2" s="13" t="s">
        <v>60</v>
      </c>
      <c r="Q2" s="12">
        <v>3</v>
      </c>
      <c r="R2" s="13"/>
      <c r="S2" s="13" t="s">
        <v>119</v>
      </c>
      <c r="T2" s="12">
        <f>O2</f>
        <v>480</v>
      </c>
      <c r="U2" s="13" t="s">
        <v>60</v>
      </c>
      <c r="V2" s="12">
        <f>Q2</f>
        <v>3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x14ac:dyDescent="0.25">
      <c r="A3" s="13" t="s">
        <v>96</v>
      </c>
      <c r="B3" s="13">
        <v>15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 t="s">
        <v>97</v>
      </c>
      <c r="O3" s="16">
        <f>$O$2/SQRT($Q$2)</f>
        <v>277.12812921102039</v>
      </c>
      <c r="P3" s="13"/>
      <c r="Q3" s="13"/>
      <c r="R3" s="13"/>
      <c r="S3" s="13" t="s">
        <v>97</v>
      </c>
      <c r="T3" s="13">
        <f>T2</f>
        <v>480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x14ac:dyDescent="0.25">
      <c r="A4" s="13" t="s">
        <v>98</v>
      </c>
      <c r="B4" s="12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 t="s">
        <v>99</v>
      </c>
      <c r="O4" s="12">
        <v>1.5</v>
      </c>
      <c r="P4" s="13"/>
      <c r="Q4" s="13"/>
      <c r="R4" s="13"/>
      <c r="S4" s="13" t="s">
        <v>120</v>
      </c>
      <c r="T4" s="12">
        <f>O4</f>
        <v>1.5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x14ac:dyDescent="0.25">
      <c r="A5" s="13" t="s">
        <v>100</v>
      </c>
      <c r="B5" s="14">
        <f>B2/B4</f>
        <v>0.625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 t="s">
        <v>101</v>
      </c>
      <c r="O5" s="14">
        <f>($O$2^2)/($O$4*1000)</f>
        <v>153.6</v>
      </c>
      <c r="P5" s="13"/>
      <c r="Q5" s="13"/>
      <c r="R5" s="13"/>
      <c r="S5" s="13" t="s">
        <v>121</v>
      </c>
      <c r="T5" s="14">
        <f>($V$2*$T$2^2)/($T$4*1000)</f>
        <v>460.8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 x14ac:dyDescent="0.25">
      <c r="A6" s="13" t="s">
        <v>102</v>
      </c>
      <c r="B6" s="14">
        <f>($B$3-2)*$B$4+PI()*$B$5*($B$4-1)</f>
        <v>237.45243112740431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 t="s">
        <v>103</v>
      </c>
      <c r="O6" s="13">
        <v>1</v>
      </c>
      <c r="P6" s="13"/>
      <c r="Q6" s="13"/>
      <c r="R6" s="13"/>
      <c r="S6" s="13" t="s">
        <v>103</v>
      </c>
      <c r="T6" s="13">
        <v>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x14ac:dyDescent="0.25">
      <c r="A7" s="13" t="s">
        <v>104</v>
      </c>
      <c r="B7" s="12">
        <v>0.17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93</v>
      </c>
      <c r="O7" s="14">
        <f>($O$4*1000)/SQRT($Q$2)/$O$2</f>
        <v>1.8042195912175807</v>
      </c>
      <c r="P7" s="13"/>
      <c r="Q7" s="13"/>
      <c r="R7" s="13"/>
      <c r="S7" s="13" t="s">
        <v>93</v>
      </c>
      <c r="T7" s="14">
        <f>($T$4*1000)/SQRT($V$2)/$T$3</f>
        <v>1.8042195912175807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25">
      <c r="A8" s="13" t="s">
        <v>105</v>
      </c>
      <c r="B8" s="13">
        <v>0.25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 t="s">
        <v>106</v>
      </c>
      <c r="O8" s="14">
        <f>O7</f>
        <v>1.8042195912175807</v>
      </c>
      <c r="P8" s="13"/>
      <c r="Q8" s="13"/>
      <c r="R8" s="13"/>
      <c r="S8" s="13" t="s">
        <v>106</v>
      </c>
      <c r="T8" s="14">
        <f>$T$7/SQRT($V$2)</f>
        <v>1.0416666666666667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x14ac:dyDescent="0.25">
      <c r="A9" s="13" t="s">
        <v>107</v>
      </c>
      <c r="B9" s="14">
        <f>$B$6/$B$7*SQRT((PI()*$B$8)^2+$B$7^2)</f>
        <v>1122.4318946254375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 s="1" customFormat="1" ht="60" x14ac:dyDescent="0.25">
      <c r="A10" s="11" t="s">
        <v>108</v>
      </c>
      <c r="B10" s="11" t="s">
        <v>122</v>
      </c>
      <c r="C10" s="11" t="s">
        <v>109</v>
      </c>
      <c r="D10" s="11" t="s">
        <v>110</v>
      </c>
      <c r="E10" s="11" t="s">
        <v>111</v>
      </c>
      <c r="F10" s="11" t="s">
        <v>123</v>
      </c>
      <c r="G10" s="11" t="s">
        <v>112</v>
      </c>
      <c r="H10" s="11" t="s">
        <v>124</v>
      </c>
      <c r="I10" s="11" t="s">
        <v>113</v>
      </c>
      <c r="J10" s="11" t="s">
        <v>114</v>
      </c>
      <c r="K10" s="11" t="s">
        <v>115</v>
      </c>
      <c r="L10" s="11" t="s">
        <v>116</v>
      </c>
      <c r="M10" s="11" t="s">
        <v>117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5">
      <c r="A11" s="13">
        <v>1</v>
      </c>
      <c r="B11" s="13">
        <v>0.2893</v>
      </c>
      <c r="C11" s="13">
        <v>7.7999999999999996E-3</v>
      </c>
      <c r="D11" s="13">
        <v>3.2399999999999998E-2</v>
      </c>
      <c r="E11" s="13">
        <v>239.79060000000001</v>
      </c>
      <c r="F11" s="13">
        <v>10.9062</v>
      </c>
      <c r="G11" s="13">
        <v>1404.2646</v>
      </c>
      <c r="H11" s="13">
        <f>$B$1/C11*12</f>
        <v>236307.69230769231</v>
      </c>
      <c r="I11" s="13">
        <f>H11*B11/(SQRT((PI()*$B$8)^2+B11^2))</f>
        <v>81678.611561855927</v>
      </c>
      <c r="J11" s="13">
        <f>H11*$B$7/(SQRT((PI()*$B$8)^2+$B$7^2))</f>
        <v>49991.305754272988</v>
      </c>
      <c r="K11" s="13">
        <f>(J11+PI()*$B$5*1)/($B$3-2+PI()*$B$5)</f>
        <v>3341.015443577719</v>
      </c>
      <c r="L11" s="13">
        <f>_xlfn.FLOOR.MATH(K11)</f>
        <v>3341</v>
      </c>
      <c r="M11" s="13">
        <f>SQRT(((PI()*$B$8)^2)/((H11^2)/($B$6^2)-1))</f>
        <v>7.8920324443748093E-4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5"/>
    </row>
    <row r="12" spans="1:33" x14ac:dyDescent="0.25">
      <c r="A12" s="13">
        <v>2</v>
      </c>
      <c r="B12" s="13">
        <v>0.2576</v>
      </c>
      <c r="C12" s="13">
        <v>9.7999999999999997E-3</v>
      </c>
      <c r="D12" s="13">
        <v>5.1499999999999997E-2</v>
      </c>
      <c r="E12" s="13">
        <v>190.16229999999999</v>
      </c>
      <c r="F12" s="13">
        <v>9.7123000000000008</v>
      </c>
      <c r="G12" s="13">
        <v>991.71619999999996</v>
      </c>
      <c r="H12" s="13">
        <f t="shared" ref="H12:H55" si="0">$B$1/C12*12</f>
        <v>188081.63265306121</v>
      </c>
      <c r="I12" s="13">
        <f t="shared" ref="I12:I35" si="1">H12*B12/(SQRT((PI()*$B$8)^2+B12^2))</f>
        <v>58615.943789533441</v>
      </c>
      <c r="J12" s="13">
        <f t="shared" ref="J12:J35" si="2">H12*$B$7/(SQRT((PI()*$B$8)^2+$B$7^2))</f>
        <v>39788.998457482579</v>
      </c>
      <c r="K12" s="13">
        <f t="shared" ref="K12:K55" si="3">(J12+PI()*$B$5*1)/($B$3-2+PI()*$B$5)</f>
        <v>2659.2023365279219</v>
      </c>
      <c r="L12" s="13">
        <f t="shared" ref="L12:L55" si="4">_xlfn.FLOOR.MATH(K12)</f>
        <v>2659</v>
      </c>
      <c r="M12" s="13">
        <f t="shared" ref="M12:M35" si="5">SQRT(((PI()*$B$8)^2)/((H12^2)/($B$6^2)-1))</f>
        <v>9.9156334033243801E-4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x14ac:dyDescent="0.25">
      <c r="A13" s="13">
        <v>3</v>
      </c>
      <c r="B13" s="13">
        <v>0.22939999999999999</v>
      </c>
      <c r="C13" s="13">
        <v>1.23E-2</v>
      </c>
      <c r="D13" s="13">
        <v>8.1900000000000001E-2</v>
      </c>
      <c r="E13" s="13">
        <v>150.80539999999999</v>
      </c>
      <c r="F13" s="13">
        <v>8.6489999999999991</v>
      </c>
      <c r="G13" s="13">
        <v>700.3673</v>
      </c>
      <c r="H13" s="13">
        <f t="shared" si="0"/>
        <v>149853.65853658537</v>
      </c>
      <c r="I13" s="13">
        <f t="shared" si="1"/>
        <v>42013.967995323794</v>
      </c>
      <c r="J13" s="13">
        <f t="shared" si="2"/>
        <v>31701.803649051162</v>
      </c>
      <c r="K13" s="13">
        <f t="shared" si="3"/>
        <v>2118.740727281132</v>
      </c>
      <c r="L13" s="13">
        <f t="shared" si="4"/>
        <v>2118</v>
      </c>
      <c r="M13" s="13">
        <f t="shared" si="5"/>
        <v>1.2445137426227333E-3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x14ac:dyDescent="0.25">
      <c r="A14" s="13">
        <v>4</v>
      </c>
      <c r="B14" s="13">
        <v>0.20430000000000001</v>
      </c>
      <c r="C14" s="13">
        <v>1.5599999999999999E-2</v>
      </c>
      <c r="D14" s="13">
        <v>0.13020000000000001</v>
      </c>
      <c r="E14" s="13">
        <v>119.5939</v>
      </c>
      <c r="F14" s="13">
        <v>7.7022000000000004</v>
      </c>
      <c r="G14" s="13">
        <v>494.61169999999998</v>
      </c>
      <c r="H14" s="13">
        <f t="shared" si="0"/>
        <v>118153.84615384616</v>
      </c>
      <c r="I14" s="13">
        <f t="shared" si="1"/>
        <v>29744.664253573574</v>
      </c>
      <c r="J14" s="13">
        <f t="shared" si="2"/>
        <v>24995.652877136494</v>
      </c>
      <c r="K14" s="13">
        <f t="shared" si="3"/>
        <v>1670.5733313057169</v>
      </c>
      <c r="L14" s="13">
        <f t="shared" si="4"/>
        <v>1670</v>
      </c>
      <c r="M14" s="13">
        <f t="shared" si="5"/>
        <v>1.5784088794867936E-3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x14ac:dyDescent="0.25">
      <c r="A15" s="13">
        <v>5</v>
      </c>
      <c r="B15" s="13">
        <v>0.18190000000000001</v>
      </c>
      <c r="C15" s="13">
        <v>1.9599999999999999E-2</v>
      </c>
      <c r="D15" s="13">
        <v>0.20699999999999999</v>
      </c>
      <c r="E15" s="13">
        <v>94.842200000000005</v>
      </c>
      <c r="F15" s="13">
        <v>6.859</v>
      </c>
      <c r="G15" s="13">
        <v>349.30340000000001</v>
      </c>
      <c r="H15" s="13">
        <f t="shared" si="0"/>
        <v>94040.816326530607</v>
      </c>
      <c r="I15" s="13">
        <f t="shared" si="1"/>
        <v>21218.425930506877</v>
      </c>
      <c r="J15" s="13">
        <f t="shared" si="2"/>
        <v>19894.49922874129</v>
      </c>
      <c r="K15" s="13">
        <f t="shared" si="3"/>
        <v>1329.6667777808184</v>
      </c>
      <c r="L15" s="13">
        <f t="shared" si="4"/>
        <v>1329</v>
      </c>
      <c r="M15" s="13">
        <f t="shared" si="5"/>
        <v>1.9831314220412903E-3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x14ac:dyDescent="0.25">
      <c r="A16" s="13">
        <v>6</v>
      </c>
      <c r="B16" s="13">
        <v>0.16200000000000001</v>
      </c>
      <c r="C16" s="13">
        <v>2.4799999999999999E-2</v>
      </c>
      <c r="D16" s="13">
        <v>0.32919999999999999</v>
      </c>
      <c r="E16" s="13">
        <v>75.213099999999997</v>
      </c>
      <c r="F16" s="13">
        <v>6.1081000000000003</v>
      </c>
      <c r="G16" s="13">
        <v>246.6842</v>
      </c>
      <c r="H16" s="13">
        <f t="shared" si="0"/>
        <v>74322.580645161303</v>
      </c>
      <c r="I16" s="13">
        <f t="shared" si="1"/>
        <v>15014.071292854978</v>
      </c>
      <c r="J16" s="13">
        <f t="shared" si="2"/>
        <v>15723.07197110199</v>
      </c>
      <c r="K16" s="13">
        <f t="shared" si="3"/>
        <v>1050.8931928822324</v>
      </c>
      <c r="L16" s="13">
        <f t="shared" si="4"/>
        <v>1050</v>
      </c>
      <c r="M16" s="13">
        <f t="shared" si="5"/>
        <v>2.509273137390662E-3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x14ac:dyDescent="0.25">
      <c r="A17" s="13">
        <v>7</v>
      </c>
      <c r="B17" s="13">
        <v>0.14430000000000001</v>
      </c>
      <c r="C17" s="13">
        <v>3.1199999999999999E-2</v>
      </c>
      <c r="D17" s="13">
        <v>0.52349999999999997</v>
      </c>
      <c r="E17" s="13">
        <v>59.646599999999999</v>
      </c>
      <c r="F17" s="13">
        <v>5.4394</v>
      </c>
      <c r="G17" s="13">
        <v>174.21270000000001</v>
      </c>
      <c r="H17" s="13">
        <f t="shared" si="0"/>
        <v>59076.923076923078</v>
      </c>
      <c r="I17" s="13">
        <f t="shared" si="1"/>
        <v>10675.427229384899</v>
      </c>
      <c r="J17" s="13">
        <f t="shared" si="2"/>
        <v>12497.826438568247</v>
      </c>
      <c r="K17" s="13">
        <f t="shared" si="3"/>
        <v>835.35227516971565</v>
      </c>
      <c r="L17" s="13">
        <f t="shared" si="4"/>
        <v>835</v>
      </c>
      <c r="M17" s="13">
        <f t="shared" si="5"/>
        <v>3.1568368840854881E-3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 x14ac:dyDescent="0.25">
      <c r="A18" s="13">
        <v>8</v>
      </c>
      <c r="B18" s="13">
        <v>0.1285</v>
      </c>
      <c r="C18" s="13">
        <v>3.9399999999999998E-2</v>
      </c>
      <c r="D18" s="13">
        <v>0.83230000000000004</v>
      </c>
      <c r="E18" s="13">
        <v>47.301900000000003</v>
      </c>
      <c r="F18" s="13">
        <v>4.8438999999999997</v>
      </c>
      <c r="G18" s="13">
        <v>123.032</v>
      </c>
      <c r="H18" s="13">
        <f t="shared" si="0"/>
        <v>46781.725888324872</v>
      </c>
      <c r="I18" s="13">
        <f t="shared" si="1"/>
        <v>7553.5861347266718</v>
      </c>
      <c r="J18" s="13">
        <f t="shared" si="2"/>
        <v>9896.7559615058199</v>
      </c>
      <c r="K18" s="13">
        <f t="shared" si="3"/>
        <v>661.52454267440578</v>
      </c>
      <c r="L18" s="13">
        <f t="shared" si="4"/>
        <v>661</v>
      </c>
      <c r="M18" s="13">
        <f t="shared" si="5"/>
        <v>3.9865375242631772E-3</v>
      </c>
      <c r="N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x14ac:dyDescent="0.25">
      <c r="A19" s="13">
        <v>9</v>
      </c>
      <c r="B19" s="13">
        <v>0.1144</v>
      </c>
      <c r="C19" s="13">
        <v>4.9599999999999998E-2</v>
      </c>
      <c r="D19" s="13">
        <v>1.3234999999999999</v>
      </c>
      <c r="E19" s="13">
        <v>37.512</v>
      </c>
      <c r="F19" s="13">
        <v>4.3136000000000001</v>
      </c>
      <c r="G19" s="13">
        <v>86.8874</v>
      </c>
      <c r="H19" s="13">
        <f t="shared" si="0"/>
        <v>37161.290322580651</v>
      </c>
      <c r="I19" s="13">
        <f t="shared" si="1"/>
        <v>5356.3387087847668</v>
      </c>
      <c r="J19" s="13">
        <f t="shared" si="2"/>
        <v>7861.5359855509951</v>
      </c>
      <c r="K19" s="13">
        <f t="shared" si="3"/>
        <v>525.51220595797338</v>
      </c>
      <c r="L19" s="13">
        <f t="shared" si="4"/>
        <v>525</v>
      </c>
      <c r="M19" s="13">
        <f t="shared" si="5"/>
        <v>5.0186231161830413E-3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x14ac:dyDescent="0.25">
      <c r="A20" s="13">
        <v>10</v>
      </c>
      <c r="B20" s="13">
        <v>0.1019</v>
      </c>
      <c r="C20" s="13">
        <v>6.2600000000000003E-2</v>
      </c>
      <c r="D20" s="13">
        <v>2.1044</v>
      </c>
      <c r="E20" s="13">
        <v>29.7484</v>
      </c>
      <c r="F20" s="13">
        <v>3.8414000000000001</v>
      </c>
      <c r="G20" s="13">
        <v>61.361400000000003</v>
      </c>
      <c r="H20" s="13">
        <f t="shared" si="0"/>
        <v>29444.089456869006</v>
      </c>
      <c r="I20" s="13">
        <f t="shared" si="1"/>
        <v>3788.4150778850308</v>
      </c>
      <c r="J20" s="13">
        <f t="shared" si="2"/>
        <v>6228.9486403087731</v>
      </c>
      <c r="K20" s="13">
        <f t="shared" si="3"/>
        <v>416.40752816220061</v>
      </c>
      <c r="L20" s="13">
        <f t="shared" si="4"/>
        <v>416</v>
      </c>
      <c r="M20" s="13">
        <f t="shared" si="5"/>
        <v>6.3340647144021654E-3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25">
      <c r="A21" s="13">
        <v>11</v>
      </c>
      <c r="B21" s="13">
        <v>9.0700000000000003E-2</v>
      </c>
      <c r="C21" s="13">
        <v>7.8899999999999998E-2</v>
      </c>
      <c r="D21" s="13">
        <v>3.3462000000000001</v>
      </c>
      <c r="E21" s="13">
        <v>23.5915</v>
      </c>
      <c r="F21" s="13">
        <v>3.4209000000000001</v>
      </c>
      <c r="G21" s="13">
        <v>43.334499999999998</v>
      </c>
      <c r="H21" s="13">
        <f t="shared" si="0"/>
        <v>23361.216730038024</v>
      </c>
      <c r="I21" s="13">
        <f t="shared" si="1"/>
        <v>2680.0078593941676</v>
      </c>
      <c r="J21" s="13">
        <f t="shared" si="2"/>
        <v>4942.1062722855431</v>
      </c>
      <c r="K21" s="13">
        <f t="shared" si="3"/>
        <v>330.40874693540326</v>
      </c>
      <c r="L21" s="13">
        <f t="shared" si="4"/>
        <v>330</v>
      </c>
      <c r="M21" s="13">
        <f t="shared" si="5"/>
        <v>7.9835027443228186E-3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x14ac:dyDescent="0.25">
      <c r="A22" s="13">
        <v>12</v>
      </c>
      <c r="B22" s="13">
        <v>8.0799999999999997E-2</v>
      </c>
      <c r="C22" s="13">
        <v>9.9500000000000005E-2</v>
      </c>
      <c r="D22" s="13">
        <v>5.3205999999999998</v>
      </c>
      <c r="E22" s="13">
        <v>18.7089</v>
      </c>
      <c r="F22" s="13">
        <v>3.0464000000000002</v>
      </c>
      <c r="G22" s="13">
        <v>30.6036</v>
      </c>
      <c r="H22" s="13">
        <f t="shared" si="0"/>
        <v>18524.623115577888</v>
      </c>
      <c r="I22" s="13">
        <f t="shared" si="1"/>
        <v>1895.7658137143999</v>
      </c>
      <c r="J22" s="13">
        <f t="shared" si="2"/>
        <v>3918.916430988234</v>
      </c>
      <c r="K22" s="13">
        <f t="shared" si="3"/>
        <v>262.02968085726457</v>
      </c>
      <c r="L22" s="13">
        <f t="shared" si="4"/>
        <v>262</v>
      </c>
      <c r="M22" s="13">
        <f t="shared" si="5"/>
        <v>1.0068222449814351E-2</v>
      </c>
      <c r="N22" s="13"/>
      <c r="O22" s="13"/>
      <c r="P22" s="13"/>
      <c r="Q22" s="15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x14ac:dyDescent="0.25">
      <c r="A23" s="13">
        <v>13</v>
      </c>
      <c r="B23" s="13">
        <v>7.1999999999999995E-2</v>
      </c>
      <c r="C23" s="13">
        <v>0.1255</v>
      </c>
      <c r="D23" s="13">
        <v>8.4602000000000004</v>
      </c>
      <c r="E23" s="13">
        <v>14.8368</v>
      </c>
      <c r="F23" s="13">
        <v>2.7128999999999999</v>
      </c>
      <c r="G23" s="13">
        <v>21.6128</v>
      </c>
      <c r="H23" s="13">
        <f t="shared" si="0"/>
        <v>14686.852589641436</v>
      </c>
      <c r="I23" s="13">
        <f t="shared" si="1"/>
        <v>1340.7693534071254</v>
      </c>
      <c r="J23" s="13">
        <f t="shared" si="2"/>
        <v>3107.0293616201543</v>
      </c>
      <c r="K23" s="13">
        <f t="shared" si="3"/>
        <v>207.77183219262477</v>
      </c>
      <c r="L23" s="13">
        <f t="shared" si="4"/>
        <v>207</v>
      </c>
      <c r="M23" s="13">
        <f t="shared" si="5"/>
        <v>1.269973135835034E-2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x14ac:dyDescent="0.25">
      <c r="A24" s="13">
        <v>13.5</v>
      </c>
      <c r="B24" s="13">
        <v>6.7900000000000002E-2</v>
      </c>
      <c r="C24" s="13">
        <v>0.14099999999999999</v>
      </c>
      <c r="D24" s="13">
        <v>10.668100000000001</v>
      </c>
      <c r="E24" s="13">
        <v>13.2125</v>
      </c>
      <c r="F24" s="13">
        <v>2.5600999999999998</v>
      </c>
      <c r="G24" s="13">
        <v>18.162700000000001</v>
      </c>
      <c r="H24" s="13">
        <f t="shared" si="0"/>
        <v>13072.340425531915</v>
      </c>
      <c r="I24" s="13">
        <f t="shared" si="1"/>
        <v>1125.9427106594903</v>
      </c>
      <c r="J24" s="13">
        <f t="shared" si="2"/>
        <v>2765.4764885342506</v>
      </c>
      <c r="K24" s="13">
        <f t="shared" si="3"/>
        <v>184.94609102976582</v>
      </c>
      <c r="L24" s="13">
        <f t="shared" si="4"/>
        <v>184</v>
      </c>
      <c r="M24" s="13">
        <f t="shared" si="5"/>
        <v>1.426871330585573E-2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x14ac:dyDescent="0.25">
      <c r="A25" s="13">
        <v>14</v>
      </c>
      <c r="B25" s="13">
        <v>6.4100000000000004E-2</v>
      </c>
      <c r="C25" s="13">
        <v>0.1583</v>
      </c>
      <c r="D25" s="13">
        <v>13.452199999999999</v>
      </c>
      <c r="E25" s="13">
        <v>11.7661</v>
      </c>
      <c r="F25" s="13">
        <v>2.4159000000000002</v>
      </c>
      <c r="G25" s="13">
        <v>15.263299999999999</v>
      </c>
      <c r="H25" s="13">
        <f t="shared" si="0"/>
        <v>11643.714466203412</v>
      </c>
      <c r="I25" s="13">
        <f t="shared" si="1"/>
        <v>947.14851710131893</v>
      </c>
      <c r="J25" s="13">
        <f t="shared" si="2"/>
        <v>2463.2481672983531</v>
      </c>
      <c r="K25" s="13">
        <f t="shared" si="3"/>
        <v>164.7483823403679</v>
      </c>
      <c r="L25" s="13">
        <f t="shared" si="4"/>
        <v>164</v>
      </c>
      <c r="M25" s="13">
        <f t="shared" si="5"/>
        <v>1.6020102162450742E-2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x14ac:dyDescent="0.25">
      <c r="A26" s="13">
        <v>14.5</v>
      </c>
      <c r="B26" s="13">
        <v>6.0499999999999998E-2</v>
      </c>
      <c r="C26" s="13">
        <v>0.1777</v>
      </c>
      <c r="D26" s="13">
        <v>16.962900000000001</v>
      </c>
      <c r="E26" s="13">
        <v>10.478</v>
      </c>
      <c r="F26" s="13">
        <v>2.2797999999999998</v>
      </c>
      <c r="G26" s="13">
        <v>12.8268</v>
      </c>
      <c r="H26" s="13">
        <f t="shared" si="0"/>
        <v>10372.537985368599</v>
      </c>
      <c r="I26" s="13">
        <f t="shared" si="1"/>
        <v>796.64683010679073</v>
      </c>
      <c r="J26" s="13">
        <f t="shared" si="2"/>
        <v>2194.3285587131645</v>
      </c>
      <c r="K26" s="13">
        <f t="shared" si="3"/>
        <v>146.77667177115532</v>
      </c>
      <c r="L26" s="13">
        <f t="shared" si="4"/>
        <v>146</v>
      </c>
      <c r="M26" s="13">
        <f t="shared" si="5"/>
        <v>1.7984372795805063E-2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x14ac:dyDescent="0.25">
      <c r="A27" s="13">
        <v>15</v>
      </c>
      <c r="B27" s="13">
        <v>5.7099999999999998E-2</v>
      </c>
      <c r="C27" s="13">
        <v>0.1996</v>
      </c>
      <c r="D27" s="13">
        <v>21.389900000000001</v>
      </c>
      <c r="E27" s="13">
        <v>9.3308999999999997</v>
      </c>
      <c r="F27" s="13">
        <v>2.1514000000000002</v>
      </c>
      <c r="G27" s="13">
        <v>10.779199999999999</v>
      </c>
      <c r="H27" s="13">
        <f t="shared" si="0"/>
        <v>9234.4689378757503</v>
      </c>
      <c r="I27" s="13">
        <f t="shared" si="1"/>
        <v>669.59688663341035</v>
      </c>
      <c r="J27" s="13">
        <f t="shared" si="2"/>
        <v>1953.5680605377215</v>
      </c>
      <c r="K27" s="13">
        <f t="shared" si="3"/>
        <v>130.68681498282888</v>
      </c>
      <c r="L27" s="13">
        <f t="shared" si="4"/>
        <v>130</v>
      </c>
      <c r="M27" s="13">
        <f t="shared" si="5"/>
        <v>2.0202178360936192E-2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x14ac:dyDescent="0.25">
      <c r="A28" s="13">
        <v>15.5</v>
      </c>
      <c r="B28" s="13">
        <v>5.3900000000000003E-2</v>
      </c>
      <c r="C28" s="13">
        <v>0.22409999999999999</v>
      </c>
      <c r="D28" s="13">
        <v>26.972200000000001</v>
      </c>
      <c r="E28" s="13">
        <v>8.3094000000000001</v>
      </c>
      <c r="F28" s="13">
        <v>2.0301999999999998</v>
      </c>
      <c r="G28" s="13">
        <v>9.0585000000000004</v>
      </c>
      <c r="H28" s="13">
        <f t="shared" si="0"/>
        <v>8224.8995983935747</v>
      </c>
      <c r="I28" s="13">
        <f t="shared" si="1"/>
        <v>563.13066961252741</v>
      </c>
      <c r="J28" s="13">
        <f t="shared" si="2"/>
        <v>1739.9919004164626</v>
      </c>
      <c r="K28" s="13">
        <f t="shared" si="3"/>
        <v>116.41366861623672</v>
      </c>
      <c r="L28" s="13">
        <f t="shared" si="4"/>
        <v>116</v>
      </c>
      <c r="M28" s="13">
        <f t="shared" si="5"/>
        <v>2.2683860018561226E-2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13">
        <v>16</v>
      </c>
      <c r="B29" s="13">
        <v>5.0799999999999998E-2</v>
      </c>
      <c r="C29" s="13">
        <v>0.25169999999999998</v>
      </c>
      <c r="D29" s="13">
        <v>34.011400000000002</v>
      </c>
      <c r="E29" s="13">
        <v>7.3997000000000002</v>
      </c>
      <c r="F29" s="13">
        <v>1.9158999999999999</v>
      </c>
      <c r="G29" s="13">
        <v>7.6124999999999998</v>
      </c>
      <c r="H29" s="13">
        <f t="shared" si="0"/>
        <v>7323.0035756853395</v>
      </c>
      <c r="I29" s="13">
        <f t="shared" si="1"/>
        <v>472.66834709792136</v>
      </c>
      <c r="J29" s="13">
        <f t="shared" si="2"/>
        <v>1549.1942188451699</v>
      </c>
      <c r="K29" s="13">
        <f t="shared" si="3"/>
        <v>103.66279214234871</v>
      </c>
      <c r="L29" s="13">
        <f t="shared" si="4"/>
        <v>103</v>
      </c>
      <c r="M29" s="13">
        <f t="shared" si="5"/>
        <v>2.5480367522456353E-2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x14ac:dyDescent="0.25">
      <c r="A30" s="13">
        <v>16.5</v>
      </c>
      <c r="B30" s="13">
        <v>4.8000000000000001E-2</v>
      </c>
      <c r="C30" s="13">
        <v>0.28260000000000002</v>
      </c>
      <c r="D30" s="13">
        <v>42.887599999999999</v>
      </c>
      <c r="E30" s="13">
        <v>6.5896999999999997</v>
      </c>
      <c r="F30" s="13">
        <v>1.8080000000000001</v>
      </c>
      <c r="G30" s="13">
        <v>6.3973000000000004</v>
      </c>
      <c r="H30" s="13">
        <f t="shared" si="0"/>
        <v>6522.2929936305736</v>
      </c>
      <c r="I30" s="13">
        <f t="shared" si="1"/>
        <v>397.87083341934255</v>
      </c>
      <c r="J30" s="13">
        <f t="shared" si="2"/>
        <v>1379.802494279297</v>
      </c>
      <c r="K30" s="13">
        <f t="shared" si="3"/>
        <v>92.342460900109529</v>
      </c>
      <c r="L30" s="13">
        <f t="shared" si="4"/>
        <v>92</v>
      </c>
      <c r="M30" s="13">
        <f t="shared" si="5"/>
        <v>2.8612394158011215E-2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x14ac:dyDescent="0.25">
      <c r="A31" s="13">
        <v>17</v>
      </c>
      <c r="B31" s="13">
        <v>4.53E-2</v>
      </c>
      <c r="C31" s="13">
        <v>0.31740000000000002</v>
      </c>
      <c r="D31" s="13">
        <v>54.080399999999997</v>
      </c>
      <c r="E31" s="13">
        <v>5.8682999999999996</v>
      </c>
      <c r="F31" s="13">
        <v>1.7060999999999999</v>
      </c>
      <c r="G31" s="13">
        <v>5.3761000000000001</v>
      </c>
      <c r="H31" s="13">
        <f t="shared" si="0"/>
        <v>5807.1833648393185</v>
      </c>
      <c r="I31" s="13">
        <f t="shared" si="1"/>
        <v>334.38952946685362</v>
      </c>
      <c r="J31" s="13">
        <f t="shared" si="2"/>
        <v>1228.5198011447046</v>
      </c>
      <c r="K31" s="13">
        <f t="shared" si="3"/>
        <v>82.232343644436696</v>
      </c>
      <c r="L31" s="13">
        <f t="shared" si="4"/>
        <v>82</v>
      </c>
      <c r="M31" s="13">
        <f t="shared" si="5"/>
        <v>3.2141365590211295E-2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x14ac:dyDescent="0.25">
      <c r="A32" s="13">
        <v>17.5</v>
      </c>
      <c r="B32" s="13">
        <v>4.2700000000000002E-2</v>
      </c>
      <c r="C32" s="13">
        <v>0.35639999999999999</v>
      </c>
      <c r="D32" s="13">
        <v>68.194199999999995</v>
      </c>
      <c r="E32" s="13">
        <v>5.2257999999999996</v>
      </c>
      <c r="F32" s="13">
        <v>1.61</v>
      </c>
      <c r="G32" s="13">
        <v>4.5179</v>
      </c>
      <c r="H32" s="13">
        <f t="shared" si="0"/>
        <v>5171.7171717171714</v>
      </c>
      <c r="I32" s="13">
        <f t="shared" si="1"/>
        <v>280.7578199754978</v>
      </c>
      <c r="J32" s="13">
        <f t="shared" si="2"/>
        <v>1094.0858161709575</v>
      </c>
      <c r="K32" s="13">
        <f t="shared" si="3"/>
        <v>73.248213846967104</v>
      </c>
      <c r="L32" s="13">
        <f t="shared" si="4"/>
        <v>73</v>
      </c>
      <c r="M32" s="13">
        <f t="shared" si="5"/>
        <v>3.609856838374257E-2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13" x14ac:dyDescent="0.25">
      <c r="A33" s="13">
        <v>18</v>
      </c>
      <c r="B33" s="13">
        <v>4.0300000000000002E-2</v>
      </c>
      <c r="C33" s="13">
        <v>0.4002</v>
      </c>
      <c r="D33" s="13">
        <v>85.991399999999999</v>
      </c>
      <c r="E33" s="13">
        <v>4.6536999999999997</v>
      </c>
      <c r="F33" s="13">
        <v>1.5194000000000001</v>
      </c>
      <c r="G33" s="13">
        <v>3.7967</v>
      </c>
      <c r="H33" s="13">
        <f t="shared" si="0"/>
        <v>4605.6971514242878</v>
      </c>
      <c r="I33" s="13">
        <f t="shared" si="1"/>
        <v>236.01498169718568</v>
      </c>
      <c r="J33" s="13">
        <f t="shared" si="2"/>
        <v>974.34329056304171</v>
      </c>
      <c r="K33" s="13">
        <f t="shared" si="3"/>
        <v>65.245904069804524</v>
      </c>
      <c r="L33" s="13">
        <f t="shared" si="4"/>
        <v>65</v>
      </c>
      <c r="M33" s="13">
        <f t="shared" si="5"/>
        <v>4.0546099344864972E-2</v>
      </c>
    </row>
    <row r="34" spans="1:13" x14ac:dyDescent="0.25">
      <c r="A34" s="13">
        <v>18.5</v>
      </c>
      <c r="B34" s="13">
        <v>3.7999999999999999E-2</v>
      </c>
      <c r="C34" s="13">
        <v>0.44940000000000002</v>
      </c>
      <c r="D34" s="13">
        <v>108.4333</v>
      </c>
      <c r="E34" s="13">
        <v>4.1443000000000003</v>
      </c>
      <c r="F34" s="13">
        <v>1.4338</v>
      </c>
      <c r="G34" s="13">
        <v>3.1905999999999999</v>
      </c>
      <c r="H34" s="13">
        <f t="shared" si="0"/>
        <v>4101.46862483311</v>
      </c>
      <c r="I34" s="13">
        <f t="shared" si="1"/>
        <v>198.20991607228183</v>
      </c>
      <c r="J34" s="13">
        <f t="shared" si="2"/>
        <v>867.67286355881004</v>
      </c>
      <c r="K34" s="13">
        <f t="shared" si="3"/>
        <v>58.11719355851028</v>
      </c>
      <c r="L34" s="13">
        <f t="shared" si="4"/>
        <v>58</v>
      </c>
      <c r="M34" s="13">
        <f t="shared" si="5"/>
        <v>4.5546620521452148E-2</v>
      </c>
    </row>
    <row r="35" spans="1:13" x14ac:dyDescent="0.25">
      <c r="A35" s="13">
        <v>19</v>
      </c>
      <c r="B35" s="13">
        <v>3.5900000000000001E-2</v>
      </c>
      <c r="C35" s="13">
        <v>0.50460000000000005</v>
      </c>
      <c r="D35" s="13">
        <v>136.7321</v>
      </c>
      <c r="E35" s="13">
        <v>3.6905999999999999</v>
      </c>
      <c r="F35" s="13">
        <v>1.353</v>
      </c>
      <c r="G35" s="13">
        <v>2.6812999999999998</v>
      </c>
      <c r="H35" s="13">
        <f t="shared" si="0"/>
        <v>3652.7942925089174</v>
      </c>
      <c r="I35" s="13">
        <f t="shared" si="1"/>
        <v>166.79251667168043</v>
      </c>
      <c r="J35" s="13">
        <f t="shared" si="2"/>
        <v>772.75502354999855</v>
      </c>
      <c r="K35" s="13">
        <f t="shared" si="3"/>
        <v>51.773900269234169</v>
      </c>
      <c r="L35" s="13">
        <f t="shared" si="4"/>
        <v>51</v>
      </c>
      <c r="M35" s="13">
        <f t="shared" si="5"/>
        <v>5.1163569770901654E-2</v>
      </c>
    </row>
    <row r="36" spans="1:13" x14ac:dyDescent="0.25">
      <c r="A36" s="13">
        <v>19.5</v>
      </c>
      <c r="B36" s="13">
        <v>3.39E-2</v>
      </c>
      <c r="C36" s="13">
        <v>0.56669999999999998</v>
      </c>
      <c r="D36" s="13">
        <v>172.41630000000001</v>
      </c>
      <c r="E36" s="13">
        <v>3.2865000000000002</v>
      </c>
      <c r="F36" s="13">
        <v>1.2767999999999999</v>
      </c>
      <c r="G36" s="13">
        <v>2.2532999999999999</v>
      </c>
      <c r="H36" s="13">
        <f t="shared" si="0"/>
        <v>3252.5145579671789</v>
      </c>
      <c r="I36" s="13">
        <f t="shared" ref="I36:I55" si="6">H36*B36/(SQRT((PI()*$B$8)^2+B36^2))</f>
        <v>140.2571115121635</v>
      </c>
      <c r="J36" s="13">
        <f t="shared" ref="J36:J55" si="7">H36*$B$7/(SQRT((PI()*$B$8)^2+$B$7^2))</f>
        <v>688.0751453737945</v>
      </c>
      <c r="K36" s="13">
        <f t="shared" si="3"/>
        <v>46.11480285486013</v>
      </c>
      <c r="L36" s="13">
        <f t="shared" si="4"/>
        <v>46</v>
      </c>
      <c r="M36" s="13">
        <f t="shared" ref="M36:M55" si="8">SQRT(((PI()*$B$8)^2)/((H36^2)/($B$6^2)-1))</f>
        <v>5.7492038737776127E-2</v>
      </c>
    </row>
    <row r="37" spans="1:13" x14ac:dyDescent="0.25">
      <c r="A37" s="13">
        <v>20</v>
      </c>
      <c r="B37" s="13">
        <v>3.2000000000000001E-2</v>
      </c>
      <c r="C37" s="13">
        <v>0.63629999999999998</v>
      </c>
      <c r="D37" s="13">
        <v>217.41319999999999</v>
      </c>
      <c r="E37" s="13">
        <v>2.9268000000000001</v>
      </c>
      <c r="F37" s="13">
        <v>1.2049000000000001</v>
      </c>
      <c r="G37" s="13">
        <v>1.8935999999999999</v>
      </c>
      <c r="H37" s="13">
        <f t="shared" si="0"/>
        <v>2896.7468175388967</v>
      </c>
      <c r="I37" s="13">
        <f t="shared" si="6"/>
        <v>117.92624225245871</v>
      </c>
      <c r="J37" s="13">
        <f t="shared" si="7"/>
        <v>612.81185743097478</v>
      </c>
      <c r="K37" s="13">
        <f t="shared" si="3"/>
        <v>41.085009622184124</v>
      </c>
      <c r="L37" s="13">
        <f t="shared" si="4"/>
        <v>41</v>
      </c>
      <c r="M37" s="13">
        <f t="shared" si="8"/>
        <v>6.4598136866187594E-2</v>
      </c>
    </row>
    <row r="38" spans="1:13" x14ac:dyDescent="0.25">
      <c r="A38" s="13">
        <v>20.5</v>
      </c>
      <c r="B38" s="13">
        <v>3.0200000000000001E-2</v>
      </c>
      <c r="C38" s="13">
        <v>0.71450000000000002</v>
      </c>
      <c r="D38" s="13">
        <v>274.15339999999998</v>
      </c>
      <c r="E38" s="13">
        <v>2.6063000000000001</v>
      </c>
      <c r="F38" s="13">
        <v>1.137</v>
      </c>
      <c r="G38" s="13">
        <v>1.5912999999999999</v>
      </c>
      <c r="H38" s="13">
        <f t="shared" si="0"/>
        <v>2579.7060881735479</v>
      </c>
      <c r="I38" s="13">
        <f t="shared" si="6"/>
        <v>99.121180493331551</v>
      </c>
      <c r="J38" s="13">
        <f t="shared" si="7"/>
        <v>545.74133643573032</v>
      </c>
      <c r="K38" s="13">
        <f t="shared" si="3"/>
        <v>36.602733311451694</v>
      </c>
      <c r="L38" s="13">
        <f t="shared" si="4"/>
        <v>36</v>
      </c>
      <c r="M38" s="13">
        <f t="shared" si="8"/>
        <v>7.2601216269476493E-2</v>
      </c>
    </row>
    <row r="39" spans="1:13" x14ac:dyDescent="0.25">
      <c r="A39" s="13">
        <v>21</v>
      </c>
      <c r="B39" s="13">
        <v>2.8500000000000001E-2</v>
      </c>
      <c r="C39" s="13">
        <v>0.8024</v>
      </c>
      <c r="D39" s="13">
        <v>345.70150000000001</v>
      </c>
      <c r="E39" s="13">
        <v>2.3210000000000002</v>
      </c>
      <c r="F39" s="13">
        <v>1.073</v>
      </c>
      <c r="G39" s="13">
        <v>1.3372999999999999</v>
      </c>
      <c r="H39" s="13">
        <f t="shared" si="0"/>
        <v>2297.1086739780658</v>
      </c>
      <c r="I39" s="13">
        <f t="shared" si="6"/>
        <v>83.301107502983996</v>
      </c>
      <c r="J39" s="13">
        <f t="shared" si="7"/>
        <v>485.95735902708037</v>
      </c>
      <c r="K39" s="13">
        <f t="shared" si="3"/>
        <v>32.607411645184115</v>
      </c>
      <c r="L39" s="13">
        <f t="shared" si="4"/>
        <v>32</v>
      </c>
      <c r="M39" s="13">
        <f t="shared" si="8"/>
        <v>8.162397629288537E-2</v>
      </c>
    </row>
    <row r="40" spans="1:13" x14ac:dyDescent="0.25">
      <c r="A40" s="13">
        <v>21.5</v>
      </c>
      <c r="B40" s="13">
        <v>2.69E-2</v>
      </c>
      <c r="C40" s="13">
        <v>0.90100000000000002</v>
      </c>
      <c r="D40" s="13">
        <v>435.92219999999998</v>
      </c>
      <c r="E40" s="13">
        <v>2.0669</v>
      </c>
      <c r="F40" s="13">
        <v>1.0125999999999999</v>
      </c>
      <c r="G40" s="13">
        <v>1.1237999999999999</v>
      </c>
      <c r="H40" s="13">
        <f t="shared" si="0"/>
        <v>2045.7269700332961</v>
      </c>
      <c r="I40" s="13">
        <f t="shared" si="6"/>
        <v>70.025382422110482</v>
      </c>
      <c r="J40" s="13">
        <f t="shared" si="7"/>
        <v>432.77711973732437</v>
      </c>
      <c r="K40" s="13">
        <f t="shared" si="3"/>
        <v>29.053413208457251</v>
      </c>
      <c r="L40" s="13">
        <f t="shared" si="4"/>
        <v>29</v>
      </c>
      <c r="M40" s="13">
        <f t="shared" si="8"/>
        <v>9.1783433343288992E-2</v>
      </c>
    </row>
    <row r="41" spans="1:13" x14ac:dyDescent="0.25">
      <c r="A41" s="13">
        <v>22</v>
      </c>
      <c r="B41" s="13">
        <v>2.53E-2</v>
      </c>
      <c r="C41" s="13">
        <v>1.0118</v>
      </c>
      <c r="D41" s="13">
        <v>549.68849999999998</v>
      </c>
      <c r="E41" s="13">
        <v>1.8406</v>
      </c>
      <c r="F41" s="13">
        <v>0.95550000000000002</v>
      </c>
      <c r="G41" s="13">
        <v>0.94440000000000002</v>
      </c>
      <c r="H41" s="13">
        <f t="shared" si="0"/>
        <v>1821.7038940502073</v>
      </c>
      <c r="I41" s="13">
        <f t="shared" si="6"/>
        <v>58.652052559696564</v>
      </c>
      <c r="J41" s="13">
        <f t="shared" si="7"/>
        <v>385.3846460598233</v>
      </c>
      <c r="K41" s="13">
        <f t="shared" si="3"/>
        <v>25.886207125672605</v>
      </c>
      <c r="L41" s="13">
        <f t="shared" si="4"/>
        <v>25</v>
      </c>
      <c r="M41" s="13">
        <f t="shared" si="8"/>
        <v>0.10325468930638136</v>
      </c>
    </row>
    <row r="42" spans="1:13" x14ac:dyDescent="0.25">
      <c r="A42" s="13">
        <v>22.5</v>
      </c>
      <c r="B42" s="13">
        <v>2.3900000000000001E-2</v>
      </c>
      <c r="C42" s="13">
        <v>1.1362000000000001</v>
      </c>
      <c r="D42" s="13">
        <v>693.1454</v>
      </c>
      <c r="E42" s="13">
        <v>1.6391</v>
      </c>
      <c r="F42" s="13">
        <v>0.90169999999999995</v>
      </c>
      <c r="G42" s="13">
        <v>0.79359999999999997</v>
      </c>
      <c r="H42" s="13">
        <f t="shared" si="0"/>
        <v>1622.2496039429675</v>
      </c>
      <c r="I42" s="13">
        <f t="shared" si="6"/>
        <v>49.342904353360986</v>
      </c>
      <c r="J42" s="13">
        <f t="shared" si="7"/>
        <v>343.18974202018063</v>
      </c>
      <c r="K42" s="13">
        <f t="shared" si="3"/>
        <v>23.066351009989109</v>
      </c>
      <c r="L42" s="13">
        <f t="shared" si="4"/>
        <v>23</v>
      </c>
      <c r="M42" s="13">
        <f t="shared" si="8"/>
        <v>0.1162122031213178</v>
      </c>
    </row>
    <row r="43" spans="1:13" x14ac:dyDescent="0.25">
      <c r="A43" s="13">
        <v>23</v>
      </c>
      <c r="B43" s="13">
        <v>2.2599999999999999E-2</v>
      </c>
      <c r="C43" s="13">
        <v>1.2758</v>
      </c>
      <c r="D43" s="13">
        <v>874.04150000000004</v>
      </c>
      <c r="E43" s="13">
        <v>1.4597</v>
      </c>
      <c r="F43" s="13">
        <v>0.85089999999999999</v>
      </c>
      <c r="G43" s="13">
        <v>0.66700000000000004</v>
      </c>
      <c r="H43" s="13">
        <f t="shared" si="0"/>
        <v>1444.7405549459163</v>
      </c>
      <c r="I43" s="13">
        <f t="shared" si="6"/>
        <v>41.555517532608299</v>
      </c>
      <c r="J43" s="13">
        <f t="shared" si="7"/>
        <v>305.63739213303751</v>
      </c>
      <c r="K43" s="13">
        <f t="shared" si="3"/>
        <v>20.556753562201102</v>
      </c>
      <c r="L43" s="13">
        <f t="shared" si="4"/>
        <v>20</v>
      </c>
      <c r="M43" s="13">
        <f t="shared" si="8"/>
        <v>0.13086488522920189</v>
      </c>
    </row>
    <row r="44" spans="1:13" x14ac:dyDescent="0.25">
      <c r="A44" s="13">
        <v>23.5</v>
      </c>
      <c r="B44" s="13">
        <v>2.1299999999999999E-2</v>
      </c>
      <c r="C44" s="13">
        <v>1.4327000000000001</v>
      </c>
      <c r="D44" s="13">
        <v>1102.1476</v>
      </c>
      <c r="E44" s="13">
        <v>1.2999000000000001</v>
      </c>
      <c r="F44" s="13">
        <v>0.80300000000000005</v>
      </c>
      <c r="G44" s="13">
        <v>0.5605</v>
      </c>
      <c r="H44" s="13">
        <f t="shared" si="0"/>
        <v>1286.5219515599915</v>
      </c>
      <c r="I44" s="13">
        <f t="shared" si="6"/>
        <v>34.877654484554164</v>
      </c>
      <c r="J44" s="13">
        <f t="shared" si="7"/>
        <v>272.16596976570759</v>
      </c>
      <c r="K44" s="13">
        <f t="shared" si="3"/>
        <v>18.319881664721134</v>
      </c>
      <c r="L44" s="13">
        <f t="shared" si="4"/>
        <v>18</v>
      </c>
      <c r="M44" s="13">
        <f t="shared" si="8"/>
        <v>0.14749440075651316</v>
      </c>
    </row>
    <row r="45" spans="1:13" x14ac:dyDescent="0.25">
      <c r="A45" s="13">
        <v>24</v>
      </c>
      <c r="B45" s="13">
        <v>2.01E-2</v>
      </c>
      <c r="C45" s="13">
        <v>1.6088</v>
      </c>
      <c r="D45" s="13">
        <v>1389.7844</v>
      </c>
      <c r="E45" s="13">
        <v>1.1576</v>
      </c>
      <c r="F45" s="13">
        <v>0.75780000000000003</v>
      </c>
      <c r="G45" s="13">
        <v>0.47099999999999997</v>
      </c>
      <c r="H45" s="13">
        <f t="shared" si="0"/>
        <v>1145.6986573843858</v>
      </c>
      <c r="I45" s="13">
        <f t="shared" si="6"/>
        <v>29.311254397525961</v>
      </c>
      <c r="J45" s="13">
        <f t="shared" si="7"/>
        <v>242.37455549684813</v>
      </c>
      <c r="K45" s="13">
        <f t="shared" si="3"/>
        <v>16.328942151220222</v>
      </c>
      <c r="L45" s="13">
        <f t="shared" si="4"/>
        <v>16</v>
      </c>
      <c r="M45" s="13">
        <f t="shared" si="8"/>
        <v>0.16639102202471207</v>
      </c>
    </row>
    <row r="46" spans="1:13" x14ac:dyDescent="0.25">
      <c r="A46" s="13">
        <v>24.5</v>
      </c>
      <c r="B46" s="13">
        <v>1.9E-2</v>
      </c>
      <c r="C46" s="13">
        <v>1.8066</v>
      </c>
      <c r="D46" s="13">
        <v>1752.4883</v>
      </c>
      <c r="E46" s="13">
        <v>1.0308999999999999</v>
      </c>
      <c r="F46" s="13">
        <v>0.71509999999999996</v>
      </c>
      <c r="G46" s="13">
        <v>0.39579999999999999</v>
      </c>
      <c r="H46" s="13">
        <f t="shared" si="0"/>
        <v>1020.2590501494519</v>
      </c>
      <c r="I46" s="13">
        <f t="shared" si="6"/>
        <v>24.674430135366585</v>
      </c>
      <c r="J46" s="13">
        <f t="shared" si="7"/>
        <v>215.83758711575848</v>
      </c>
      <c r="K46" s="13">
        <f t="shared" si="3"/>
        <v>14.555494994880892</v>
      </c>
      <c r="L46" s="13">
        <f t="shared" si="4"/>
        <v>14</v>
      </c>
      <c r="M46" s="13">
        <f t="shared" si="8"/>
        <v>0.18795277598495633</v>
      </c>
    </row>
    <row r="47" spans="1:13" x14ac:dyDescent="0.25">
      <c r="A47" s="13">
        <v>25</v>
      </c>
      <c r="B47" s="13">
        <v>1.7899999999999999E-2</v>
      </c>
      <c r="C47" s="13">
        <v>2.0287000000000002</v>
      </c>
      <c r="D47" s="13">
        <v>2209.8501000000001</v>
      </c>
      <c r="E47" s="13">
        <v>0.91800000000000004</v>
      </c>
      <c r="F47" s="13">
        <v>0.67479999999999996</v>
      </c>
      <c r="G47" s="13">
        <v>0.33260000000000001</v>
      </c>
      <c r="H47" s="13">
        <f t="shared" si="0"/>
        <v>908.56213338591192</v>
      </c>
      <c r="I47" s="13">
        <f t="shared" si="6"/>
        <v>20.701652720955103</v>
      </c>
      <c r="J47" s="13">
        <f t="shared" si="7"/>
        <v>192.20790894825711</v>
      </c>
      <c r="K47" s="13">
        <f t="shared" si="3"/>
        <v>12.976340023236457</v>
      </c>
      <c r="L47" s="13">
        <f t="shared" si="4"/>
        <v>12</v>
      </c>
      <c r="M47" s="13">
        <f t="shared" si="8"/>
        <v>0.21265454760844149</v>
      </c>
    </row>
    <row r="48" spans="1:13" x14ac:dyDescent="0.25">
      <c r="A48" s="13">
        <v>25.5</v>
      </c>
      <c r="B48" s="13">
        <v>1.6899999999999998E-2</v>
      </c>
      <c r="C48" s="13">
        <v>2.2780999999999998</v>
      </c>
      <c r="D48" s="13">
        <v>2786.5735</v>
      </c>
      <c r="E48" s="13">
        <v>0.8175</v>
      </c>
      <c r="F48" s="13">
        <v>0.63680000000000003</v>
      </c>
      <c r="G48" s="13">
        <v>0.27950000000000003</v>
      </c>
      <c r="H48" s="13">
        <f t="shared" si="0"/>
        <v>809.09529871384052</v>
      </c>
      <c r="I48" s="13">
        <f t="shared" si="6"/>
        <v>17.40587988102736</v>
      </c>
      <c r="J48" s="13">
        <f t="shared" si="7"/>
        <v>171.16552604509428</v>
      </c>
      <c r="K48" s="13">
        <f t="shared" si="3"/>
        <v>11.570092196193405</v>
      </c>
      <c r="L48" s="13">
        <f t="shared" si="4"/>
        <v>11</v>
      </c>
      <c r="M48" s="13">
        <f t="shared" si="8"/>
        <v>0.24111519882129523</v>
      </c>
    </row>
    <row r="49" spans="1:13" x14ac:dyDescent="0.25">
      <c r="A49" s="13">
        <v>26</v>
      </c>
      <c r="B49" s="13">
        <v>1.5900000000000001E-2</v>
      </c>
      <c r="C49" s="13">
        <v>2.5581</v>
      </c>
      <c r="D49" s="13">
        <v>3513.8094000000001</v>
      </c>
      <c r="E49" s="13">
        <v>0.72799999999999998</v>
      </c>
      <c r="F49" s="13">
        <v>0.60089999999999999</v>
      </c>
      <c r="G49" s="13">
        <v>0.2349</v>
      </c>
      <c r="H49" s="13">
        <f t="shared" si="0"/>
        <v>720.53477190102024</v>
      </c>
      <c r="I49" s="13">
        <f t="shared" si="6"/>
        <v>14.58388427815526</v>
      </c>
      <c r="J49" s="13">
        <f t="shared" si="7"/>
        <v>152.43039165135426</v>
      </c>
      <c r="K49" s="13">
        <f t="shared" si="3"/>
        <v>10.318036183725521</v>
      </c>
      <c r="L49" s="13">
        <f t="shared" si="4"/>
        <v>10</v>
      </c>
      <c r="M49" s="13">
        <f t="shared" si="8"/>
        <v>0.274142309348123</v>
      </c>
    </row>
    <row r="50" spans="1:13" x14ac:dyDescent="0.25">
      <c r="A50" s="13">
        <v>26.5</v>
      </c>
      <c r="B50" s="13">
        <v>1.4999999999999999E-2</v>
      </c>
      <c r="C50" s="13">
        <v>2.8725999999999998</v>
      </c>
      <c r="D50" s="13">
        <v>4430.8380999999999</v>
      </c>
      <c r="E50" s="13">
        <v>0.64829999999999999</v>
      </c>
      <c r="F50" s="13">
        <v>0.56710000000000005</v>
      </c>
      <c r="G50" s="13">
        <v>0.19739999999999999</v>
      </c>
      <c r="H50" s="13">
        <f t="shared" si="0"/>
        <v>641.64868063774975</v>
      </c>
      <c r="I50" s="13">
        <f t="shared" si="6"/>
        <v>12.252352752767321</v>
      </c>
      <c r="J50" s="13">
        <f t="shared" si="7"/>
        <v>135.74190102462202</v>
      </c>
      <c r="K50" s="13">
        <f t="shared" si="3"/>
        <v>9.2027559519917332</v>
      </c>
      <c r="L50" s="13">
        <f t="shared" si="4"/>
        <v>9</v>
      </c>
      <c r="M50" s="13">
        <f t="shared" si="8"/>
        <v>0.31286065299508292</v>
      </c>
    </row>
    <row r="51" spans="1:13" x14ac:dyDescent="0.25">
      <c r="A51" s="13">
        <v>27</v>
      </c>
      <c r="B51" s="13">
        <v>1.4200000000000001E-2</v>
      </c>
      <c r="C51" s="13">
        <v>3.2256999999999998</v>
      </c>
      <c r="D51" s="13">
        <v>5587.1917000000003</v>
      </c>
      <c r="E51" s="13">
        <v>0.57730000000000004</v>
      </c>
      <c r="F51" s="13">
        <v>0.53510000000000002</v>
      </c>
      <c r="G51" s="13">
        <v>0.16589999999999999</v>
      </c>
      <c r="H51" s="13">
        <f t="shared" si="0"/>
        <v>571.41085655826646</v>
      </c>
      <c r="I51" s="13">
        <f t="shared" si="6"/>
        <v>10.329421027858135</v>
      </c>
      <c r="J51" s="13">
        <f t="shared" si="7"/>
        <v>120.88296645172501</v>
      </c>
      <c r="K51" s="13">
        <f t="shared" si="3"/>
        <v>8.2097436799752135</v>
      </c>
      <c r="L51" s="13">
        <f t="shared" si="4"/>
        <v>8</v>
      </c>
      <c r="M51" s="13">
        <f t="shared" si="8"/>
        <v>0.35882503612846328</v>
      </c>
    </row>
    <row r="52" spans="1:13" x14ac:dyDescent="0.25">
      <c r="A52" s="13">
        <v>27.5</v>
      </c>
      <c r="B52" s="13">
        <v>1.34E-2</v>
      </c>
      <c r="C52" s="13">
        <v>3.6223000000000001</v>
      </c>
      <c r="D52" s="13">
        <v>7045.3288000000002</v>
      </c>
      <c r="E52" s="13">
        <v>0.5141</v>
      </c>
      <c r="F52" s="13">
        <v>0.505</v>
      </c>
      <c r="G52" s="13">
        <v>0.1394</v>
      </c>
      <c r="H52" s="13">
        <f t="shared" si="0"/>
        <v>508.84796952212673</v>
      </c>
      <c r="I52" s="13">
        <f t="shared" si="6"/>
        <v>8.680400480148224</v>
      </c>
      <c r="J52" s="13">
        <f t="shared" si="7"/>
        <v>107.64767823850295</v>
      </c>
      <c r="K52" s="13">
        <f t="shared" si="3"/>
        <v>7.3252385659021062</v>
      </c>
      <c r="L52" s="13">
        <f t="shared" si="4"/>
        <v>7</v>
      </c>
      <c r="M52" s="13">
        <f t="shared" si="8"/>
        <v>0.41438908968654453</v>
      </c>
    </row>
    <row r="53" spans="1:13" x14ac:dyDescent="0.25">
      <c r="A53" s="13">
        <v>28</v>
      </c>
      <c r="B53" s="13">
        <v>1.26E-2</v>
      </c>
      <c r="C53" s="13">
        <v>4.0675999999999997</v>
      </c>
      <c r="D53" s="13">
        <v>8884.0082000000002</v>
      </c>
      <c r="E53" s="13">
        <v>0.45789999999999997</v>
      </c>
      <c r="F53" s="13">
        <v>0.47660000000000002</v>
      </c>
      <c r="G53" s="13">
        <v>0.1172</v>
      </c>
      <c r="H53" s="13">
        <f t="shared" si="0"/>
        <v>453.14190185858985</v>
      </c>
      <c r="I53" s="13">
        <f t="shared" si="6"/>
        <v>7.2687378544813415</v>
      </c>
      <c r="J53" s="13">
        <f t="shared" si="7"/>
        <v>95.86296216032288</v>
      </c>
      <c r="K53" s="13">
        <f t="shared" si="3"/>
        <v>6.5376741796096631</v>
      </c>
      <c r="L53" s="13">
        <f t="shared" si="4"/>
        <v>6</v>
      </c>
      <c r="M53" s="13">
        <f t="shared" si="8"/>
        <v>0.48321513025453772</v>
      </c>
    </row>
    <row r="54" spans="1:13" x14ac:dyDescent="0.25">
      <c r="A54" s="13">
        <v>29</v>
      </c>
      <c r="B54" s="13">
        <v>1.1299999999999999E-2</v>
      </c>
      <c r="C54" s="13">
        <v>5.1291000000000002</v>
      </c>
      <c r="D54" s="13">
        <v>14126.1669</v>
      </c>
      <c r="E54" s="13">
        <v>0.36309999999999998</v>
      </c>
      <c r="F54" s="13">
        <v>0.4244</v>
      </c>
      <c r="G54" s="13">
        <v>8.2699999999999996E-2</v>
      </c>
      <c r="H54" s="13">
        <f t="shared" si="0"/>
        <v>359.3612914546411</v>
      </c>
      <c r="I54" s="13">
        <f t="shared" si="6"/>
        <v>5.1698139241318781</v>
      </c>
      <c r="J54" s="13">
        <f t="shared" si="7"/>
        <v>76.023509949762968</v>
      </c>
      <c r="K54" s="13">
        <f t="shared" si="3"/>
        <v>5.2118173748353867</v>
      </c>
      <c r="L54" s="13">
        <f t="shared" si="4"/>
        <v>5</v>
      </c>
      <c r="M54" s="13">
        <f t="shared" si="8"/>
        <v>0.69140014450666198</v>
      </c>
    </row>
    <row r="55" spans="1:13" x14ac:dyDescent="0.25">
      <c r="A55" s="13">
        <v>30</v>
      </c>
      <c r="B55" s="13">
        <v>0.01</v>
      </c>
      <c r="C55" s="13">
        <v>6.4676999999999998</v>
      </c>
      <c r="D55" s="13">
        <v>22461.5494</v>
      </c>
      <c r="E55" s="13">
        <v>0.28789999999999999</v>
      </c>
      <c r="F55" s="13">
        <v>0.37790000000000001</v>
      </c>
      <c r="G55" s="13">
        <v>5.8400000000000001E-2</v>
      </c>
      <c r="H55" s="13">
        <f t="shared" si="0"/>
        <v>284.98538893269631</v>
      </c>
      <c r="I55" s="13">
        <f t="shared" si="6"/>
        <v>3.6282525854494452</v>
      </c>
      <c r="J55" s="13">
        <f t="shared" si="7"/>
        <v>60.289157642334878</v>
      </c>
      <c r="K55" s="13">
        <f t="shared" si="3"/>
        <v>4.1603015439489139</v>
      </c>
      <c r="L55" s="13">
        <f t="shared" si="4"/>
        <v>4</v>
      </c>
      <c r="M55" s="13">
        <f t="shared" si="8"/>
        <v>1.1834550783313664</v>
      </c>
    </row>
  </sheetData>
  <conditionalFormatting sqref="A11:M55">
    <cfRule type="expression" dxfId="0" priority="1">
      <formula>$L11=$B$4</formula>
    </cfRule>
  </conditionalFormatting>
  <pageMargins left="0.7" right="0.7" top="0.75" bottom="0.75" header="0.3" footer="0.3"/>
  <ignoredErrors>
    <ignoredError sqref="T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CCFC-80B1-4D00-A401-4B2DD71B30A7}">
  <sheetPr codeName="Sheet8"/>
  <dimension ref="A1:T49"/>
  <sheetViews>
    <sheetView workbookViewId="0">
      <selection activeCell="D11" sqref="D11"/>
    </sheetView>
  </sheetViews>
  <sheetFormatPr defaultRowHeight="15" x14ac:dyDescent="0.25"/>
  <cols>
    <col min="1" max="7" width="14" customWidth="1"/>
    <col min="8" max="8" width="17.85546875" customWidth="1"/>
    <col min="9" max="9" width="14" customWidth="1"/>
    <col min="10" max="10" width="15.140625" customWidth="1"/>
    <col min="11" max="11" width="14.85546875" customWidth="1"/>
    <col min="12" max="18" width="15.140625" customWidth="1"/>
    <col min="19" max="19" width="44.85546875" customWidth="1"/>
    <col min="20" max="20" width="15.140625" customWidth="1"/>
    <col min="21" max="29" width="15.42578125" customWidth="1"/>
    <col min="30" max="30" width="15.140625" customWidth="1"/>
    <col min="31" max="39" width="15.42578125" customWidth="1"/>
    <col min="40" max="40" width="15.140625" customWidth="1"/>
    <col min="41" max="42" width="15.42578125" customWidth="1"/>
  </cols>
  <sheetData>
    <row r="1" spans="1:18" x14ac:dyDescent="0.25">
      <c r="A1" t="s">
        <v>145</v>
      </c>
      <c r="C1" t="s">
        <v>91</v>
      </c>
    </row>
    <row r="2" spans="1:18" x14ac:dyDescent="0.25">
      <c r="A2" t="s">
        <v>144</v>
      </c>
      <c r="C2" t="s">
        <v>125</v>
      </c>
    </row>
    <row r="7" spans="1:18" x14ac:dyDescent="0.25">
      <c r="A7" t="s">
        <v>140</v>
      </c>
      <c r="C7" s="10" t="s">
        <v>12</v>
      </c>
      <c r="D7" s="10" t="s">
        <v>90</v>
      </c>
      <c r="F7" s="1" t="s">
        <v>151</v>
      </c>
      <c r="G7" s="20" t="s">
        <v>152</v>
      </c>
      <c r="H7" s="7" t="s">
        <v>153</v>
      </c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>
        <v>1</v>
      </c>
      <c r="C8">
        <v>18</v>
      </c>
      <c r="D8">
        <v>10</v>
      </c>
      <c r="E8" t="s">
        <v>240</v>
      </c>
      <c r="F8" s="1">
        <v>25</v>
      </c>
      <c r="G8">
        <f>F8*0.8</f>
        <v>20</v>
      </c>
      <c r="H8">
        <f>F8*0.5</f>
        <v>12.5</v>
      </c>
      <c r="I8" s="1"/>
      <c r="J8" s="8"/>
      <c r="K8" s="17"/>
      <c r="L8" s="17"/>
      <c r="M8" s="8"/>
      <c r="N8" s="8"/>
      <c r="O8" s="17"/>
      <c r="P8" s="17"/>
      <c r="Q8" s="17"/>
      <c r="R8" s="17"/>
    </row>
    <row r="9" spans="1:18" x14ac:dyDescent="0.25">
      <c r="A9">
        <v>2</v>
      </c>
      <c r="C9">
        <v>16</v>
      </c>
      <c r="D9">
        <v>13</v>
      </c>
      <c r="E9" t="s">
        <v>240</v>
      </c>
      <c r="F9" s="1">
        <v>40</v>
      </c>
      <c r="G9">
        <f>F9*0.8</f>
        <v>32</v>
      </c>
      <c r="H9">
        <f t="shared" ref="H9:H12" si="0">F9*0.5</f>
        <v>20</v>
      </c>
      <c r="I9" s="1"/>
      <c r="J9" s="8"/>
      <c r="K9" s="17"/>
      <c r="L9" s="17"/>
      <c r="M9" s="8"/>
      <c r="N9" s="8"/>
      <c r="O9" s="17"/>
      <c r="P9" s="17"/>
      <c r="Q9" s="17"/>
      <c r="R9" s="17"/>
    </row>
    <row r="10" spans="1:18" x14ac:dyDescent="0.25">
      <c r="A10">
        <v>3</v>
      </c>
      <c r="C10">
        <v>14</v>
      </c>
      <c r="D10">
        <v>18</v>
      </c>
      <c r="E10" t="s">
        <v>240</v>
      </c>
      <c r="F10" s="1">
        <v>50</v>
      </c>
      <c r="G10">
        <f>F10*0.8</f>
        <v>40</v>
      </c>
      <c r="H10">
        <f t="shared" si="0"/>
        <v>25</v>
      </c>
      <c r="I10" s="1"/>
      <c r="J10" s="8"/>
      <c r="K10" s="17"/>
      <c r="L10" s="17"/>
      <c r="M10" s="8"/>
      <c r="N10" s="8"/>
      <c r="O10" s="8"/>
      <c r="P10" s="17"/>
      <c r="Q10" s="17"/>
      <c r="R10" s="17"/>
    </row>
    <row r="11" spans="1:18" x14ac:dyDescent="0.25">
      <c r="A11">
        <v>6</v>
      </c>
      <c r="C11">
        <v>12</v>
      </c>
      <c r="D11">
        <v>25</v>
      </c>
      <c r="E11" t="s">
        <v>240</v>
      </c>
      <c r="F11" s="1">
        <v>60</v>
      </c>
      <c r="G11">
        <f>F11*0.8</f>
        <v>48</v>
      </c>
      <c r="H11">
        <f>F11*0.5</f>
        <v>30</v>
      </c>
      <c r="I11" s="1"/>
      <c r="J11" s="8"/>
      <c r="K11" s="17"/>
      <c r="L11" s="17"/>
      <c r="M11" s="8"/>
      <c r="N11" s="8"/>
      <c r="O11" s="8"/>
      <c r="P11" s="17"/>
      <c r="Q11" s="17"/>
      <c r="R11" s="17"/>
    </row>
    <row r="12" spans="1:18" x14ac:dyDescent="0.25">
      <c r="A12">
        <v>10</v>
      </c>
      <c r="C12">
        <v>10</v>
      </c>
      <c r="D12">
        <v>30</v>
      </c>
      <c r="E12" t="s">
        <v>240</v>
      </c>
      <c r="F12" s="1">
        <v>70</v>
      </c>
      <c r="G12">
        <f>F12*0.8</f>
        <v>56</v>
      </c>
      <c r="H12">
        <f t="shared" si="0"/>
        <v>35</v>
      </c>
      <c r="I12" s="1"/>
      <c r="J12" s="8"/>
      <c r="K12" s="17"/>
      <c r="L12" s="17"/>
      <c r="M12" s="8"/>
      <c r="N12" s="8"/>
      <c r="O12" s="8"/>
      <c r="P12" s="17"/>
      <c r="Q12" s="17"/>
      <c r="R12" s="17"/>
    </row>
    <row r="13" spans="1:18" x14ac:dyDescent="0.25">
      <c r="A13">
        <v>15</v>
      </c>
      <c r="C13">
        <v>8</v>
      </c>
      <c r="D13">
        <v>55</v>
      </c>
      <c r="E13" t="s">
        <v>241</v>
      </c>
    </row>
    <row r="14" spans="1:18" x14ac:dyDescent="0.25">
      <c r="A14">
        <v>20</v>
      </c>
      <c r="C14">
        <v>6</v>
      </c>
      <c r="D14">
        <v>75</v>
      </c>
      <c r="E14" t="s">
        <v>241</v>
      </c>
    </row>
    <row r="15" spans="1:18" x14ac:dyDescent="0.25">
      <c r="A15">
        <v>25</v>
      </c>
      <c r="C15">
        <v>4</v>
      </c>
      <c r="D15">
        <v>95</v>
      </c>
      <c r="E15" t="s">
        <v>241</v>
      </c>
      <c r="P15" s="1"/>
      <c r="Q15" s="20"/>
      <c r="R15" s="1"/>
    </row>
    <row r="16" spans="1:18" x14ac:dyDescent="0.25">
      <c r="A16">
        <v>30</v>
      </c>
      <c r="C16">
        <v>3</v>
      </c>
      <c r="D16">
        <v>110</v>
      </c>
      <c r="E16" t="s">
        <v>241</v>
      </c>
      <c r="P16" s="1"/>
      <c r="Q16" s="1"/>
      <c r="R16" s="19"/>
    </row>
    <row r="17" spans="1:20" x14ac:dyDescent="0.25">
      <c r="A17">
        <v>35</v>
      </c>
      <c r="C17">
        <v>2</v>
      </c>
      <c r="D17">
        <v>130</v>
      </c>
      <c r="E17" t="s">
        <v>241</v>
      </c>
      <c r="P17" s="1"/>
      <c r="Q17" s="1"/>
      <c r="R17" s="19"/>
    </row>
    <row r="18" spans="1:20" x14ac:dyDescent="0.25">
      <c r="A18">
        <v>40</v>
      </c>
      <c r="C18">
        <v>1</v>
      </c>
      <c r="D18">
        <v>150</v>
      </c>
      <c r="E18" t="s">
        <v>241</v>
      </c>
      <c r="P18" s="1"/>
      <c r="Q18" s="1"/>
      <c r="R18" s="19"/>
    </row>
    <row r="19" spans="1:20" x14ac:dyDescent="0.25">
      <c r="A19">
        <v>45</v>
      </c>
    </row>
    <row r="20" spans="1:20" x14ac:dyDescent="0.25">
      <c r="A20">
        <v>50</v>
      </c>
    </row>
    <row r="21" spans="1:20" x14ac:dyDescent="0.25">
      <c r="A21">
        <v>60</v>
      </c>
    </row>
    <row r="22" spans="1:20" x14ac:dyDescent="0.25">
      <c r="A22">
        <v>70</v>
      </c>
      <c r="P22" s="1"/>
      <c r="Q22" s="1"/>
      <c r="R22" s="19"/>
    </row>
    <row r="23" spans="1:20" x14ac:dyDescent="0.25">
      <c r="A23">
        <v>80</v>
      </c>
      <c r="P23" s="1"/>
      <c r="Q23" s="1"/>
      <c r="R23" s="19"/>
    </row>
    <row r="24" spans="1:20" x14ac:dyDescent="0.25">
      <c r="A24">
        <v>90</v>
      </c>
      <c r="P24" s="1"/>
      <c r="Q24" s="1"/>
      <c r="R24" s="19"/>
    </row>
    <row r="25" spans="1:20" x14ac:dyDescent="0.25">
      <c r="A25">
        <v>100</v>
      </c>
    </row>
    <row r="26" spans="1:20" x14ac:dyDescent="0.25">
      <c r="A26">
        <v>1100</v>
      </c>
      <c r="T26" s="23"/>
    </row>
    <row r="27" spans="1:20" x14ac:dyDescent="0.25">
      <c r="A27">
        <v>125</v>
      </c>
    </row>
    <row r="28" spans="1:20" x14ac:dyDescent="0.25">
      <c r="A28">
        <v>150</v>
      </c>
    </row>
    <row r="29" spans="1:20" x14ac:dyDescent="0.25">
      <c r="A29">
        <v>175</v>
      </c>
    </row>
    <row r="30" spans="1:20" x14ac:dyDescent="0.25">
      <c r="A30">
        <v>200</v>
      </c>
    </row>
    <row r="31" spans="1:20" x14ac:dyDescent="0.25">
      <c r="A31">
        <v>225</v>
      </c>
    </row>
    <row r="32" spans="1:20" x14ac:dyDescent="0.25">
      <c r="A32">
        <v>250</v>
      </c>
    </row>
    <row r="33" spans="1:9" x14ac:dyDescent="0.25">
      <c r="A33">
        <v>300</v>
      </c>
    </row>
    <row r="34" spans="1:9" x14ac:dyDescent="0.25">
      <c r="A34">
        <v>350</v>
      </c>
    </row>
    <row r="35" spans="1:9" x14ac:dyDescent="0.25">
      <c r="A35">
        <v>400</v>
      </c>
    </row>
    <row r="36" spans="1:9" x14ac:dyDescent="0.25">
      <c r="A36">
        <v>450</v>
      </c>
    </row>
    <row r="37" spans="1:9" x14ac:dyDescent="0.25">
      <c r="A37">
        <v>500</v>
      </c>
    </row>
    <row r="38" spans="1:9" x14ac:dyDescent="0.25">
      <c r="A38">
        <v>600</v>
      </c>
    </row>
    <row r="39" spans="1:9" x14ac:dyDescent="0.25">
      <c r="A39">
        <v>800</v>
      </c>
    </row>
    <row r="40" spans="1:9" x14ac:dyDescent="0.25">
      <c r="G40" s="20">
        <v>0.8</v>
      </c>
      <c r="H40" s="20">
        <v>0.5</v>
      </c>
    </row>
    <row r="41" spans="1:9" x14ac:dyDescent="0.25">
      <c r="F41" s="1">
        <v>25</v>
      </c>
      <c r="G41" s="1">
        <v>18</v>
      </c>
      <c r="H41" s="1">
        <v>16</v>
      </c>
      <c r="I41">
        <f>18*1.1</f>
        <v>19.8</v>
      </c>
    </row>
    <row r="42" spans="1:9" x14ac:dyDescent="0.25">
      <c r="F42" s="1">
        <v>40</v>
      </c>
      <c r="G42" s="1">
        <v>3</v>
      </c>
      <c r="H42" s="1">
        <v>2</v>
      </c>
    </row>
    <row r="43" spans="1:9" x14ac:dyDescent="0.25">
      <c r="F43" s="1">
        <v>50</v>
      </c>
      <c r="G43" s="1">
        <v>1</v>
      </c>
      <c r="H43" s="1">
        <v>2</v>
      </c>
    </row>
    <row r="44" spans="1:9" x14ac:dyDescent="0.25">
      <c r="A44" t="s">
        <v>93</v>
      </c>
      <c r="B44" s="24" t="s">
        <v>154</v>
      </c>
      <c r="C44" t="s">
        <v>150</v>
      </c>
      <c r="D44" t="s">
        <v>155</v>
      </c>
      <c r="F44" s="1">
        <v>60</v>
      </c>
      <c r="G44" s="1">
        <v>0</v>
      </c>
      <c r="H44" s="1">
        <v>0</v>
      </c>
    </row>
    <row r="45" spans="1:9" x14ac:dyDescent="0.25">
      <c r="A45" s="1">
        <v>8.42</v>
      </c>
      <c r="B45" s="2">
        <f>IF(Table2[[#This Row],[Line Current]]&lt;=$G$8,$F$8,IF(Table2[[#This Row],[Line Current]]&lt;=$G$9,$F$9,IF(Table2[[#This Row],[Line Current]]&lt;=$G$10,$F$10,IF(Table2[[#This Row],[Line Current]]&lt;=$G$11,$F$11,IF(Table2[[#This Row],[Line Current]]&lt;=$G$12,$F$12,0)))))</f>
        <v>25</v>
      </c>
      <c r="C45" s="2">
        <f>IF(Table2[[#This Row],[Line Current]]&lt;=$H$8,$F$8,IF(Table2[[#This Row],[Line Current]]&lt;=$H$9,$F$9,IF(Table2[[#This Row],[Line Current]]&lt;=$H$10,$F$10,IF(Table2[[#This Row],[Line Current]]&lt;=$H$11,$F$11,IF(Table2[[#This Row],[Line Current]]&lt;=$H$12,$F$12,0)))))</f>
        <v>25</v>
      </c>
      <c r="D45">
        <v>1</v>
      </c>
      <c r="F45" s="1">
        <v>70</v>
      </c>
      <c r="G45" s="1">
        <v>0</v>
      </c>
      <c r="H45" s="1">
        <v>2</v>
      </c>
    </row>
    <row r="46" spans="1:9" x14ac:dyDescent="0.25">
      <c r="A46" s="1">
        <v>7.22</v>
      </c>
      <c r="B46">
        <f>IF(Table2[[#This Row],[Line Current]]&lt;=$G$8,$F$8,IF(Table2[[#This Row],[Line Current]]&lt;=$G$9,$F$9,IF(Table2[[#This Row],[Line Current]]&lt;=$G$10,$F$10,IF(Table2[[#This Row],[Line Current]]&lt;=$G$11,$F$11,IF(Table2[[#This Row],[Line Current]]&lt;=$G$12,$F$12,0)))))</f>
        <v>25</v>
      </c>
      <c r="C46" s="25">
        <f>IF(Table2[[#This Row],[Line Current]]&lt;=$H$8,$F$8,IF(Table2[[#This Row],[Line Current]]&lt;=$H$9,$F$9,IF(Table2[[#This Row],[Line Current]]&lt;=$H$10,$F$10,IF(Table2[[#This Row],[Line Current]]&lt;=$H$11,$F$11,IF(Table2[[#This Row],[Line Current]]&lt;=$H$12,$F$12,0)))))</f>
        <v>25</v>
      </c>
      <c r="D46">
        <v>2</v>
      </c>
    </row>
    <row r="47" spans="1:9" x14ac:dyDescent="0.25">
      <c r="A47" s="1">
        <v>10.83</v>
      </c>
      <c r="B47" s="2">
        <f>IF(Table2[[#This Row],[Line Current]]&lt;=$G$8,$F$8,IF(Table2[[#This Row],[Line Current]]&lt;=$G$9,$F$9,IF(Table2[[#This Row],[Line Current]]&lt;=$G$10,$F$10,IF(Table2[[#This Row],[Line Current]]&lt;=$G$11,$F$11,IF(Table2[[#This Row],[Line Current]]&lt;=$G$12,$F$12,0)))))</f>
        <v>25</v>
      </c>
      <c r="C47" s="2">
        <f>IF(Table2[[#This Row],[Line Current]]&lt;=$H$8,$F$8,IF(Table2[[#This Row],[Line Current]]&lt;=$H$9,$F$9,IF(Table2[[#This Row],[Line Current]]&lt;=$H$10,$F$10,IF(Table2[[#This Row],[Line Current]]&lt;=$H$11,$F$11,IF(Table2[[#This Row],[Line Current]]&lt;=$H$12,$F$12,0)))))</f>
        <v>25</v>
      </c>
      <c r="D47">
        <v>3</v>
      </c>
    </row>
    <row r="48" spans="1:9" x14ac:dyDescent="0.25">
      <c r="A48" s="1">
        <v>10.83</v>
      </c>
      <c r="B48" s="2">
        <f>IF(Table2[[#This Row],[Line Current]]&lt;=$G$8,$F$8,IF(Table2[[#This Row],[Line Current]]&lt;=$G$9,$F$9,IF(Table2[[#This Row],[Line Current]]&lt;=$G$10,$F$10,IF(Table2[[#This Row],[Line Current]]&lt;=$G$11,$F$11,IF(Table2[[#This Row],[Line Current]]&lt;=$G$12,$F$12,0)))))</f>
        <v>25</v>
      </c>
      <c r="C48" s="2">
        <f>IF(Table2[[#This Row],[Line Current]]&lt;=$H$8,$F$8,IF(Table2[[#This Row],[Line Current]]&lt;=$H$9,$F$9,IF(Table2[[#This Row],[Line Current]]&lt;=$H$10,$F$10,IF(Table2[[#This Row],[Line Current]]&lt;=$H$11,$F$11,IF(Table2[[#This Row],[Line Current]]&lt;=$H$12,$F$12,0)))))</f>
        <v>25</v>
      </c>
      <c r="D48">
        <v>4</v>
      </c>
      <c r="G48" t="s">
        <v>216</v>
      </c>
    </row>
    <row r="49" spans="1:7" x14ac:dyDescent="0.25">
      <c r="A49" s="1">
        <v>16.84</v>
      </c>
      <c r="B49" s="2">
        <f>IF(Table2[[#This Row],[Line Current]]&lt;=$G$8,$F$8,IF(Table2[[#This Row],[Line Current]]&lt;=$G$9,$F$9,IF(Table2[[#This Row],[Line Current]]&lt;=$G$10,$F$10,IF(Table2[[#This Row],[Line Current]]&lt;=$G$11,$F$11,IF(Table2[[#This Row],[Line Current]]&lt;=$G$12,$F$12,0)))))</f>
        <v>25</v>
      </c>
      <c r="C49" s="2">
        <f>IF(Table2[[#This Row],[Line Current]]&lt;=$H$8,$F$8,IF(Table2[[#This Row],[Line Current]]&lt;=$H$9,$F$9,IF(Table2[[#This Row],[Line Current]]&lt;=$H$10,$F$10,IF(Table2[[#This Row],[Line Current]]&lt;=$H$11,$F$11,IF(Table2[[#This Row],[Line Current]]&lt;=$H$12,$F$12,0)))))</f>
        <v>40</v>
      </c>
      <c r="D49">
        <v>5</v>
      </c>
      <c r="G49" t="s">
        <v>216</v>
      </c>
    </row>
  </sheetData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4EDE-F936-4D2C-9B7B-C040E173D2A8}">
  <dimension ref="B2:AG24"/>
  <sheetViews>
    <sheetView workbookViewId="0"/>
  </sheetViews>
  <sheetFormatPr defaultRowHeight="15" x14ac:dyDescent="0.25"/>
  <cols>
    <col min="5" max="5" width="15.85546875" customWidth="1"/>
    <col min="6" max="6" width="11.42578125" customWidth="1"/>
    <col min="8" max="8" width="19.5703125" customWidth="1"/>
    <col min="11" max="11" width="20.28515625" customWidth="1"/>
    <col min="12" max="12" width="17.28515625" customWidth="1"/>
    <col min="13" max="13" width="13.28515625" customWidth="1"/>
    <col min="14" max="14" width="17.140625" customWidth="1"/>
    <col min="16" max="16" width="16.28515625" customWidth="1"/>
    <col min="17" max="17" width="19.85546875" customWidth="1"/>
    <col min="18" max="18" width="9.5703125" customWidth="1"/>
    <col min="19" max="19" width="14.140625" customWidth="1"/>
    <col min="20" max="20" width="19.42578125" customWidth="1"/>
    <col min="21" max="21" width="14.5703125" customWidth="1"/>
    <col min="22" max="22" width="20.28515625" customWidth="1"/>
    <col min="23" max="23" width="24.28515625" customWidth="1"/>
    <col min="24" max="24" width="12.140625" customWidth="1"/>
    <col min="25" max="25" width="16.85546875" customWidth="1"/>
    <col min="26" max="26" width="26.85546875" customWidth="1"/>
    <col min="27" max="27" width="20.5703125" customWidth="1"/>
    <col min="28" max="28" width="21" customWidth="1"/>
    <col min="29" max="29" width="21.42578125" customWidth="1"/>
    <col min="30" max="30" width="13.28515625" customWidth="1"/>
    <col min="31" max="31" width="12.28515625" customWidth="1"/>
    <col min="32" max="32" width="17.7109375" customWidth="1"/>
    <col min="33" max="33" width="11" customWidth="1"/>
  </cols>
  <sheetData>
    <row r="2" spans="2:33" x14ac:dyDescent="0.25"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277</v>
      </c>
      <c r="H2" t="s">
        <v>6</v>
      </c>
      <c r="I2" t="s">
        <v>7</v>
      </c>
      <c r="J2" t="s">
        <v>278</v>
      </c>
      <c r="K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293</v>
      </c>
      <c r="AA2" t="s">
        <v>294</v>
      </c>
      <c r="AB2" t="s">
        <v>295</v>
      </c>
      <c r="AC2" t="s">
        <v>296</v>
      </c>
      <c r="AD2" t="s">
        <v>297</v>
      </c>
      <c r="AE2" t="s">
        <v>8</v>
      </c>
      <c r="AF2" t="s">
        <v>298</v>
      </c>
      <c r="AG2" t="s">
        <v>155</v>
      </c>
    </row>
    <row r="3" spans="2:33" x14ac:dyDescent="0.25">
      <c r="B3">
        <v>1</v>
      </c>
      <c r="C3" s="45" t="s">
        <v>253</v>
      </c>
      <c r="D3" t="s">
        <v>299</v>
      </c>
      <c r="E3" t="s">
        <v>275</v>
      </c>
      <c r="F3">
        <v>208</v>
      </c>
      <c r="G3">
        <v>1</v>
      </c>
      <c r="H3" t="s">
        <v>242</v>
      </c>
      <c r="I3">
        <v>2</v>
      </c>
      <c r="J3">
        <v>30</v>
      </c>
      <c r="K3">
        <v>230</v>
      </c>
      <c r="L3">
        <v>14</v>
      </c>
      <c r="M3">
        <v>15</v>
      </c>
      <c r="N3">
        <v>1</v>
      </c>
      <c r="O3">
        <v>202.88461538461539</v>
      </c>
      <c r="P3" t="s">
        <v>246</v>
      </c>
      <c r="Q3" t="s">
        <v>251</v>
      </c>
      <c r="R3">
        <v>8</v>
      </c>
      <c r="S3" t="s">
        <v>300</v>
      </c>
      <c r="T3">
        <v>30</v>
      </c>
      <c r="U3" t="s">
        <v>249</v>
      </c>
      <c r="V3">
        <v>25</v>
      </c>
      <c r="W3">
        <v>25</v>
      </c>
      <c r="X3">
        <v>25</v>
      </c>
      <c r="Y3" t="s">
        <v>252</v>
      </c>
      <c r="Z3" s="45"/>
      <c r="AA3" t="s">
        <v>243</v>
      </c>
      <c r="AB3" t="s">
        <v>245</v>
      </c>
      <c r="AC3" t="s">
        <v>250</v>
      </c>
      <c r="AD3" t="s">
        <v>244</v>
      </c>
      <c r="AE3" t="s">
        <v>248</v>
      </c>
      <c r="AF3" s="45" t="s">
        <v>301</v>
      </c>
      <c r="AG3" s="45"/>
    </row>
    <row r="4" spans="2:33" x14ac:dyDescent="0.25">
      <c r="B4">
        <v>2</v>
      </c>
      <c r="C4" s="45" t="s">
        <v>254</v>
      </c>
      <c r="D4" t="s">
        <v>299</v>
      </c>
      <c r="E4" t="s">
        <v>275</v>
      </c>
      <c r="F4">
        <v>208</v>
      </c>
      <c r="G4">
        <v>1</v>
      </c>
      <c r="H4" t="s">
        <v>242</v>
      </c>
      <c r="I4">
        <v>1.5</v>
      </c>
      <c r="J4">
        <v>30</v>
      </c>
      <c r="K4">
        <v>115</v>
      </c>
      <c r="L4">
        <v>14</v>
      </c>
      <c r="M4">
        <v>15</v>
      </c>
      <c r="N4">
        <v>1</v>
      </c>
      <c r="O4">
        <v>151.92307692307691</v>
      </c>
      <c r="P4" t="s">
        <v>246</v>
      </c>
      <c r="Q4" t="s">
        <v>251</v>
      </c>
      <c r="R4">
        <v>8</v>
      </c>
      <c r="S4" t="s">
        <v>300</v>
      </c>
      <c r="T4">
        <v>30</v>
      </c>
      <c r="U4" t="s">
        <v>249</v>
      </c>
      <c r="V4">
        <v>25</v>
      </c>
      <c r="W4">
        <v>25</v>
      </c>
      <c r="X4">
        <v>25</v>
      </c>
      <c r="Y4" t="s">
        <v>252</v>
      </c>
      <c r="Z4" s="45"/>
      <c r="AA4" t="s">
        <v>243</v>
      </c>
      <c r="AB4" t="s">
        <v>245</v>
      </c>
      <c r="AC4" t="s">
        <v>250</v>
      </c>
      <c r="AD4" t="s">
        <v>244</v>
      </c>
      <c r="AE4" t="s">
        <v>248</v>
      </c>
      <c r="AF4" s="45" t="s">
        <v>302</v>
      </c>
      <c r="AG4" s="45"/>
    </row>
    <row r="5" spans="2:33" x14ac:dyDescent="0.25">
      <c r="B5">
        <v>3</v>
      </c>
      <c r="C5" s="45" t="s">
        <v>255</v>
      </c>
      <c r="D5" t="s">
        <v>299</v>
      </c>
      <c r="E5" t="s">
        <v>275</v>
      </c>
      <c r="F5">
        <v>208</v>
      </c>
      <c r="G5">
        <v>1</v>
      </c>
      <c r="H5" t="s">
        <v>242</v>
      </c>
      <c r="I5">
        <v>1</v>
      </c>
      <c r="J5">
        <v>30</v>
      </c>
      <c r="K5">
        <v>100</v>
      </c>
      <c r="L5">
        <v>14</v>
      </c>
      <c r="M5">
        <v>10</v>
      </c>
      <c r="N5">
        <v>1</v>
      </c>
      <c r="O5">
        <v>100.96153846153845</v>
      </c>
      <c r="P5" t="s">
        <v>246</v>
      </c>
      <c r="Q5" t="s">
        <v>276</v>
      </c>
      <c r="R5">
        <v>22</v>
      </c>
      <c r="S5" t="s">
        <v>300</v>
      </c>
      <c r="T5">
        <v>30</v>
      </c>
      <c r="U5" t="s">
        <v>249</v>
      </c>
      <c r="V5">
        <v>25</v>
      </c>
      <c r="W5">
        <v>25</v>
      </c>
      <c r="X5">
        <v>25</v>
      </c>
      <c r="Y5" t="s">
        <v>252</v>
      </c>
      <c r="Z5" s="45"/>
      <c r="AA5" t="s">
        <v>243</v>
      </c>
      <c r="AB5" t="s">
        <v>245</v>
      </c>
      <c r="AC5" t="s">
        <v>250</v>
      </c>
      <c r="AD5" t="s">
        <v>244</v>
      </c>
      <c r="AE5" t="s">
        <v>248</v>
      </c>
      <c r="AF5" s="45" t="s">
        <v>303</v>
      </c>
      <c r="AG5" s="45"/>
    </row>
    <row r="6" spans="2:33" x14ac:dyDescent="0.25">
      <c r="B6">
        <v>4</v>
      </c>
      <c r="C6" s="45" t="s">
        <v>256</v>
      </c>
      <c r="D6" t="s">
        <v>299</v>
      </c>
      <c r="E6" t="s">
        <v>275</v>
      </c>
      <c r="F6">
        <v>208</v>
      </c>
      <c r="G6">
        <v>1</v>
      </c>
      <c r="H6" t="s">
        <v>242</v>
      </c>
      <c r="I6">
        <v>1</v>
      </c>
      <c r="J6">
        <v>30</v>
      </c>
      <c r="K6">
        <v>150</v>
      </c>
      <c r="L6">
        <v>14</v>
      </c>
      <c r="M6">
        <v>10</v>
      </c>
      <c r="N6">
        <v>1</v>
      </c>
      <c r="O6">
        <v>100.96153846153845</v>
      </c>
      <c r="P6" t="s">
        <v>246</v>
      </c>
      <c r="Q6" t="s">
        <v>276</v>
      </c>
      <c r="R6">
        <v>22</v>
      </c>
      <c r="S6" t="s">
        <v>300</v>
      </c>
      <c r="T6">
        <v>30</v>
      </c>
      <c r="U6" t="s">
        <v>249</v>
      </c>
      <c r="V6">
        <v>25</v>
      </c>
      <c r="W6">
        <v>25</v>
      </c>
      <c r="X6">
        <v>25</v>
      </c>
      <c r="Y6" t="s">
        <v>252</v>
      </c>
      <c r="Z6" s="45"/>
      <c r="AA6" t="s">
        <v>243</v>
      </c>
      <c r="AB6" t="s">
        <v>245</v>
      </c>
      <c r="AC6" t="s">
        <v>250</v>
      </c>
      <c r="AD6" t="s">
        <v>244</v>
      </c>
      <c r="AE6" t="s">
        <v>248</v>
      </c>
      <c r="AF6" s="45" t="s">
        <v>303</v>
      </c>
      <c r="AG6" s="45"/>
    </row>
    <row r="7" spans="2:33" x14ac:dyDescent="0.25">
      <c r="B7">
        <v>5</v>
      </c>
      <c r="C7" s="45" t="s">
        <v>257</v>
      </c>
      <c r="D7" t="s">
        <v>299</v>
      </c>
      <c r="E7" t="s">
        <v>275</v>
      </c>
      <c r="F7">
        <v>208</v>
      </c>
      <c r="G7">
        <v>1</v>
      </c>
      <c r="H7" t="s">
        <v>242</v>
      </c>
      <c r="I7">
        <v>1</v>
      </c>
      <c r="J7">
        <v>30</v>
      </c>
      <c r="K7">
        <v>100</v>
      </c>
      <c r="L7">
        <v>14</v>
      </c>
      <c r="M7">
        <v>10</v>
      </c>
      <c r="N7">
        <v>1</v>
      </c>
      <c r="O7">
        <v>100.96153846153845</v>
      </c>
      <c r="P7" t="s">
        <v>246</v>
      </c>
      <c r="Q7" t="s">
        <v>276</v>
      </c>
      <c r="R7">
        <v>22</v>
      </c>
      <c r="S7" t="s">
        <v>300</v>
      </c>
      <c r="T7">
        <v>30</v>
      </c>
      <c r="U7" t="s">
        <v>249</v>
      </c>
      <c r="V7">
        <v>25</v>
      </c>
      <c r="W7">
        <v>25</v>
      </c>
      <c r="X7">
        <v>25</v>
      </c>
      <c r="Y7" t="s">
        <v>252</v>
      </c>
      <c r="Z7" s="45"/>
      <c r="AA7" t="s">
        <v>243</v>
      </c>
      <c r="AB7" t="s">
        <v>245</v>
      </c>
      <c r="AC7" t="s">
        <v>250</v>
      </c>
      <c r="AD7" t="s">
        <v>244</v>
      </c>
      <c r="AE7" t="s">
        <v>248</v>
      </c>
      <c r="AF7" s="45" t="s">
        <v>303</v>
      </c>
      <c r="AG7" s="45"/>
    </row>
    <row r="8" spans="2:33" x14ac:dyDescent="0.25">
      <c r="B8">
        <v>6</v>
      </c>
      <c r="C8" s="45" t="s">
        <v>258</v>
      </c>
      <c r="D8" t="s">
        <v>299</v>
      </c>
      <c r="E8" t="s">
        <v>275</v>
      </c>
      <c r="F8">
        <v>208</v>
      </c>
      <c r="G8">
        <v>1</v>
      </c>
      <c r="H8" t="s">
        <v>242</v>
      </c>
      <c r="I8">
        <v>1</v>
      </c>
      <c r="J8">
        <v>30</v>
      </c>
      <c r="K8">
        <v>145</v>
      </c>
      <c r="L8">
        <v>14</v>
      </c>
      <c r="M8">
        <v>10</v>
      </c>
      <c r="N8">
        <v>1</v>
      </c>
      <c r="O8">
        <v>100.96153846153845</v>
      </c>
      <c r="P8" t="s">
        <v>246</v>
      </c>
      <c r="Q8" t="s">
        <v>276</v>
      </c>
      <c r="R8">
        <v>22</v>
      </c>
      <c r="S8" t="s">
        <v>300</v>
      </c>
      <c r="T8">
        <v>30</v>
      </c>
      <c r="U8" t="s">
        <v>249</v>
      </c>
      <c r="V8">
        <v>25</v>
      </c>
      <c r="W8">
        <v>25</v>
      </c>
      <c r="X8">
        <v>25</v>
      </c>
      <c r="Y8" t="s">
        <v>252</v>
      </c>
      <c r="Z8" s="45"/>
      <c r="AA8" t="s">
        <v>243</v>
      </c>
      <c r="AB8" t="s">
        <v>245</v>
      </c>
      <c r="AC8" t="s">
        <v>250</v>
      </c>
      <c r="AD8" t="s">
        <v>244</v>
      </c>
      <c r="AE8" t="s">
        <v>248</v>
      </c>
      <c r="AF8" s="45" t="s">
        <v>303</v>
      </c>
      <c r="AG8" s="45"/>
    </row>
    <row r="9" spans="2:33" x14ac:dyDescent="0.25">
      <c r="B9">
        <v>7</v>
      </c>
      <c r="C9" s="45" t="s">
        <v>259</v>
      </c>
      <c r="D9" t="s">
        <v>299</v>
      </c>
      <c r="E9" t="s">
        <v>275</v>
      </c>
      <c r="F9">
        <v>208</v>
      </c>
      <c r="G9">
        <v>1</v>
      </c>
      <c r="H9" t="s">
        <v>242</v>
      </c>
      <c r="I9">
        <v>1</v>
      </c>
      <c r="J9">
        <v>30</v>
      </c>
      <c r="K9">
        <v>115</v>
      </c>
      <c r="L9">
        <v>14</v>
      </c>
      <c r="M9">
        <v>10</v>
      </c>
      <c r="N9">
        <v>1</v>
      </c>
      <c r="O9">
        <v>100.96153846153845</v>
      </c>
      <c r="P9" t="s">
        <v>246</v>
      </c>
      <c r="Q9" t="s">
        <v>276</v>
      </c>
      <c r="R9">
        <v>22</v>
      </c>
      <c r="S9" t="s">
        <v>300</v>
      </c>
      <c r="T9">
        <v>30</v>
      </c>
      <c r="U9" t="s">
        <v>249</v>
      </c>
      <c r="V9">
        <v>25</v>
      </c>
      <c r="W9">
        <v>25</v>
      </c>
      <c r="X9">
        <v>25</v>
      </c>
      <c r="Y9" t="s">
        <v>252</v>
      </c>
      <c r="Z9" s="45"/>
      <c r="AA9" t="s">
        <v>243</v>
      </c>
      <c r="AB9" t="s">
        <v>245</v>
      </c>
      <c r="AC9" t="s">
        <v>250</v>
      </c>
      <c r="AD9" t="s">
        <v>244</v>
      </c>
      <c r="AE9" t="s">
        <v>248</v>
      </c>
      <c r="AF9" s="45" t="s">
        <v>303</v>
      </c>
      <c r="AG9" s="45"/>
    </row>
    <row r="10" spans="2:33" x14ac:dyDescent="0.25">
      <c r="B10">
        <v>8</v>
      </c>
      <c r="C10" s="45" t="s">
        <v>260</v>
      </c>
      <c r="D10" t="s">
        <v>299</v>
      </c>
      <c r="E10" t="s">
        <v>275</v>
      </c>
      <c r="F10">
        <v>208</v>
      </c>
      <c r="G10">
        <v>1</v>
      </c>
      <c r="H10" t="s">
        <v>242</v>
      </c>
      <c r="I10">
        <v>1</v>
      </c>
      <c r="J10">
        <v>30</v>
      </c>
      <c r="K10">
        <v>160</v>
      </c>
      <c r="L10">
        <v>14</v>
      </c>
      <c r="M10">
        <v>10</v>
      </c>
      <c r="N10">
        <v>1</v>
      </c>
      <c r="O10">
        <v>100.96153846153845</v>
      </c>
      <c r="P10" t="s">
        <v>246</v>
      </c>
      <c r="Q10" t="s">
        <v>276</v>
      </c>
      <c r="R10">
        <v>22</v>
      </c>
      <c r="S10" t="s">
        <v>300</v>
      </c>
      <c r="T10">
        <v>30</v>
      </c>
      <c r="U10" t="s">
        <v>249</v>
      </c>
      <c r="V10">
        <v>25</v>
      </c>
      <c r="W10">
        <v>25</v>
      </c>
      <c r="X10">
        <v>25</v>
      </c>
      <c r="Y10" t="s">
        <v>252</v>
      </c>
      <c r="Z10" s="45"/>
      <c r="AA10" t="s">
        <v>243</v>
      </c>
      <c r="AB10" t="s">
        <v>245</v>
      </c>
      <c r="AC10" t="s">
        <v>250</v>
      </c>
      <c r="AD10" t="s">
        <v>244</v>
      </c>
      <c r="AE10" t="s">
        <v>248</v>
      </c>
      <c r="AF10" s="45" t="s">
        <v>303</v>
      </c>
      <c r="AG10" s="45"/>
    </row>
    <row r="11" spans="2:33" x14ac:dyDescent="0.25">
      <c r="B11">
        <v>9</v>
      </c>
      <c r="C11" s="45" t="s">
        <v>261</v>
      </c>
      <c r="D11" t="s">
        <v>299</v>
      </c>
      <c r="E11" t="s">
        <v>275</v>
      </c>
      <c r="F11">
        <v>208</v>
      </c>
      <c r="G11">
        <v>1</v>
      </c>
      <c r="H11" t="s">
        <v>242</v>
      </c>
      <c r="I11">
        <v>1</v>
      </c>
      <c r="J11">
        <v>30</v>
      </c>
      <c r="K11">
        <v>120</v>
      </c>
      <c r="L11">
        <v>14</v>
      </c>
      <c r="M11">
        <v>10</v>
      </c>
      <c r="N11">
        <v>1</v>
      </c>
      <c r="O11">
        <v>100.96153846153845</v>
      </c>
      <c r="P11" t="s">
        <v>247</v>
      </c>
      <c r="Q11" t="s">
        <v>276</v>
      </c>
      <c r="R11">
        <v>22</v>
      </c>
      <c r="S11" t="s">
        <v>300</v>
      </c>
      <c r="T11">
        <v>30</v>
      </c>
      <c r="U11" t="s">
        <v>249</v>
      </c>
      <c r="V11">
        <v>25</v>
      </c>
      <c r="W11">
        <v>25</v>
      </c>
      <c r="X11">
        <v>25</v>
      </c>
      <c r="Y11" t="s">
        <v>252</v>
      </c>
      <c r="Z11" s="45"/>
      <c r="AA11" t="s">
        <v>243</v>
      </c>
      <c r="AB11" t="s">
        <v>245</v>
      </c>
      <c r="AC11" t="s">
        <v>250</v>
      </c>
      <c r="AD11" t="s">
        <v>244</v>
      </c>
      <c r="AE11" t="s">
        <v>248</v>
      </c>
      <c r="AF11" s="45" t="s">
        <v>304</v>
      </c>
      <c r="AG11" s="45"/>
    </row>
    <row r="12" spans="2:33" x14ac:dyDescent="0.25">
      <c r="B12">
        <v>10</v>
      </c>
      <c r="C12" s="45" t="s">
        <v>262</v>
      </c>
      <c r="D12" t="s">
        <v>299</v>
      </c>
      <c r="E12" t="s">
        <v>275</v>
      </c>
      <c r="F12">
        <v>208</v>
      </c>
      <c r="G12">
        <v>1</v>
      </c>
      <c r="H12" t="s">
        <v>242</v>
      </c>
      <c r="I12">
        <v>1</v>
      </c>
      <c r="J12">
        <v>30</v>
      </c>
      <c r="K12">
        <v>95</v>
      </c>
      <c r="L12">
        <v>14</v>
      </c>
      <c r="M12">
        <v>10</v>
      </c>
      <c r="N12">
        <v>1</v>
      </c>
      <c r="O12">
        <v>100.96153846153845</v>
      </c>
      <c r="P12" t="s">
        <v>247</v>
      </c>
      <c r="Q12" t="s">
        <v>276</v>
      </c>
      <c r="R12">
        <v>22</v>
      </c>
      <c r="S12" t="s">
        <v>300</v>
      </c>
      <c r="T12">
        <v>30</v>
      </c>
      <c r="U12" t="s">
        <v>249</v>
      </c>
      <c r="V12">
        <v>25</v>
      </c>
      <c r="W12">
        <v>25</v>
      </c>
      <c r="X12">
        <v>25</v>
      </c>
      <c r="Y12" t="s">
        <v>252</v>
      </c>
      <c r="Z12" s="45"/>
      <c r="AA12" t="s">
        <v>243</v>
      </c>
      <c r="AB12" t="s">
        <v>245</v>
      </c>
      <c r="AC12" t="s">
        <v>250</v>
      </c>
      <c r="AD12" t="s">
        <v>244</v>
      </c>
      <c r="AE12" t="s">
        <v>248</v>
      </c>
      <c r="AF12" s="45" t="s">
        <v>304</v>
      </c>
      <c r="AG12" s="45"/>
    </row>
    <row r="13" spans="2:33" x14ac:dyDescent="0.25">
      <c r="B13">
        <v>11</v>
      </c>
      <c r="C13" s="45" t="s">
        <v>263</v>
      </c>
      <c r="D13" t="s">
        <v>299</v>
      </c>
      <c r="E13" t="s">
        <v>275</v>
      </c>
      <c r="F13">
        <v>208</v>
      </c>
      <c r="G13">
        <v>1</v>
      </c>
      <c r="H13" t="s">
        <v>242</v>
      </c>
      <c r="I13">
        <v>1</v>
      </c>
      <c r="J13">
        <v>30</v>
      </c>
      <c r="K13">
        <v>120</v>
      </c>
      <c r="L13">
        <v>14</v>
      </c>
      <c r="M13">
        <v>10</v>
      </c>
      <c r="N13">
        <v>1</v>
      </c>
      <c r="O13">
        <v>100.96153846153845</v>
      </c>
      <c r="P13" t="s">
        <v>247</v>
      </c>
      <c r="Q13" t="s">
        <v>276</v>
      </c>
      <c r="R13">
        <v>22</v>
      </c>
      <c r="S13" t="s">
        <v>300</v>
      </c>
      <c r="T13">
        <v>30</v>
      </c>
      <c r="U13" t="s">
        <v>249</v>
      </c>
      <c r="V13">
        <v>25</v>
      </c>
      <c r="W13">
        <v>25</v>
      </c>
      <c r="X13">
        <v>25</v>
      </c>
      <c r="Y13" t="s">
        <v>252</v>
      </c>
      <c r="Z13" s="45"/>
      <c r="AA13" t="s">
        <v>243</v>
      </c>
      <c r="AB13" t="s">
        <v>245</v>
      </c>
      <c r="AC13" t="s">
        <v>250</v>
      </c>
      <c r="AD13" t="s">
        <v>244</v>
      </c>
      <c r="AE13" t="s">
        <v>248</v>
      </c>
      <c r="AF13" s="45" t="s">
        <v>304</v>
      </c>
      <c r="AG13" s="45"/>
    </row>
    <row r="14" spans="2:33" x14ac:dyDescent="0.25">
      <c r="B14">
        <v>12</v>
      </c>
      <c r="C14" s="45" t="s">
        <v>264</v>
      </c>
      <c r="D14" t="s">
        <v>299</v>
      </c>
      <c r="E14" t="s">
        <v>275</v>
      </c>
      <c r="F14">
        <v>208</v>
      </c>
      <c r="G14">
        <v>1</v>
      </c>
      <c r="H14" t="s">
        <v>242</v>
      </c>
      <c r="I14">
        <v>4</v>
      </c>
      <c r="J14">
        <v>30</v>
      </c>
      <c r="K14">
        <v>100</v>
      </c>
      <c r="L14">
        <v>10</v>
      </c>
      <c r="M14">
        <v>30</v>
      </c>
      <c r="N14">
        <v>1</v>
      </c>
      <c r="O14">
        <v>404.80769230769232</v>
      </c>
      <c r="P14" t="s">
        <v>247</v>
      </c>
      <c r="Q14" t="s">
        <v>251</v>
      </c>
      <c r="R14">
        <v>8</v>
      </c>
      <c r="S14" t="s">
        <v>300</v>
      </c>
      <c r="T14">
        <v>30</v>
      </c>
      <c r="U14" t="s">
        <v>249</v>
      </c>
      <c r="V14">
        <v>40</v>
      </c>
      <c r="W14">
        <v>40</v>
      </c>
      <c r="X14">
        <v>40</v>
      </c>
      <c r="Y14" t="s">
        <v>252</v>
      </c>
      <c r="Z14" s="45"/>
      <c r="AA14" t="s">
        <v>243</v>
      </c>
      <c r="AB14" t="s">
        <v>305</v>
      </c>
      <c r="AC14" t="s">
        <v>306</v>
      </c>
      <c r="AD14" t="s">
        <v>244</v>
      </c>
      <c r="AE14" t="s">
        <v>248</v>
      </c>
      <c r="AF14" s="45" t="s">
        <v>307</v>
      </c>
      <c r="AG14" s="45"/>
    </row>
    <row r="15" spans="2:33" x14ac:dyDescent="0.25">
      <c r="B15">
        <v>13</v>
      </c>
      <c r="C15" s="45" t="s">
        <v>265</v>
      </c>
      <c r="D15" t="s">
        <v>299</v>
      </c>
      <c r="E15" t="s">
        <v>275</v>
      </c>
      <c r="F15">
        <v>208</v>
      </c>
      <c r="G15">
        <v>1</v>
      </c>
      <c r="H15" t="s">
        <v>242</v>
      </c>
      <c r="I15">
        <v>1</v>
      </c>
      <c r="J15">
        <v>30</v>
      </c>
      <c r="K15">
        <v>125</v>
      </c>
      <c r="L15">
        <v>14</v>
      </c>
      <c r="M15">
        <v>10</v>
      </c>
      <c r="N15">
        <v>1</v>
      </c>
      <c r="O15">
        <v>100.96153846153845</v>
      </c>
      <c r="P15" t="s">
        <v>247</v>
      </c>
      <c r="Q15" t="s">
        <v>276</v>
      </c>
      <c r="R15">
        <v>22</v>
      </c>
      <c r="S15" t="s">
        <v>300</v>
      </c>
      <c r="T15">
        <v>30</v>
      </c>
      <c r="U15" t="s">
        <v>249</v>
      </c>
      <c r="V15">
        <v>25</v>
      </c>
      <c r="W15">
        <v>25</v>
      </c>
      <c r="X15">
        <v>25</v>
      </c>
      <c r="Y15" t="s">
        <v>252</v>
      </c>
      <c r="Z15" s="45"/>
      <c r="AA15" t="s">
        <v>243</v>
      </c>
      <c r="AB15" t="s">
        <v>245</v>
      </c>
      <c r="AC15" t="s">
        <v>250</v>
      </c>
      <c r="AD15" t="s">
        <v>244</v>
      </c>
      <c r="AE15" t="s">
        <v>248</v>
      </c>
      <c r="AF15" s="45" t="s">
        <v>304</v>
      </c>
      <c r="AG15" s="45"/>
    </row>
    <row r="16" spans="2:33" x14ac:dyDescent="0.25">
      <c r="B16">
        <v>14</v>
      </c>
      <c r="C16" s="45" t="s">
        <v>266</v>
      </c>
      <c r="D16" t="s">
        <v>299</v>
      </c>
      <c r="E16" t="s">
        <v>275</v>
      </c>
      <c r="F16">
        <v>208</v>
      </c>
      <c r="G16">
        <v>1</v>
      </c>
      <c r="H16" t="s">
        <v>242</v>
      </c>
      <c r="I16">
        <v>2</v>
      </c>
      <c r="J16">
        <v>30</v>
      </c>
      <c r="K16">
        <v>200</v>
      </c>
      <c r="L16">
        <v>14</v>
      </c>
      <c r="M16">
        <v>15</v>
      </c>
      <c r="N16">
        <v>1</v>
      </c>
      <c r="O16">
        <v>202.88461538461539</v>
      </c>
      <c r="P16" t="s">
        <v>247</v>
      </c>
      <c r="Q16" t="s">
        <v>251</v>
      </c>
      <c r="R16">
        <v>8</v>
      </c>
      <c r="S16" t="s">
        <v>300</v>
      </c>
      <c r="T16">
        <v>30</v>
      </c>
      <c r="U16" t="s">
        <v>249</v>
      </c>
      <c r="V16">
        <v>25</v>
      </c>
      <c r="W16">
        <v>25</v>
      </c>
      <c r="X16">
        <v>25</v>
      </c>
      <c r="Y16" t="s">
        <v>252</v>
      </c>
      <c r="Z16" s="45"/>
      <c r="AA16" t="s">
        <v>243</v>
      </c>
      <c r="AB16" t="s">
        <v>245</v>
      </c>
      <c r="AC16" t="s">
        <v>250</v>
      </c>
      <c r="AD16" t="s">
        <v>244</v>
      </c>
      <c r="AE16" t="s">
        <v>248</v>
      </c>
      <c r="AF16" s="45" t="s">
        <v>308</v>
      </c>
      <c r="AG16" s="45"/>
    </row>
    <row r="17" spans="2:33" x14ac:dyDescent="0.25">
      <c r="B17">
        <v>15</v>
      </c>
      <c r="C17" s="45" t="s">
        <v>267</v>
      </c>
      <c r="D17" t="s">
        <v>299</v>
      </c>
      <c r="E17" t="s">
        <v>275</v>
      </c>
      <c r="F17">
        <v>208</v>
      </c>
      <c r="G17">
        <v>1</v>
      </c>
      <c r="H17" t="s">
        <v>242</v>
      </c>
      <c r="I17">
        <v>2</v>
      </c>
      <c r="J17">
        <v>30</v>
      </c>
      <c r="K17">
        <v>200</v>
      </c>
      <c r="L17">
        <v>14</v>
      </c>
      <c r="M17">
        <v>15</v>
      </c>
      <c r="N17">
        <v>1</v>
      </c>
      <c r="O17">
        <v>202.88461538461539</v>
      </c>
      <c r="P17" t="s">
        <v>247</v>
      </c>
      <c r="Q17" t="s">
        <v>251</v>
      </c>
      <c r="R17">
        <v>8</v>
      </c>
      <c r="S17" t="s">
        <v>300</v>
      </c>
      <c r="T17">
        <v>30</v>
      </c>
      <c r="U17" t="s">
        <v>249</v>
      </c>
      <c r="V17">
        <v>25</v>
      </c>
      <c r="W17">
        <v>25</v>
      </c>
      <c r="X17">
        <v>25</v>
      </c>
      <c r="Y17" t="s">
        <v>252</v>
      </c>
      <c r="Z17" s="45"/>
      <c r="AA17" t="s">
        <v>243</v>
      </c>
      <c r="AB17" t="s">
        <v>245</v>
      </c>
      <c r="AC17" t="s">
        <v>250</v>
      </c>
      <c r="AD17" t="s">
        <v>244</v>
      </c>
      <c r="AE17" t="s">
        <v>248</v>
      </c>
      <c r="AF17" s="45" t="s">
        <v>308</v>
      </c>
      <c r="AG17" s="45"/>
    </row>
    <row r="18" spans="2:33" x14ac:dyDescent="0.25">
      <c r="B18">
        <v>16</v>
      </c>
      <c r="C18" s="45" t="s">
        <v>268</v>
      </c>
      <c r="D18" t="s">
        <v>299</v>
      </c>
      <c r="E18" t="s">
        <v>275</v>
      </c>
      <c r="F18">
        <v>208</v>
      </c>
      <c r="G18">
        <v>1</v>
      </c>
      <c r="H18" t="s">
        <v>242</v>
      </c>
      <c r="I18">
        <v>1</v>
      </c>
      <c r="J18">
        <v>30</v>
      </c>
      <c r="K18">
        <v>125</v>
      </c>
      <c r="L18">
        <v>14</v>
      </c>
      <c r="M18">
        <v>10</v>
      </c>
      <c r="N18">
        <v>1</v>
      </c>
      <c r="O18">
        <v>100.96153846153845</v>
      </c>
      <c r="P18" t="s">
        <v>247</v>
      </c>
      <c r="Q18" t="s">
        <v>276</v>
      </c>
      <c r="R18">
        <v>22</v>
      </c>
      <c r="S18" t="s">
        <v>300</v>
      </c>
      <c r="T18">
        <v>30</v>
      </c>
      <c r="U18" t="s">
        <v>249</v>
      </c>
      <c r="V18">
        <v>25</v>
      </c>
      <c r="W18">
        <v>25</v>
      </c>
      <c r="X18">
        <v>25</v>
      </c>
      <c r="Y18" t="s">
        <v>252</v>
      </c>
      <c r="Z18" s="45"/>
      <c r="AA18" t="s">
        <v>243</v>
      </c>
      <c r="AB18" t="s">
        <v>245</v>
      </c>
      <c r="AC18" t="s">
        <v>250</v>
      </c>
      <c r="AD18" t="s">
        <v>244</v>
      </c>
      <c r="AE18" t="s">
        <v>248</v>
      </c>
      <c r="AF18" s="45" t="s">
        <v>304</v>
      </c>
      <c r="AG18" s="45"/>
    </row>
    <row r="19" spans="2:33" x14ac:dyDescent="0.25">
      <c r="B19">
        <v>17</v>
      </c>
      <c r="C19" s="45" t="s">
        <v>269</v>
      </c>
      <c r="D19" t="s">
        <v>299</v>
      </c>
      <c r="E19" t="s">
        <v>275</v>
      </c>
      <c r="F19">
        <v>208</v>
      </c>
      <c r="G19">
        <v>1</v>
      </c>
      <c r="H19" t="s">
        <v>242</v>
      </c>
      <c r="I19">
        <v>2</v>
      </c>
      <c r="J19">
        <v>30</v>
      </c>
      <c r="K19">
        <v>200</v>
      </c>
      <c r="L19">
        <v>14</v>
      </c>
      <c r="M19">
        <v>15</v>
      </c>
      <c r="N19">
        <v>1</v>
      </c>
      <c r="O19">
        <v>202.88461538461539</v>
      </c>
      <c r="P19" t="s">
        <v>247</v>
      </c>
      <c r="Q19" t="s">
        <v>251</v>
      </c>
      <c r="R19">
        <v>8</v>
      </c>
      <c r="S19" t="s">
        <v>300</v>
      </c>
      <c r="T19">
        <v>30</v>
      </c>
      <c r="U19" t="s">
        <v>249</v>
      </c>
      <c r="V19">
        <v>25</v>
      </c>
      <c r="W19">
        <v>25</v>
      </c>
      <c r="X19">
        <v>25</v>
      </c>
      <c r="Y19" t="s">
        <v>252</v>
      </c>
      <c r="Z19" s="45"/>
      <c r="AA19" t="s">
        <v>243</v>
      </c>
      <c r="AB19" t="s">
        <v>245</v>
      </c>
      <c r="AC19" t="s">
        <v>250</v>
      </c>
      <c r="AD19" t="s">
        <v>244</v>
      </c>
      <c r="AE19" t="s">
        <v>248</v>
      </c>
      <c r="AF19" s="45" t="s">
        <v>308</v>
      </c>
      <c r="AG19" s="45"/>
    </row>
    <row r="20" spans="2:33" x14ac:dyDescent="0.25">
      <c r="B20">
        <v>18</v>
      </c>
      <c r="C20" s="45" t="s">
        <v>270</v>
      </c>
      <c r="D20" t="s">
        <v>299</v>
      </c>
      <c r="E20" t="s">
        <v>275</v>
      </c>
      <c r="F20">
        <v>208</v>
      </c>
      <c r="G20">
        <v>1</v>
      </c>
      <c r="H20" t="s">
        <v>242</v>
      </c>
      <c r="I20">
        <v>1</v>
      </c>
      <c r="J20">
        <v>30</v>
      </c>
      <c r="K20">
        <v>130</v>
      </c>
      <c r="L20">
        <v>14</v>
      </c>
      <c r="M20">
        <v>10</v>
      </c>
      <c r="N20">
        <v>1</v>
      </c>
      <c r="O20">
        <v>100.96153846153845</v>
      </c>
      <c r="P20" t="s">
        <v>247</v>
      </c>
      <c r="Q20" t="s">
        <v>276</v>
      </c>
      <c r="R20">
        <v>22</v>
      </c>
      <c r="S20" t="s">
        <v>300</v>
      </c>
      <c r="T20">
        <v>30</v>
      </c>
      <c r="U20" t="s">
        <v>249</v>
      </c>
      <c r="V20">
        <v>25</v>
      </c>
      <c r="W20">
        <v>25</v>
      </c>
      <c r="X20">
        <v>25</v>
      </c>
      <c r="Y20" t="s">
        <v>252</v>
      </c>
      <c r="Z20" s="45"/>
      <c r="AA20" t="s">
        <v>243</v>
      </c>
      <c r="AB20" t="s">
        <v>245</v>
      </c>
      <c r="AC20" t="s">
        <v>250</v>
      </c>
      <c r="AD20" t="s">
        <v>244</v>
      </c>
      <c r="AE20" t="s">
        <v>248</v>
      </c>
      <c r="AF20" s="45" t="s">
        <v>304</v>
      </c>
      <c r="AG20" s="45"/>
    </row>
    <row r="21" spans="2:33" x14ac:dyDescent="0.25">
      <c r="B21">
        <v>19</v>
      </c>
      <c r="C21" s="45" t="s">
        <v>271</v>
      </c>
      <c r="D21" t="s">
        <v>299</v>
      </c>
      <c r="E21" t="s">
        <v>275</v>
      </c>
      <c r="F21">
        <v>208</v>
      </c>
      <c r="G21">
        <v>1</v>
      </c>
      <c r="H21" t="s">
        <v>242</v>
      </c>
      <c r="I21">
        <v>1.5</v>
      </c>
      <c r="J21">
        <v>30</v>
      </c>
      <c r="K21">
        <v>150</v>
      </c>
      <c r="L21">
        <v>14</v>
      </c>
      <c r="M21">
        <v>15</v>
      </c>
      <c r="N21">
        <v>1</v>
      </c>
      <c r="O21">
        <v>151.92307692307691</v>
      </c>
      <c r="P21" t="s">
        <v>247</v>
      </c>
      <c r="Q21" t="s">
        <v>251</v>
      </c>
      <c r="R21">
        <v>8</v>
      </c>
      <c r="S21" t="s">
        <v>300</v>
      </c>
      <c r="T21">
        <v>30</v>
      </c>
      <c r="U21" t="s">
        <v>249</v>
      </c>
      <c r="V21">
        <v>25</v>
      </c>
      <c r="W21">
        <v>25</v>
      </c>
      <c r="X21">
        <v>25</v>
      </c>
      <c r="Y21" t="s">
        <v>252</v>
      </c>
      <c r="Z21" s="45"/>
      <c r="AA21" t="s">
        <v>243</v>
      </c>
      <c r="AB21" t="s">
        <v>245</v>
      </c>
      <c r="AC21" t="s">
        <v>250</v>
      </c>
      <c r="AD21" t="s">
        <v>244</v>
      </c>
      <c r="AE21" t="s">
        <v>248</v>
      </c>
      <c r="AF21" s="45" t="s">
        <v>309</v>
      </c>
      <c r="AG21" s="45"/>
    </row>
    <row r="22" spans="2:33" x14ac:dyDescent="0.25">
      <c r="B22">
        <v>20</v>
      </c>
      <c r="C22" s="45" t="s">
        <v>272</v>
      </c>
      <c r="D22" t="s">
        <v>299</v>
      </c>
      <c r="E22" t="s">
        <v>275</v>
      </c>
      <c r="F22">
        <v>208</v>
      </c>
      <c r="G22">
        <v>1</v>
      </c>
      <c r="H22" t="s">
        <v>242</v>
      </c>
      <c r="I22">
        <v>2</v>
      </c>
      <c r="J22">
        <v>30</v>
      </c>
      <c r="K22">
        <v>200</v>
      </c>
      <c r="L22">
        <v>14</v>
      </c>
      <c r="M22">
        <v>15</v>
      </c>
      <c r="N22">
        <v>1</v>
      </c>
      <c r="O22">
        <v>202.88461538461539</v>
      </c>
      <c r="P22" t="s">
        <v>247</v>
      </c>
      <c r="Q22" t="s">
        <v>251</v>
      </c>
      <c r="R22">
        <v>8</v>
      </c>
      <c r="S22" t="s">
        <v>300</v>
      </c>
      <c r="T22">
        <v>30</v>
      </c>
      <c r="U22" t="s">
        <v>249</v>
      </c>
      <c r="V22">
        <v>25</v>
      </c>
      <c r="W22">
        <v>25</v>
      </c>
      <c r="X22">
        <v>25</v>
      </c>
      <c r="Y22" t="s">
        <v>252</v>
      </c>
      <c r="Z22" s="45"/>
      <c r="AA22" t="s">
        <v>243</v>
      </c>
      <c r="AB22" t="s">
        <v>245</v>
      </c>
      <c r="AC22" t="s">
        <v>250</v>
      </c>
      <c r="AD22" t="s">
        <v>244</v>
      </c>
      <c r="AE22" t="s">
        <v>248</v>
      </c>
      <c r="AF22" s="45" t="s">
        <v>308</v>
      </c>
      <c r="AG22" s="45"/>
    </row>
    <row r="23" spans="2:33" x14ac:dyDescent="0.25">
      <c r="B23">
        <v>21</v>
      </c>
      <c r="C23" s="45" t="s">
        <v>273</v>
      </c>
      <c r="D23" t="s">
        <v>299</v>
      </c>
      <c r="E23" t="s">
        <v>275</v>
      </c>
      <c r="F23">
        <v>208</v>
      </c>
      <c r="G23">
        <v>1</v>
      </c>
      <c r="H23" t="s">
        <v>242</v>
      </c>
      <c r="I23">
        <v>2</v>
      </c>
      <c r="J23">
        <v>30</v>
      </c>
      <c r="K23">
        <v>210</v>
      </c>
      <c r="L23">
        <v>14</v>
      </c>
      <c r="M23">
        <v>15</v>
      </c>
      <c r="N23">
        <v>1</v>
      </c>
      <c r="O23">
        <v>202.88461538461539</v>
      </c>
      <c r="P23" t="s">
        <v>247</v>
      </c>
      <c r="Q23" t="s">
        <v>251</v>
      </c>
      <c r="R23">
        <v>8</v>
      </c>
      <c r="S23" t="s">
        <v>300</v>
      </c>
      <c r="T23">
        <v>30</v>
      </c>
      <c r="U23" t="s">
        <v>249</v>
      </c>
      <c r="V23">
        <v>25</v>
      </c>
      <c r="W23">
        <v>25</v>
      </c>
      <c r="X23">
        <v>25</v>
      </c>
      <c r="Y23" t="s">
        <v>252</v>
      </c>
      <c r="Z23" s="45"/>
      <c r="AA23" t="s">
        <v>243</v>
      </c>
      <c r="AB23" t="s">
        <v>245</v>
      </c>
      <c r="AC23" t="s">
        <v>250</v>
      </c>
      <c r="AD23" t="s">
        <v>244</v>
      </c>
      <c r="AE23" t="s">
        <v>248</v>
      </c>
      <c r="AF23" s="45" t="s">
        <v>308</v>
      </c>
      <c r="AG23" s="45"/>
    </row>
    <row r="24" spans="2:33" x14ac:dyDescent="0.25">
      <c r="B24">
        <v>22</v>
      </c>
      <c r="C24" s="45" t="s">
        <v>274</v>
      </c>
      <c r="D24" t="s">
        <v>299</v>
      </c>
      <c r="E24" t="s">
        <v>275</v>
      </c>
      <c r="F24">
        <v>208</v>
      </c>
      <c r="G24">
        <v>1</v>
      </c>
      <c r="H24" t="s">
        <v>242</v>
      </c>
      <c r="I24">
        <v>5</v>
      </c>
      <c r="J24">
        <v>30</v>
      </c>
      <c r="K24">
        <v>450</v>
      </c>
      <c r="L24">
        <v>8</v>
      </c>
      <c r="M24">
        <v>35</v>
      </c>
      <c r="N24">
        <v>1</v>
      </c>
      <c r="O24">
        <v>506.73076923076923</v>
      </c>
      <c r="P24" t="s">
        <v>247</v>
      </c>
      <c r="Q24" t="s">
        <v>251</v>
      </c>
      <c r="R24">
        <v>8</v>
      </c>
      <c r="S24" t="s">
        <v>300</v>
      </c>
      <c r="T24">
        <v>60</v>
      </c>
      <c r="U24" t="s">
        <v>249</v>
      </c>
      <c r="V24">
        <v>40</v>
      </c>
      <c r="W24">
        <v>40</v>
      </c>
      <c r="X24">
        <v>40</v>
      </c>
      <c r="Y24" t="s">
        <v>252</v>
      </c>
      <c r="Z24" s="45"/>
      <c r="AA24" t="s">
        <v>310</v>
      </c>
      <c r="AB24" t="s">
        <v>305</v>
      </c>
      <c r="AC24" t="s">
        <v>306</v>
      </c>
      <c r="AD24" t="s">
        <v>244</v>
      </c>
      <c r="AE24" t="s">
        <v>248</v>
      </c>
      <c r="AF24" s="45" t="s">
        <v>311</v>
      </c>
      <c r="AG24" s="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Order_Summary</vt:lpstr>
      <vt:lpstr>Coil Calculator</vt:lpstr>
      <vt:lpstr>Notes &amp; 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Patterson</dc:creator>
  <cp:lastModifiedBy>Megan Patterson</cp:lastModifiedBy>
  <cp:lastPrinted>2025-06-12T20:30:24Z</cp:lastPrinted>
  <dcterms:created xsi:type="dcterms:W3CDTF">2024-05-17T14:54:34Z</dcterms:created>
  <dcterms:modified xsi:type="dcterms:W3CDTF">2025-06-13T02:29:38Z</dcterms:modified>
</cp:coreProperties>
</file>