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sirrasul/sources/archetype-sample/test2/src/main/resources/rules/"/>
    </mc:Choice>
  </mc:AlternateContent>
  <xr:revisionPtr revIDLastSave="0" documentId="13_ncr:1_{3B43C398-D226-4949-85B0-CBF2F92A6776}" xr6:coauthVersionLast="47" xr6:coauthVersionMax="47" xr10:uidLastSave="{00000000-0000-0000-0000-000000000000}"/>
  <bookViews>
    <workbookView xWindow="14720" yWindow="500" windowWidth="47720" windowHeight="30960" xr2:uid="{00000000-000D-0000-FFFF-FFFF00000000}"/>
  </bookViews>
  <sheets>
    <sheet name="Monthly" sheetId="1" r:id="rId1"/>
    <sheet name="Picklist - Autofill from Master" sheetId="4" r:id="rId2"/>
  </sheets>
  <definedNames>
    <definedName name="_xlnm._FilterDatabase" localSheetId="0" hidden="1">Monthly!$A$11:$M$12</definedName>
    <definedName name="Z_30F788AE_B704_4428_B5B2_8F119E820879_.wvu.FilterData" localSheetId="0" hidden="1">Monthly!$A$11:$P$12</definedName>
    <definedName name="Z_6D6C1C4E_02B6_4F9D_8813_7C82CEF46D91_.wvu.FilterData" localSheetId="0" hidden="1">Monthly!$A$11:$M$12</definedName>
  </definedNames>
  <calcPr calcId="191029"/>
  <customWorkbookViews>
    <customWorkbookView name="Nasir" guid="{A7CC48AB-4B1D-4F38-9D08-53521973216C}" maximized="1" windowWidth="0" windowHeight="0" activeSheetId="0"/>
    <customWorkbookView name="Filter 1" guid="{30F788AE-B704-4428-B5B2-8F119E820879}" maximized="1" windowWidth="0" windowHeight="0" activeSheetId="0"/>
    <customWorkbookView name="Tyler" guid="{6D6C1C4E-02B6-4F9D-8813-7C82CEF46D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G71" i="4"/>
  <c r="C71" i="4"/>
  <c r="G70" i="4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A25" i="4"/>
  <c r="G24" i="4"/>
  <c r="C24" i="4"/>
  <c r="A24" i="4"/>
  <c r="G23" i="4"/>
  <c r="C23" i="4"/>
  <c r="A23" i="4"/>
  <c r="G22" i="4"/>
  <c r="C22" i="4"/>
  <c r="A22" i="4"/>
  <c r="G21" i="4"/>
  <c r="C21" i="4"/>
  <c r="A21" i="4"/>
  <c r="G20" i="4"/>
  <c r="C20" i="4"/>
  <c r="A20" i="4"/>
  <c r="G19" i="4"/>
  <c r="C19" i="4"/>
  <c r="A19" i="4"/>
  <c r="G18" i="4"/>
  <c r="C18" i="4"/>
  <c r="A18" i="4"/>
  <c r="G17" i="4"/>
  <c r="C17" i="4"/>
  <c r="A17" i="4"/>
  <c r="G16" i="4"/>
  <c r="C16" i="4"/>
  <c r="A16" i="4"/>
  <c r="G15" i="4"/>
  <c r="C15" i="4"/>
  <c r="A15" i="4"/>
  <c r="G14" i="4"/>
  <c r="C14" i="4"/>
  <c r="A14" i="4"/>
  <c r="G13" i="4"/>
  <c r="C13" i="4"/>
  <c r="A13" i="4"/>
  <c r="G12" i="4"/>
  <c r="C12" i="4"/>
  <c r="A12" i="4"/>
  <c r="G11" i="4"/>
  <c r="C11" i="4"/>
  <c r="A11" i="4"/>
  <c r="G10" i="4"/>
  <c r="C10" i="4"/>
  <c r="A10" i="4"/>
  <c r="G9" i="4"/>
  <c r="C9" i="4"/>
  <c r="A9" i="4"/>
  <c r="G8" i="4"/>
  <c r="C8" i="4"/>
  <c r="A8" i="4"/>
  <c r="G7" i="4"/>
  <c r="C7" i="4"/>
  <c r="A7" i="4"/>
  <c r="G6" i="4"/>
  <c r="E6" i="4"/>
  <c r="C6" i="4"/>
  <c r="A6" i="4"/>
  <c r="G5" i="4"/>
  <c r="E5" i="4"/>
  <c r="C5" i="4"/>
  <c r="A5" i="4"/>
  <c r="I4" i="4"/>
  <c r="G4" i="4"/>
  <c r="E4" i="4"/>
  <c r="C4" i="4"/>
  <c r="A4" i="4"/>
  <c r="I3" i="4"/>
  <c r="G3" i="4"/>
  <c r="E3" i="4"/>
  <c r="C3" i="4"/>
  <c r="A3" i="4"/>
  <c r="I2" i="4"/>
  <c r="G2" i="4"/>
  <c r="E2" i="4"/>
  <c r="C2" i="4"/>
  <c r="A2" i="4"/>
  <c r="I1" i="4"/>
  <c r="G1" i="4"/>
  <c r="E1" i="4"/>
  <c r="C1" i="4"/>
  <c r="A1" i="4"/>
  <c r="O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0000-000003000000}">
      <text>
        <r>
          <rPr>
            <sz val="10"/>
            <color rgb="FF000000"/>
            <rFont val="Arial"/>
          </rPr>
          <t>Proposed structure. Adding support for new batteries is as simple as doing adding a new row. As computation, we can either replace it with a formula or number, or a mix there of.
	-Nasir Rasul</t>
        </r>
      </text>
    </comment>
  </commentList>
</comments>
</file>

<file path=xl/sharedStrings.xml><?xml version="1.0" encoding="utf-8"?>
<sst xmlns="http://schemas.openxmlformats.org/spreadsheetml/2006/main" count="59" uniqueCount="43">
  <si>
    <t>RuleSet</t>
  </si>
  <si>
    <t>Unit</t>
  </si>
  <si>
    <t>Sequential</t>
  </si>
  <si>
    <t>Import</t>
  </si>
  <si>
    <t>Queries</t>
  </si>
  <si>
    <t>DESCRIPTION</t>
  </si>
  <si>
    <t>CONDITION</t>
  </si>
  <si>
    <t>ACTION</t>
  </si>
  <si>
    <t>$input: /inputObject</t>
  </si>
  <si>
    <t>$item</t>
  </si>
  <si>
    <t>utility == "$param"</t>
  </si>
  <si>
    <t>salesDivision == "$param"</t>
  </si>
  <si>
    <t>salesPartner == "$param"</t>
  </si>
  <si>
    <t>manufacturer == "$param"</t>
  </si>
  <si>
    <t>model == "$param"</t>
  </si>
  <si>
    <t>add("$param")</t>
  </si>
  <si>
    <t>setRule("$param")</t>
  </si>
  <si>
    <t>setPriority($param)</t>
  </si>
  <si>
    <t>Description</t>
  </si>
  <si>
    <t>State</t>
  </si>
  <si>
    <t>Utility</t>
  </si>
  <si>
    <t>Sales  Division</t>
  </si>
  <si>
    <t>Sales Partner</t>
  </si>
  <si>
    <t>Manufacturer (Not ready for use)</t>
  </si>
  <si>
    <t>Model</t>
  </si>
  <si>
    <t>Escalator</t>
  </si>
  <si>
    <t>1st Battery</t>
  </si>
  <si>
    <t>2nd Battery</t>
  </si>
  <si>
    <t xml:space="preserve">3rd Battery </t>
  </si>
  <si>
    <t>4th Battery</t>
  </si>
  <si>
    <t>Rule</t>
  </si>
  <si>
    <t>Priority</t>
  </si>
  <si>
    <t>CA</t>
  </si>
  <si>
    <t>com.sunrun.pricing.quarkus</t>
  </si>
  <si>
    <t>com.sunrun.pricing.rest.*, java.math.BigDecimal</t>
  </si>
  <si>
    <t>string == "$param"</t>
  </si>
  <si>
    <t>setString("$param")</t>
  </si>
  <si>
    <t>RulesEngineUnit</t>
  </si>
  <si>
    <t>query RulesEngineQuery $outputObject: /outputObject end</t>
  </si>
  <si>
    <t>RulesEngineOutput $item = new RulesEngineOutput();</t>
  </si>
  <si>
    <t>RuleTable BatteryPrice</t>
  </si>
  <si>
    <t>outputObject.add($item);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</si>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</sst>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8" x14ac:knownFonts="1">
    <font>
      <sz val="10"/>
      <color rgb="FF000000"/>
      <name val="Arial"/>
    </font>
    <font>
      <sz val="10"/>
      <color rgb="FFFFFFFF"/>
      <name val="Nunito"/>
    </font>
    <font>
      <sz val="10"/>
      <color rgb="FFB7B7B7"/>
      <name val="Nunito"/>
    </font>
    <font>
      <sz val="10"/>
      <color theme="1"/>
      <name val="Nunito"/>
    </font>
    <font>
      <b/>
      <sz val="10"/>
      <color rgb="FFFFFFFF"/>
      <name val="Nunito"/>
    </font>
    <font>
      <sz val="10"/>
      <color rgb="FF999999"/>
      <name val="Nunito"/>
    </font>
    <font>
      <sz val="10"/>
      <color theme="1"/>
      <name val="Arial"/>
    </font>
    <font>
      <b/>
      <sz val="12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333399"/>
        <bgColor rgb="FF333399"/>
      </patternFill>
    </fill>
    <fill>
      <patternFill patternType="solid">
        <fgColor rgb="FFB4A7D6"/>
        <bgColor rgb="FFB4A7D6"/>
      </patternFill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3" fillId="0" borderId="0" xfId="0" applyFont="1"/>
    <xf numFmtId="0" fontId="1" fillId="3" borderId="0" xfId="0" applyFont="1" applyFill="1" applyAlignment="1"/>
    <xf numFmtId="0" fontId="2" fillId="4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4" borderId="0" xfId="0" applyFont="1" applyFill="1" applyAlignment="1"/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8" borderId="0" xfId="0" applyFont="1" applyFill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0" xfId="0" applyFont="1"/>
    <xf numFmtId="0" fontId="7" fillId="9" borderId="0" xfId="0" applyFont="1" applyFill="1"/>
    <xf numFmtId="0" fontId="6" fillId="0" borderId="0" xfId="0" applyFont="1"/>
    <xf numFmtId="0" fontId="1" fillId="3" borderId="0" xfId="0" applyFont="1" applyFill="1" applyAlignment="1"/>
    <xf numFmtId="0" fontId="1" fillId="3" borderId="0" xfId="0" applyFont="1" applyFill="1" applyAlignment="1"/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P12"/>
  <sheetViews>
    <sheetView tabSelected="1" zoomScale="200" zoomScaleNormal="200" workbookViewId="0">
      <pane ySplit="11" topLeftCell="A12" activePane="bottomLeft" state="frozen"/>
      <selection pane="bottomLeft" activeCell="N12" sqref="N12"/>
    </sheetView>
  </sheetViews>
  <sheetFormatPr baseColWidth="10" defaultColWidth="14.5" defaultRowHeight="15.75" customHeight="1" outlineLevelRow="1" outlineLevelCol="1" x14ac:dyDescent="0.15"/>
  <cols>
    <col min="1" max="1" width="20" customWidth="1"/>
    <col min="2" max="2" width="6.5" customWidth="1"/>
    <col min="3" max="3" width="20.5" customWidth="1"/>
    <col min="4" max="4" width="18" customWidth="1"/>
    <col min="5" max="5" width="35.5" customWidth="1"/>
    <col min="6" max="6" width="11.33203125" customWidth="1"/>
    <col min="7" max="7" width="18" customWidth="1"/>
    <col min="8" max="8" width="14.5" outlineLevel="1"/>
    <col min="9" max="9" width="8.5" customWidth="1"/>
    <col min="10" max="12" width="7.5" customWidth="1"/>
    <col min="13" max="13" width="7.5" customWidth="1" collapsed="1"/>
    <col min="14" max="14" width="29.5" hidden="1" customWidth="1" outlineLevel="1"/>
    <col min="15" max="15" width="10.33203125" hidden="1" customWidth="1" outlineLevel="1"/>
    <col min="16" max="16" width="8.83203125" hidden="1" customWidth="1" outlineLevel="1"/>
  </cols>
  <sheetData>
    <row r="1" spans="1:16" ht="14" hidden="1" outlineLevel="1" x14ac:dyDescent="0.2">
      <c r="A1" s="1" t="s">
        <v>0</v>
      </c>
      <c r="B1" s="35" t="s">
        <v>33</v>
      </c>
      <c r="C1" s="32"/>
      <c r="D1" s="32"/>
      <c r="E1" s="32"/>
      <c r="F1" s="32"/>
      <c r="G1" s="32"/>
      <c r="H1" s="3"/>
      <c r="I1" s="4"/>
      <c r="J1" s="4"/>
      <c r="K1" s="4"/>
      <c r="L1" s="4"/>
      <c r="M1" s="5"/>
      <c r="N1" s="5"/>
      <c r="O1" s="6"/>
      <c r="P1" s="6"/>
    </row>
    <row r="2" spans="1:16" ht="14" hidden="1" outlineLevel="1" x14ac:dyDescent="0.2">
      <c r="A2" s="1" t="s">
        <v>1</v>
      </c>
      <c r="B2" s="35" t="s">
        <v>37</v>
      </c>
      <c r="C2" s="32"/>
      <c r="D2" s="32"/>
      <c r="E2" s="32"/>
      <c r="F2" s="32"/>
      <c r="G2" s="32"/>
      <c r="H2" s="3"/>
      <c r="I2" s="4"/>
      <c r="J2" s="4"/>
      <c r="K2" s="4"/>
      <c r="L2" s="4"/>
      <c r="M2" s="5"/>
      <c r="N2" s="5"/>
      <c r="O2" s="6"/>
      <c r="P2" s="6"/>
    </row>
    <row r="3" spans="1:16" ht="14" hidden="1" outlineLevel="1" x14ac:dyDescent="0.2">
      <c r="A3" s="1" t="s">
        <v>2</v>
      </c>
      <c r="B3" s="36">
        <v>1</v>
      </c>
      <c r="C3" s="32"/>
      <c r="D3" s="32"/>
      <c r="E3" s="32"/>
      <c r="F3" s="32"/>
      <c r="G3" s="32"/>
      <c r="H3" s="3"/>
      <c r="I3" s="4"/>
      <c r="J3" s="4"/>
      <c r="K3" s="4"/>
      <c r="L3" s="4"/>
      <c r="M3" s="5"/>
      <c r="N3" s="5"/>
      <c r="O3" s="6"/>
      <c r="P3" s="6"/>
    </row>
    <row r="4" spans="1:16" ht="14" hidden="1" outlineLevel="1" x14ac:dyDescent="0.2">
      <c r="A4" s="1" t="s">
        <v>3</v>
      </c>
      <c r="B4" s="35" t="s">
        <v>34</v>
      </c>
      <c r="C4" s="32"/>
      <c r="D4" s="32"/>
      <c r="E4" s="32"/>
      <c r="F4" s="32"/>
      <c r="G4" s="32"/>
      <c r="H4" s="3"/>
      <c r="I4" s="4"/>
      <c r="J4" s="4"/>
      <c r="K4" s="4"/>
      <c r="L4" s="4"/>
      <c r="M4" s="5"/>
      <c r="N4" s="5"/>
      <c r="O4" s="6"/>
      <c r="P4" s="6"/>
    </row>
    <row r="5" spans="1:16" ht="14" hidden="1" outlineLevel="1" x14ac:dyDescent="0.2">
      <c r="A5" s="1" t="s">
        <v>4</v>
      </c>
      <c r="B5" s="35" t="s">
        <v>38</v>
      </c>
      <c r="C5" s="32"/>
      <c r="D5" s="32"/>
      <c r="E5" s="32"/>
      <c r="F5" s="32"/>
      <c r="G5" s="32"/>
      <c r="H5" s="3"/>
      <c r="I5" s="4"/>
      <c r="J5" s="4"/>
      <c r="K5" s="4"/>
      <c r="L5" s="4"/>
      <c r="M5" s="5"/>
      <c r="N5" s="5"/>
      <c r="O5" s="6"/>
      <c r="P5" s="6"/>
    </row>
    <row r="6" spans="1:16" ht="14" hidden="1" outlineLevel="1" x14ac:dyDescent="0.2">
      <c r="A6" s="7"/>
      <c r="B6" s="5"/>
      <c r="C6" s="5"/>
      <c r="D6" s="5"/>
      <c r="E6" s="5"/>
      <c r="F6" s="5"/>
      <c r="G6" s="5"/>
      <c r="H6" s="3"/>
      <c r="I6" s="4"/>
      <c r="J6" s="4"/>
      <c r="K6" s="4"/>
      <c r="L6" s="4"/>
      <c r="M6" s="5"/>
      <c r="N6" s="5"/>
      <c r="O6" s="6"/>
      <c r="P6" s="6"/>
    </row>
    <row r="7" spans="1:16" ht="14" hidden="1" outlineLevel="1" x14ac:dyDescent="0.2">
      <c r="A7" s="8"/>
      <c r="B7" s="31" t="s">
        <v>40</v>
      </c>
      <c r="C7" s="32"/>
      <c r="D7" s="32"/>
      <c r="E7" s="32"/>
      <c r="F7" s="32"/>
      <c r="G7" s="32"/>
      <c r="H7" s="9"/>
      <c r="I7" s="10"/>
      <c r="J7" s="11"/>
      <c r="K7" s="11"/>
      <c r="L7" s="11"/>
      <c r="M7" s="11"/>
      <c r="N7" s="10"/>
      <c r="O7" s="12"/>
      <c r="P7" s="12"/>
    </row>
    <row r="8" spans="1:16" ht="14" hidden="1" outlineLevel="1" x14ac:dyDescent="0.2">
      <c r="A8" s="13" t="s">
        <v>5</v>
      </c>
      <c r="B8" s="13" t="s">
        <v>6</v>
      </c>
      <c r="C8" s="13" t="s">
        <v>5</v>
      </c>
      <c r="D8" s="30" t="s">
        <v>5</v>
      </c>
      <c r="E8" s="30" t="s">
        <v>5</v>
      </c>
      <c r="F8" s="30" t="s">
        <v>5</v>
      </c>
      <c r="G8" s="30" t="s">
        <v>5</v>
      </c>
      <c r="H8" s="14" t="s">
        <v>7</v>
      </c>
      <c r="I8" s="1" t="s">
        <v>7</v>
      </c>
      <c r="J8" s="30" t="s">
        <v>5</v>
      </c>
      <c r="K8" s="30" t="s">
        <v>5</v>
      </c>
      <c r="L8" s="30" t="s">
        <v>5</v>
      </c>
      <c r="M8" s="30" t="s">
        <v>5</v>
      </c>
      <c r="N8" s="1" t="s">
        <v>7</v>
      </c>
      <c r="O8" s="15" t="s">
        <v>7</v>
      </c>
      <c r="P8" s="1" t="s">
        <v>7</v>
      </c>
    </row>
    <row r="9" spans="1:16" ht="14" hidden="1" outlineLevel="1" x14ac:dyDescent="0.2">
      <c r="A9" s="13"/>
      <c r="B9" s="33" t="s">
        <v>8</v>
      </c>
      <c r="C9" s="32"/>
      <c r="D9" s="32"/>
      <c r="E9" s="32"/>
      <c r="F9" s="32"/>
      <c r="G9" s="32"/>
      <c r="H9" s="14"/>
      <c r="I9" s="34" t="s">
        <v>9</v>
      </c>
      <c r="J9" s="32"/>
      <c r="K9" s="32"/>
      <c r="L9" s="32"/>
      <c r="M9" s="32"/>
      <c r="N9" s="32"/>
      <c r="O9" s="32"/>
      <c r="P9" s="16"/>
    </row>
    <row r="10" spans="1:16" ht="14" hidden="1" outlineLevel="1" x14ac:dyDescent="0.2">
      <c r="A10" s="13"/>
      <c r="B10" s="13" t="s">
        <v>35</v>
      </c>
      <c r="C10" s="13" t="s">
        <v>10</v>
      </c>
      <c r="D10" s="13" t="s">
        <v>11</v>
      </c>
      <c r="E10" s="13" t="s">
        <v>12</v>
      </c>
      <c r="F10" s="8" t="s">
        <v>13</v>
      </c>
      <c r="G10" s="8" t="s">
        <v>14</v>
      </c>
      <c r="H10" s="17" t="s">
        <v>39</v>
      </c>
      <c r="I10" s="15" t="s">
        <v>36</v>
      </c>
      <c r="J10" s="15" t="s">
        <v>15</v>
      </c>
      <c r="K10" s="15" t="s">
        <v>15</v>
      </c>
      <c r="L10" s="15" t="s">
        <v>15</v>
      </c>
      <c r="M10" s="15" t="s">
        <v>15</v>
      </c>
      <c r="N10" s="15" t="s">
        <v>16</v>
      </c>
      <c r="O10" s="2" t="s">
        <v>17</v>
      </c>
      <c r="P10" s="2" t="s">
        <v>41</v>
      </c>
    </row>
    <row r="11" spans="1:16" ht="45" collapsed="1" x14ac:dyDescent="0.2">
      <c r="A11" s="18" t="s">
        <v>18</v>
      </c>
      <c r="B11" s="18" t="s">
        <v>19</v>
      </c>
      <c r="C11" s="18" t="s">
        <v>20</v>
      </c>
      <c r="D11" s="18" t="s">
        <v>21</v>
      </c>
      <c r="E11" s="18" t="s">
        <v>22</v>
      </c>
      <c r="F11" s="19" t="s">
        <v>23</v>
      </c>
      <c r="G11" s="18" t="s">
        <v>24</v>
      </c>
      <c r="H11" s="20"/>
      <c r="I11" s="21" t="s">
        <v>25</v>
      </c>
      <c r="J11" s="21" t="s">
        <v>26</v>
      </c>
      <c r="K11" s="21" t="s">
        <v>27</v>
      </c>
      <c r="L11" s="21" t="s">
        <v>28</v>
      </c>
      <c r="M11" s="21" t="s">
        <v>29</v>
      </c>
      <c r="N11" s="20" t="s">
        <v>30</v>
      </c>
      <c r="O11" s="22" t="s">
        <v>31</v>
      </c>
      <c r="P11" s="6"/>
    </row>
    <row r="12" spans="1:16" ht="14" x14ac:dyDescent="0.2">
      <c r="A12" s="7"/>
      <c r="B12" s="5" t="s">
        <v>32</v>
      </c>
      <c r="C12" s="5"/>
      <c r="D12" s="23"/>
      <c r="E12" s="23"/>
      <c r="F12" s="24"/>
      <c r="G12" s="23" t="s">
        <v>42</v>
      </c>
      <c r="H12" s="22" t="b">
        <v>1</v>
      </c>
      <c r="I12" s="25">
        <v>2.9000000000000001E-2</v>
      </c>
      <c r="J12" s="26">
        <v>1000</v>
      </c>
      <c r="K12" s="26">
        <v>1000</v>
      </c>
      <c r="L12" s="26">
        <v>1000</v>
      </c>
      <c r="M12" s="26">
        <v>1000</v>
      </c>
      <c r="N12" s="27" t="str">
        <f>CONCATENATE("Monthly"," Rule ",ROW())</f>
        <v>Monthly Rule 12</v>
      </c>
      <c r="O12" s="22">
        <f t="shared" ref="O12" si="0">7- COUNTA(B12:G12)</f>
        <v>5</v>
      </c>
      <c r="P12" s="22" t="b">
        <v>1</v>
      </c>
    </row>
  </sheetData>
  <autoFilter ref="A11:M12" xr:uid="{00000000-0009-0000-0000-000000000000}"/>
  <customSheetViews>
    <customSheetView guid="{30F788AE-B704-4428-B5B2-8F119E820879}" filter="1" showAutoFilter="1">
      <pageMargins left="0.7" right="0.7" top="0.75" bottom="0.75" header="0.3" footer="0.3"/>
      <autoFilter ref="A11:P612" xr:uid="{E270D67D-8A82-2143-AE10-A54FCE3DB23E}"/>
    </customSheetView>
    <customSheetView guid="{6D6C1C4E-02B6-4F9D-8813-7C82CEF46D91}" filter="1" showAutoFilter="1">
      <pageMargins left="0.7" right="0.7" top="0.75" bottom="0.75" header="0.3" footer="0.3"/>
      <autoFilter ref="A11:M348" xr:uid="{07B76E8D-BE91-DF45-BECD-EC81336B904B}">
        <filterColumn colId="2">
          <filters blank="1">
            <filter val="Choptank Electric"/>
            <filter val="Colorado Springs Utilities"/>
            <filter val="CPS Energy"/>
            <filter val="Entergy"/>
            <filter val="Fort Collins Utilities"/>
            <filter val="FPL"/>
            <filter val="Met-Ed"/>
            <filter val="Modesto Irrigation District"/>
            <filter val="Moreno Valley Electric Utility"/>
            <filter val="MVEA"/>
            <filter val="NYSE&amp;G"/>
            <filter val="PECO"/>
            <filter val="Penelec"/>
            <filter val="Potomac Edison"/>
            <filter val="TEP"/>
          </filters>
        </filterColumn>
      </autoFilter>
    </customSheetView>
  </customSheetViews>
  <mergeCells count="8">
    <mergeCell ref="B7:G7"/>
    <mergeCell ref="B9:G9"/>
    <mergeCell ref="I9:O9"/>
    <mergeCell ref="B1:G1"/>
    <mergeCell ref="B2:G2"/>
    <mergeCell ref="B3:G3"/>
    <mergeCell ref="B4:G4"/>
    <mergeCell ref="B5:G5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Picklist - Autofill from Master'!C1:C1000" xr:uid="{00000000-0002-0000-0000-000000000000}">
          <x14:formula1>
            <xm:f>'Picklist - Autofill from Master'!$C:$C</xm:f>
          </x14:formula1>
          <xm:sqref>C6 C8:G8 C10:C12 J8:M8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5.83203125" customWidth="1"/>
    <col min="3" max="3" width="27" customWidth="1"/>
    <col min="4" max="4" width="4.33203125" customWidth="1"/>
    <col min="6" max="6" width="4.33203125" customWidth="1"/>
    <col min="7" max="7" width="41.83203125" customWidth="1"/>
  </cols>
  <sheetData>
    <row r="1" spans="1:13" ht="16" x14ac:dyDescent="0.2">
      <c r="A1" s="28" t="str">
        <f ca="1">IFERROR(__xludf.DUMMYFUNCTION("IMPORTRANGE(""https://docs.google.com/spreadsheets/d/1G3WtGdp8LkA_YHYxB0_ic4uF8Fl4UNbvI9_QYj8ba18/edit#gid=0"", ""Master Picklist!A1:M100"")"),"State")</f>
        <v>State</v>
      </c>
      <c r="B1" s="29"/>
      <c r="C1" s="28" t="str">
        <f ca="1">IFERROR(__xludf.DUMMYFUNCTION("""COMPUTED_VALUE"""),"Utility")</f>
        <v>Utility</v>
      </c>
      <c r="D1" s="29"/>
      <c r="E1" s="28" t="str">
        <f ca="1">IFERROR(__xludf.DUMMYFUNCTION("""COMPUTED_VALUE"""),"Sales Division")</f>
        <v>Sales Division</v>
      </c>
      <c r="F1" s="29"/>
      <c r="G1" s="28" t="str">
        <f ca="1">IFERROR(__xludf.DUMMYFUNCTION("""COMPUTED_VALUE"""),"Sales Partner")</f>
        <v>Sales Partner</v>
      </c>
      <c r="H1" s="29"/>
      <c r="I1" s="29" t="str">
        <f ca="1">IFERROR(__xludf.DUMMYFUNCTION("""COMPUTED_VALUE"""),"Battery Model")</f>
        <v>Battery Model</v>
      </c>
      <c r="J1" s="29"/>
      <c r="K1" s="29"/>
      <c r="L1" s="29"/>
      <c r="M1" s="29"/>
    </row>
    <row r="2" spans="1:13" ht="15.75" customHeight="1" x14ac:dyDescent="0.15">
      <c r="A2" s="29" t="str">
        <f ca="1">IFERROR(__xludf.DUMMYFUNCTION("""COMPUTED_VALUE"""),"AZ")</f>
        <v>AZ</v>
      </c>
      <c r="B2" s="29"/>
      <c r="C2" s="29" t="str">
        <f ca="1">IFERROR(__xludf.DUMMYFUNCTION("""COMPUTED_VALUE"""),"ACE")</f>
        <v>ACE</v>
      </c>
      <c r="D2" s="29"/>
      <c r="E2" s="29" t="str">
        <f ca="1">IFERROR(__xludf.DUMMYFUNCTION("""COMPUTED_VALUE"""),"DFS")</f>
        <v>DFS</v>
      </c>
      <c r="F2" s="29"/>
      <c r="G2" s="29" t="str">
        <f ca="1">IFERROR(__xludf.DUMMYFUNCTION("""COMPUTED_VALUE"""),"1st Light Energy")</f>
        <v>1st Light Energy</v>
      </c>
      <c r="H2" s="29"/>
      <c r="I2" s="29" t="str">
        <f ca="1">IFERROR(__xludf.DUMMYFUNCTION("""COMPUTED_VALUE"""),"RESU 10H SEG")</f>
        <v>RESU 10H SEG</v>
      </c>
      <c r="J2" s="29"/>
      <c r="K2" s="29"/>
      <c r="L2" s="29"/>
      <c r="M2" s="29"/>
    </row>
    <row r="3" spans="1:13" ht="15.75" customHeight="1" x14ac:dyDescent="0.15">
      <c r="A3" s="29" t="str">
        <f ca="1">IFERROR(__xludf.DUMMYFUNCTION("""COMPUTED_VALUE"""),"CA")</f>
        <v>CA</v>
      </c>
      <c r="B3" s="29"/>
      <c r="C3" s="29" t="str">
        <f ca="1">IFERROR(__xludf.DUMMYFUNCTION("""COMPUTED_VALUE"""),"Alameda Municipal Power")</f>
        <v>Alameda Municipal Power</v>
      </c>
      <c r="D3" s="29"/>
      <c r="E3" s="29" t="str">
        <f ca="1">IFERROR(__xludf.DUMMYFUNCTION("""COMPUTED_VALUE"""),"Fusion")</f>
        <v>Fusion</v>
      </c>
      <c r="F3" s="29"/>
      <c r="G3" s="29" t="str">
        <f ca="1">IFERROR(__xludf.DUMMYFUNCTION("""COMPUTED_VALUE"""),"Alternate Energy Inc.")</f>
        <v>Alternate Energy Inc.</v>
      </c>
      <c r="H3" s="29"/>
      <c r="I3" s="29" t="str">
        <f ca="1">IFERROR(__xludf.DUMMYFUNCTION("""COMPUTED_VALUE"""),"Powerwall 2 AC")</f>
        <v>Powerwall 2 AC</v>
      </c>
      <c r="J3" s="29"/>
      <c r="K3" s="29"/>
      <c r="L3" s="29"/>
      <c r="M3" s="29"/>
    </row>
    <row r="4" spans="1:13" ht="15.75" customHeight="1" x14ac:dyDescent="0.15">
      <c r="A4" s="29" t="str">
        <f ca="1">IFERROR(__xludf.DUMMYFUNCTION("""COMPUTED_VALUE"""),"CO")</f>
        <v>CO</v>
      </c>
      <c r="B4" s="29"/>
      <c r="C4" s="29" t="str">
        <f ca="1">IFERROR(__xludf.DUMMYFUNCTION("""COMPUTED_VALUE"""),"ALL")</f>
        <v>ALL</v>
      </c>
      <c r="D4" s="29"/>
      <c r="E4" s="29" t="str">
        <f ca="1">IFERROR(__xludf.DUMMYFUNCTION("""COMPUTED_VALUE"""),"D2H")</f>
        <v>D2H</v>
      </c>
      <c r="F4" s="29"/>
      <c r="G4" s="29" t="str">
        <f ca="1">IFERROR(__xludf.DUMMYFUNCTION("""COMPUTED_VALUE"""),"Amergy Solar Inc.")</f>
        <v>Amergy Solar Inc.</v>
      </c>
      <c r="H4" s="29"/>
      <c r="I4" s="29" t="str">
        <f ca="1">IFERROR(__xludf.DUMMYFUNCTION("""COMPUTED_VALUE"""),"RESU 10H Prime")</f>
        <v>RESU 10H Prime</v>
      </c>
      <c r="J4" s="29"/>
      <c r="K4" s="29"/>
      <c r="L4" s="29"/>
      <c r="M4" s="29"/>
    </row>
    <row r="5" spans="1:13" ht="15.75" customHeight="1" x14ac:dyDescent="0.15">
      <c r="A5" s="29" t="str">
        <f ca="1">IFERROR(__xludf.DUMMYFUNCTION("""COMPUTED_VALUE"""),"CT")</f>
        <v>CT</v>
      </c>
      <c r="B5" s="29"/>
      <c r="C5" s="29" t="str">
        <f ca="1">IFERROR(__xludf.DUMMYFUNCTION("""COMPUTED_VALUE"""),"APS")</f>
        <v>APS</v>
      </c>
      <c r="D5" s="29"/>
      <c r="E5" s="29" t="str">
        <f ca="1">IFERROR(__xludf.DUMMYFUNCTION("""COMPUTED_VALUE"""),"Sales Partner")</f>
        <v>Sales Partner</v>
      </c>
      <c r="F5" s="29"/>
      <c r="G5" s="29" t="str">
        <f ca="1">IFERROR(__xludf.DUMMYFUNCTION("""COMPUTED_VALUE"""),"American Electric")</f>
        <v>American Electric</v>
      </c>
      <c r="H5" s="29"/>
      <c r="I5" s="29"/>
      <c r="J5" s="29"/>
      <c r="K5" s="29"/>
      <c r="L5" s="29"/>
      <c r="M5" s="29"/>
    </row>
    <row r="6" spans="1:13" ht="15.75" customHeight="1" x14ac:dyDescent="0.15">
      <c r="A6" s="29" t="str">
        <f ca="1">IFERROR(__xludf.DUMMYFUNCTION("""COMPUTED_VALUE"""),"DC")</f>
        <v>DC</v>
      </c>
      <c r="B6" s="29"/>
      <c r="C6" s="29" t="str">
        <f ca="1">IFERROR(__xludf.DUMMYFUNCTION("""COMPUTED_VALUE"""),"APU")</f>
        <v>APU</v>
      </c>
      <c r="D6" s="29"/>
      <c r="E6" s="29" t="str">
        <f ca="1">IFERROR(__xludf.DUMMYFUNCTION("""COMPUTED_VALUE"""),"Channel Partner")</f>
        <v>Channel Partner</v>
      </c>
      <c r="F6" s="29"/>
      <c r="G6" s="29" t="str">
        <f ca="1">IFERROR(__xludf.DUMMYFUNCTION("""COMPUTED_VALUE"""),"Arcadia Solar")</f>
        <v>Arcadia Solar</v>
      </c>
      <c r="H6" s="29"/>
      <c r="I6" s="29"/>
      <c r="J6" s="29"/>
      <c r="K6" s="29"/>
      <c r="L6" s="29"/>
      <c r="M6" s="29"/>
    </row>
    <row r="7" spans="1:13" ht="15.75" customHeight="1" x14ac:dyDescent="0.15">
      <c r="A7" s="29" t="str">
        <f ca="1">IFERROR(__xludf.DUMMYFUNCTION("""COMPUTED_VALUE"""),"FL")</f>
        <v>FL</v>
      </c>
      <c r="B7" s="29"/>
      <c r="C7" s="29" t="str">
        <f ca="1">IFERROR(__xludf.DUMMYFUNCTION("""COMPUTED_VALUE"""),"Banning Electric Utility")</f>
        <v>Banning Electric Utility</v>
      </c>
      <c r="D7" s="29"/>
      <c r="E7" s="29"/>
      <c r="F7" s="29"/>
      <c r="G7" s="29" t="str">
        <f ca="1">IFERROR(__xludf.DUMMYFUNCTION("""COMPUTED_VALUE"""),"Bright Planet Solar, Inc.")</f>
        <v>Bright Planet Solar, Inc.</v>
      </c>
      <c r="H7" s="29"/>
      <c r="I7" s="29"/>
      <c r="J7" s="29"/>
      <c r="K7" s="29"/>
      <c r="L7" s="29"/>
      <c r="M7" s="29"/>
    </row>
    <row r="8" spans="1:13" ht="15.75" customHeight="1" x14ac:dyDescent="0.15">
      <c r="A8" s="29" t="str">
        <f ca="1">IFERROR(__xludf.DUMMYFUNCTION("""COMPUTED_VALUE"""),"HI")</f>
        <v>HI</v>
      </c>
      <c r="B8" s="29"/>
      <c r="C8" s="29" t="str">
        <f ca="1">IFERROR(__xludf.DUMMYFUNCTION("""COMPUTED_VALUE"""),"BG&amp;E")</f>
        <v>BG&amp;E</v>
      </c>
      <c r="D8" s="29"/>
      <c r="E8" s="29"/>
      <c r="F8" s="29"/>
      <c r="G8" s="29" t="str">
        <f ca="1">IFERROR(__xludf.DUMMYFUNCTION("""COMPUTED_VALUE"""),"Clean Energy Solutions, Inc.")</f>
        <v>Clean Energy Solutions, Inc.</v>
      </c>
      <c r="H8" s="29"/>
      <c r="I8" s="29"/>
      <c r="J8" s="29"/>
      <c r="K8" s="29"/>
      <c r="L8" s="29"/>
      <c r="M8" s="29"/>
    </row>
    <row r="9" spans="1:13" ht="15.75" customHeight="1" x14ac:dyDescent="0.15">
      <c r="A9" s="29" t="str">
        <f ca="1">IFERROR(__xludf.DUMMYFUNCTION("""COMPUTED_VALUE"""),"IL")</f>
        <v>IL</v>
      </c>
      <c r="B9" s="29"/>
      <c r="C9" s="29" t="str">
        <f ca="1">IFERROR(__xludf.DUMMYFUNCTION("""COMPUTED_VALUE"""),"Burbank")</f>
        <v>Burbank</v>
      </c>
      <c r="D9" s="29"/>
      <c r="E9" s="29"/>
      <c r="F9" s="29"/>
      <c r="G9" s="29" t="str">
        <f ca="1">IFERROR(__xludf.DUMMYFUNCTION("""COMPUTED_VALUE"""),"Complete Solar, Inc")</f>
        <v>Complete Solar, Inc</v>
      </c>
      <c r="H9" s="29"/>
      <c r="I9" s="29"/>
      <c r="J9" s="29"/>
      <c r="K9" s="29"/>
      <c r="L9" s="29"/>
      <c r="M9" s="29"/>
    </row>
    <row r="10" spans="1:13" ht="15.75" customHeight="1" x14ac:dyDescent="0.15">
      <c r="A10" s="29" t="str">
        <f ca="1">IFERROR(__xludf.DUMMYFUNCTION("""COMPUTED_VALUE"""),"MA")</f>
        <v>MA</v>
      </c>
      <c r="B10" s="29"/>
      <c r="C10" s="29" t="str">
        <f ca="1">IFERROR(__xludf.DUMMYFUNCTION("""COMPUTED_VALUE"""),"Burlington Electric Department")</f>
        <v>Burlington Electric Department</v>
      </c>
      <c r="D10" s="29"/>
      <c r="E10" s="29"/>
      <c r="F10" s="29"/>
      <c r="G10" s="29" t="str">
        <f ca="1">IFERROR(__xludf.DUMMYFUNCTION("""COMPUTED_VALUE"""),"Core Energy Group")</f>
        <v>Core Energy Group</v>
      </c>
      <c r="H10" s="29"/>
      <c r="I10" s="29"/>
      <c r="J10" s="29"/>
      <c r="K10" s="29"/>
      <c r="L10" s="29"/>
      <c r="M10" s="29"/>
    </row>
    <row r="11" spans="1:13" ht="15.75" customHeight="1" x14ac:dyDescent="0.15">
      <c r="A11" s="29" t="str">
        <f ca="1">IFERROR(__xludf.DUMMYFUNCTION("""COMPUTED_VALUE"""),"MD")</f>
        <v>MD</v>
      </c>
      <c r="B11" s="29"/>
      <c r="C11" s="29" t="str">
        <f ca="1">IFERROR(__xludf.DUMMYFUNCTION("""COMPUTED_VALUE"""),"Centerpoint Energy")</f>
        <v>Centerpoint Energy</v>
      </c>
      <c r="D11" s="29"/>
      <c r="E11" s="29"/>
      <c r="F11" s="29"/>
      <c r="G11" s="29" t="str">
        <f ca="1">IFERROR(__xludf.DUMMYFUNCTION("""COMPUTED_VALUE"""),"Current Home")</f>
        <v>Current Home</v>
      </c>
      <c r="H11" s="29"/>
      <c r="I11" s="29"/>
      <c r="J11" s="29"/>
      <c r="K11" s="29"/>
      <c r="L11" s="29"/>
      <c r="M11" s="29"/>
    </row>
    <row r="12" spans="1:13" ht="15.75" customHeight="1" x14ac:dyDescent="0.15">
      <c r="A12" s="29" t="str">
        <f ca="1">IFERROR(__xludf.DUMMYFUNCTION("""COMPUTED_VALUE"""),"NH")</f>
        <v>NH</v>
      </c>
      <c r="B12" s="29"/>
      <c r="C12" s="29" t="str">
        <f ca="1">IFERROR(__xludf.DUMMYFUNCTION("""COMPUTED_VALUE"""),"Central Hudson")</f>
        <v>Central Hudson</v>
      </c>
      <c r="D12" s="29"/>
      <c r="E12" s="29"/>
      <c r="F12" s="29"/>
      <c r="G12" s="29" t="str">
        <f ca="1">IFERROR(__xludf.DUMMYFUNCTION("""COMPUTED_VALUE"""),"Devlin Contracting and Maintenance, Inc")</f>
        <v>Devlin Contracting and Maintenance, Inc</v>
      </c>
      <c r="H12" s="29"/>
      <c r="I12" s="29"/>
      <c r="J12" s="29"/>
      <c r="K12" s="29"/>
      <c r="L12" s="29"/>
      <c r="M12" s="29"/>
    </row>
    <row r="13" spans="1:13" ht="15.75" customHeight="1" x14ac:dyDescent="0.15">
      <c r="A13" s="29" t="str">
        <f ca="1">IFERROR(__xludf.DUMMYFUNCTION("""COMPUTED_VALUE"""),"NJ")</f>
        <v>NJ</v>
      </c>
      <c r="B13" s="29"/>
      <c r="C13" s="29" t="str">
        <f ca="1">IFERROR(__xludf.DUMMYFUNCTION("""COMPUTED_VALUE"""),"City of Palo Alto Utilities")</f>
        <v>City of Palo Alto Utilities</v>
      </c>
      <c r="D13" s="29"/>
      <c r="E13" s="29"/>
      <c r="F13" s="29"/>
      <c r="G13" s="29" t="str">
        <f ca="1">IFERROR(__xludf.DUMMYFUNCTION("""COMPUTED_VALUE"""),"Elevation Solar, LLC")</f>
        <v>Elevation Solar, LLC</v>
      </c>
      <c r="H13" s="29"/>
      <c r="I13" s="29"/>
      <c r="J13" s="29"/>
      <c r="K13" s="29"/>
      <c r="L13" s="29"/>
      <c r="M13" s="29"/>
    </row>
    <row r="14" spans="1:13" ht="15.75" customHeight="1" x14ac:dyDescent="0.15">
      <c r="A14" s="29" t="str">
        <f ca="1">IFERROR(__xludf.DUMMYFUNCTION("""COMPUTED_VALUE"""),"NM")</f>
        <v>NM</v>
      </c>
      <c r="B14" s="29"/>
      <c r="C14" s="29" t="str">
        <f ca="1">IFERROR(__xludf.DUMMYFUNCTION("""COMPUTED_VALUE"""),"Colton Electric Utility")</f>
        <v>Colton Electric Utility</v>
      </c>
      <c r="D14" s="29"/>
      <c r="E14" s="29"/>
      <c r="F14" s="29"/>
      <c r="G14" s="29" t="str">
        <f ca="1">IFERROR(__xludf.DUMMYFUNCTION("""COMPUTED_VALUE"""),"Empire Solar Group, LLC")</f>
        <v>Empire Solar Group, LLC</v>
      </c>
      <c r="H14" s="29"/>
      <c r="I14" s="29"/>
      <c r="J14" s="29"/>
      <c r="K14" s="29"/>
      <c r="L14" s="29"/>
      <c r="M14" s="29"/>
    </row>
    <row r="15" spans="1:13" ht="15.75" customHeight="1" x14ac:dyDescent="0.15">
      <c r="A15" s="29" t="str">
        <f ca="1">IFERROR(__xludf.DUMMYFUNCTION("""COMPUTED_VALUE"""),"NV")</f>
        <v>NV</v>
      </c>
      <c r="B15" s="29"/>
      <c r="C15" s="29" t="str">
        <f ca="1">IFERROR(__xludf.DUMMYFUNCTION("""COMPUTED_VALUE"""),"ComEd")</f>
        <v>ComEd</v>
      </c>
      <c r="D15" s="29"/>
      <c r="E15" s="29"/>
      <c r="F15" s="29"/>
      <c r="G15" s="29" t="str">
        <f ca="1">IFERROR(__xludf.DUMMYFUNCTION("""COMPUTED_VALUE"""),"Empower Solar, Inc")</f>
        <v>Empower Solar, Inc</v>
      </c>
      <c r="H15" s="29"/>
      <c r="I15" s="29"/>
      <c r="J15" s="29"/>
      <c r="K15" s="29"/>
      <c r="L15" s="29"/>
      <c r="M15" s="29"/>
    </row>
    <row r="16" spans="1:13" ht="15.75" customHeight="1" x14ac:dyDescent="0.15">
      <c r="A16" s="29" t="str">
        <f ca="1">IFERROR(__xludf.DUMMYFUNCTION("""COMPUTED_VALUE"""),"NY")</f>
        <v>NY</v>
      </c>
      <c r="B16" s="29"/>
      <c r="C16" s="29" t="str">
        <f ca="1">IFERROR(__xludf.DUMMYFUNCTION("""COMPUTED_VALUE"""),"ConEdison")</f>
        <v>ConEdison</v>
      </c>
      <c r="D16" s="29"/>
      <c r="E16" s="29"/>
      <c r="F16" s="29"/>
      <c r="G16" s="29" t="str">
        <f ca="1">IFERROR(__xludf.DUMMYFUNCTION("""COMPUTED_VALUE"""),"Energy Service Partners Inc.")</f>
        <v>Energy Service Partners Inc.</v>
      </c>
      <c r="H16" s="29"/>
      <c r="I16" s="29"/>
      <c r="J16" s="29"/>
      <c r="K16" s="29"/>
      <c r="L16" s="29"/>
      <c r="M16" s="29"/>
    </row>
    <row r="17" spans="1:13" ht="15.75" customHeight="1" x14ac:dyDescent="0.15">
      <c r="A17" s="29" t="str">
        <f ca="1">IFERROR(__xludf.DUMMYFUNCTION("""COMPUTED_VALUE"""),"PA")</f>
        <v>PA</v>
      </c>
      <c r="B17" s="29"/>
      <c r="C17" s="29" t="str">
        <f ca="1">IFERROR(__xludf.DUMMYFUNCTION("""COMPUTED_VALUE"""),"Duke Energy")</f>
        <v>Duke Energy</v>
      </c>
      <c r="D17" s="29"/>
      <c r="E17" s="29"/>
      <c r="F17" s="29"/>
      <c r="G17" s="29" t="str">
        <f ca="1">IFERROR(__xludf.DUMMYFUNCTION("""COMPUTED_VALUE"""),"Fluent Solar, LLC")</f>
        <v>Fluent Solar, LLC</v>
      </c>
      <c r="H17" s="29"/>
      <c r="I17" s="29"/>
      <c r="J17" s="29"/>
      <c r="K17" s="29"/>
      <c r="L17" s="29"/>
      <c r="M17" s="29"/>
    </row>
    <row r="18" spans="1:13" ht="15.75" customHeight="1" x14ac:dyDescent="0.15">
      <c r="A18" s="29" t="str">
        <f ca="1">IFERROR(__xludf.DUMMYFUNCTION("""COMPUTED_VALUE"""),"PR")</f>
        <v>PR</v>
      </c>
      <c r="B18" s="29"/>
      <c r="C18" s="29" t="str">
        <f ca="1">IFERROR(__xludf.DUMMYFUNCTION("""COMPUTED_VALUE"""),"Eversource")</f>
        <v>Eversource</v>
      </c>
      <c r="D18" s="29"/>
      <c r="E18" s="29"/>
      <c r="F18" s="29"/>
      <c r="G18" s="29" t="str">
        <f ca="1">IFERROR(__xludf.DUMMYFUNCTION("""COMPUTED_VALUE"""),"Freedom Forever, LLC")</f>
        <v>Freedom Forever, LLC</v>
      </c>
      <c r="H18" s="29"/>
      <c r="I18" s="29"/>
      <c r="J18" s="29"/>
      <c r="K18" s="29"/>
      <c r="L18" s="29"/>
      <c r="M18" s="29"/>
    </row>
    <row r="19" spans="1:13" ht="15.75" customHeight="1" x14ac:dyDescent="0.15">
      <c r="A19" s="29" t="str">
        <f ca="1">IFERROR(__xludf.DUMMYFUNCTION("""COMPUTED_VALUE"""),"RI")</f>
        <v>RI</v>
      </c>
      <c r="B19" s="29"/>
      <c r="C19" s="29" t="str">
        <f ca="1">IFERROR(__xludf.DUMMYFUNCTION("""COMPUTED_VALUE"""),"Glendale Water &amp; Power")</f>
        <v>Glendale Water &amp; Power</v>
      </c>
      <c r="D19" s="29"/>
      <c r="E19" s="29"/>
      <c r="F19" s="29"/>
      <c r="G19" s="29" t="str">
        <f ca="1">IFERROR(__xludf.DUMMYFUNCTION("""COMPUTED_VALUE"""),"GenRenew LLC")</f>
        <v>GenRenew LLC</v>
      </c>
      <c r="H19" s="29"/>
      <c r="I19" s="29"/>
      <c r="J19" s="29"/>
      <c r="K19" s="29"/>
      <c r="L19" s="29"/>
      <c r="M19" s="29"/>
    </row>
    <row r="20" spans="1:13" ht="15.75" customHeight="1" x14ac:dyDescent="0.15">
      <c r="A20" s="29" t="str">
        <f ca="1">IFERROR(__xludf.DUMMYFUNCTION("""COMPUTED_VALUE"""),"SC")</f>
        <v>SC</v>
      </c>
      <c r="B20" s="29"/>
      <c r="C20" s="29" t="str">
        <f ca="1">IFERROR(__xludf.DUMMYFUNCTION("""COMPUTED_VALUE"""),"Green Mountain Power")</f>
        <v>Green Mountain Power</v>
      </c>
      <c r="D20" s="29"/>
      <c r="E20" s="29"/>
      <c r="F20" s="29"/>
      <c r="G20" s="29" t="str">
        <f ca="1">IFERROR(__xludf.DUMMYFUNCTION("""COMPUTED_VALUE"""),"Gold Rush Energy Solutions")</f>
        <v>Gold Rush Energy Solutions</v>
      </c>
      <c r="H20" s="29"/>
      <c r="I20" s="29"/>
      <c r="J20" s="29"/>
      <c r="K20" s="29"/>
      <c r="L20" s="29"/>
      <c r="M20" s="29"/>
    </row>
    <row r="21" spans="1:13" ht="15.75" customHeight="1" x14ac:dyDescent="0.15">
      <c r="A21" s="29" t="str">
        <f ca="1">IFERROR(__xludf.DUMMYFUNCTION("""COMPUTED_VALUE"""),"TX")</f>
        <v>TX</v>
      </c>
      <c r="B21" s="29"/>
      <c r="C21" s="29" t="str">
        <f ca="1">IFERROR(__xludf.DUMMYFUNCTION("""COMPUTED_VALUE"""),"HECO")</f>
        <v>HECO</v>
      </c>
      <c r="D21" s="29"/>
      <c r="E21" s="29"/>
      <c r="F21" s="29"/>
      <c r="G21" s="29" t="str">
        <f ca="1">IFERROR(__xludf.DUMMYFUNCTION("""COMPUTED_VALUE"""),"Green Day Power")</f>
        <v>Green Day Power</v>
      </c>
      <c r="H21" s="29"/>
      <c r="I21" s="29"/>
      <c r="J21" s="29"/>
      <c r="K21" s="29"/>
      <c r="L21" s="29"/>
      <c r="M21" s="29"/>
    </row>
    <row r="22" spans="1:13" ht="15.75" customHeight="1" x14ac:dyDescent="0.15">
      <c r="A22" s="29" t="str">
        <f ca="1">IFERROR(__xludf.DUMMYFUNCTION("""COMPUTED_VALUE"""),"UT")</f>
        <v>UT</v>
      </c>
      <c r="B22" s="29"/>
      <c r="C22" s="29" t="str">
        <f ca="1">IFERROR(__xludf.DUMMYFUNCTION("""COMPUTED_VALUE"""),"HELCO")</f>
        <v>HELCO</v>
      </c>
      <c r="D22" s="29"/>
      <c r="E22" s="29"/>
      <c r="F22" s="29"/>
      <c r="G22" s="29" t="str">
        <f ca="1">IFERROR(__xludf.DUMMYFUNCTION("""COMPUTED_VALUE"""),"GreenBrilliance LLC")</f>
        <v>GreenBrilliance LLC</v>
      </c>
      <c r="H22" s="29"/>
      <c r="I22" s="29"/>
      <c r="J22" s="29"/>
      <c r="K22" s="29"/>
      <c r="L22" s="29"/>
      <c r="M22" s="29"/>
    </row>
    <row r="23" spans="1:13" ht="15.75" customHeight="1" x14ac:dyDescent="0.15">
      <c r="A23" s="29" t="str">
        <f ca="1">IFERROR(__xludf.DUMMYFUNCTION("""COMPUTED_VALUE"""),"VA")</f>
        <v>VA</v>
      </c>
      <c r="B23" s="29"/>
      <c r="C23" s="29" t="str">
        <f ca="1">IFERROR(__xludf.DUMMYFUNCTION("""COMPUTED_VALUE"""),"IREA")</f>
        <v>IREA</v>
      </c>
      <c r="D23" s="29"/>
      <c r="E23" s="29"/>
      <c r="F23" s="29"/>
      <c r="G23" s="29" t="str">
        <f ca="1">IFERROR(__xludf.DUMMYFUNCTION("""COMPUTED_VALUE"""),"GRID Alternatives")</f>
        <v>GRID Alternatives</v>
      </c>
      <c r="H23" s="29"/>
      <c r="I23" s="29"/>
      <c r="J23" s="29"/>
      <c r="K23" s="29"/>
      <c r="L23" s="29"/>
      <c r="M23" s="29"/>
    </row>
    <row r="24" spans="1:13" ht="15.75" customHeight="1" x14ac:dyDescent="0.15">
      <c r="A24" s="29" t="str">
        <f ca="1">IFERROR(__xludf.DUMMYFUNCTION("""COMPUTED_VALUE"""),"VT")</f>
        <v>VT</v>
      </c>
      <c r="B24" s="29"/>
      <c r="C24" s="29" t="str">
        <f ca="1">IFERROR(__xludf.DUMMYFUNCTION("""COMPUTED_VALUE"""),"JCP&amp;L")</f>
        <v>JCP&amp;L</v>
      </c>
      <c r="D24" s="29"/>
      <c r="E24" s="29"/>
      <c r="F24" s="29"/>
      <c r="G24" s="29" t="str">
        <f ca="1">IFERROR(__xludf.DUMMYFUNCTION("""COMPUTED_VALUE"""),"Harmon Electric")</f>
        <v>Harmon Electric</v>
      </c>
      <c r="H24" s="29"/>
      <c r="I24" s="29"/>
      <c r="J24" s="29"/>
      <c r="K24" s="29"/>
      <c r="L24" s="29"/>
      <c r="M24" s="29"/>
    </row>
    <row r="25" spans="1:13" ht="15.75" customHeight="1" x14ac:dyDescent="0.15">
      <c r="A25" s="29" t="str">
        <f ca="1">IFERROR(__xludf.DUMMYFUNCTION("""COMPUTED_VALUE"""),"WI")</f>
        <v>WI</v>
      </c>
      <c r="B25" s="29"/>
      <c r="C25" s="29" t="str">
        <f ca="1">IFERROR(__xludf.DUMMYFUNCTION("""COMPUTED_VALUE"""),"KIUC")</f>
        <v>KIUC</v>
      </c>
      <c r="D25" s="29"/>
      <c r="E25" s="29"/>
      <c r="F25" s="29"/>
      <c r="G25" s="29" t="str">
        <f ca="1">IFERROR(__xludf.DUMMYFUNCTION("""COMPUTED_VALUE"""),"Hytech Solar Inc.")</f>
        <v>Hytech Solar Inc.</v>
      </c>
      <c r="H25" s="29"/>
      <c r="I25" s="29"/>
      <c r="J25" s="29"/>
      <c r="K25" s="29"/>
      <c r="L25" s="29"/>
      <c r="M25" s="29"/>
    </row>
    <row r="26" spans="1:13" ht="15.75" customHeight="1" x14ac:dyDescent="0.15">
      <c r="A26" s="29"/>
      <c r="B26" s="29"/>
      <c r="C26" s="29" t="str">
        <f ca="1">IFERROR(__xludf.DUMMYFUNCTION("""COMPUTED_VALUE"""),"LADWP")</f>
        <v>LADWP</v>
      </c>
      <c r="D26" s="29"/>
      <c r="E26" s="29"/>
      <c r="F26" s="29"/>
      <c r="G26" s="29" t="str">
        <f ca="1">IFERROR(__xludf.DUMMYFUNCTION("""COMPUTED_VALUE"""),"Infinity Energy Inc")</f>
        <v>Infinity Energy Inc</v>
      </c>
      <c r="H26" s="29"/>
      <c r="I26" s="29"/>
      <c r="J26" s="29"/>
      <c r="K26" s="29"/>
      <c r="L26" s="29"/>
      <c r="M26" s="29"/>
    </row>
    <row r="27" spans="1:13" ht="15.75" customHeight="1" x14ac:dyDescent="0.15">
      <c r="A27" s="29"/>
      <c r="B27" s="29"/>
      <c r="C27" s="29" t="str">
        <f ca="1">IFERROR(__xludf.DUMMYFUNCTION("""COMPUTED_VALUE"""),"Laurens Electric")</f>
        <v>Laurens Electric</v>
      </c>
      <c r="D27" s="29"/>
      <c r="E27" s="29"/>
      <c r="F27" s="29"/>
      <c r="G27" s="29" t="str">
        <f ca="1">IFERROR(__xludf.DUMMYFUNCTION("""COMPUTED_VALUE"""),"Infinity Solar Systems")</f>
        <v>Infinity Solar Systems</v>
      </c>
      <c r="H27" s="29"/>
      <c r="I27" s="29"/>
      <c r="J27" s="29"/>
      <c r="K27" s="29"/>
      <c r="L27" s="29"/>
      <c r="M27" s="29"/>
    </row>
    <row r="28" spans="1:13" ht="15.75" customHeight="1" x14ac:dyDescent="0.15">
      <c r="A28" s="29"/>
      <c r="B28" s="29"/>
      <c r="C28" s="29" t="str">
        <f ca="1">IFERROR(__xludf.DUMMYFUNCTION("""COMPUTED_VALUE"""),"Lehi")</f>
        <v>Lehi</v>
      </c>
      <c r="D28" s="29"/>
      <c r="E28" s="29"/>
      <c r="F28" s="29"/>
      <c r="G28" s="29" t="str">
        <f ca="1">IFERROR(__xludf.DUMMYFUNCTION("""COMPUTED_VALUE"""),"Ion Leed LLC")</f>
        <v>Ion Leed LLC</v>
      </c>
      <c r="H28" s="29"/>
      <c r="I28" s="29"/>
      <c r="J28" s="29"/>
      <c r="K28" s="29"/>
      <c r="L28" s="29"/>
      <c r="M28" s="29"/>
    </row>
    <row r="29" spans="1:13" ht="15.75" customHeight="1" x14ac:dyDescent="0.15">
      <c r="A29" s="29"/>
      <c r="B29" s="29"/>
      <c r="C29" s="29" t="str">
        <f ca="1">IFERROR(__xludf.DUMMYFUNCTION("""COMPUTED_VALUE"""),"MECO")</f>
        <v>MECO</v>
      </c>
      <c r="D29" s="29"/>
      <c r="E29" s="29"/>
      <c r="F29" s="29"/>
      <c r="G29" s="29" t="str">
        <f ca="1">IFERROR(__xludf.DUMMYFUNCTION("""COMPUTED_VALUE"""),"Kayo LLC")</f>
        <v>Kayo LLC</v>
      </c>
      <c r="H29" s="29"/>
      <c r="I29" s="29"/>
      <c r="J29" s="29"/>
      <c r="K29" s="29"/>
      <c r="L29" s="29"/>
      <c r="M29" s="29"/>
    </row>
    <row r="30" spans="1:13" ht="15.75" customHeight="1" x14ac:dyDescent="0.15">
      <c r="A30" s="29"/>
      <c r="B30" s="29"/>
      <c r="C30" s="29" t="str">
        <f ca="1">IFERROR(__xludf.DUMMYFUNCTION("""COMPUTED_VALUE"""),"Met-Ed")</f>
        <v>Met-Ed</v>
      </c>
      <c r="D30" s="29"/>
      <c r="E30" s="29"/>
      <c r="F30" s="29"/>
      <c r="G30" s="29" t="str">
        <f ca="1">IFERROR(__xludf.DUMMYFUNCTION("""COMPUTED_VALUE"""),"Kuubix Energy LLC")</f>
        <v>Kuubix Energy LLC</v>
      </c>
      <c r="H30" s="29"/>
      <c r="I30" s="29"/>
      <c r="J30" s="29"/>
      <c r="K30" s="29"/>
      <c r="L30" s="29"/>
      <c r="M30" s="29"/>
    </row>
    <row r="31" spans="1:13" ht="15.75" customHeight="1" x14ac:dyDescent="0.15">
      <c r="A31" s="29"/>
      <c r="B31" s="29"/>
      <c r="C31" s="29" t="str">
        <f ca="1">IFERROR(__xludf.DUMMYFUNCTION("""COMPUTED_VALUE"""),"Naperville")</f>
        <v>Naperville</v>
      </c>
      <c r="D31" s="29"/>
      <c r="E31" s="29"/>
      <c r="F31" s="29"/>
      <c r="G31" s="29" t="str">
        <f ca="1">IFERROR(__xludf.DUMMYFUNCTION("""COMPUTED_VALUE"""),"LGCY Power, LLC")</f>
        <v>LGCY Power, LLC</v>
      </c>
      <c r="H31" s="29"/>
      <c r="I31" s="29"/>
      <c r="J31" s="29"/>
      <c r="K31" s="29"/>
      <c r="L31" s="29"/>
      <c r="M31" s="29"/>
    </row>
    <row r="32" spans="1:13" ht="15.75" customHeight="1" x14ac:dyDescent="0.15">
      <c r="A32" s="29"/>
      <c r="B32" s="29"/>
      <c r="C32" s="29" t="str">
        <f ca="1">IFERROR(__xludf.DUMMYFUNCTION("""COMPUTED_VALUE"""),"National Grid")</f>
        <v>National Grid</v>
      </c>
      <c r="D32" s="29"/>
      <c r="E32" s="29"/>
      <c r="F32" s="29"/>
      <c r="G32" s="29" t="str">
        <f ca="1">IFERROR(__xludf.DUMMYFUNCTION("""COMPUTED_VALUE"""),"Maximo Solar")</f>
        <v>Maximo Solar</v>
      </c>
      <c r="H32" s="29"/>
      <c r="I32" s="29"/>
      <c r="J32" s="29"/>
      <c r="K32" s="29"/>
      <c r="L32" s="29"/>
      <c r="M32" s="29"/>
    </row>
    <row r="33" spans="1:13" ht="15.75" customHeight="1" x14ac:dyDescent="0.15">
      <c r="A33" s="29"/>
      <c r="B33" s="29"/>
      <c r="C33" s="29" t="str">
        <f ca="1">IFERROR(__xludf.DUMMYFUNCTION("""COMPUTED_VALUE"""),"NSTAR")</f>
        <v>NSTAR</v>
      </c>
      <c r="D33" s="29"/>
      <c r="E33" s="29"/>
      <c r="F33" s="29"/>
      <c r="G33" s="29" t="str">
        <f ca="1">IFERROR(__xludf.DUMMYFUNCTION("""COMPUTED_VALUE"""),"MGP Energy Solutions LLC")</f>
        <v>MGP Energy Solutions LLC</v>
      </c>
      <c r="H33" s="29"/>
      <c r="I33" s="29"/>
      <c r="J33" s="29"/>
      <c r="K33" s="29"/>
      <c r="L33" s="29"/>
      <c r="M33" s="29"/>
    </row>
    <row r="34" spans="1:13" ht="15.75" customHeight="1" x14ac:dyDescent="0.15">
      <c r="A34" s="29"/>
      <c r="B34" s="29"/>
      <c r="C34" s="29" t="str">
        <f ca="1">IFERROR(__xludf.DUMMYFUNCTION("""COMPUTED_VALUE"""),"NV Energy South")</f>
        <v>NV Energy South</v>
      </c>
      <c r="D34" s="29"/>
      <c r="E34" s="29"/>
      <c r="F34" s="29"/>
      <c r="G34" s="29" t="str">
        <f ca="1">IFERROR(__xludf.DUMMYFUNCTION("""COMPUTED_VALUE"""),"NB Baker Electric, Inc. DBA Baker Electric Solar")</f>
        <v>NB Baker Electric, Inc. DBA Baker Electric Solar</v>
      </c>
      <c r="H34" s="29"/>
      <c r="I34" s="29"/>
      <c r="J34" s="29"/>
      <c r="K34" s="29"/>
      <c r="L34" s="29"/>
      <c r="M34" s="29"/>
    </row>
    <row r="35" spans="1:13" ht="15.75" customHeight="1" x14ac:dyDescent="0.15">
      <c r="A35" s="29"/>
      <c r="B35" s="29"/>
      <c r="C35" s="29" t="str">
        <f ca="1">IFERROR(__xludf.DUMMYFUNCTION("""COMPUTED_VALUE"""),"O&amp;R")</f>
        <v>O&amp;R</v>
      </c>
      <c r="D35" s="29"/>
      <c r="E35" s="29"/>
      <c r="F35" s="29"/>
      <c r="G35" s="29" t="str">
        <f ca="1">IFERROR(__xludf.DUMMYFUNCTION("""COMPUTED_VALUE"""),"P. M. &amp; M. Electric, Inc.")</f>
        <v>P. M. &amp; M. Electric, Inc.</v>
      </c>
      <c r="H35" s="29"/>
      <c r="I35" s="29"/>
      <c r="J35" s="29"/>
      <c r="K35" s="29"/>
      <c r="L35" s="29"/>
      <c r="M35" s="29"/>
    </row>
    <row r="36" spans="1:13" ht="15.75" customHeight="1" x14ac:dyDescent="0.15">
      <c r="A36" s="29"/>
      <c r="B36" s="29"/>
      <c r="C36" s="29" t="str">
        <f ca="1">IFERROR(__xludf.DUMMYFUNCTION("""COMPUTED_VALUE"""),"Oncor")</f>
        <v>Oncor</v>
      </c>
      <c r="D36" s="29"/>
      <c r="E36" s="29"/>
      <c r="F36" s="29"/>
      <c r="G36" s="29" t="str">
        <f ca="1">IFERROR(__xludf.DUMMYFUNCTION("""COMPUTED_VALUE"""),"Palmetto Solar, LLC")</f>
        <v>Palmetto Solar, LLC</v>
      </c>
      <c r="H36" s="29"/>
      <c r="I36" s="29"/>
      <c r="J36" s="29"/>
      <c r="K36" s="29"/>
      <c r="L36" s="29"/>
      <c r="M36" s="29"/>
    </row>
    <row r="37" spans="1:13" ht="15.75" customHeight="1" x14ac:dyDescent="0.15">
      <c r="A37" s="29"/>
      <c r="B37" s="29"/>
      <c r="C37" s="29" t="str">
        <f ca="1">IFERROR(__xludf.DUMMYFUNCTION("""COMPUTED_VALUE"""),"OUC")</f>
        <v>OUC</v>
      </c>
      <c r="D37" s="29"/>
      <c r="E37" s="29"/>
      <c r="F37" s="29"/>
      <c r="G37" s="29" t="str">
        <f ca="1">IFERROR(__xludf.DUMMYFUNCTION("""COMPUTED_VALUE"""),"Planet Solar Antillas LLC")</f>
        <v>Planet Solar Antillas LLC</v>
      </c>
      <c r="H37" s="29"/>
      <c r="I37" s="29"/>
      <c r="J37" s="29"/>
      <c r="K37" s="29"/>
      <c r="L37" s="29"/>
      <c r="M37" s="29"/>
    </row>
    <row r="38" spans="1:13" ht="15.75" customHeight="1" x14ac:dyDescent="0.15">
      <c r="A38" s="29"/>
      <c r="B38" s="29"/>
      <c r="C38" s="29" t="str">
        <f ca="1">IFERROR(__xludf.DUMMYFUNCTION("""COMPUTED_VALUE"""),"Pasadena")</f>
        <v>Pasadena</v>
      </c>
      <c r="D38" s="29"/>
      <c r="E38" s="29"/>
      <c r="F38" s="29"/>
      <c r="G38" s="29" t="str">
        <f ca="1">IFERROR(__xludf.DUMMYFUNCTION("""COMPUTED_VALUE"""),"ProSolar Group LLC")</f>
        <v>ProSolar Group LLC</v>
      </c>
      <c r="H38" s="29"/>
      <c r="I38" s="29"/>
      <c r="J38" s="29"/>
      <c r="K38" s="29"/>
      <c r="L38" s="29"/>
      <c r="M38" s="29"/>
    </row>
    <row r="39" spans="1:13" ht="15.75" customHeight="1" x14ac:dyDescent="0.15">
      <c r="A39" s="29"/>
      <c r="B39" s="29"/>
      <c r="C39" s="29" t="str">
        <f ca="1">IFERROR(__xludf.DUMMYFUNCTION("""COMPUTED_VALUE"""),"PECO")</f>
        <v>PECO</v>
      </c>
      <c r="D39" s="29"/>
      <c r="E39" s="29"/>
      <c r="F39" s="29"/>
      <c r="G39" s="29" t="str">
        <f ca="1">IFERROR(__xludf.DUMMYFUNCTION("""COMPUTED_VALUE"""),"Public Service Solar, LLC")</f>
        <v>Public Service Solar, LLC</v>
      </c>
      <c r="H39" s="29"/>
      <c r="I39" s="29"/>
      <c r="J39" s="29"/>
      <c r="K39" s="29"/>
      <c r="L39" s="29"/>
      <c r="M39" s="29"/>
    </row>
    <row r="40" spans="1:13" ht="15.75" customHeight="1" x14ac:dyDescent="0.15">
      <c r="A40" s="29"/>
      <c r="B40" s="29"/>
      <c r="C40" s="29" t="str">
        <f ca="1">IFERROR(__xludf.DUMMYFUNCTION("""COMPUTED_VALUE"""),"PEPCO")</f>
        <v>PEPCO</v>
      </c>
      <c r="D40" s="29"/>
      <c r="E40" s="29"/>
      <c r="F40" s="29"/>
      <c r="G40" s="29" t="str">
        <f ca="1">IFERROR(__xludf.DUMMYFUNCTION("""COMPUTED_VALUE"""),"Rising Sun Solar")</f>
        <v>Rising Sun Solar</v>
      </c>
      <c r="H40" s="29"/>
      <c r="I40" s="29"/>
      <c r="J40" s="29"/>
      <c r="K40" s="29"/>
      <c r="L40" s="29"/>
      <c r="M40" s="29"/>
    </row>
    <row r="41" spans="1:13" ht="15.75" customHeight="1" x14ac:dyDescent="0.15">
      <c r="A41" s="29"/>
      <c r="B41" s="29"/>
      <c r="C41" s="29" t="str">
        <f ca="1">IFERROR(__xludf.DUMMYFUNCTION("""COMPUTED_VALUE"""),"PG&amp;E")</f>
        <v>PG&amp;E</v>
      </c>
      <c r="D41" s="29"/>
      <c r="E41" s="29"/>
      <c r="F41" s="29"/>
      <c r="G41" s="29" t="str">
        <f ca="1">IFERROR(__xludf.DUMMYFUNCTION("""COMPUTED_VALUE"""),"Semper Solaris Construction")</f>
        <v>Semper Solaris Construction</v>
      </c>
      <c r="H41" s="29"/>
      <c r="I41" s="29"/>
      <c r="J41" s="29"/>
      <c r="K41" s="29"/>
      <c r="L41" s="29"/>
      <c r="M41" s="29"/>
    </row>
    <row r="42" spans="1:13" ht="15.75" customHeight="1" x14ac:dyDescent="0.15">
      <c r="A42" s="29"/>
      <c r="B42" s="29"/>
      <c r="C42" s="29" t="str">
        <f ca="1">IFERROR(__xludf.DUMMYFUNCTION("""COMPUTED_VALUE"""),"PNM")</f>
        <v>PNM</v>
      </c>
      <c r="D42" s="29"/>
      <c r="E42" s="29"/>
      <c r="F42" s="29"/>
      <c r="G42" s="29" t="str">
        <f ca="1">IFERROR(__xludf.DUMMYFUNCTION("""COMPUTED_VALUE"""),"Senga Energy")</f>
        <v>Senga Energy</v>
      </c>
      <c r="H42" s="29"/>
      <c r="I42" s="29"/>
      <c r="J42" s="29"/>
      <c r="K42" s="29"/>
      <c r="L42" s="29"/>
      <c r="M42" s="29"/>
    </row>
    <row r="43" spans="1:13" ht="15.75" customHeight="1" x14ac:dyDescent="0.15">
      <c r="A43" s="29"/>
      <c r="B43" s="29"/>
      <c r="C43" s="29" t="str">
        <f ca="1">IFERROR(__xludf.DUMMYFUNCTION("""COMPUTED_VALUE"""),"Potomac Edison")</f>
        <v>Potomac Edison</v>
      </c>
      <c r="D43" s="29"/>
      <c r="E43" s="29"/>
      <c r="F43" s="29"/>
      <c r="G43" s="29" t="str">
        <f ca="1">IFERROR(__xludf.DUMMYFUNCTION("""COMPUTED_VALUE"""),"Solar Energy World")</f>
        <v>Solar Energy World</v>
      </c>
      <c r="H43" s="29"/>
      <c r="I43" s="29"/>
      <c r="J43" s="29"/>
      <c r="K43" s="29"/>
      <c r="L43" s="29"/>
      <c r="M43" s="29"/>
    </row>
    <row r="44" spans="1:13" ht="15.75" customHeight="1" x14ac:dyDescent="0.15">
      <c r="A44" s="29"/>
      <c r="B44" s="29"/>
      <c r="C44" s="29" t="str">
        <f ca="1">IFERROR(__xludf.DUMMYFUNCTION("""COMPUTED_VALUE"""),"PPL")</f>
        <v>PPL</v>
      </c>
      <c r="D44" s="29"/>
      <c r="E44" s="29"/>
      <c r="F44" s="29"/>
      <c r="G44" s="29" t="str">
        <f ca="1">IFERROR(__xludf.DUMMYFUNCTION("""COMPUTED_VALUE"""),"Solarmax Renewable Energy Provider, Inc.")</f>
        <v>Solarmax Renewable Energy Provider, Inc.</v>
      </c>
      <c r="H44" s="29"/>
      <c r="I44" s="29"/>
      <c r="J44" s="29"/>
      <c r="K44" s="29"/>
      <c r="L44" s="29"/>
      <c r="M44" s="29"/>
    </row>
    <row r="45" spans="1:13" ht="15.75" customHeight="1" x14ac:dyDescent="0.15">
      <c r="A45" s="29"/>
      <c r="B45" s="29"/>
      <c r="C45" s="29" t="str">
        <f ca="1">IFERROR(__xludf.DUMMYFUNCTION("""COMPUTED_VALUE"""),"PSE&amp;G")</f>
        <v>PSE&amp;G</v>
      </c>
      <c r="D45" s="29"/>
      <c r="E45" s="29"/>
      <c r="F45" s="29"/>
      <c r="G45" s="29" t="str">
        <f ca="1">IFERROR(__xludf.DUMMYFUNCTION("""COMPUTED_VALUE"""),"Summit Energy Group")</f>
        <v>Summit Energy Group</v>
      </c>
      <c r="H45" s="29"/>
      <c r="I45" s="29"/>
      <c r="J45" s="29"/>
      <c r="K45" s="29"/>
      <c r="L45" s="29"/>
      <c r="M45" s="29"/>
    </row>
    <row r="46" spans="1:13" ht="15.75" customHeight="1" x14ac:dyDescent="0.15">
      <c r="A46" s="29"/>
      <c r="B46" s="29"/>
      <c r="C46" s="29" t="str">
        <f ca="1">IFERROR(__xludf.DUMMYFUNCTION("""COMPUTED_VALUE"""),"PSEGLI")</f>
        <v>PSEGLI</v>
      </c>
      <c r="D46" s="29"/>
      <c r="E46" s="29"/>
      <c r="F46" s="29"/>
      <c r="G46" s="29" t="str">
        <f ca="1">IFERROR(__xludf.DUMMYFUNCTION("""COMPUTED_VALUE"""),"Summit Solar Solutions, LLC")</f>
        <v>Summit Solar Solutions, LLC</v>
      </c>
      <c r="H46" s="29"/>
      <c r="I46" s="29"/>
      <c r="J46" s="29"/>
      <c r="K46" s="29"/>
      <c r="L46" s="29"/>
      <c r="M46" s="29"/>
    </row>
    <row r="47" spans="1:13" ht="15.75" customHeight="1" x14ac:dyDescent="0.15">
      <c r="A47" s="29"/>
      <c r="B47" s="29"/>
      <c r="C47" s="29" t="str">
        <f ca="1">IFERROR(__xludf.DUMMYFUNCTION("""COMPUTED_VALUE"""),"Riverside Public Utilities")</f>
        <v>Riverside Public Utilities</v>
      </c>
      <c r="D47" s="29"/>
      <c r="E47" s="29"/>
      <c r="F47" s="29"/>
      <c r="G47" s="29" t="str">
        <f ca="1">IFERROR(__xludf.DUMMYFUNCTION("""COMPUTED_VALUE"""),"Sun Solar Solutions, Inc")</f>
        <v>Sun Solar Solutions, Inc</v>
      </c>
      <c r="H47" s="29"/>
      <c r="I47" s="29"/>
      <c r="J47" s="29"/>
      <c r="K47" s="29"/>
      <c r="L47" s="29"/>
      <c r="M47" s="29"/>
    </row>
    <row r="48" spans="1:13" ht="15.75" customHeight="1" x14ac:dyDescent="0.15">
      <c r="A48" s="29"/>
      <c r="B48" s="29"/>
      <c r="C48" s="29" t="str">
        <f ca="1">IFERROR(__xludf.DUMMYFUNCTION("""COMPUTED_VALUE"""),"Rockland Electric")</f>
        <v>Rockland Electric</v>
      </c>
      <c r="D48" s="29"/>
      <c r="E48" s="29"/>
      <c r="F48" s="29"/>
      <c r="G48" s="29" t="str">
        <f ca="1">IFERROR(__xludf.DUMMYFUNCTION("""COMPUTED_VALUE"""),"SUNation Solar Systems, Inc")</f>
        <v>SUNation Solar Systems, Inc</v>
      </c>
      <c r="H48" s="29"/>
      <c r="I48" s="29"/>
      <c r="J48" s="29"/>
      <c r="K48" s="29"/>
      <c r="L48" s="29"/>
      <c r="M48" s="29"/>
    </row>
    <row r="49" spans="1:13" ht="15.75" customHeight="1" x14ac:dyDescent="0.15">
      <c r="A49" s="29"/>
      <c r="B49" s="29"/>
      <c r="C49" s="29" t="str">
        <f ca="1">IFERROR(__xludf.DUMMYFUNCTION("""COMPUTED_VALUE"""),"Rocky Mountain Power")</f>
        <v>Rocky Mountain Power</v>
      </c>
      <c r="D49" s="29"/>
      <c r="E49" s="29"/>
      <c r="F49" s="29"/>
      <c r="G49" s="29" t="str">
        <f ca="1">IFERROR(__xludf.DUMMYFUNCTION("""COMPUTED_VALUE"""),"Sunergy Construction Inc.")</f>
        <v>Sunergy Construction Inc.</v>
      </c>
      <c r="H49" s="29"/>
      <c r="I49" s="29"/>
      <c r="J49" s="29"/>
      <c r="K49" s="29"/>
      <c r="L49" s="29"/>
      <c r="M49" s="29"/>
    </row>
    <row r="50" spans="1:13" ht="15.75" customHeight="1" x14ac:dyDescent="0.15">
      <c r="A50" s="29"/>
      <c r="B50" s="29"/>
      <c r="C50" s="29" t="str">
        <f ca="1">IFERROR(__xludf.DUMMYFUNCTION("""COMPUTED_VALUE"""),"Roseville Electric")</f>
        <v>Roseville Electric</v>
      </c>
      <c r="D50" s="29"/>
      <c r="E50" s="29"/>
      <c r="F50" s="29"/>
      <c r="G50" s="29" t="str">
        <f ca="1">IFERROR(__xludf.DUMMYFUNCTION("""COMPUTED_VALUE"""),"SunLux Energy Inc.")</f>
        <v>SunLux Energy Inc.</v>
      </c>
      <c r="H50" s="29"/>
      <c r="I50" s="29"/>
      <c r="J50" s="29"/>
      <c r="K50" s="29"/>
      <c r="L50" s="29"/>
      <c r="M50" s="29"/>
    </row>
    <row r="51" spans="1:13" ht="15.75" customHeight="1" x14ac:dyDescent="0.15">
      <c r="A51" s="29"/>
      <c r="B51" s="29"/>
      <c r="C51" s="29" t="str">
        <f ca="1">IFERROR(__xludf.DUMMYFUNCTION("""COMPUTED_VALUE"""),"SCE")</f>
        <v>SCE</v>
      </c>
      <c r="D51" s="29"/>
      <c r="E51" s="29"/>
      <c r="F51" s="29"/>
      <c r="G51" s="29" t="str">
        <f ca="1">IFERROR(__xludf.DUMMYFUNCTION("""COMPUTED_VALUE"""),"Trinity Solar")</f>
        <v>Trinity Solar</v>
      </c>
      <c r="H51" s="29"/>
      <c r="I51" s="29"/>
      <c r="J51" s="29"/>
      <c r="K51" s="29"/>
      <c r="L51" s="29"/>
      <c r="M51" s="29"/>
    </row>
    <row r="52" spans="1:13" ht="15.75" customHeight="1" x14ac:dyDescent="0.15">
      <c r="A52" s="29"/>
      <c r="B52" s="29"/>
      <c r="C52" s="29" t="str">
        <f ca="1">IFERROR(__xludf.DUMMYFUNCTION("""COMPUTED_VALUE"""),"SCE&amp;G")</f>
        <v>SCE&amp;G</v>
      </c>
      <c r="D52" s="29"/>
      <c r="E52" s="29"/>
      <c r="F52" s="29"/>
      <c r="G52" s="29" t="str">
        <f ca="1">IFERROR(__xludf.DUMMYFUNCTION("""COMPUTED_VALUE"""),"Urban Solar Group Inc")</f>
        <v>Urban Solar Group Inc</v>
      </c>
      <c r="H52" s="29"/>
      <c r="I52" s="29"/>
      <c r="J52" s="29"/>
      <c r="K52" s="29"/>
      <c r="L52" s="29"/>
      <c r="M52" s="29"/>
    </row>
    <row r="53" spans="1:13" ht="15.75" customHeight="1" x14ac:dyDescent="0.15">
      <c r="A53" s="29"/>
      <c r="B53" s="29"/>
      <c r="C53" s="29" t="str">
        <f ca="1">IFERROR(__xludf.DUMMYFUNCTION("""COMPUTED_VALUE"""),"SDG&amp;E")</f>
        <v>SDG&amp;E</v>
      </c>
      <c r="D53" s="29"/>
      <c r="E53" s="29"/>
      <c r="F53" s="29"/>
      <c r="G53" s="29" t="str">
        <f ca="1">IFERROR(__xludf.DUMMYFUNCTION("""COMPUTED_VALUE"""),"V3 Electric, Inc.")</f>
        <v>V3 Electric, Inc.</v>
      </c>
      <c r="H53" s="29"/>
      <c r="I53" s="29"/>
      <c r="J53" s="29"/>
      <c r="K53" s="29"/>
      <c r="L53" s="29"/>
      <c r="M53" s="29"/>
    </row>
    <row r="54" spans="1:13" ht="15.75" customHeight="1" x14ac:dyDescent="0.15">
      <c r="A54" s="29"/>
      <c r="B54" s="29"/>
      <c r="C54" s="29" t="str">
        <f ca="1">IFERROR(__xludf.DUMMYFUNCTION("""COMPUTED_VALUE"""),"Silicon Valley Power")</f>
        <v>Silicon Valley Power</v>
      </c>
      <c r="D54" s="29"/>
      <c r="E54" s="29"/>
      <c r="F54" s="29"/>
      <c r="G54" s="29" t="str">
        <f ca="1">IFERROR(__xludf.DUMMYFUNCTION("""COMPUTED_VALUE"""),"Vector Energy, LLC")</f>
        <v>Vector Energy, LLC</v>
      </c>
      <c r="H54" s="29"/>
      <c r="I54" s="29"/>
      <c r="J54" s="29"/>
      <c r="K54" s="29"/>
      <c r="L54" s="29"/>
      <c r="M54" s="29"/>
    </row>
    <row r="55" spans="1:13" ht="15.75" customHeight="1" x14ac:dyDescent="0.15">
      <c r="A55" s="29"/>
      <c r="B55" s="29"/>
      <c r="C55" s="29" t="str">
        <f ca="1">IFERROR(__xludf.DUMMYFUNCTION("""COMPUTED_VALUE"""),"SMECO")</f>
        <v>SMECO</v>
      </c>
      <c r="D55" s="29"/>
      <c r="E55" s="29"/>
      <c r="F55" s="29"/>
      <c r="G55" s="29" t="str">
        <f ca="1">IFERROR(__xludf.DUMMYFUNCTION("""COMPUTED_VALUE"""),"Vision Solar LLC")</f>
        <v>Vision Solar LLC</v>
      </c>
      <c r="H55" s="29"/>
      <c r="I55" s="29"/>
      <c r="J55" s="29"/>
      <c r="K55" s="29"/>
      <c r="L55" s="29"/>
      <c r="M55" s="29"/>
    </row>
    <row r="56" spans="1:13" ht="15.75" customHeight="1" x14ac:dyDescent="0.15">
      <c r="A56" s="29"/>
      <c r="B56" s="29"/>
      <c r="C56" s="29" t="str">
        <f ca="1">IFERROR(__xludf.DUMMYFUNCTION("""COMPUTED_VALUE"""),"SMUD")</f>
        <v>SMUD</v>
      </c>
      <c r="D56" s="29"/>
      <c r="E56" s="29"/>
      <c r="F56" s="29"/>
      <c r="G56" s="29" t="str">
        <f ca="1">IFERROR(__xludf.DUMMYFUNCTION("""COMPUTED_VALUE"""),"Generation Sun, LLC")</f>
        <v>Generation Sun, LLC</v>
      </c>
      <c r="H56" s="29"/>
      <c r="I56" s="29"/>
      <c r="J56" s="29"/>
      <c r="K56" s="29"/>
      <c r="L56" s="29"/>
      <c r="M56" s="29"/>
    </row>
    <row r="57" spans="1:13" ht="15.75" customHeight="1" x14ac:dyDescent="0.15">
      <c r="A57" s="29"/>
      <c r="B57" s="29"/>
      <c r="C57" s="29" t="str">
        <f ca="1">IFERROR(__xludf.DUMMYFUNCTION("""COMPUTED_VALUE"""),"SRP")</f>
        <v>SRP</v>
      </c>
      <c r="D57" s="29"/>
      <c r="E57" s="29"/>
      <c r="F57" s="29"/>
      <c r="G57" s="29" t="str">
        <f ca="1">IFERROR(__xludf.DUMMYFUNCTION("""COMPUTED_VALUE"""),"North Valley LLC")</f>
        <v>North Valley LLC</v>
      </c>
      <c r="H57" s="29"/>
      <c r="I57" s="29"/>
      <c r="J57" s="29"/>
      <c r="K57" s="29"/>
      <c r="L57" s="29"/>
      <c r="M57" s="29"/>
    </row>
    <row r="58" spans="1:13" ht="15.75" customHeight="1" x14ac:dyDescent="0.15">
      <c r="A58" s="29"/>
      <c r="B58" s="29"/>
      <c r="C58" s="29" t="str">
        <f ca="1">IFERROR(__xludf.DUMMYFUNCTION("""COMPUTED_VALUE"""),"TECO Energy")</f>
        <v>TECO Energy</v>
      </c>
      <c r="D58" s="29"/>
      <c r="E58" s="29"/>
      <c r="F58" s="29"/>
      <c r="G58" s="29" t="str">
        <f ca="1">IFERROR(__xludf.DUMMYFUNCTION("""COMPUTED_VALUE"""),"Honolulu Solar LLC")</f>
        <v>Honolulu Solar LLC</v>
      </c>
      <c r="H58" s="29"/>
      <c r="I58" s="29"/>
      <c r="J58" s="29"/>
      <c r="K58" s="29"/>
      <c r="L58" s="29"/>
      <c r="M58" s="29"/>
    </row>
    <row r="59" spans="1:13" ht="15.75" customHeight="1" x14ac:dyDescent="0.15">
      <c r="A59" s="29"/>
      <c r="B59" s="29"/>
      <c r="C59" s="29" t="str">
        <f ca="1">IFERROR(__xludf.DUMMYFUNCTION("""COMPUTED_VALUE"""),"TEP")</f>
        <v>TEP</v>
      </c>
      <c r="D59" s="29"/>
      <c r="E59" s="29"/>
      <c r="F59" s="29"/>
      <c r="G59" s="29" t="str">
        <f ca="1">IFERROR(__xludf.DUMMYFUNCTION("""COMPUTED_VALUE"""),"1st Light Sales Corp")</f>
        <v>1st Light Sales Corp</v>
      </c>
      <c r="H59" s="29"/>
      <c r="I59" s="29"/>
      <c r="J59" s="29"/>
      <c r="K59" s="29"/>
      <c r="L59" s="29"/>
      <c r="M59" s="29"/>
    </row>
    <row r="60" spans="1:13" ht="15.75" customHeight="1" x14ac:dyDescent="0.15">
      <c r="A60" s="29"/>
      <c r="B60" s="29"/>
      <c r="C60" s="29" t="str">
        <f ca="1">IFERROR(__xludf.DUMMYFUNCTION("""COMPUTED_VALUE"""),"TNMP")</f>
        <v>TNMP</v>
      </c>
      <c r="D60" s="29"/>
      <c r="E60" s="29"/>
      <c r="F60" s="29"/>
      <c r="G60" s="29" t="str">
        <f ca="1">IFERROR(__xludf.DUMMYFUNCTION("""COMPUTED_VALUE"""),"Live Aloha Roofing and Solar, LLC")</f>
        <v>Live Aloha Roofing and Solar, LLC</v>
      </c>
      <c r="H60" s="29"/>
      <c r="I60" s="29"/>
      <c r="J60" s="29"/>
      <c r="K60" s="29"/>
      <c r="L60" s="29"/>
      <c r="M60" s="29"/>
    </row>
    <row r="61" spans="1:13" ht="15.75" customHeight="1" x14ac:dyDescent="0.15">
      <c r="A61" s="29"/>
      <c r="B61" s="29"/>
      <c r="C61" s="29" t="str">
        <f ca="1">IFERROR(__xludf.DUMMYFUNCTION("""COMPUTED_VALUE"""),"United Illuminating")</f>
        <v>United Illuminating</v>
      </c>
      <c r="D61" s="29"/>
      <c r="E61" s="29"/>
      <c r="F61" s="29"/>
      <c r="G61" s="29" t="str">
        <f ca="1">IFERROR(__xludf.DUMMYFUNCTION("""COMPUTED_VALUE"""),"Blue Chip Sales, Inc.")</f>
        <v>Blue Chip Sales, Inc.</v>
      </c>
      <c r="H61" s="29"/>
      <c r="I61" s="29"/>
      <c r="J61" s="29"/>
      <c r="K61" s="29"/>
      <c r="L61" s="29"/>
      <c r="M61" s="29"/>
    </row>
    <row r="62" spans="1:13" ht="15.75" customHeight="1" x14ac:dyDescent="0.15">
      <c r="A62" s="29"/>
      <c r="B62" s="29"/>
      <c r="C62" s="29" t="str">
        <f ca="1">IFERROR(__xludf.DUMMYFUNCTION("""COMPUTED_VALUE"""),"United Power")</f>
        <v>United Power</v>
      </c>
      <c r="D62" s="29"/>
      <c r="E62" s="29"/>
      <c r="F62" s="29"/>
      <c r="G62" s="29" t="str">
        <f ca="1">IFERROR(__xludf.DUMMYFUNCTION("""COMPUTED_VALUE"""),"Sun Elevated LLC")</f>
        <v>Sun Elevated LLC</v>
      </c>
      <c r="H62" s="29"/>
      <c r="I62" s="29"/>
      <c r="J62" s="29"/>
      <c r="K62" s="29"/>
      <c r="L62" s="29"/>
      <c r="M62" s="29"/>
    </row>
    <row r="63" spans="1:13" ht="15.75" customHeight="1" x14ac:dyDescent="0.15">
      <c r="A63" s="29"/>
      <c r="B63" s="29"/>
      <c r="C63" s="29" t="str">
        <f ca="1">IFERROR(__xludf.DUMMYFUNCTION("""COMPUTED_VALUE"""),"UNITIL")</f>
        <v>UNITIL</v>
      </c>
      <c r="D63" s="29"/>
      <c r="E63" s="29"/>
      <c r="F63" s="29"/>
      <c r="G63" s="29" t="str">
        <f ca="1">IFERROR(__xludf.DUMMYFUNCTION("""COMPUTED_VALUE"""),"HNF Energy LLC")</f>
        <v>HNF Energy LLC</v>
      </c>
      <c r="H63" s="29"/>
      <c r="I63" s="29"/>
      <c r="J63" s="29"/>
      <c r="K63" s="29"/>
      <c r="L63" s="29"/>
      <c r="M63" s="29"/>
    </row>
    <row r="64" spans="1:13" ht="15.75" customHeight="1" x14ac:dyDescent="0.15">
      <c r="A64" s="29"/>
      <c r="B64" s="29"/>
      <c r="C64" s="29" t="str">
        <f ca="1">IFERROR(__xludf.DUMMYFUNCTION("""COMPUTED_VALUE"""),"Vermont Electric Cooperative")</f>
        <v>Vermont Electric Cooperative</v>
      </c>
      <c r="D64" s="29"/>
      <c r="E64" s="29"/>
      <c r="F64" s="29"/>
      <c r="G64" s="29" t="str">
        <f ca="1">IFERROR(__xludf.DUMMYFUNCTION("""COMPUTED_VALUE"""),"Unyte Solar LLC")</f>
        <v>Unyte Solar LLC</v>
      </c>
      <c r="H64" s="29"/>
      <c r="I64" s="29"/>
      <c r="J64" s="29"/>
      <c r="K64" s="29"/>
      <c r="L64" s="29"/>
      <c r="M64" s="29"/>
    </row>
    <row r="65" spans="1:13" ht="15.75" customHeight="1" x14ac:dyDescent="0.15">
      <c r="A65" s="29"/>
      <c r="B65" s="29"/>
      <c r="C65" s="29" t="str">
        <f ca="1">IFERROR(__xludf.DUMMYFUNCTION("""COMPUTED_VALUE"""),"Vineland")</f>
        <v>Vineland</v>
      </c>
      <c r="D65" s="29"/>
      <c r="E65" s="29"/>
      <c r="F65" s="29"/>
      <c r="G65" s="29" t="str">
        <f ca="1">IFERROR(__xludf.DUMMYFUNCTION("""COMPUTED_VALUE"""),"Enerev LLC")</f>
        <v>Enerev LLC</v>
      </c>
      <c r="H65" s="29"/>
      <c r="I65" s="29"/>
      <c r="J65" s="29"/>
      <c r="K65" s="29"/>
      <c r="L65" s="29"/>
      <c r="M65" s="29"/>
    </row>
    <row r="66" spans="1:13" ht="15.75" customHeight="1" x14ac:dyDescent="0.15">
      <c r="A66" s="29"/>
      <c r="B66" s="29"/>
      <c r="C66" s="29" t="str">
        <f ca="1">IFERROR(__xludf.DUMMYFUNCTION("""COMPUTED_VALUE"""),"We Energies")</f>
        <v>We Energies</v>
      </c>
      <c r="D66" s="29"/>
      <c r="E66" s="29"/>
      <c r="F66" s="29"/>
      <c r="G66" s="29" t="str">
        <f ca="1">IFERROR(__xludf.DUMMYFUNCTION("""COMPUTED_VALUE"""),"OurWorldEnergy LLC")</f>
        <v>OurWorldEnergy LLC</v>
      </c>
      <c r="H66" s="29"/>
      <c r="I66" s="29"/>
      <c r="J66" s="29"/>
      <c r="K66" s="29"/>
      <c r="L66" s="29"/>
      <c r="M66" s="29"/>
    </row>
    <row r="67" spans="1:13" ht="15.75" customHeight="1" x14ac:dyDescent="0.15">
      <c r="A67" s="29"/>
      <c r="B67" s="29"/>
      <c r="C67" s="29" t="str">
        <f ca="1">IFERROR(__xludf.DUMMYFUNCTION("""COMPUTED_VALUE"""),"WMECO")</f>
        <v>WMECO</v>
      </c>
      <c r="D67" s="29"/>
      <c r="E67" s="29"/>
      <c r="F67" s="29"/>
      <c r="G67" s="29" t="str">
        <f ca="1">IFERROR(__xludf.DUMMYFUNCTION("""COMPUTED_VALUE"""),"TCJC Marketing Inc.")</f>
        <v>TCJC Marketing Inc.</v>
      </c>
      <c r="H67" s="29"/>
      <c r="I67" s="29"/>
      <c r="J67" s="29"/>
      <c r="K67" s="29"/>
      <c r="L67" s="29"/>
      <c r="M67" s="29"/>
    </row>
    <row r="68" spans="1:13" ht="15.75" customHeight="1" x14ac:dyDescent="0.15">
      <c r="A68" s="29"/>
      <c r="B68" s="29"/>
      <c r="C68" s="29" t="str">
        <f ca="1">IFERROR(__xludf.DUMMYFUNCTION("""COMPUTED_VALUE"""),"XCEL")</f>
        <v>XCEL</v>
      </c>
      <c r="D68" s="29"/>
      <c r="E68" s="29"/>
      <c r="F68" s="29"/>
      <c r="G68" s="29" t="str">
        <f ca="1">IFERROR(__xludf.DUMMYFUNCTION("""COMPUTED_VALUE"""),"Rayker Inc. dba Greenspire Construction")</f>
        <v>Rayker Inc. dba Greenspire Construction</v>
      </c>
      <c r="H68" s="29"/>
      <c r="I68" s="29"/>
      <c r="J68" s="29"/>
      <c r="K68" s="29"/>
      <c r="L68" s="29"/>
      <c r="M68" s="29"/>
    </row>
    <row r="69" spans="1:13" ht="15.75" customHeight="1" x14ac:dyDescent="0.15">
      <c r="A69" s="29"/>
      <c r="B69" s="29"/>
      <c r="C69" s="29" t="str">
        <f ca="1">IFERROR(__xludf.DUMMYFUNCTION("""COMPUTED_VALUE"""),"Coserv")</f>
        <v>Coserv</v>
      </c>
      <c r="D69" s="29"/>
      <c r="E69" s="29"/>
      <c r="F69" s="29"/>
      <c r="G69" s="29" t="str">
        <f ca="1">IFERROR(__xludf.DUMMYFUNCTION("""COMPUTED_VALUE"""),"Pro Custom Solar, LLC dba Momentum Solar")</f>
        <v>Pro Custom Solar, LLC dba Momentum Solar</v>
      </c>
      <c r="H69" s="29"/>
      <c r="I69" s="29"/>
      <c r="J69" s="29"/>
      <c r="K69" s="29"/>
      <c r="L69" s="29"/>
      <c r="M69" s="29"/>
    </row>
    <row r="70" spans="1:13" ht="15.75" customHeight="1" x14ac:dyDescent="0.15">
      <c r="A70" s="29"/>
      <c r="B70" s="29"/>
      <c r="C70" s="29" t="str">
        <f ca="1">IFERROR(__xludf.DUMMYFUNCTION("""COMPUTED_VALUE"""),"FPL")</f>
        <v>FPL</v>
      </c>
      <c r="D70" s="29"/>
      <c r="E70" s="29"/>
      <c r="F70" s="29"/>
      <c r="G70" s="29" t="str">
        <f ca="1">IFERROR(__xludf.DUMMYFUNCTION("""COMPUTED_VALUE"""),"KOTA Construction LLC")</f>
        <v>KOTA Construction LLC</v>
      </c>
      <c r="H70" s="29"/>
      <c r="I70" s="29"/>
      <c r="J70" s="29"/>
      <c r="K70" s="29"/>
      <c r="L70" s="29"/>
      <c r="M70" s="29"/>
    </row>
    <row r="71" spans="1:13" ht="15.75" customHeight="1" x14ac:dyDescent="0.15">
      <c r="A71" s="29"/>
      <c r="B71" s="29"/>
      <c r="C71" s="29" t="str">
        <f ca="1">IFERROR(__xludf.DUMMYFUNCTION("""COMPUTED_VALUE"""),"Entergy")</f>
        <v>Entergy</v>
      </c>
      <c r="D71" s="29"/>
      <c r="E71" s="29"/>
      <c r="F71" s="29"/>
      <c r="G71" s="29" t="str">
        <f ca="1">IFERROR(__xludf.DUMMYFUNCTION("""COMPUTED_VALUE"""),"Penguin Home Solutions Inc.")</f>
        <v>Penguin Home Solutions Inc.</v>
      </c>
      <c r="H71" s="29"/>
      <c r="I71" s="29"/>
      <c r="J71" s="29"/>
      <c r="K71" s="29"/>
      <c r="L71" s="29"/>
      <c r="M71" s="29"/>
    </row>
    <row r="72" spans="1:13" ht="15.75" customHeight="1" x14ac:dyDescent="0.15">
      <c r="A72" s="29"/>
      <c r="B72" s="29"/>
      <c r="C72" s="29" t="str">
        <f ca="1">IFERROR(__xludf.DUMMYFUNCTION("""COMPUTED_VALUE"""),"Moreno Valley Electric Utility")</f>
        <v>Moreno Valley Electric Utility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5.75" customHeight="1" x14ac:dyDescent="0.15">
      <c r="A73" s="29"/>
      <c r="B73" s="29"/>
      <c r="C73" s="29" t="str">
        <f ca="1">IFERROR(__xludf.DUMMYFUNCTION("""COMPUTED_VALUE"""),"CPS Energy")</f>
        <v>CPS Energy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5.75" customHeight="1" x14ac:dyDescent="0.15">
      <c r="A74" s="29"/>
      <c r="B74" s="29"/>
      <c r="C74" s="29" t="str">
        <f ca="1">IFERROR(__xludf.DUMMYFUNCTION("""COMPUTED_VALUE"""),"Delmarva")</f>
        <v>Delmarva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5.75" customHeight="1" x14ac:dyDescent="0.15">
      <c r="A75" s="29"/>
      <c r="B75" s="29"/>
      <c r="C75" s="29" t="str">
        <f ca="1">IFERROR(__xludf.DUMMYFUNCTION("""COMPUTED_VALUE"""),"Choptank Electric")</f>
        <v>Choptank Electric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5.75" customHeight="1" x14ac:dyDescent="0.15">
      <c r="A76" s="29"/>
      <c r="B76" s="29"/>
      <c r="C76" s="29" t="str">
        <f ca="1">IFERROR(__xludf.DUMMYFUNCTION("""COMPUTED_VALUE"""),"Washington Electric Co-Op")</f>
        <v>Washington Electric Co-Op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5.75" customHeight="1" x14ac:dyDescent="0.15">
      <c r="A77" s="29"/>
      <c r="B77" s="29"/>
      <c r="C77" s="29" t="str">
        <f ca="1">IFERROR(__xludf.DUMMYFUNCTION("""COMPUTED_VALUE"""),"Colorado Springs Utilities")</f>
        <v>Colorado Springs Utilities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5.75" customHeight="1" x14ac:dyDescent="0.15">
      <c r="A78" s="29"/>
      <c r="B78" s="29"/>
      <c r="C78" s="29" t="str">
        <f ca="1">IFERROR(__xludf.DUMMYFUNCTION("""COMPUTED_VALUE"""),"Fort Collins Utilities")</f>
        <v>Fort Collins Utilities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5.75" customHeight="1" x14ac:dyDescent="0.15">
      <c r="A79" s="29"/>
      <c r="B79" s="29"/>
      <c r="C79" s="29" t="str">
        <f ca="1">IFERROR(__xludf.DUMMYFUNCTION("""COMPUTED_VALUE"""),"Duke Energy Progress")</f>
        <v>Duke Energy Progress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5.75" customHeight="1" x14ac:dyDescent="0.15">
      <c r="A80" s="29"/>
      <c r="B80" s="29"/>
      <c r="C80" s="29" t="str">
        <f ca="1">IFERROR(__xludf.DUMMYFUNCTION("""COMPUTED_VALUE"""),"Gulf Power Co")</f>
        <v>Gulf Power Co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5.75" customHeight="1" x14ac:dyDescent="0.15">
      <c r="A81" s="29"/>
      <c r="B81" s="29"/>
      <c r="C81" s="29" t="str">
        <f ca="1">IFERROR(__xludf.DUMMYFUNCTION("""COMPUTED_VALUE"""),"UNITIL")</f>
        <v>UNITIL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spans="1:13" ht="15.75" customHeight="1" x14ac:dyDescent="0.15">
      <c r="A82" s="29"/>
      <c r="B82" s="29"/>
      <c r="C82" s="29" t="str">
        <f ca="1">IFERROR(__xludf.DUMMYFUNCTION("""COMPUTED_VALUE"""),"Austin Energy")</f>
        <v>Austin Energy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spans="1:13" ht="15.75" customHeight="1" x14ac:dyDescent="0.15">
      <c r="A83" s="29"/>
      <c r="B83" s="29"/>
      <c r="C83" s="29" t="str">
        <f ca="1">IFERROR(__xludf.DUMMYFUNCTION("""COMPUTED_VALUE"""),"Pedernales")</f>
        <v>Pedernales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spans="1:13" ht="15.75" customHeight="1" x14ac:dyDescent="0.15">
      <c r="A84" s="29"/>
      <c r="B84" s="29"/>
      <c r="C84" s="29" t="str">
        <f ca="1">IFERROR(__xludf.DUMMYFUNCTION("""COMPUTED_VALUE"""),"Dominion Virginia Power")</f>
        <v>Dominion Virginia Power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ht="15.75" customHeight="1" x14ac:dyDescent="0.15">
      <c r="A85" s="29"/>
      <c r="B85" s="29"/>
      <c r="C85" s="29" t="str">
        <f ca="1">IFERROR(__xludf.DUMMYFUNCTION("""COMPUTED_VALUE"""),"NOVEC")</f>
        <v>NOVEC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ht="15.75" customHeight="1" x14ac:dyDescent="0.15">
      <c r="A86" s="29"/>
      <c r="B86" s="29"/>
      <c r="C86" s="29" t="str">
        <f ca="1">IFERROR(__xludf.DUMMYFUNCTION("""COMPUTED_VALUE"""),"Modesto Irrigation District")</f>
        <v>Modesto Irrigation District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spans="1:13" ht="15.75" customHeight="1" x14ac:dyDescent="0.15">
      <c r="A87" s="29"/>
      <c r="B87" s="29"/>
      <c r="C87" s="29" t="str">
        <f ca="1">IFERROR(__xludf.DUMMYFUNCTION("""COMPUTED_VALUE"""),"Merced Irrigation District")</f>
        <v>Merced Irrigation District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3" x14ac:dyDescent="0.15">
      <c r="A88" s="29"/>
      <c r="B88" s="29"/>
      <c r="C88" s="29" t="str">
        <f ca="1">IFERROR(__xludf.DUMMYFUNCTION("""COMPUTED_VALUE"""),"Lodi Electric Utility Department")</f>
        <v>Lodi Electric Utility Department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13" ht="13" x14ac:dyDescent="0.15">
      <c r="A89" s="29"/>
      <c r="B89" s="29"/>
      <c r="C89" s="29" t="str">
        <f ca="1">IFERROR(__xludf.DUMMYFUNCTION("""COMPUTED_VALUE"""),"NYSE&amp;G")</f>
        <v>NYSE&amp;G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 ht="13" x14ac:dyDescent="0.15">
      <c r="A90" s="29"/>
      <c r="B90" s="29"/>
      <c r="C90" s="29" t="str">
        <f ca="1">IFERROR(__xludf.DUMMYFUNCTION("""COMPUTED_VALUE"""),"PSCNH")</f>
        <v>PSCNH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3" x14ac:dyDescent="0.15">
      <c r="A91" s="29"/>
      <c r="B91" s="29"/>
      <c r="C91" s="29" t="str">
        <f ca="1">IFERROR(__xludf.DUMMYFUNCTION("""COMPUTED_VALUE"""),"PREPA")</f>
        <v>PREPA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spans="1:13" ht="13" x14ac:dyDescent="0.15">
      <c r="A92" s="29"/>
      <c r="B92" s="29"/>
      <c r="C92" s="29" t="str">
        <f ca="1">IFERROR(__xludf.DUMMYFUNCTION("""COMPUTED_VALUE"""),"West Penn Power")</f>
        <v>West Penn Power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13" x14ac:dyDescent="0.15">
      <c r="A93" s="29"/>
      <c r="B93" s="29"/>
      <c r="C93" s="29" t="str">
        <f ca="1">IFERROR(__xludf.DUMMYFUNCTION("""COMPUTED_VALUE"""),"Imperial Irrigation District")</f>
        <v>Imperial Irrigation District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3" x14ac:dyDescent="0.15">
      <c r="A94" s="29"/>
      <c r="B94" s="29"/>
      <c r="C94" s="29" t="str">
        <f ca="1">IFERROR(__xludf.DUMMYFUNCTION("""COMPUTED_VALUE"""),"Penelec")</f>
        <v>Penelec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13" x14ac:dyDescent="0.15">
      <c r="A95" s="29"/>
      <c r="B95" s="29"/>
      <c r="C95" s="29" t="str">
        <f ca="1">IFERROR(__xludf.DUMMYFUNCTION("""COMPUTED_VALUE"""),"MVEA")</f>
        <v>MVEA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13" x14ac:dyDescent="0.15">
      <c r="A96" s="29"/>
      <c r="B96" s="29"/>
      <c r="C96" s="29" t="str">
        <f ca="1">IFERROR(__xludf.DUMMYFUNCTION("""COMPUTED_VALUE"""),"Denton Municipal Electric")</f>
        <v>Denton Municipal Electric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13" x14ac:dyDescent="0.15">
      <c r="A97" s="29"/>
      <c r="B97" s="29"/>
      <c r="C97" s="29" t="str">
        <f ca="1">IFERROR(__xludf.DUMMYFUNCTION("""COMPUTED_VALUE"""),"Rappahannock Electric Coop")</f>
        <v>Rappahannock Electric Coop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1:13" ht="13" x14ac:dyDescent="0.15">
      <c r="A98" s="29"/>
      <c r="B98" s="29"/>
      <c r="C98" s="29" t="str">
        <f ca="1">IFERROR(__xludf.DUMMYFUNCTION("""COMPUTED_VALUE"""),"Sumter Electric Coop")</f>
        <v>Sumter Electric Coop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pans="1:13" ht="13" x14ac:dyDescent="0.15">
      <c r="A99" s="29"/>
      <c r="B99" s="29"/>
      <c r="C99" s="29" t="str">
        <f ca="1">IFERROR(__xludf.DUMMYFUNCTION("""COMPUTED_VALUE"""),"Withlacoochee River Elec Coop")</f>
        <v>Withlacoochee River Elec Coop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 ht="13" x14ac:dyDescent="0.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Picklist - Autofill from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2022-10-24T00:13:17Z</dcterms:modified>
</cp:coreProperties>
</file>