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o\Documents\AIUC\Scripts\RFLabTests\notas\"/>
    </mc:Choice>
  </mc:AlternateContent>
  <xr:revisionPtr revIDLastSave="0" documentId="13_ncr:1_{A104DFCA-E429-4E70-8911-BE8BFE086E91}" xr6:coauthVersionLast="47" xr6:coauthVersionMax="47" xr10:uidLastSave="{00000000-0000-0000-0000-000000000000}"/>
  <bookViews>
    <workbookView xWindow="-108" yWindow="-108" windowWidth="23256" windowHeight="12456" firstSheet="3" activeTab="5" xr2:uid="{1B3B1B6B-8F0B-4D4E-8B6F-5AE4CB87CC58}"/>
  </bookViews>
  <sheets>
    <sheet name="ValonPWR 6 (good)" sheetId="6" r:id="rId1"/>
    <sheet name="ValonPWR 6 (rango corto)" sheetId="7" r:id="rId2"/>
    <sheet name="ValonPWR 6 (corto volt good)" sheetId="10" r:id="rId3"/>
    <sheet name="ValonPWR 6 (corto new att 30)" sheetId="11" r:id="rId4"/>
    <sheet name="ValonPWR 6 (new gain) " sheetId="13" r:id="rId5"/>
    <sheet name="ValonPWR 6 (new new gain)" sheetId="14" r:id="rId6"/>
  </sheets>
  <definedNames>
    <definedName name="solver_adj" localSheetId="3" hidden="1">'ValonPWR 6 (corto new att 30)'!$Y$6:$Y$7</definedName>
    <definedName name="solver_adj" localSheetId="2" hidden="1">'ValonPWR 6 (corto volt good)'!$Y$6:$Y$7</definedName>
    <definedName name="solver_adj" localSheetId="0" hidden="1">'ValonPWR 6 (good)'!$AB$6:$AB$8</definedName>
    <definedName name="solver_adj" localSheetId="4" hidden="1">'ValonPWR 6 (new gain) '!$AB$6:$AB$8</definedName>
    <definedName name="solver_adj" localSheetId="5" hidden="1">'ValonPWR 6 (new new gain)'!$Y$6:$Y$8</definedName>
    <definedName name="solver_adj" localSheetId="1" hidden="1">'ValonPWR 6 (rango corto)'!$AB$6:$AB$8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eng" localSheetId="3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lhs1" localSheetId="3" hidden="1">'ValonPWR 6 (corto new att 30)'!$Y$6</definedName>
    <definedName name="solver_lhs1" localSheetId="2" hidden="1">'ValonPWR 6 (corto volt good)'!$Y$6</definedName>
    <definedName name="solver_lhs1" localSheetId="0" hidden="1">'ValonPWR 6 (good)'!$Y$6</definedName>
    <definedName name="solver_lhs1" localSheetId="4" hidden="1">'ValonPWR 6 (new gain) '!$Y$6</definedName>
    <definedName name="solver_lhs1" localSheetId="5" hidden="1">'ValonPWR 6 (new new gain)'!$Y$6</definedName>
    <definedName name="solver_lhs1" localSheetId="1" hidden="1">'ValonPWR 6 (rango corto)'!$Y$6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um" localSheetId="3" hidden="1">1</definedName>
    <definedName name="solver_num" localSheetId="2" hidden="1">1</definedName>
    <definedName name="solver_num" localSheetId="0" hidden="1">1</definedName>
    <definedName name="solver_num" localSheetId="4" hidden="1">1</definedName>
    <definedName name="solver_num" localSheetId="5" hidden="1">1</definedName>
    <definedName name="solver_num" localSheetId="1" hidden="1">1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opt" localSheetId="3" hidden="1">'ValonPWR 6 (corto new att 30)'!$O$9</definedName>
    <definedName name="solver_opt" localSheetId="2" hidden="1">'ValonPWR 6 (corto volt good)'!$O$8</definedName>
    <definedName name="solver_opt" localSheetId="0" hidden="1">'ValonPWR 6 (good)'!$R$15</definedName>
    <definedName name="solver_opt" localSheetId="4" hidden="1">'ValonPWR 6 (new gain) '!$R$12</definedName>
    <definedName name="solver_opt" localSheetId="5" hidden="1">'ValonPWR 6 (new new gain)'!$O$12</definedName>
    <definedName name="solver_opt" localSheetId="1" hidden="1">'ValonPWR 6 (rango corto)'!$R$8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rbv" localSheetId="3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bv" localSheetId="5" hidden="1">1</definedName>
    <definedName name="solver_rbv" localSheetId="1" hidden="1">1</definedName>
    <definedName name="solver_rel1" localSheetId="3" hidden="1">3</definedName>
    <definedName name="solver_rel1" localSheetId="2" hidden="1">3</definedName>
    <definedName name="solver_rel1" localSheetId="0" hidden="1">3</definedName>
    <definedName name="solver_rel1" localSheetId="4" hidden="1">3</definedName>
    <definedName name="solver_rel1" localSheetId="5" hidden="1">3</definedName>
    <definedName name="solver_rel1" localSheetId="1" hidden="1">3</definedName>
    <definedName name="solver_rhs1" localSheetId="3" hidden="1">0</definedName>
    <definedName name="solver_rhs1" localSheetId="2" hidden="1">0</definedName>
    <definedName name="solver_rhs1" localSheetId="0" hidden="1">0</definedName>
    <definedName name="solver_rhs1" localSheetId="4" hidden="1">0</definedName>
    <definedName name="solver_rhs1" localSheetId="5" hidden="1">0</definedName>
    <definedName name="solver_rhs1" localSheetId="1" hidden="1">0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scl" localSheetId="3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cl" localSheetId="5" hidden="1">1</definedName>
    <definedName name="solver_scl" localSheetId="1" hidden="1">1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yp" localSheetId="3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0" hidden="1">3</definedName>
    <definedName name="solver_ver" localSheetId="4" hidden="1">3</definedName>
    <definedName name="solver_ver" localSheetId="5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4" l="1"/>
  <c r="F22" i="14"/>
  <c r="F21" i="14"/>
  <c r="F20" i="14"/>
  <c r="F19" i="14"/>
  <c r="F18" i="14"/>
  <c r="F17" i="14"/>
  <c r="F16" i="14"/>
  <c r="F15" i="14"/>
  <c r="D11" i="14"/>
  <c r="E11" i="14" s="1"/>
  <c r="F11" i="14" s="1"/>
  <c r="D10" i="14"/>
  <c r="E10" i="14" s="1"/>
  <c r="F10" i="14" s="1"/>
  <c r="U9" i="14"/>
  <c r="U10" i="14" s="1"/>
  <c r="D9" i="14"/>
  <c r="E9" i="14" s="1"/>
  <c r="F9" i="14" s="1"/>
  <c r="D8" i="14"/>
  <c r="E8" i="14" s="1"/>
  <c r="F8" i="14" s="1"/>
  <c r="D7" i="14"/>
  <c r="E7" i="14" s="1"/>
  <c r="F7" i="14" s="1"/>
  <c r="D6" i="14"/>
  <c r="E6" i="14" s="1"/>
  <c r="F6" i="14" s="1"/>
  <c r="D5" i="14"/>
  <c r="E5" i="14" s="1"/>
  <c r="F5" i="14" s="1"/>
  <c r="D4" i="14"/>
  <c r="E4" i="14" s="1"/>
  <c r="F4" i="14" s="1"/>
  <c r="D3" i="14"/>
  <c r="E3" i="14" s="1"/>
  <c r="F3" i="14" s="1"/>
  <c r="H24" i="13"/>
  <c r="H16" i="13"/>
  <c r="H17" i="13"/>
  <c r="H18" i="13"/>
  <c r="H19" i="13"/>
  <c r="H20" i="13"/>
  <c r="H21" i="13"/>
  <c r="H22" i="13"/>
  <c r="H23" i="13"/>
  <c r="H15" i="13"/>
  <c r="D4" i="13"/>
  <c r="E4" i="13" s="1"/>
  <c r="F4" i="13" s="1"/>
  <c r="D3" i="13"/>
  <c r="E3" i="13" s="1"/>
  <c r="F3" i="13" s="1"/>
  <c r="D7" i="13"/>
  <c r="E7" i="13" s="1"/>
  <c r="F7" i="13" s="1"/>
  <c r="D5" i="13"/>
  <c r="E5" i="13" s="1"/>
  <c r="F5" i="13" s="1"/>
  <c r="D6" i="13"/>
  <c r="E6" i="13" s="1"/>
  <c r="F6" i="13" s="1"/>
  <c r="G6" i="13" s="1"/>
  <c r="I6" i="13" s="1"/>
  <c r="D11" i="13"/>
  <c r="E11" i="13" s="1"/>
  <c r="F11" i="13" s="1"/>
  <c r="D8" i="13"/>
  <c r="E8" i="13" s="1"/>
  <c r="F8" i="13" s="1"/>
  <c r="K8" i="13"/>
  <c r="L8" i="13" s="1"/>
  <c r="K9" i="13"/>
  <c r="L9" i="13"/>
  <c r="Q9" i="13" s="1"/>
  <c r="M9" i="13"/>
  <c r="K10" i="13"/>
  <c r="L10" i="13" s="1"/>
  <c r="K11" i="13"/>
  <c r="L11" i="13"/>
  <c r="M11" i="13" s="1"/>
  <c r="Q11" i="13"/>
  <c r="D9" i="13"/>
  <c r="E9" i="13" s="1"/>
  <c r="F9" i="13" s="1"/>
  <c r="G9" i="13" s="1"/>
  <c r="I9" i="13" s="1"/>
  <c r="D10" i="13"/>
  <c r="E10" i="13" s="1"/>
  <c r="F10" i="13" s="1"/>
  <c r="G10" i="13" s="1"/>
  <c r="I10" i="13" s="1"/>
  <c r="F16" i="13"/>
  <c r="F17" i="13"/>
  <c r="F18" i="13"/>
  <c r="F19" i="13"/>
  <c r="F20" i="13"/>
  <c r="F21" i="13"/>
  <c r="F22" i="13"/>
  <c r="F23" i="13"/>
  <c r="F15" i="13"/>
  <c r="G11" i="7"/>
  <c r="G12" i="7"/>
  <c r="G13" i="7"/>
  <c r="G14" i="7"/>
  <c r="G15" i="7"/>
  <c r="G12" i="11"/>
  <c r="G13" i="11"/>
  <c r="G14" i="11"/>
  <c r="G15" i="11"/>
  <c r="G16" i="11"/>
  <c r="G17" i="11"/>
  <c r="G11" i="10"/>
  <c r="G12" i="10"/>
  <c r="G13" i="10"/>
  <c r="G14" i="10"/>
  <c r="G15" i="10"/>
  <c r="D8" i="11"/>
  <c r="E8" i="11" s="1"/>
  <c r="F8" i="11" s="1"/>
  <c r="U9" i="13"/>
  <c r="U10" i="13" s="1"/>
  <c r="U10" i="11"/>
  <c r="U11" i="11" s="1"/>
  <c r="K8" i="11" s="1"/>
  <c r="L8" i="11" s="1"/>
  <c r="D7" i="11"/>
  <c r="E7" i="11" s="1"/>
  <c r="F7" i="11" s="1"/>
  <c r="D6" i="11"/>
  <c r="E6" i="11" s="1"/>
  <c r="F6" i="11" s="1"/>
  <c r="D5" i="11"/>
  <c r="E5" i="11" s="1"/>
  <c r="F5" i="11" s="1"/>
  <c r="D4" i="11"/>
  <c r="E4" i="11" s="1"/>
  <c r="F4" i="11" s="1"/>
  <c r="D3" i="11"/>
  <c r="E3" i="11" s="1"/>
  <c r="F3" i="11" s="1"/>
  <c r="U9" i="10"/>
  <c r="U10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3" i="7"/>
  <c r="E3" i="7" s="1"/>
  <c r="F3" i="7" s="1"/>
  <c r="D4" i="7"/>
  <c r="E4" i="7" s="1"/>
  <c r="F4" i="7" s="1"/>
  <c r="D5" i="7"/>
  <c r="E5" i="7" s="1"/>
  <c r="F5" i="7" s="1"/>
  <c r="D6" i="7"/>
  <c r="E6" i="7" s="1"/>
  <c r="F6" i="7" s="1"/>
  <c r="D7" i="7"/>
  <c r="E7" i="7" s="1"/>
  <c r="F7" i="7" s="1"/>
  <c r="U9" i="7"/>
  <c r="U10" i="7" s="1"/>
  <c r="K11" i="7" s="1"/>
  <c r="L11" i="7" s="1"/>
  <c r="K18" i="6"/>
  <c r="L18" i="6" s="1"/>
  <c r="Q3" i="6"/>
  <c r="P4" i="6"/>
  <c r="P5" i="6"/>
  <c r="P6" i="6"/>
  <c r="P10" i="6"/>
  <c r="P11" i="6"/>
  <c r="P12" i="6"/>
  <c r="D14" i="6"/>
  <c r="E14" i="6" s="1"/>
  <c r="F14" i="6" s="1"/>
  <c r="P14" i="6" s="1"/>
  <c r="D13" i="6"/>
  <c r="E13" i="6" s="1"/>
  <c r="F13" i="6" s="1"/>
  <c r="N13" i="6" s="1"/>
  <c r="D12" i="6"/>
  <c r="E12" i="6" s="1"/>
  <c r="F12" i="6" s="1"/>
  <c r="D11" i="6"/>
  <c r="E11" i="6" s="1"/>
  <c r="F11" i="6" s="1"/>
  <c r="U9" i="6"/>
  <c r="U10" i="6" s="1"/>
  <c r="D10" i="6"/>
  <c r="E10" i="6" s="1"/>
  <c r="F10" i="6" s="1"/>
  <c r="D9" i="6"/>
  <c r="E9" i="6" s="1"/>
  <c r="F9" i="6" s="1"/>
  <c r="P9" i="6" s="1"/>
  <c r="D8" i="6"/>
  <c r="E8" i="6" s="1"/>
  <c r="F8" i="6" s="1"/>
  <c r="P8" i="6" s="1"/>
  <c r="D7" i="6"/>
  <c r="E7" i="6" s="1"/>
  <c r="F7" i="6" s="1"/>
  <c r="P7" i="6" s="1"/>
  <c r="D6" i="6"/>
  <c r="E6" i="6" s="1"/>
  <c r="F6" i="6" s="1"/>
  <c r="N6" i="6" s="1"/>
  <c r="D5" i="6"/>
  <c r="E5" i="6" s="1"/>
  <c r="F5" i="6" s="1"/>
  <c r="D4" i="6"/>
  <c r="E4" i="6" s="1"/>
  <c r="F4" i="6" s="1"/>
  <c r="D3" i="6"/>
  <c r="E3" i="6" s="1"/>
  <c r="F3" i="6" s="1"/>
  <c r="P3" i="6" s="1"/>
  <c r="N10" i="14" l="1"/>
  <c r="P10" i="14"/>
  <c r="G10" i="14"/>
  <c r="I10" i="14" s="1"/>
  <c r="N4" i="14"/>
  <c r="G4" i="14"/>
  <c r="I4" i="14" s="1"/>
  <c r="P4" i="14"/>
  <c r="N3" i="14"/>
  <c r="G3" i="14"/>
  <c r="I3" i="14" s="1"/>
  <c r="P3" i="14"/>
  <c r="G5" i="14"/>
  <c r="I5" i="14" s="1"/>
  <c r="P5" i="14"/>
  <c r="N5" i="14"/>
  <c r="G8" i="14"/>
  <c r="I8" i="14" s="1"/>
  <c r="P8" i="14"/>
  <c r="N8" i="14"/>
  <c r="P11" i="14"/>
  <c r="G11" i="14"/>
  <c r="I11" i="14" s="1"/>
  <c r="N11" i="14"/>
  <c r="P6" i="14"/>
  <c r="G6" i="14"/>
  <c r="I6" i="14" s="1"/>
  <c r="N6" i="14"/>
  <c r="G7" i="14"/>
  <c r="I7" i="14" s="1"/>
  <c r="P7" i="14"/>
  <c r="N7" i="14"/>
  <c r="G9" i="14"/>
  <c r="I9" i="14" s="1"/>
  <c r="P9" i="14"/>
  <c r="N9" i="14"/>
  <c r="K7" i="14"/>
  <c r="L7" i="14" s="1"/>
  <c r="K6" i="14"/>
  <c r="L6" i="14" s="1"/>
  <c r="K5" i="14"/>
  <c r="L5" i="14" s="1"/>
  <c r="K3" i="14"/>
  <c r="L3" i="14" s="1"/>
  <c r="K11" i="14"/>
  <c r="L11" i="14" s="1"/>
  <c r="K10" i="14"/>
  <c r="L10" i="14" s="1"/>
  <c r="K8" i="14"/>
  <c r="L8" i="14" s="1"/>
  <c r="K4" i="14"/>
  <c r="L4" i="14" s="1"/>
  <c r="K15" i="14"/>
  <c r="L15" i="14" s="1"/>
  <c r="K9" i="14"/>
  <c r="L9" i="14" s="1"/>
  <c r="P9" i="13"/>
  <c r="G11" i="13"/>
  <c r="I11" i="13" s="1"/>
  <c r="N11" i="13"/>
  <c r="P11" i="13"/>
  <c r="G8" i="13"/>
  <c r="I8" i="13" s="1"/>
  <c r="N8" i="13"/>
  <c r="P8" i="13"/>
  <c r="P10" i="13"/>
  <c r="N10" i="13"/>
  <c r="O9" i="13"/>
  <c r="N9" i="13"/>
  <c r="Q10" i="13"/>
  <c r="M10" i="13"/>
  <c r="R11" i="13"/>
  <c r="O11" i="13"/>
  <c r="M8" i="13"/>
  <c r="Q8" i="13"/>
  <c r="R9" i="13"/>
  <c r="P5" i="13"/>
  <c r="G5" i="13"/>
  <c r="I5" i="13" s="1"/>
  <c r="N5" i="13"/>
  <c r="Q8" i="11"/>
  <c r="M8" i="11"/>
  <c r="P8" i="11"/>
  <c r="G8" i="11"/>
  <c r="I8" i="11" s="1"/>
  <c r="N8" i="11"/>
  <c r="G4" i="13"/>
  <c r="I4" i="13" s="1"/>
  <c r="P4" i="13"/>
  <c r="N4" i="13"/>
  <c r="G7" i="13"/>
  <c r="I7" i="13" s="1"/>
  <c r="P7" i="13"/>
  <c r="N7" i="13"/>
  <c r="P3" i="13"/>
  <c r="G3" i="13"/>
  <c r="I3" i="13" s="1"/>
  <c r="N3" i="13"/>
  <c r="K7" i="13"/>
  <c r="L7" i="13" s="1"/>
  <c r="K5" i="13"/>
  <c r="L5" i="13" s="1"/>
  <c r="K4" i="13"/>
  <c r="L4" i="13" s="1"/>
  <c r="K3" i="13"/>
  <c r="L3" i="13" s="1"/>
  <c r="K6" i="13"/>
  <c r="L6" i="13" s="1"/>
  <c r="K15" i="13"/>
  <c r="L15" i="13" s="1"/>
  <c r="N6" i="13"/>
  <c r="P6" i="13"/>
  <c r="N7" i="11"/>
  <c r="G7" i="11"/>
  <c r="I7" i="11" s="1"/>
  <c r="P7" i="11"/>
  <c r="K7" i="11"/>
  <c r="L7" i="11" s="1"/>
  <c r="K6" i="11"/>
  <c r="L6" i="11" s="1"/>
  <c r="K5" i="11"/>
  <c r="L5" i="11" s="1"/>
  <c r="K12" i="11"/>
  <c r="L12" i="11" s="1"/>
  <c r="K4" i="11"/>
  <c r="L4" i="11" s="1"/>
  <c r="K3" i="11"/>
  <c r="L3" i="11" s="1"/>
  <c r="P3" i="11"/>
  <c r="N3" i="11"/>
  <c r="G3" i="11"/>
  <c r="I3" i="11" s="1"/>
  <c r="P4" i="11"/>
  <c r="N4" i="11"/>
  <c r="G4" i="11"/>
  <c r="I4" i="11" s="1"/>
  <c r="P5" i="11"/>
  <c r="N5" i="11"/>
  <c r="G5" i="11"/>
  <c r="I5" i="11" s="1"/>
  <c r="N6" i="11"/>
  <c r="G6" i="11"/>
  <c r="I6" i="11" s="1"/>
  <c r="P6" i="11"/>
  <c r="N3" i="10"/>
  <c r="P3" i="10"/>
  <c r="G3" i="10"/>
  <c r="I3" i="10" s="1"/>
  <c r="P5" i="10"/>
  <c r="N5" i="10"/>
  <c r="G5" i="10"/>
  <c r="I5" i="10" s="1"/>
  <c r="N7" i="10"/>
  <c r="G7" i="10"/>
  <c r="I7" i="10" s="1"/>
  <c r="P7" i="10"/>
  <c r="P4" i="10"/>
  <c r="N4" i="10"/>
  <c r="G4" i="10"/>
  <c r="I4" i="10" s="1"/>
  <c r="N6" i="10"/>
  <c r="P6" i="10"/>
  <c r="G6" i="10"/>
  <c r="I6" i="10" s="1"/>
  <c r="K13" i="10"/>
  <c r="L13" i="10" s="1"/>
  <c r="K11" i="10"/>
  <c r="L11" i="10" s="1"/>
  <c r="K7" i="10"/>
  <c r="L7" i="10" s="1"/>
  <c r="K6" i="10"/>
  <c r="L6" i="10" s="1"/>
  <c r="K5" i="10"/>
  <c r="L5" i="10" s="1"/>
  <c r="K4" i="10"/>
  <c r="L4" i="10" s="1"/>
  <c r="K3" i="10"/>
  <c r="L3" i="10" s="1"/>
  <c r="P4" i="7"/>
  <c r="N4" i="7"/>
  <c r="G4" i="7"/>
  <c r="I4" i="7" s="1"/>
  <c r="K13" i="7"/>
  <c r="L13" i="7" s="1"/>
  <c r="K7" i="7"/>
  <c r="L7" i="7" s="1"/>
  <c r="K6" i="7"/>
  <c r="L6" i="7" s="1"/>
  <c r="K5" i="7"/>
  <c r="L5" i="7" s="1"/>
  <c r="K3" i="7"/>
  <c r="L3" i="7" s="1"/>
  <c r="K4" i="7"/>
  <c r="L4" i="7" s="1"/>
  <c r="G3" i="7"/>
  <c r="I3" i="7" s="1"/>
  <c r="N3" i="7"/>
  <c r="P3" i="7"/>
  <c r="N5" i="7"/>
  <c r="G5" i="7"/>
  <c r="I5" i="7" s="1"/>
  <c r="P5" i="7"/>
  <c r="P6" i="7"/>
  <c r="N6" i="7"/>
  <c r="G6" i="7"/>
  <c r="I6" i="7" s="1"/>
  <c r="P7" i="7"/>
  <c r="G7" i="7"/>
  <c r="I7" i="7" s="1"/>
  <c r="N7" i="7"/>
  <c r="P13" i="6"/>
  <c r="G8" i="6"/>
  <c r="I8" i="6" s="1"/>
  <c r="N8" i="6"/>
  <c r="N9" i="6"/>
  <c r="G9" i="6"/>
  <c r="I9" i="6" s="1"/>
  <c r="G10" i="6"/>
  <c r="I10" i="6" s="1"/>
  <c r="N10" i="6"/>
  <c r="N3" i="6"/>
  <c r="G3" i="6"/>
  <c r="I3" i="6" s="1"/>
  <c r="K11" i="6"/>
  <c r="L11" i="6" s="1"/>
  <c r="K12" i="6"/>
  <c r="L12" i="6" s="1"/>
  <c r="K5" i="6"/>
  <c r="L5" i="6" s="1"/>
  <c r="K13" i="6"/>
  <c r="L13" i="6" s="1"/>
  <c r="K6" i="6"/>
  <c r="L6" i="6" s="1"/>
  <c r="K14" i="6"/>
  <c r="L14" i="6" s="1"/>
  <c r="K7" i="6"/>
  <c r="L7" i="6" s="1"/>
  <c r="K8" i="6"/>
  <c r="L8" i="6" s="1"/>
  <c r="K9" i="6"/>
  <c r="L9" i="6" s="1"/>
  <c r="K3" i="6"/>
  <c r="L3" i="6" s="1"/>
  <c r="M3" i="6" s="1"/>
  <c r="R3" i="6" s="1"/>
  <c r="K10" i="6"/>
  <c r="L10" i="6" s="1"/>
  <c r="K4" i="6"/>
  <c r="L4" i="6" s="1"/>
  <c r="G4" i="6"/>
  <c r="I4" i="6" s="1"/>
  <c r="N4" i="6"/>
  <c r="G11" i="6"/>
  <c r="I11" i="6" s="1"/>
  <c r="N11" i="6"/>
  <c r="G5" i="6"/>
  <c r="I5" i="6" s="1"/>
  <c r="N5" i="6"/>
  <c r="G12" i="6"/>
  <c r="I12" i="6" s="1"/>
  <c r="N12" i="6"/>
  <c r="N7" i="6"/>
  <c r="G7" i="6"/>
  <c r="I7" i="6" s="1"/>
  <c r="N14" i="6"/>
  <c r="G14" i="6"/>
  <c r="I14" i="6" s="1"/>
  <c r="G6" i="6"/>
  <c r="I6" i="6" s="1"/>
  <c r="G13" i="6"/>
  <c r="I13" i="6" s="1"/>
  <c r="M4" i="14" l="1"/>
  <c r="Q4" i="14"/>
  <c r="M8" i="14"/>
  <c r="Q8" i="14"/>
  <c r="M5" i="14"/>
  <c r="Q5" i="14"/>
  <c r="Q10" i="14"/>
  <c r="M10" i="14"/>
  <c r="M3" i="14"/>
  <c r="Q3" i="14"/>
  <c r="Q11" i="14"/>
  <c r="M11" i="14"/>
  <c r="Q6" i="14"/>
  <c r="M6" i="14"/>
  <c r="Q7" i="14"/>
  <c r="M7" i="14"/>
  <c r="Q9" i="14"/>
  <c r="M9" i="14"/>
  <c r="R8" i="13"/>
  <c r="O8" i="13"/>
  <c r="R10" i="13"/>
  <c r="O10" i="13"/>
  <c r="R8" i="11"/>
  <c r="O8" i="11"/>
  <c r="Q7" i="13"/>
  <c r="M7" i="13"/>
  <c r="Q4" i="13"/>
  <c r="M4" i="13"/>
  <c r="M5" i="13"/>
  <c r="Q5" i="13"/>
  <c r="M6" i="13"/>
  <c r="Q6" i="13"/>
  <c r="M3" i="13"/>
  <c r="Q3" i="13"/>
  <c r="Q3" i="11"/>
  <c r="M3" i="11"/>
  <c r="M5" i="11"/>
  <c r="Q5" i="11"/>
  <c r="M6" i="11"/>
  <c r="Q6" i="11"/>
  <c r="M7" i="11"/>
  <c r="Q7" i="11"/>
  <c r="Q4" i="11"/>
  <c r="M4" i="11"/>
  <c r="M3" i="10"/>
  <c r="Q3" i="10"/>
  <c r="M6" i="10"/>
  <c r="Q6" i="10"/>
  <c r="Q4" i="10"/>
  <c r="M4" i="10"/>
  <c r="M7" i="10"/>
  <c r="Q7" i="10"/>
  <c r="M5" i="10"/>
  <c r="Q5" i="10"/>
  <c r="Q6" i="7"/>
  <c r="M6" i="7"/>
  <c r="Q7" i="7"/>
  <c r="M7" i="7"/>
  <c r="Q5" i="7"/>
  <c r="M5" i="7"/>
  <c r="Q4" i="7"/>
  <c r="M4" i="7"/>
  <c r="M3" i="7"/>
  <c r="Q3" i="7"/>
  <c r="M10" i="6"/>
  <c r="R10" i="6" s="1"/>
  <c r="Q10" i="6"/>
  <c r="M5" i="6"/>
  <c r="Q5" i="6"/>
  <c r="M12" i="6"/>
  <c r="O12" i="6" s="1"/>
  <c r="Q12" i="6"/>
  <c r="M11" i="6"/>
  <c r="O11" i="6" s="1"/>
  <c r="Q11" i="6"/>
  <c r="M9" i="6"/>
  <c r="R9" i="6" s="1"/>
  <c r="Q9" i="6"/>
  <c r="M6" i="6"/>
  <c r="O6" i="6" s="1"/>
  <c r="Q6" i="6"/>
  <c r="M4" i="6"/>
  <c r="R4" i="6" s="1"/>
  <c r="Q4" i="6"/>
  <c r="M8" i="6"/>
  <c r="O8" i="6" s="1"/>
  <c r="Q8" i="6"/>
  <c r="M7" i="6"/>
  <c r="R7" i="6" s="1"/>
  <c r="Q7" i="6"/>
  <c r="M14" i="6"/>
  <c r="R14" i="6" s="1"/>
  <c r="Q14" i="6"/>
  <c r="M13" i="6"/>
  <c r="O13" i="6" s="1"/>
  <c r="Q13" i="6"/>
  <c r="O5" i="6"/>
  <c r="R5" i="6"/>
  <c r="O3" i="6"/>
  <c r="O7" i="6"/>
  <c r="O3" i="14" l="1"/>
  <c r="R3" i="14"/>
  <c r="R10" i="14"/>
  <c r="O10" i="14"/>
  <c r="O11" i="14"/>
  <c r="R11" i="14"/>
  <c r="R9" i="14"/>
  <c r="O9" i="14"/>
  <c r="O5" i="14"/>
  <c r="R5" i="14"/>
  <c r="R7" i="14"/>
  <c r="O7" i="14"/>
  <c r="R8" i="14"/>
  <c r="O8" i="14"/>
  <c r="R6" i="14"/>
  <c r="O6" i="14"/>
  <c r="O4" i="14"/>
  <c r="R4" i="14"/>
  <c r="O3" i="13"/>
  <c r="R3" i="13"/>
  <c r="R6" i="13"/>
  <c r="O6" i="13"/>
  <c r="O5" i="13"/>
  <c r="R5" i="13"/>
  <c r="R7" i="13"/>
  <c r="O7" i="13"/>
  <c r="R4" i="13"/>
  <c r="O4" i="13"/>
  <c r="O7" i="11"/>
  <c r="R7" i="11"/>
  <c r="O6" i="11"/>
  <c r="R6" i="11"/>
  <c r="O4" i="11"/>
  <c r="R4" i="11"/>
  <c r="O5" i="11"/>
  <c r="R5" i="11"/>
  <c r="R3" i="11"/>
  <c r="O3" i="11"/>
  <c r="O9" i="11" s="1"/>
  <c r="R4" i="10"/>
  <c r="O4" i="10"/>
  <c r="R3" i="10"/>
  <c r="O3" i="10"/>
  <c r="O5" i="10"/>
  <c r="R5" i="10"/>
  <c r="O6" i="10"/>
  <c r="R6" i="10"/>
  <c r="R7" i="10"/>
  <c r="O7" i="10"/>
  <c r="R5" i="7"/>
  <c r="O5" i="7"/>
  <c r="R7" i="7"/>
  <c r="O7" i="7"/>
  <c r="O3" i="7"/>
  <c r="R3" i="7"/>
  <c r="R4" i="7"/>
  <c r="O4" i="7"/>
  <c r="R6" i="7"/>
  <c r="O6" i="7"/>
  <c r="O4" i="6"/>
  <c r="O10" i="6"/>
  <c r="R8" i="6"/>
  <c r="R11" i="6"/>
  <c r="R6" i="6"/>
  <c r="R13" i="6"/>
  <c r="O14" i="6"/>
  <c r="O9" i="6"/>
  <c r="O15" i="6" s="1"/>
  <c r="R12" i="6"/>
  <c r="R12" i="14" l="1"/>
  <c r="O12" i="14"/>
  <c r="R12" i="13"/>
  <c r="O12" i="13"/>
  <c r="R9" i="11"/>
  <c r="O8" i="10"/>
  <c r="R8" i="10"/>
  <c r="O8" i="7"/>
  <c r="R8" i="7"/>
  <c r="R15" i="6"/>
</calcChain>
</file>

<file path=xl/sharedStrings.xml><?xml version="1.0" encoding="utf-8"?>
<sst xmlns="http://schemas.openxmlformats.org/spreadsheetml/2006/main" count="361" uniqueCount="64">
  <si>
    <t>V pot. (V)</t>
  </si>
  <si>
    <t>Pot. diodo (mW)</t>
  </si>
  <si>
    <t>Pot. Beam (mW)</t>
  </si>
  <si>
    <t>Pot. Beam (dBm)</t>
  </si>
  <si>
    <t>Pot. medida SA (dBm)</t>
  </si>
  <si>
    <t>Relación mV/mW diodo</t>
  </si>
  <si>
    <t>Distancia guía ondas/corneta</t>
  </si>
  <si>
    <t>Free path loss</t>
  </si>
  <si>
    <t>Ganancia Corneta (Rx)</t>
  </si>
  <si>
    <t>Ganancia Guía de Ondas</t>
  </si>
  <si>
    <t>Atenuación real del atenuador de 20dBm</t>
  </si>
  <si>
    <t>Pérdidas por inserción ac. Direccional</t>
  </si>
  <si>
    <t>Frecuencia</t>
  </si>
  <si>
    <t>mV/mW</t>
  </si>
  <si>
    <t>m</t>
  </si>
  <si>
    <t>dBm</t>
  </si>
  <si>
    <t>Free path loss (incl. Rx Gain)</t>
  </si>
  <si>
    <t>Pot. Waveguide (dBm)</t>
  </si>
  <si>
    <t>Pot. Multiplier (dBm)</t>
  </si>
  <si>
    <t>Hz</t>
  </si>
  <si>
    <t>Vel. Luz</t>
  </si>
  <si>
    <t>m/s</t>
  </si>
  <si>
    <t>Valon Power</t>
  </si>
  <si>
    <t>V.diodo (mV)</t>
  </si>
  <si>
    <t>V. diodo (V)</t>
  </si>
  <si>
    <t>Pot. Beam ajustada (dBm)</t>
  </si>
  <si>
    <t>Factor de compresión (dBm)</t>
  </si>
  <si>
    <t>Pot. Multiplier (mW)</t>
  </si>
  <si>
    <t>Pot. Diode (fit)</t>
  </si>
  <si>
    <t>a</t>
  </si>
  <si>
    <t>b</t>
  </si>
  <si>
    <t>min Xi^2 = (Ps - (a*Pd+b))^2/Ps</t>
  </si>
  <si>
    <t>a&gt;0</t>
  </si>
  <si>
    <t>Xi^2 function</t>
  </si>
  <si>
    <t>Pot. Diode (fit 2)</t>
  </si>
  <si>
    <t>Pd2=a0+a1*Pd+a2*Pd^2+…</t>
  </si>
  <si>
    <t>min Xi^2 = (Ps - Pd2)^2/Ps</t>
  </si>
  <si>
    <t>a0</t>
  </si>
  <si>
    <t>a1</t>
  </si>
  <si>
    <t>a2</t>
  </si>
  <si>
    <t>a2&gt;0</t>
  </si>
  <si>
    <t>Atenuador nuevo (30 dBm)</t>
  </si>
  <si>
    <t>Quadratic fit Xi^2 function</t>
  </si>
  <si>
    <t>Pot. Waveguide (30 dBm attenuator)</t>
  </si>
  <si>
    <t>Pot. Medida  (con atenuador de 30dBm)</t>
  </si>
  <si>
    <t>Arduino bits en DAC1</t>
  </si>
  <si>
    <t>mV</t>
  </si>
  <si>
    <t>Voltaje medido (salida opamp)</t>
  </si>
  <si>
    <t>V ard. (V)</t>
  </si>
  <si>
    <t>Voltaje Diodo (mV)</t>
  </si>
  <si>
    <t>Ganancia</t>
  </si>
  <si>
    <t>Voltaje A0 (V)</t>
  </si>
  <si>
    <t>Voltaje opamp (V)</t>
  </si>
  <si>
    <t>Potencia S.A (dBm)</t>
  </si>
  <si>
    <t>Pot. Medida  (con atenuador de 20dBm)</t>
  </si>
  <si>
    <t>Voltaje Opamp output (V)</t>
  </si>
  <si>
    <t>Voltaje Set (V)</t>
  </si>
  <si>
    <t>Voltaje Diodo (medido mV)</t>
  </si>
  <si>
    <t>Voltaje Set Arduino</t>
  </si>
  <si>
    <t>Saturación en 1,6</t>
  </si>
  <si>
    <t>Voltaje Diodo (V)</t>
  </si>
  <si>
    <t>Con Atenuación máxima (V Set = 0), igualmente existe un choppeo, llevando esa señal a negativo si se considera el máximo de 0V en 0V del amplificador, por lo que se agrega un offset para lograr que toda señal choppeada se mueva entre 0 y 3.3 para el Arduino.</t>
  </si>
  <si>
    <t>AD620 Gain</t>
  </si>
  <si>
    <t>AD620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</si>
</sst>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(good)'!$I$3:$I$14</c:f>
              <c:numCache>
                <c:formatCode>General</c:formatCode>
                <c:ptCount val="12"/>
                <c:pt idx="0">
                  <c:v>-5.0708447809710568</c:v>
                </c:pt>
                <c:pt idx="1">
                  <c:v>-1.9457466474969434</c:v>
                </c:pt>
                <c:pt idx="2">
                  <c:v>0.91080469347332582</c:v>
                </c:pt>
                <c:pt idx="3">
                  <c:v>4.5229767099463025</c:v>
                </c:pt>
                <c:pt idx="4">
                  <c:v>7.1693033327575826</c:v>
                </c:pt>
                <c:pt idx="5">
                  <c:v>9.1145355047674563</c:v>
                </c:pt>
                <c:pt idx="6">
                  <c:v>10.585947152658473</c:v>
                </c:pt>
                <c:pt idx="7">
                  <c:v>11.630287862164394</c:v>
                </c:pt>
                <c:pt idx="8">
                  <c:v>12.360891887309666</c:v>
                </c:pt>
                <c:pt idx="9">
                  <c:v>12.838035936894705</c:v>
                </c:pt>
                <c:pt idx="10">
                  <c:v>13.082085802911045</c:v>
                </c:pt>
                <c:pt idx="11">
                  <c:v>13.105753135702116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0-477B-91CE-6C8C968108A6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(good)'!$L$3:$L$14</c:f>
              <c:numCache>
                <c:formatCode>General</c:formatCode>
                <c:ptCount val="12"/>
                <c:pt idx="0">
                  <c:v>-0.67022234127841784</c:v>
                </c:pt>
                <c:pt idx="1">
                  <c:v>2.1297776587215793</c:v>
                </c:pt>
                <c:pt idx="2">
                  <c:v>4.6297776587215793</c:v>
                </c:pt>
                <c:pt idx="3">
                  <c:v>8.529777658721585</c:v>
                </c:pt>
                <c:pt idx="4">
                  <c:v>11.529777658721585</c:v>
                </c:pt>
                <c:pt idx="5">
                  <c:v>14.029777658721585</c:v>
                </c:pt>
                <c:pt idx="6">
                  <c:v>16.029777658721585</c:v>
                </c:pt>
                <c:pt idx="7">
                  <c:v>17.529777658721585</c:v>
                </c:pt>
                <c:pt idx="8">
                  <c:v>18.629777658721579</c:v>
                </c:pt>
                <c:pt idx="9">
                  <c:v>19.429777658721584</c:v>
                </c:pt>
                <c:pt idx="10">
                  <c:v>19.729777658721581</c:v>
                </c:pt>
                <c:pt idx="11">
                  <c:v>19.829777658721582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0-477B-91CE-6C8C96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good)'!$F$3:$F$7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1.5777777777777779</c:v>
                </c:pt>
                <c:pt idx="2">
                  <c:v>2.6888888888888891</c:v>
                </c:pt>
                <c:pt idx="3">
                  <c:v>4.0555555555555554</c:v>
                </c:pt>
                <c:pt idx="4">
                  <c:v>5.5666666666666673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D-48A4-8AB7-795EACF0BD8B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D-48A4-8AB7-795EACF0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volt 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D-48D4-A391-98FFAD498A49}"/>
            </c:ext>
          </c:extLst>
        </c:ser>
        <c:ser>
          <c:idx val="1"/>
          <c:order val="1"/>
          <c:tx>
            <c:strRef>
              <c:f>'ValonPWR 6 (corto volt 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good)'!$N$3:$N$7</c:f>
              <c:numCache>
                <c:formatCode>General</c:formatCode>
                <c:ptCount val="5"/>
                <c:pt idx="0">
                  <c:v>3.828116435403695</c:v>
                </c:pt>
                <c:pt idx="1">
                  <c:v>7.0535597578466458</c:v>
                </c:pt>
                <c:pt idx="2">
                  <c:v>10.559476412675942</c:v>
                </c:pt>
                <c:pt idx="3">
                  <c:v>14.871753898115969</c:v>
                </c:pt>
                <c:pt idx="4">
                  <c:v>19.639800548683812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D-48D4-A391-98FFAD49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volt 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1-4EF9-A8C4-787A97AC0CDB}"/>
            </c:ext>
          </c:extLst>
        </c:ser>
        <c:ser>
          <c:idx val="1"/>
          <c:order val="1"/>
          <c:tx>
            <c:strRef>
              <c:f>'ValonPWR 6 (corto volt good)'!$P$2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good)'!$P$3:$P$7</c:f>
              <c:numCache>
                <c:formatCode>General</c:formatCode>
                <c:ptCount val="5"/>
                <c:pt idx="0">
                  <c:v>4.1025163297696539</c:v>
                </c:pt>
                <c:pt idx="1">
                  <c:v>6.7745103010957246</c:v>
                </c:pt>
                <c:pt idx="2">
                  <c:v>10.063332605089499</c:v>
                </c:pt>
                <c:pt idx="3">
                  <c:v>14.657851236615222</c:v>
                </c:pt>
                <c:pt idx="4">
                  <c:v>20.443331889415042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1-4EF9-A8C4-787A97AC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30)'!$I$3:$I$7</c:f>
              <c:numCache>
                <c:formatCode>General</c:formatCode>
                <c:ptCount val="5"/>
                <c:pt idx="0">
                  <c:v>-2.7300127206373763</c:v>
                </c:pt>
                <c:pt idx="1">
                  <c:v>1.7609125905568124</c:v>
                </c:pt>
                <c:pt idx="2">
                  <c:v>4.3492357492520757</c:v>
                </c:pt>
                <c:pt idx="3">
                  <c:v>6.1042355481276456</c:v>
                </c:pt>
                <c:pt idx="4">
                  <c:v>7.4646120770569446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F-46AE-9876-BFBE6CA6296F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30)'!$L$3:$L$7</c:f>
              <c:numCache>
                <c:formatCode>General</c:formatCode>
                <c:ptCount val="5"/>
                <c:pt idx="0">
                  <c:v>3.387110471753644</c:v>
                </c:pt>
                <c:pt idx="1">
                  <c:v>5.387110471753644</c:v>
                </c:pt>
                <c:pt idx="2">
                  <c:v>7.387110471753644</c:v>
                </c:pt>
                <c:pt idx="3">
                  <c:v>9.387110471753644</c:v>
                </c:pt>
                <c:pt idx="4">
                  <c:v>10.487110471753638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F-46AE-9876-BFBE6CA6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30)'!$F$3:$F$7</c:f>
              <c:numCache>
                <c:formatCode>General</c:formatCode>
                <c:ptCount val="5"/>
                <c:pt idx="0">
                  <c:v>0.53333333333333333</c:v>
                </c:pt>
                <c:pt idx="1">
                  <c:v>1.5</c:v>
                </c:pt>
                <c:pt idx="2">
                  <c:v>2.7222222222222219</c:v>
                </c:pt>
                <c:pt idx="3">
                  <c:v>4.0777777777777784</c:v>
                </c:pt>
                <c:pt idx="4">
                  <c:v>5.5777777777777784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8-4CF2-9B74-2ADEF03212D2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58-4CF2-9B74-2ADEF032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new att 30)'!$M$2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5-487C-9FF1-5A020D06C75A}"/>
            </c:ext>
          </c:extLst>
        </c:ser>
        <c:ser>
          <c:idx val="1"/>
          <c:order val="1"/>
          <c:tx>
            <c:strRef>
              <c:f>'ValonPWR 6 (corto new att 30)'!$N$2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30)'!$N$3:$N$7</c:f>
              <c:numCache>
                <c:formatCode>General</c:formatCode>
                <c:ptCount val="5"/>
                <c:pt idx="0">
                  <c:v>3.7579981023071092</c:v>
                </c:pt>
                <c:pt idx="1">
                  <c:v>6.8081455920085947</c:v>
                </c:pt>
                <c:pt idx="2">
                  <c:v>10.664653912320816</c:v>
                </c:pt>
                <c:pt idx="3">
                  <c:v>14.94187223121256</c:v>
                </c:pt>
                <c:pt idx="4">
                  <c:v>19.674859715232106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5-487C-9FF1-5A020D06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new att 30)'!$M$2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1-4C49-B575-D74A05078277}"/>
            </c:ext>
          </c:extLst>
        </c:ser>
        <c:ser>
          <c:idx val="1"/>
          <c:order val="1"/>
          <c:tx>
            <c:strRef>
              <c:f>'ValonPWR 6 (corto new att 30)'!$P$2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30)'!$P$3:$P$7</c:f>
              <c:numCache>
                <c:formatCode>General</c:formatCode>
                <c:ptCount val="5"/>
                <c:pt idx="0">
                  <c:v>4.0481942143994241</c:v>
                </c:pt>
                <c:pt idx="1">
                  <c:v>6.5592915050286145</c:v>
                </c:pt>
                <c:pt idx="2">
                  <c:v>10.168185015798962</c:v>
                </c:pt>
                <c:pt idx="3">
                  <c:v>14.737565120062083</c:v>
                </c:pt>
                <c:pt idx="4">
                  <c:v>20.488615620687966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F1-4C49-B575-D74A050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'!$I$3:$I$11</c:f>
              <c:numCache>
                <c:formatCode>General</c:formatCode>
                <c:ptCount val="9"/>
                <c:pt idx="0">
                  <c:v>-2.4667233334138854</c:v>
                </c:pt>
                <c:pt idx="1">
                  <c:v>1.1763949786680052</c:v>
                </c:pt>
                <c:pt idx="2">
                  <c:v>3.6172783601759284</c:v>
                </c:pt>
                <c:pt idx="3">
                  <c:v>5.3289586603786168</c:v>
                </c:pt>
                <c:pt idx="4">
                  <c:v>6.7312334715340771</c:v>
                </c:pt>
                <c:pt idx="5">
                  <c:v>7.7573177626023071</c:v>
                </c:pt>
                <c:pt idx="6">
                  <c:v>8.7312676361450041</c:v>
                </c:pt>
                <c:pt idx="7">
                  <c:v>9.674439660442772</c:v>
                </c:pt>
                <c:pt idx="8">
                  <c:v>10.31183964643677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2-49F6-8D5E-8DA6E37F86C8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'!$L$3:$L$11</c:f>
              <c:numCache>
                <c:formatCode>General</c:formatCode>
                <c:ptCount val="9"/>
                <c:pt idx="0">
                  <c:v>3.387110471753644</c:v>
                </c:pt>
                <c:pt idx="1">
                  <c:v>5.387110471753644</c:v>
                </c:pt>
                <c:pt idx="2">
                  <c:v>6.887110471753644</c:v>
                </c:pt>
                <c:pt idx="3">
                  <c:v>8.387110471753644</c:v>
                </c:pt>
                <c:pt idx="4">
                  <c:v>10.087110471753647</c:v>
                </c:pt>
                <c:pt idx="5">
                  <c:v>11.387110471753644</c:v>
                </c:pt>
                <c:pt idx="6">
                  <c:v>12.387110471753644</c:v>
                </c:pt>
                <c:pt idx="7">
                  <c:v>13.387110471753644</c:v>
                </c:pt>
                <c:pt idx="8">
                  <c:v>14.487110471753645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2-49F6-8D5E-8DA6E37F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'!$F$3:$F$11</c:f>
              <c:numCache>
                <c:formatCode>General</c:formatCode>
                <c:ptCount val="9"/>
                <c:pt idx="0">
                  <c:v>0.56666666666666665</c:v>
                </c:pt>
                <c:pt idx="1">
                  <c:v>1.3111111111111111</c:v>
                </c:pt>
                <c:pt idx="2">
                  <c:v>2.2999999999999998</c:v>
                </c:pt>
                <c:pt idx="3">
                  <c:v>3.4111111111111114</c:v>
                </c:pt>
                <c:pt idx="4">
                  <c:v>4.7111111111111112</c:v>
                </c:pt>
                <c:pt idx="5">
                  <c:v>5.9666666666666668</c:v>
                </c:pt>
                <c:pt idx="6">
                  <c:v>7.4666666666666677</c:v>
                </c:pt>
                <c:pt idx="7">
                  <c:v>9.2777777777777786</c:v>
                </c:pt>
                <c:pt idx="8">
                  <c:v>10.744444444444445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6-4C62-9B2E-8F55CAD96BF3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6-4C62-9B2E-8F55CAD9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gain) 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F-45D8-8E57-5041C8AE67C1}"/>
            </c:ext>
          </c:extLst>
        </c:ser>
        <c:ser>
          <c:idx val="1"/>
          <c:order val="1"/>
          <c:tx>
            <c:strRef>
              <c:f>'ValonPWR 6 (new gain) 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'!$N$3:$N$11</c:f>
              <c:numCache>
                <c:formatCode>General</c:formatCode>
                <c:ptCount val="9"/>
                <c:pt idx="0">
                  <c:v>2.0803637283646337</c:v>
                </c:pt>
                <c:pt idx="1">
                  <c:v>3.5279526627718871</c:v>
                </c:pt>
                <c:pt idx="2">
                  <c:v>5.4508693069845071</c:v>
                </c:pt>
                <c:pt idx="3">
                  <c:v>7.6114498060998121</c:v>
                </c:pt>
                <c:pt idx="4">
                  <c:v>10.139328990064717</c:v>
                </c:pt>
                <c:pt idx="5">
                  <c:v>12.58078495406501</c:v>
                </c:pt>
                <c:pt idx="6">
                  <c:v>15.497568627870672</c:v>
                </c:pt>
                <c:pt idx="7">
                  <c:v>19.019314841428617</c:v>
                </c:pt>
                <c:pt idx="8">
                  <c:v>21.871281100260816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F-45D8-8E57-5041C8AE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(good)'!$F$3:$F$14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0.63888888888888895</c:v>
                </c:pt>
                <c:pt idx="2">
                  <c:v>1.2333333333333334</c:v>
                </c:pt>
                <c:pt idx="3">
                  <c:v>2.833333333333333</c:v>
                </c:pt>
                <c:pt idx="4">
                  <c:v>5.2111111111111104</c:v>
                </c:pt>
                <c:pt idx="5">
                  <c:v>8.1555555555555568</c:v>
                </c:pt>
                <c:pt idx="6">
                  <c:v>11.444444444444445</c:v>
                </c:pt>
                <c:pt idx="7">
                  <c:v>14.555555555555555</c:v>
                </c:pt>
                <c:pt idx="8">
                  <c:v>17.222222222222221</c:v>
                </c:pt>
                <c:pt idx="9">
                  <c:v>19.222222222222221</c:v>
                </c:pt>
                <c:pt idx="10">
                  <c:v>20.333333333333332</c:v>
                </c:pt>
                <c:pt idx="11">
                  <c:v>20.444444444444446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1-4012-BE68-5032EDD00D2E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1-4012-BE68-5032EDD0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gain) 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B-4FE9-BECD-B3E0B32BC3CB}"/>
            </c:ext>
          </c:extLst>
        </c:ser>
        <c:ser>
          <c:idx val="1"/>
          <c:order val="1"/>
          <c:tx>
            <c:strRef>
              <c:f>'ValonPWR 6 (new gain) 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'!$P$3:$P$11</c:f>
              <c:numCache>
                <c:formatCode>General</c:formatCode>
                <c:ptCount val="9"/>
                <c:pt idx="0">
                  <c:v>2.2441877444404916</c:v>
                </c:pt>
                <c:pt idx="1">
                  <c:v>3.2842188280003928</c:v>
                </c:pt>
                <c:pt idx="2">
                  <c:v>4.9143350215554804</c:v>
                </c:pt>
                <c:pt idx="3">
                  <c:v>7.0843162473909507</c:v>
                </c:pt>
                <c:pt idx="4">
                  <c:v>10.077764844418853</c:v>
                </c:pt>
                <c:pt idx="5">
                  <c:v>13.434204325095665</c:v>
                </c:pt>
                <c:pt idx="6">
                  <c:v>18.043543608542922</c:v>
                </c:pt>
                <c:pt idx="7">
                  <c:v>24.478574199466991</c:v>
                </c:pt>
                <c:pt idx="8">
                  <c:v>30.38695543612403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B-4FE9-BECD-B3E0B32B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gain)'!$I$3:$I$11</c:f>
              <c:numCache>
                <c:formatCode>General</c:formatCode>
                <c:ptCount val="9"/>
                <c:pt idx="0">
                  <c:v>-4.3572856956143742</c:v>
                </c:pt>
                <c:pt idx="1">
                  <c:v>0.5435766232259267</c:v>
                </c:pt>
                <c:pt idx="2">
                  <c:v>3.2221929473391917</c:v>
                </c:pt>
                <c:pt idx="3">
                  <c:v>5.0212352368971818</c:v>
                </c:pt>
                <c:pt idx="4">
                  <c:v>6.4890186318085741</c:v>
                </c:pt>
                <c:pt idx="5">
                  <c:v>7.6508877754440174</c:v>
                </c:pt>
                <c:pt idx="6">
                  <c:v>8.5933847912886705</c:v>
                </c:pt>
                <c:pt idx="7">
                  <c:v>9.5047303583935605</c:v>
                </c:pt>
                <c:pt idx="8">
                  <c:v>10.207294848587441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D-4BA2-9647-FFF360A021E7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gain)'!$L$3:$L$11</c:f>
              <c:numCache>
                <c:formatCode>General</c:formatCode>
                <c:ptCount val="9"/>
                <c:pt idx="0">
                  <c:v>3.387110471753644</c:v>
                </c:pt>
                <c:pt idx="1">
                  <c:v>5.387110471753644</c:v>
                </c:pt>
                <c:pt idx="2">
                  <c:v>6.387110471753644</c:v>
                </c:pt>
                <c:pt idx="3">
                  <c:v>8.1871104717536411</c:v>
                </c:pt>
                <c:pt idx="4">
                  <c:v>9.4871104717536383</c:v>
                </c:pt>
                <c:pt idx="5">
                  <c:v>10.78711047175365</c:v>
                </c:pt>
                <c:pt idx="6">
                  <c:v>11.987110471753645</c:v>
                </c:pt>
                <c:pt idx="7">
                  <c:v>13.187110471753641</c:v>
                </c:pt>
                <c:pt idx="8">
                  <c:v>14.087110471753647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3D-4BA2-9647-FFF360A0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gain)'!$F$3:$F$11</c:f>
              <c:numCache>
                <c:formatCode>General</c:formatCode>
                <c:ptCount val="9"/>
                <c:pt idx="0">
                  <c:v>0.36666666666666664</c:v>
                </c:pt>
                <c:pt idx="1">
                  <c:v>1.1333333333333333</c:v>
                </c:pt>
                <c:pt idx="2">
                  <c:v>2.0999999999999996</c:v>
                </c:pt>
                <c:pt idx="3">
                  <c:v>3.177777777777778</c:v>
                </c:pt>
                <c:pt idx="4">
                  <c:v>4.4555555555555557</c:v>
                </c:pt>
                <c:pt idx="5">
                  <c:v>5.822222222222222</c:v>
                </c:pt>
                <c:pt idx="6">
                  <c:v>7.2333333333333334</c:v>
                </c:pt>
                <c:pt idx="7">
                  <c:v>8.9222222222222225</c:v>
                </c:pt>
                <c:pt idx="8">
                  <c:v>10.488888888888889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3-47EB-9D01-CD205A7564F4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4.3522220725714575</c:v>
                </c:pt>
                <c:pt idx="3">
                  <c:v>6.5873546736328725</c:v>
                </c:pt>
                <c:pt idx="4">
                  <c:v>8.8860969491973947</c:v>
                </c:pt>
                <c:pt idx="5">
                  <c:v>11.987014955578248</c:v>
                </c:pt>
                <c:pt idx="6">
                  <c:v>15.801963240367439</c:v>
                </c:pt>
                <c:pt idx="7">
                  <c:v>20.83104452403499</c:v>
                </c:pt>
                <c:pt idx="8">
                  <c:v>25.627783541322565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B3-47EB-9D01-CD205A75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new gain)'!$M$2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4.3522220725714575</c:v>
                </c:pt>
                <c:pt idx="3">
                  <c:v>6.5873546736328725</c:v>
                </c:pt>
                <c:pt idx="4">
                  <c:v>8.8860969491973947</c:v>
                </c:pt>
                <c:pt idx="5">
                  <c:v>11.987014955578248</c:v>
                </c:pt>
                <c:pt idx="6">
                  <c:v>15.801963240367439</c:v>
                </c:pt>
                <c:pt idx="7">
                  <c:v>20.83104452403499</c:v>
                </c:pt>
                <c:pt idx="8">
                  <c:v>25.627783541322565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6-4F31-A327-746B891F9583}"/>
            </c:ext>
          </c:extLst>
        </c:ser>
        <c:ser>
          <c:idx val="1"/>
          <c:order val="1"/>
          <c:tx>
            <c:strRef>
              <c:f>'ValonPWR 6 (new new gain)'!$N$2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gain)'!$N$3:$N$11</c:f>
              <c:numCache>
                <c:formatCode>General</c:formatCode>
                <c:ptCount val="9"/>
                <c:pt idx="0">
                  <c:v>2.1123222493044227</c:v>
                </c:pt>
                <c:pt idx="1">
                  <c:v>3.3215959871224028</c:v>
                </c:pt>
                <c:pt idx="2">
                  <c:v>4.8463324391537679</c:v>
                </c:pt>
                <c:pt idx="3">
                  <c:v>6.5463259546370161</c:v>
                </c:pt>
                <c:pt idx="4">
                  <c:v>8.5617821843336497</c:v>
                </c:pt>
                <c:pt idx="5">
                  <c:v>10.717444064791788</c:v>
                </c:pt>
                <c:pt idx="6">
                  <c:v>12.94320877063068</c:v>
                </c:pt>
                <c:pt idx="7">
                  <c:v>15.607116135099274</c:v>
                </c:pt>
                <c:pt idx="8">
                  <c:v>18.078240729770798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46-4F31-A327-746B891F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new gain)'!$M$2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4.3522220725714575</c:v>
                </c:pt>
                <c:pt idx="3">
                  <c:v>6.5873546736328725</c:v>
                </c:pt>
                <c:pt idx="4">
                  <c:v>8.8860969491973947</c:v>
                </c:pt>
                <c:pt idx="5">
                  <c:v>11.987014955578248</c:v>
                </c:pt>
                <c:pt idx="6">
                  <c:v>15.801963240367439</c:v>
                </c:pt>
                <c:pt idx="7">
                  <c:v>20.83104452403499</c:v>
                </c:pt>
                <c:pt idx="8">
                  <c:v>25.627783541322565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F-4B2E-A07B-3300D6FEDF48}"/>
            </c:ext>
          </c:extLst>
        </c:ser>
        <c:ser>
          <c:idx val="1"/>
          <c:order val="1"/>
          <c:tx>
            <c:strRef>
              <c:f>'ValonPWR 6 (new new gain)'!$P$2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gain)'!$P$3:$P$11</c:f>
              <c:numCache>
                <c:formatCode>General</c:formatCode>
                <c:ptCount val="9"/>
                <c:pt idx="0">
                  <c:v>2.2401708382875034</c:v>
                </c:pt>
                <c:pt idx="1">
                  <c:v>3.2172031015002087</c:v>
                </c:pt>
                <c:pt idx="2">
                  <c:v>4.6281558424103464</c:v>
                </c:pt>
                <c:pt idx="3">
                  <c:v>6.4367387589943199</c:v>
                </c:pt>
                <c:pt idx="4">
                  <c:v>8.9025571674309614</c:v>
                </c:pt>
                <c:pt idx="5">
                  <c:v>11.926094826940108</c:v>
                </c:pt>
                <c:pt idx="6">
                  <c:v>15.466806486436969</c:v>
                </c:pt>
                <c:pt idx="7">
                  <c:v>20.263957065831981</c:v>
                </c:pt>
                <c:pt idx="8">
                  <c:v>25.258948573773008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3F-4B2E-A07B-3300D6FE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</a:t>
            </a:r>
            <a:r>
              <a:rPr lang="en-US" baseline="0"/>
              <a:t> Voltaje de salida vs Voltaje de entrada del amplificador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new gain)'!$G$14</c:f>
              <c:strCache>
                <c:ptCount val="1"/>
                <c:pt idx="0">
                  <c:v>Voltaje A0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689150716466052"/>
                  <c:y val="-7.01640400295596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 (new new gain)'!$F$15:$F$23</c:f>
              <c:numCache>
                <c:formatCode>General</c:formatCode>
                <c:ptCount val="9"/>
                <c:pt idx="0">
                  <c:v>-3.3E-3</c:v>
                </c:pt>
                <c:pt idx="1">
                  <c:v>-1.0199999999999999E-2</c:v>
                </c:pt>
                <c:pt idx="2">
                  <c:v>-1.89E-2</c:v>
                </c:pt>
                <c:pt idx="3">
                  <c:v>-2.86E-2</c:v>
                </c:pt>
                <c:pt idx="4">
                  <c:v>-4.0100000000000004E-2</c:v>
                </c:pt>
                <c:pt idx="5">
                  <c:v>-5.2399999999999995E-2</c:v>
                </c:pt>
                <c:pt idx="6">
                  <c:v>-6.5099999999999991E-2</c:v>
                </c:pt>
                <c:pt idx="7">
                  <c:v>-8.0299999999999996E-2</c:v>
                </c:pt>
                <c:pt idx="8">
                  <c:v>-9.4400000000000012E-2</c:v>
                </c:pt>
              </c:numCache>
            </c:numRef>
          </c:xVal>
          <c:yVal>
            <c:numRef>
              <c:f>'ValonPWR 6 (new new gain)'!$G$15:$G$23</c:f>
              <c:numCache>
                <c:formatCode>General</c:formatCode>
                <c:ptCount val="9"/>
                <c:pt idx="0">
                  <c:v>0.39</c:v>
                </c:pt>
                <c:pt idx="1">
                  <c:v>0.61</c:v>
                </c:pt>
                <c:pt idx="2">
                  <c:v>0.88400000000000001</c:v>
                </c:pt>
                <c:pt idx="3">
                  <c:v>1.2</c:v>
                </c:pt>
                <c:pt idx="4">
                  <c:v>1.57</c:v>
                </c:pt>
                <c:pt idx="5">
                  <c:v>1.97</c:v>
                </c:pt>
                <c:pt idx="6">
                  <c:v>2.39</c:v>
                </c:pt>
                <c:pt idx="7">
                  <c:v>2.84</c:v>
                </c:pt>
                <c:pt idx="8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A-48B9-A01C-CB724C5B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941184"/>
        <c:axId val="1831930784"/>
      </c:scatterChart>
      <c:valAx>
        <c:axId val="18319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1930784"/>
        <c:crosses val="autoZero"/>
        <c:crossBetween val="midCat"/>
      </c:valAx>
      <c:valAx>
        <c:axId val="1831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19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B-4D19-9242-2D720661921C}"/>
            </c:ext>
          </c:extLst>
        </c:ser>
        <c:ser>
          <c:idx val="1"/>
          <c:order val="1"/>
          <c:tx>
            <c:strRef>
              <c:f>'ValonPWR 6 (good)'!$N$2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938823272090989E-2"/>
                  <c:y val="0.3287113589967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(good)'!$N$3:$N$14</c:f>
              <c:numCache>
                <c:formatCode>General</c:formatCode>
                <c:ptCount val="12"/>
                <c:pt idx="0">
                  <c:v>1.236862506785676</c:v>
                </c:pt>
                <c:pt idx="1">
                  <c:v>2.5399855050062992</c:v>
                </c:pt>
                <c:pt idx="2">
                  <c:v>4.9032763661860734</c:v>
                </c:pt>
                <c:pt idx="3">
                  <c:v>11.264283543940977</c:v>
                </c:pt>
                <c:pt idx="4">
                  <c:v>20.717446988660072</c:v>
                </c:pt>
                <c:pt idx="5">
                  <c:v>32.423467142167368</c:v>
                </c:pt>
                <c:pt idx="6">
                  <c:v>45.498870785330226</c:v>
                </c:pt>
                <c:pt idx="7">
                  <c:v>57.867495853186988</c:v>
                </c:pt>
                <c:pt idx="8">
                  <c:v>68.469174482778485</c:v>
                </c:pt>
                <c:pt idx="9">
                  <c:v>76.420433454972127</c:v>
                </c:pt>
                <c:pt idx="10">
                  <c:v>80.837799550635253</c:v>
                </c:pt>
                <c:pt idx="11">
                  <c:v>81.279536160201573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B-4D19-9242-2D720661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2-487B-8C82-102C5B5942BE}"/>
            </c:ext>
          </c:extLst>
        </c:ser>
        <c:ser>
          <c:idx val="1"/>
          <c:order val="1"/>
          <c:tx>
            <c:strRef>
              <c:f>'ValonPWR 6 (good)'!$P$2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(good)'!$P$3:$P$14</c:f>
              <c:numCache>
                <c:formatCode>General</c:formatCode>
                <c:ptCount val="12"/>
                <c:pt idx="0">
                  <c:v>0.88688403720318165</c:v>
                </c:pt>
                <c:pt idx="1">
                  <c:v>1.5859644036122029</c:v>
                </c:pt>
                <c:pt idx="2">
                  <c:v>2.9248794592614624</c:v>
                </c:pt>
                <c:pt idx="3">
                  <c:v>6.9840057880927517</c:v>
                </c:pt>
                <c:pt idx="4">
                  <c:v>14.242858277444181</c:v>
                </c:pt>
                <c:pt idx="5">
                  <c:v>25.263823125200012</c:v>
                </c:pt>
                <c:pt idx="6">
                  <c:v>40.232549662013263</c:v>
                </c:pt>
                <c:pt idx="7">
                  <c:v>56.974209975234054</c:v>
                </c:pt>
                <c:pt idx="8">
                  <c:v>73.322222606014634</c:v>
                </c:pt>
                <c:pt idx="9">
                  <c:v>86.793569952419844</c:v>
                </c:pt>
                <c:pt idx="10">
                  <c:v>94.725925097948547</c:v>
                </c:pt>
                <c:pt idx="11">
                  <c:v>95.536771348753447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2-487B-8C82-102C5B59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corto)'!$I$3:$I$7</c:f>
              <c:numCache>
                <c:formatCode>General</c:formatCode>
                <c:ptCount val="5"/>
                <c:pt idx="0">
                  <c:v>-4.9939764943081473</c:v>
                </c:pt>
                <c:pt idx="1">
                  <c:v>1.0645533091428685</c:v>
                </c:pt>
                <c:pt idx="2">
                  <c:v>3.8021124171160601</c:v>
                </c:pt>
                <c:pt idx="3">
                  <c:v>5.7467419083832985</c:v>
                </c:pt>
                <c:pt idx="4">
                  <c:v>7.1321044345062914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0-4B12-ABE8-03BEF22D6F5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corto)'!$L$3:$L$7</c:f>
              <c:numCache>
                <c:formatCode>General</c:formatCode>
                <c:ptCount val="5"/>
                <c:pt idx="0">
                  <c:v>6.0871104717536468</c:v>
                </c:pt>
                <c:pt idx="1">
                  <c:v>8.1871104717536411</c:v>
                </c:pt>
                <c:pt idx="2">
                  <c:v>10.087110471753647</c:v>
                </c:pt>
                <c:pt idx="3">
                  <c:v>11.487110471753645</c:v>
                </c:pt>
                <c:pt idx="4">
                  <c:v>13.087110471753647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0-4B12-ABE8-03BEF22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corto)'!$F$3:$F$7</c:f>
              <c:numCache>
                <c:formatCode>General</c:formatCode>
                <c:ptCount val="5"/>
                <c:pt idx="0">
                  <c:v>0.31666666666666665</c:v>
                </c:pt>
                <c:pt idx="1">
                  <c:v>1.2777777777777779</c:v>
                </c:pt>
                <c:pt idx="2">
                  <c:v>2.4</c:v>
                </c:pt>
                <c:pt idx="3">
                  <c:v>3.7555555555555551</c:v>
                </c:pt>
                <c:pt idx="4">
                  <c:v>5.166666666666667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A-469B-A61A-D835DE2C6B4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A-469B-A61A-D835DE2C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7-40F6-BABA-EB85E6BBD1F6}"/>
            </c:ext>
          </c:extLst>
        </c:ser>
        <c:ser>
          <c:idx val="1"/>
          <c:order val="1"/>
          <c:tx>
            <c:strRef>
              <c:f>'ValonPWR 6 (rango corto)'!$N$2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corto)'!$N$3:$N$7</c:f>
              <c:numCache>
                <c:formatCode>General</c:formatCode>
                <c:ptCount val="5"/>
                <c:pt idx="0">
                  <c:v>3.8077221347696564</c:v>
                </c:pt>
                <c:pt idx="1">
                  <c:v>6.8714916274150832</c:v>
                </c:pt>
                <c:pt idx="2">
                  <c:v>10.448840977209166</c:v>
                </c:pt>
                <c:pt idx="3">
                  <c:v>14.76999563735647</c:v>
                </c:pt>
                <c:pt idx="4">
                  <c:v>19.268246799968836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7-40F6-BABA-EB85E6BB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F-4A5A-ADC3-0F5189E5C5BA}"/>
            </c:ext>
          </c:extLst>
        </c:ser>
        <c:ser>
          <c:idx val="1"/>
          <c:order val="1"/>
          <c:tx>
            <c:strRef>
              <c:f>'ValonPWR 6 (rango corto)'!$P$2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corto)'!$P$3:$P$7</c:f>
              <c:numCache>
                <c:formatCode>General</c:formatCode>
                <c:ptCount val="5"/>
                <c:pt idx="0">
                  <c:v>4.0897447487373544</c:v>
                </c:pt>
                <c:pt idx="1">
                  <c:v>6.5804733105904516</c:v>
                </c:pt>
                <c:pt idx="2">
                  <c:v>9.9171034667234466</c:v>
                </c:pt>
                <c:pt idx="3">
                  <c:v>14.562908774162558</c:v>
                </c:pt>
                <c:pt idx="4">
                  <c:v>20.114452196849655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F-4A5A-ADC3-0F5189E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good)'!$I$3:$I$7</c:f>
              <c:numCache>
                <c:formatCode>General</c:formatCode>
                <c:ptCount val="5"/>
                <c:pt idx="0">
                  <c:v>-2.5527250510330606</c:v>
                </c:pt>
                <c:pt idx="1">
                  <c:v>1.9804583494373165</c:v>
                </c:pt>
                <c:pt idx="2">
                  <c:v>4.2957285654110642</c:v>
                </c:pt>
                <c:pt idx="3">
                  <c:v>6.0805035501714979</c:v>
                </c:pt>
                <c:pt idx="4">
                  <c:v>7.4559521642792088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9-4CC1-86A9-90A9D0AAD1AC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good)'!$L$3:$L$7</c:f>
              <c:numCache>
                <c:formatCode>General</c:formatCode>
                <c:ptCount val="5"/>
                <c:pt idx="0">
                  <c:v>6.1871104717536411</c:v>
                </c:pt>
                <c:pt idx="1">
                  <c:v>8.1871104717536411</c:v>
                </c:pt>
                <c:pt idx="2">
                  <c:v>10.087110471753647</c:v>
                </c:pt>
                <c:pt idx="3">
                  <c:v>11.687110471753641</c:v>
                </c:pt>
                <c:pt idx="4">
                  <c:v>13.087110471753647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9-4CC1-86A9-90A9D0AA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E6C90E-4FB5-4798-8FFF-639A9D83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EE20B-EBE1-4658-A556-39BE7A6B7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0D5D57-F844-4B5B-A33D-5A7B7BCF1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631A03-B573-4258-8595-4FA71C6D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C4E32-B848-448E-9DE0-235346E1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6AD8BE-0CAD-45EA-97A0-D80B63B1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30B2F1-F1FB-4252-91F7-8B7EB29B7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E6B9DC-9A60-42E2-9068-703C3F16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C45F6-434D-49D0-9D33-DF1FC606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2C0A46-7CF2-4C3C-A75B-CF4DA19A0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B84EC9-EC2F-4A25-B5C9-E715DC8B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E14100-8F78-415B-AB8D-C32D5C745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17</xdr:row>
      <xdr:rowOff>0</xdr:rowOff>
    </xdr:from>
    <xdr:to>
      <xdr:col>22</xdr:col>
      <xdr:colOff>693420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C27A04-26AD-4360-A4A2-C79D0B1C6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16</xdr:row>
      <xdr:rowOff>179070</xdr:rowOff>
    </xdr:from>
    <xdr:to>
      <xdr:col>28</xdr:col>
      <xdr:colOff>609600</xdr:colOff>
      <xdr:row>31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A55576-E47E-4830-AF57-226B8E8A5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32</xdr:row>
      <xdr:rowOff>140970</xdr:rowOff>
    </xdr:from>
    <xdr:to>
      <xdr:col>22</xdr:col>
      <xdr:colOff>693420</xdr:colOff>
      <xdr:row>47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80F0F0-0A2F-450E-9F21-EB69B800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32</xdr:row>
      <xdr:rowOff>121920</xdr:rowOff>
    </xdr:from>
    <xdr:to>
      <xdr:col>29</xdr:col>
      <xdr:colOff>434340</xdr:colOff>
      <xdr:row>47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D8B4C9-E663-498C-A51D-2FE0A102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EC11F-CEBA-4070-A032-3733242E4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112019-09F1-46FD-B662-403CAED43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3EAFC1-C35D-4E2F-A161-6571F5F7B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650EDF-59C0-4E39-9571-E495E8C9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0DE8EC-E593-4CE5-AA0D-A3E03FD50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AE4967-2B27-465F-8C29-6D9BCDA63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791306</xdr:colOff>
      <xdr:row>32</xdr:row>
      <xdr:rowOff>14654</xdr:rowOff>
    </xdr:from>
    <xdr:to>
      <xdr:col>22</xdr:col>
      <xdr:colOff>693419</xdr:colOff>
      <xdr:row>47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D35060-153B-40AD-A3FC-5030EC933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293</xdr:colOff>
      <xdr:row>31</xdr:row>
      <xdr:rowOff>180535</xdr:rowOff>
    </xdr:from>
    <xdr:to>
      <xdr:col>29</xdr:col>
      <xdr:colOff>427013</xdr:colOff>
      <xdr:row>46</xdr:row>
      <xdr:rowOff>180535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106186-13FA-46FB-ADE5-43DD7E82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783102</xdr:colOff>
      <xdr:row>48</xdr:row>
      <xdr:rowOff>1464</xdr:rowOff>
    </xdr:from>
    <xdr:to>
      <xdr:col>23</xdr:col>
      <xdr:colOff>337038</xdr:colOff>
      <xdr:row>63</xdr:row>
      <xdr:rowOff>153865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94C1E9-E5C1-4C21-A7AD-B3ED57690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B2EE-6F1B-47A6-BF19-43ADB6BF65C6}">
  <dimension ref="B2:AB22"/>
  <sheetViews>
    <sheetView zoomScaleNormal="100" workbookViewId="0">
      <selection activeCell="D8" sqref="D8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0.02</v>
      </c>
      <c r="C3" s="2">
        <v>-2.8E-3</v>
      </c>
      <c r="D3" s="2">
        <f>C3*1000</f>
        <v>-2.8</v>
      </c>
      <c r="E3" s="2">
        <f>D3/$U$2</f>
        <v>3.1111111111111109E-3</v>
      </c>
      <c r="F3" s="2">
        <f>100*E3</f>
        <v>0.31111111111111112</v>
      </c>
      <c r="G3" s="2">
        <f>10*LOG10(F3)</f>
        <v>-5.0708447809710568</v>
      </c>
      <c r="I3" s="2">
        <f t="shared" ref="I3:I14" si="0">G3+H3</f>
        <v>-5.0708447809710568</v>
      </c>
      <c r="J3" s="2">
        <v>-65</v>
      </c>
      <c r="K3">
        <f>J3+$U$10</f>
        <v>-16.670222341278418</v>
      </c>
      <c r="L3">
        <f>K3-$U$8+$U$12+$U$13</f>
        <v>-0.67022234127841784</v>
      </c>
      <c r="M3">
        <f>(10^(L3/10))</f>
        <v>0.8569939694685621</v>
      </c>
      <c r="N3">
        <f t="shared" ref="N3:N14" si="1">$Y$6*F3+$Y$7</f>
        <v>1.236862506785676</v>
      </c>
      <c r="O3">
        <f t="shared" ref="O3:O14" si="2">(M3-($Y$6*F3+$Y$7))^2/M3</f>
        <v>0.16837937113247919</v>
      </c>
      <c r="P3">
        <f>$AB$6*F3^2+$AB$7*F3+$AB$8</f>
        <v>0.88688403720318165</v>
      </c>
      <c r="Q3">
        <f>L3-$U$14-$U$13+$U$8</f>
        <v>-26.670222341278418</v>
      </c>
      <c r="R3">
        <f>(M3-($AB$6*F3^2+$AB$7*F3+$AB$8))^2/M3</f>
        <v>1.0424999253310602E-3</v>
      </c>
      <c r="T3" t="s">
        <v>6</v>
      </c>
      <c r="U3">
        <v>0.755</v>
      </c>
      <c r="V3" t="s">
        <v>14</v>
      </c>
      <c r="X3" t="s">
        <v>31</v>
      </c>
      <c r="AA3" t="s">
        <v>36</v>
      </c>
    </row>
    <row r="4" spans="2:28" x14ac:dyDescent="0.3">
      <c r="B4" s="2">
        <v>0.25</v>
      </c>
      <c r="C4" s="5">
        <v>-5.7499999999999999E-3</v>
      </c>
      <c r="D4" s="2">
        <f t="shared" ref="D4:D14" si="3">C4*1000</f>
        <v>-5.75</v>
      </c>
      <c r="E4" s="2">
        <f t="shared" ref="E4:E14" si="4">D4/$U$2</f>
        <v>6.3888888888888893E-3</v>
      </c>
      <c r="F4" s="2">
        <f t="shared" ref="F4:F14" si="5">100*E4</f>
        <v>0.63888888888888895</v>
      </c>
      <c r="G4" s="2">
        <f t="shared" ref="G4:G14" si="6">10*LOG10(F4)</f>
        <v>-1.9457466474969434</v>
      </c>
      <c r="I4" s="2">
        <f t="shared" si="0"/>
        <v>-1.9457466474969434</v>
      </c>
      <c r="J4" s="5">
        <v>-62.2</v>
      </c>
      <c r="K4">
        <f t="shared" ref="K4:K14" si="7">J4+$U$10</f>
        <v>-13.870222341278421</v>
      </c>
      <c r="L4">
        <f t="shared" ref="L4:L14" si="8">K4-$U$8+$U$12+$U$13</f>
        <v>2.1297776587215793</v>
      </c>
      <c r="M4">
        <f t="shared" ref="M4:M14" si="9">(10^(L4/10))</f>
        <v>1.6329683443537386</v>
      </c>
      <c r="N4">
        <f t="shared" si="1"/>
        <v>2.5399855050062992</v>
      </c>
      <c r="O4">
        <f t="shared" si="2"/>
        <v>0.50379429127501896</v>
      </c>
      <c r="P4">
        <f t="shared" ref="P4:P14" si="10">$AB$6*F4^2+$AB$7*F4+$AB$8</f>
        <v>1.5859644036122029</v>
      </c>
      <c r="Q4">
        <f t="shared" ref="Q4:Q14" si="11">L4-$U$14-$U$13+$U$8</f>
        <v>-23.870222341278421</v>
      </c>
      <c r="R4">
        <f t="shared" ref="R4:R13" si="12">(M4-($AB$6*F4^2+$AB$7*F4+$AB$8))^2/M4</f>
        <v>1.3529781228601686E-3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0.5</v>
      </c>
      <c r="C5" s="2">
        <v>-1.11E-2</v>
      </c>
      <c r="D5" s="2">
        <f t="shared" si="3"/>
        <v>-11.1</v>
      </c>
      <c r="E5" s="2">
        <f t="shared" si="4"/>
        <v>1.2333333333333333E-2</v>
      </c>
      <c r="F5" s="2">
        <f t="shared" si="5"/>
        <v>1.2333333333333334</v>
      </c>
      <c r="G5" s="2">
        <f t="shared" si="6"/>
        <v>0.91080469347332582</v>
      </c>
      <c r="I5" s="2">
        <f t="shared" si="0"/>
        <v>0.91080469347332582</v>
      </c>
      <c r="J5" s="2">
        <v>-59.7</v>
      </c>
      <c r="K5">
        <f t="shared" si="7"/>
        <v>-11.370222341278421</v>
      </c>
      <c r="L5">
        <f t="shared" si="8"/>
        <v>4.6297776587215793</v>
      </c>
      <c r="M5">
        <f t="shared" si="9"/>
        <v>2.9038739840096026</v>
      </c>
      <c r="N5">
        <f t="shared" si="1"/>
        <v>4.9032763661860734</v>
      </c>
      <c r="O5">
        <f t="shared" si="2"/>
        <v>1.3766471643969682</v>
      </c>
      <c r="P5">
        <f t="shared" si="10"/>
        <v>2.9248794592614624</v>
      </c>
      <c r="Q5">
        <f t="shared" si="11"/>
        <v>-21.370222341278421</v>
      </c>
      <c r="R5">
        <f t="shared" si="12"/>
        <v>1.5194529548670516E-4</v>
      </c>
      <c r="T5" t="s">
        <v>20</v>
      </c>
      <c r="U5" s="3">
        <v>299750000</v>
      </c>
      <c r="V5" t="s">
        <v>21</v>
      </c>
    </row>
    <row r="6" spans="2:28" x14ac:dyDescent="0.3">
      <c r="B6" s="2">
        <v>1</v>
      </c>
      <c r="C6" s="2">
        <v>-2.5499999999999998E-2</v>
      </c>
      <c r="D6" s="2">
        <f t="shared" si="3"/>
        <v>-25.5</v>
      </c>
      <c r="E6" s="2">
        <f t="shared" si="4"/>
        <v>2.8333333333333332E-2</v>
      </c>
      <c r="F6" s="2">
        <f t="shared" si="5"/>
        <v>2.833333333333333</v>
      </c>
      <c r="G6" s="2">
        <f t="shared" si="6"/>
        <v>4.5229767099463025</v>
      </c>
      <c r="I6" s="2">
        <f t="shared" si="0"/>
        <v>4.5229767099463025</v>
      </c>
      <c r="J6" s="2">
        <v>-55.8</v>
      </c>
      <c r="K6">
        <f t="shared" si="7"/>
        <v>-7.470222341278415</v>
      </c>
      <c r="L6">
        <f t="shared" si="8"/>
        <v>8.529777658721585</v>
      </c>
      <c r="M6">
        <f t="shared" si="9"/>
        <v>7.1281653585741909</v>
      </c>
      <c r="N6">
        <f t="shared" si="1"/>
        <v>11.264283543940977</v>
      </c>
      <c r="O6">
        <f t="shared" si="2"/>
        <v>2.3999827140294832</v>
      </c>
      <c r="P6">
        <f t="shared" si="10"/>
        <v>6.9840057880927517</v>
      </c>
      <c r="Q6">
        <f t="shared" si="11"/>
        <v>-17.470222341278415</v>
      </c>
      <c r="R6">
        <f t="shared" si="12"/>
        <v>2.9154741389935887E-3</v>
      </c>
      <c r="X6" t="s">
        <v>29</v>
      </c>
      <c r="Y6">
        <v>3.9756294860968158</v>
      </c>
      <c r="AA6" t="s">
        <v>39</v>
      </c>
      <c r="AB6">
        <v>0.12967905785568756</v>
      </c>
    </row>
    <row r="7" spans="2:28" x14ac:dyDescent="0.3">
      <c r="B7" s="2">
        <v>1.5</v>
      </c>
      <c r="C7" s="2">
        <v>-4.6899999999999997E-2</v>
      </c>
      <c r="D7" s="2">
        <f t="shared" si="3"/>
        <v>-46.9</v>
      </c>
      <c r="E7" s="2">
        <f t="shared" si="4"/>
        <v>5.2111111111111108E-2</v>
      </c>
      <c r="F7" s="2">
        <f t="shared" si="5"/>
        <v>5.2111111111111104</v>
      </c>
      <c r="G7" s="2">
        <f t="shared" si="6"/>
        <v>7.1693033327575826</v>
      </c>
      <c r="I7" s="2">
        <f t="shared" si="0"/>
        <v>7.1693033327575826</v>
      </c>
      <c r="J7" s="2">
        <v>-52.8</v>
      </c>
      <c r="K7">
        <f t="shared" si="7"/>
        <v>-4.470222341278415</v>
      </c>
      <c r="L7">
        <f t="shared" si="8"/>
        <v>11.529777658721585</v>
      </c>
      <c r="M7">
        <f t="shared" si="9"/>
        <v>14.222559714829718</v>
      </c>
      <c r="N7">
        <f t="shared" si="1"/>
        <v>20.717446988660072</v>
      </c>
      <c r="O7">
        <f t="shared" si="2"/>
        <v>2.9659612295935114</v>
      </c>
      <c r="P7">
        <f t="shared" si="10"/>
        <v>14.242858277444181</v>
      </c>
      <c r="Q7">
        <f t="shared" si="11"/>
        <v>-14.470222341278415</v>
      </c>
      <c r="R7">
        <f t="shared" si="12"/>
        <v>2.8970287520303934E-5</v>
      </c>
      <c r="T7" t="s">
        <v>8</v>
      </c>
      <c r="U7">
        <v>25.2</v>
      </c>
      <c r="V7" t="s">
        <v>15</v>
      </c>
      <c r="X7" t="s">
        <v>30</v>
      </c>
      <c r="Y7">
        <v>0</v>
      </c>
      <c r="AA7" t="s">
        <v>38</v>
      </c>
      <c r="AB7">
        <v>2.0095924535730934</v>
      </c>
    </row>
    <row r="8" spans="2:28" x14ac:dyDescent="0.3">
      <c r="B8" s="2">
        <v>2</v>
      </c>
      <c r="C8" s="2">
        <v>-7.3400000000000007E-2</v>
      </c>
      <c r="D8" s="2">
        <f t="shared" si="3"/>
        <v>-73.400000000000006</v>
      </c>
      <c r="E8" s="2">
        <f t="shared" si="4"/>
        <v>8.1555555555555562E-2</v>
      </c>
      <c r="F8" s="2">
        <f t="shared" si="5"/>
        <v>8.1555555555555568</v>
      </c>
      <c r="G8" s="2">
        <f t="shared" si="6"/>
        <v>9.1145355047674563</v>
      </c>
      <c r="I8" s="2">
        <f t="shared" si="0"/>
        <v>9.1145355047674563</v>
      </c>
      <c r="J8" s="2">
        <v>-50.3</v>
      </c>
      <c r="K8">
        <f t="shared" si="7"/>
        <v>-1.970222341278415</v>
      </c>
      <c r="L8">
        <f t="shared" si="8"/>
        <v>14.029777658721585</v>
      </c>
      <c r="M8">
        <f t="shared" si="9"/>
        <v>25.291685098930735</v>
      </c>
      <c r="N8">
        <f t="shared" si="1"/>
        <v>32.423467142167368</v>
      </c>
      <c r="O8">
        <f t="shared" si="2"/>
        <v>2.0110291154298299</v>
      </c>
      <c r="P8">
        <f t="shared" si="10"/>
        <v>25.263823125200012</v>
      </c>
      <c r="Q8">
        <f t="shared" si="11"/>
        <v>-11.970222341278415</v>
      </c>
      <c r="R8">
        <f t="shared" si="12"/>
        <v>3.0693470092440979E-5</v>
      </c>
      <c r="T8" t="s">
        <v>9</v>
      </c>
      <c r="U8">
        <v>6.5</v>
      </c>
      <c r="V8" t="s">
        <v>15</v>
      </c>
      <c r="AA8" t="s">
        <v>37</v>
      </c>
      <c r="AB8">
        <v>0.2491258440719403</v>
      </c>
    </row>
    <row r="9" spans="2:28" x14ac:dyDescent="0.3">
      <c r="B9" s="2">
        <v>2.5</v>
      </c>
      <c r="C9" s="2">
        <v>-0.10299999999999999</v>
      </c>
      <c r="D9" s="2">
        <f t="shared" si="3"/>
        <v>-103</v>
      </c>
      <c r="E9" s="2">
        <f t="shared" si="4"/>
        <v>0.11444444444444445</v>
      </c>
      <c r="F9" s="2">
        <f t="shared" si="5"/>
        <v>11.444444444444445</v>
      </c>
      <c r="G9" s="2">
        <f t="shared" si="6"/>
        <v>10.585947152658473</v>
      </c>
      <c r="I9" s="2">
        <f t="shared" si="0"/>
        <v>10.585947152658473</v>
      </c>
      <c r="J9" s="2">
        <v>-48.3</v>
      </c>
      <c r="K9">
        <f t="shared" si="7"/>
        <v>2.9777658721584999E-2</v>
      </c>
      <c r="L9">
        <f t="shared" si="8"/>
        <v>16.029777658721585</v>
      </c>
      <c r="M9">
        <f t="shared" si="9"/>
        <v>40.084619539165502</v>
      </c>
      <c r="N9">
        <f t="shared" si="1"/>
        <v>45.498870785330226</v>
      </c>
      <c r="O9">
        <f t="shared" si="2"/>
        <v>0.73130584482545258</v>
      </c>
      <c r="P9">
        <f t="shared" si="10"/>
        <v>40.232549662013263</v>
      </c>
      <c r="Q9">
        <f t="shared" si="11"/>
        <v>-9.970222341278415</v>
      </c>
      <c r="R9">
        <f t="shared" si="12"/>
        <v>5.4592812648183184E-4</v>
      </c>
      <c r="T9" t="s">
        <v>7</v>
      </c>
      <c r="U9" s="4">
        <f>20*LOG10($U$3*$U$4*4*PI()/$U$5)</f>
        <v>73.529777658721585</v>
      </c>
      <c r="V9" t="s">
        <v>15</v>
      </c>
    </row>
    <row r="10" spans="2:28" x14ac:dyDescent="0.3">
      <c r="B10" s="2">
        <v>3</v>
      </c>
      <c r="C10" s="2">
        <v>-0.13100000000000001</v>
      </c>
      <c r="D10" s="2">
        <f t="shared" si="3"/>
        <v>-131</v>
      </c>
      <c r="E10" s="2">
        <f t="shared" si="4"/>
        <v>0.14555555555555555</v>
      </c>
      <c r="F10" s="2">
        <f t="shared" si="5"/>
        <v>14.555555555555555</v>
      </c>
      <c r="G10" s="2">
        <f t="shared" si="6"/>
        <v>11.630287862164394</v>
      </c>
      <c r="I10" s="2">
        <f t="shared" si="0"/>
        <v>11.630287862164394</v>
      </c>
      <c r="J10" s="2">
        <v>-46.8</v>
      </c>
      <c r="K10">
        <f t="shared" si="7"/>
        <v>1.529777658721585</v>
      </c>
      <c r="L10">
        <f t="shared" si="8"/>
        <v>17.529777658721585</v>
      </c>
      <c r="M10">
        <f t="shared" si="9"/>
        <v>56.621030060990137</v>
      </c>
      <c r="N10">
        <f t="shared" si="1"/>
        <v>57.867495853186988</v>
      </c>
      <c r="O10">
        <f t="shared" si="2"/>
        <v>2.7439927699007917E-2</v>
      </c>
      <c r="P10">
        <f t="shared" si="10"/>
        <v>56.974209975234054</v>
      </c>
      <c r="Q10">
        <f t="shared" si="11"/>
        <v>-8.470222341278415</v>
      </c>
      <c r="R10">
        <f t="shared" si="12"/>
        <v>2.2029986330340391E-3</v>
      </c>
      <c r="T10" t="s">
        <v>16</v>
      </c>
      <c r="U10" s="4">
        <f>$U$9-$U$7</f>
        <v>48.329777658721582</v>
      </c>
      <c r="V10" t="s">
        <v>15</v>
      </c>
    </row>
    <row r="11" spans="2:28" x14ac:dyDescent="0.3">
      <c r="B11" s="2">
        <v>3.5</v>
      </c>
      <c r="C11" s="2">
        <v>-0.155</v>
      </c>
      <c r="D11" s="2">
        <f t="shared" si="3"/>
        <v>-155</v>
      </c>
      <c r="E11" s="2">
        <f t="shared" si="4"/>
        <v>0.17222222222222222</v>
      </c>
      <c r="F11" s="2">
        <f t="shared" si="5"/>
        <v>17.222222222222221</v>
      </c>
      <c r="G11" s="2">
        <f t="shared" si="6"/>
        <v>12.360891887309666</v>
      </c>
      <c r="I11" s="2">
        <f t="shared" si="0"/>
        <v>12.360891887309666</v>
      </c>
      <c r="J11" s="2">
        <v>-45.7</v>
      </c>
      <c r="K11">
        <f t="shared" si="7"/>
        <v>2.6297776587215793</v>
      </c>
      <c r="L11">
        <f t="shared" si="8"/>
        <v>18.629777658721579</v>
      </c>
      <c r="M11">
        <f t="shared" si="9"/>
        <v>72.942016592473934</v>
      </c>
      <c r="N11">
        <f t="shared" si="1"/>
        <v>68.469174482778485</v>
      </c>
      <c r="O11">
        <f t="shared" si="2"/>
        <v>0.27427698702162101</v>
      </c>
      <c r="P11">
        <f t="shared" si="10"/>
        <v>73.322222606014634</v>
      </c>
      <c r="Q11">
        <f t="shared" si="11"/>
        <v>-7.3702223412784207</v>
      </c>
      <c r="R11">
        <f t="shared" si="12"/>
        <v>1.9818017034015814E-3</v>
      </c>
    </row>
    <row r="12" spans="2:28" x14ac:dyDescent="0.3">
      <c r="B12" s="2">
        <v>4</v>
      </c>
      <c r="C12" s="2">
        <v>-0.17299999999999999</v>
      </c>
      <c r="D12" s="2">
        <f t="shared" si="3"/>
        <v>-173</v>
      </c>
      <c r="E12" s="2">
        <f t="shared" si="4"/>
        <v>0.19222222222222221</v>
      </c>
      <c r="F12" s="2">
        <f t="shared" si="5"/>
        <v>19.222222222222221</v>
      </c>
      <c r="G12" s="2">
        <f t="shared" si="6"/>
        <v>12.838035936894705</v>
      </c>
      <c r="I12" s="2">
        <f t="shared" si="0"/>
        <v>12.838035936894705</v>
      </c>
      <c r="J12" s="2">
        <v>-44.9</v>
      </c>
      <c r="K12">
        <f t="shared" si="7"/>
        <v>3.4297776587215836</v>
      </c>
      <c r="L12">
        <f t="shared" si="8"/>
        <v>19.429777658721584</v>
      </c>
      <c r="M12">
        <f t="shared" si="9"/>
        <v>87.695592338404708</v>
      </c>
      <c r="N12">
        <f t="shared" si="1"/>
        <v>76.420433454972127</v>
      </c>
      <c r="O12">
        <f t="shared" si="2"/>
        <v>1.4496647374941638</v>
      </c>
      <c r="P12">
        <f t="shared" si="10"/>
        <v>86.793569952419844</v>
      </c>
      <c r="Q12">
        <f t="shared" si="11"/>
        <v>-6.5702223412784164</v>
      </c>
      <c r="R12">
        <f t="shared" si="12"/>
        <v>9.2780533561834036E-3</v>
      </c>
      <c r="T12" t="s">
        <v>10</v>
      </c>
      <c r="U12">
        <v>22</v>
      </c>
      <c r="V12" t="s">
        <v>15</v>
      </c>
    </row>
    <row r="13" spans="2:28" x14ac:dyDescent="0.3">
      <c r="B13" s="2">
        <v>4.5</v>
      </c>
      <c r="C13" s="2">
        <v>-0.183</v>
      </c>
      <c r="D13" s="2">
        <f t="shared" si="3"/>
        <v>-183</v>
      </c>
      <c r="E13" s="2">
        <f t="shared" si="4"/>
        <v>0.20333333333333334</v>
      </c>
      <c r="F13" s="2">
        <f t="shared" si="5"/>
        <v>20.333333333333332</v>
      </c>
      <c r="G13" s="2">
        <f t="shared" si="6"/>
        <v>13.082085802911045</v>
      </c>
      <c r="I13" s="2">
        <f t="shared" si="0"/>
        <v>13.082085802911045</v>
      </c>
      <c r="J13" s="2">
        <v>-44.6</v>
      </c>
      <c r="K13">
        <f t="shared" si="7"/>
        <v>3.7297776587215807</v>
      </c>
      <c r="L13">
        <f t="shared" si="8"/>
        <v>19.729777658721581</v>
      </c>
      <c r="M13">
        <f t="shared" si="9"/>
        <v>93.967520174847664</v>
      </c>
      <c r="N13">
        <f t="shared" si="1"/>
        <v>80.837799550635253</v>
      </c>
      <c r="O13">
        <f t="shared" si="2"/>
        <v>1.8345654258950246</v>
      </c>
      <c r="P13">
        <f t="shared" si="10"/>
        <v>94.725925097948547</v>
      </c>
      <c r="Q13">
        <f t="shared" si="11"/>
        <v>-6.2702223412784193</v>
      </c>
      <c r="R13">
        <f t="shared" si="12"/>
        <v>6.1210301848277898E-3</v>
      </c>
      <c r="T13" t="s">
        <v>11</v>
      </c>
      <c r="U13">
        <v>0.5</v>
      </c>
      <c r="V13" t="s">
        <v>15</v>
      </c>
    </row>
    <row r="14" spans="2:28" x14ac:dyDescent="0.3">
      <c r="B14" s="2">
        <v>4.6399999999999997</v>
      </c>
      <c r="C14" s="2">
        <v>-0.184</v>
      </c>
      <c r="D14" s="2">
        <f t="shared" si="3"/>
        <v>-184</v>
      </c>
      <c r="E14" s="2">
        <f t="shared" si="4"/>
        <v>0.20444444444444446</v>
      </c>
      <c r="F14" s="2">
        <f t="shared" si="5"/>
        <v>20.444444444444446</v>
      </c>
      <c r="G14" s="2">
        <f t="shared" si="6"/>
        <v>13.105753135702116</v>
      </c>
      <c r="I14" s="2">
        <f t="shared" si="0"/>
        <v>13.105753135702116</v>
      </c>
      <c r="J14" s="2">
        <v>-44.5</v>
      </c>
      <c r="K14">
        <f t="shared" si="7"/>
        <v>3.8297776587215822</v>
      </c>
      <c r="L14">
        <f t="shared" si="8"/>
        <v>19.829777658721582</v>
      </c>
      <c r="M14">
        <f t="shared" si="9"/>
        <v>96.156304896922066</v>
      </c>
      <c r="N14">
        <f t="shared" si="1"/>
        <v>81.279536160201573</v>
      </c>
      <c r="O14">
        <f t="shared" si="2"/>
        <v>2.3016509243269452</v>
      </c>
      <c r="P14">
        <f t="shared" si="10"/>
        <v>95.536771348753447</v>
      </c>
      <c r="Q14">
        <f t="shared" si="11"/>
        <v>-6.1702223412784178</v>
      </c>
      <c r="R14">
        <f>(M14-($AB$6*F14^2+$AB$7*F14+$AB$8))^2/M14</f>
        <v>3.9916448299240348E-3</v>
      </c>
      <c r="T14" t="s">
        <v>41</v>
      </c>
      <c r="U14">
        <v>32</v>
      </c>
      <c r="V14" t="s">
        <v>15</v>
      </c>
    </row>
    <row r="15" spans="2:28" x14ac:dyDescent="0.3">
      <c r="O15">
        <f>SUM(O3:O14)</f>
        <v>16.044697733119509</v>
      </c>
      <c r="R15">
        <f>SUM(R3:R14)</f>
        <v>2.9644018074136948E-2</v>
      </c>
      <c r="T15" t="s">
        <v>22</v>
      </c>
      <c r="U15">
        <v>6</v>
      </c>
      <c r="V15" t="s">
        <v>15</v>
      </c>
    </row>
    <row r="17" spans="10:12" x14ac:dyDescent="0.3">
      <c r="J17" s="6" t="s">
        <v>44</v>
      </c>
    </row>
    <row r="18" spans="10:12" x14ac:dyDescent="0.3">
      <c r="J18" s="2">
        <v>-64</v>
      </c>
      <c r="K18">
        <f>J18+$U$10</f>
        <v>-15.670222341278418</v>
      </c>
      <c r="L18">
        <f>K18-$U$8+$U$14+$U$13</f>
        <v>10.329777658721582</v>
      </c>
    </row>
    <row r="19" spans="10:12" x14ac:dyDescent="0.3">
      <c r="J19" s="2" t="s">
        <v>45</v>
      </c>
    </row>
    <row r="20" spans="10:12" x14ac:dyDescent="0.3">
      <c r="J20" s="2">
        <v>300</v>
      </c>
    </row>
    <row r="21" spans="10:12" x14ac:dyDescent="0.3">
      <c r="J21" s="2" t="s">
        <v>47</v>
      </c>
    </row>
    <row r="22" spans="10:12" x14ac:dyDescent="0.3">
      <c r="J22" s="2">
        <v>920</v>
      </c>
      <c r="K22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B602-064B-4EC3-894D-E91717F047C4}">
  <dimension ref="B2:AB16"/>
  <sheetViews>
    <sheetView zoomScaleNormal="100" workbookViewId="0"/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-2.8500000000000001E-3</v>
      </c>
      <c r="D3" s="2">
        <f t="shared" ref="D3:D7" si="0">C3*1000</f>
        <v>-2.85</v>
      </c>
      <c r="E3" s="2">
        <f>D3/$U$2</f>
        <v>3.1666666666666666E-3</v>
      </c>
      <c r="F3" s="2">
        <f t="shared" ref="F3:F7" si="1">100*E3</f>
        <v>0.31666666666666665</v>
      </c>
      <c r="G3" s="2">
        <f t="shared" ref="G3:G7" si="2">10*LOG10(F3)</f>
        <v>-4.9939764943081473</v>
      </c>
      <c r="I3" s="2">
        <f t="shared" ref="I3:I7" si="3">G3+H3</f>
        <v>-4.9939764943081473</v>
      </c>
      <c r="J3">
        <v>-58.3</v>
      </c>
      <c r="K3">
        <f t="shared" ref="K3:K7" si="4">J3+$U$10</f>
        <v>-9.9128895282463532</v>
      </c>
      <c r="L3">
        <f t="shared" ref="L3:L7" si="5">K3-$U$8+$U$12+$U$13</f>
        <v>6.0871104717536468</v>
      </c>
      <c r="M3">
        <f t="shared" ref="M3:M7" si="6">(10^(L3/10))</f>
        <v>4.0617299672509084</v>
      </c>
      <c r="N3">
        <f t="shared" ref="N3:N7" si="7">$Y$6*F3+$Y$7</f>
        <v>3.8077221347696564</v>
      </c>
      <c r="O3">
        <f t="shared" ref="O3:O7" si="8">(M3-($Y$6*F3+$Y$7))^2/M3</f>
        <v>1.5884851893660647E-2</v>
      </c>
      <c r="P3">
        <f t="shared" ref="P3:P7" si="9">$AB$6*F3^2+$AB$7*F3+$AB$8</f>
        <v>4.0897447487373544</v>
      </c>
      <c r="Q3">
        <f t="shared" ref="Q3:Q7" si="10">L3-$U$14-$U$13+$U$8</f>
        <v>-19.912889528246353</v>
      </c>
      <c r="R3">
        <f t="shared" ref="R3:R7" si="11">(M3-($AB$6*F3^2+$AB$7*F3+$AB$8))^2/M3</f>
        <v>1.932250514094392E-4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-1.15E-2</v>
      </c>
      <c r="D4" s="2">
        <f t="shared" si="0"/>
        <v>-11.5</v>
      </c>
      <c r="E4" s="2">
        <f>D4/$U$2</f>
        <v>1.2777777777777779E-2</v>
      </c>
      <c r="F4" s="2">
        <f t="shared" si="1"/>
        <v>1.2777777777777779</v>
      </c>
      <c r="G4" s="2">
        <f t="shared" si="2"/>
        <v>1.0645533091428685</v>
      </c>
      <c r="I4" s="2">
        <f t="shared" si="3"/>
        <v>1.0645533091428685</v>
      </c>
      <c r="J4">
        <v>-56.2</v>
      </c>
      <c r="K4">
        <f t="shared" si="4"/>
        <v>-7.8128895282463589</v>
      </c>
      <c r="L4">
        <f t="shared" si="5"/>
        <v>8.1871104717536411</v>
      </c>
      <c r="M4">
        <f t="shared" si="6"/>
        <v>6.5873546736328725</v>
      </c>
      <c r="N4">
        <f t="shared" si="7"/>
        <v>6.8714916274150832</v>
      </c>
      <c r="O4">
        <f t="shared" si="8"/>
        <v>1.2255876980145977E-2</v>
      </c>
      <c r="P4">
        <f t="shared" si="9"/>
        <v>6.5804733105904516</v>
      </c>
      <c r="Q4">
        <f t="shared" si="10"/>
        <v>-17.812889528246359</v>
      </c>
      <c r="R4">
        <f t="shared" si="11"/>
        <v>7.1884936621276148E-6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-2.1600000000000001E-2</v>
      </c>
      <c r="D5" s="2">
        <f t="shared" si="0"/>
        <v>-21.6</v>
      </c>
      <c r="E5" s="2">
        <f>D5/$U$2</f>
        <v>2.4E-2</v>
      </c>
      <c r="F5" s="2">
        <f t="shared" si="1"/>
        <v>2.4</v>
      </c>
      <c r="G5" s="2">
        <f t="shared" si="2"/>
        <v>3.8021124171160601</v>
      </c>
      <c r="I5" s="2">
        <f t="shared" si="3"/>
        <v>3.8021124171160601</v>
      </c>
      <c r="J5">
        <v>-54.3</v>
      </c>
      <c r="K5">
        <f t="shared" si="4"/>
        <v>-5.9128895282463532</v>
      </c>
      <c r="L5">
        <f t="shared" si="5"/>
        <v>10.087110471753647</v>
      </c>
      <c r="M5">
        <f t="shared" si="6"/>
        <v>10.202604393193411</v>
      </c>
      <c r="N5">
        <f t="shared" si="7"/>
        <v>10.448840977209166</v>
      </c>
      <c r="O5">
        <f t="shared" si="8"/>
        <v>5.9428409620780965E-3</v>
      </c>
      <c r="P5">
        <f t="shared" si="9"/>
        <v>9.9171034667234466</v>
      </c>
      <c r="Q5">
        <f t="shared" si="10"/>
        <v>-15.912889528246353</v>
      </c>
      <c r="R5">
        <f t="shared" si="11"/>
        <v>7.9892129375894877E-3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-3.3799999999999997E-2</v>
      </c>
      <c r="D6" s="2">
        <f t="shared" si="0"/>
        <v>-33.799999999999997</v>
      </c>
      <c r="E6" s="2">
        <f>D6/$U$2</f>
        <v>3.755555555555555E-2</v>
      </c>
      <c r="F6" s="2">
        <f t="shared" si="1"/>
        <v>3.7555555555555551</v>
      </c>
      <c r="G6" s="2">
        <f t="shared" si="2"/>
        <v>5.7467419083832985</v>
      </c>
      <c r="I6" s="2">
        <f t="shared" si="3"/>
        <v>5.7467419083832985</v>
      </c>
      <c r="J6">
        <v>-52.9</v>
      </c>
      <c r="K6">
        <f t="shared" si="4"/>
        <v>-4.5128895282463546</v>
      </c>
      <c r="L6">
        <f t="shared" si="5"/>
        <v>11.487110471753645</v>
      </c>
      <c r="M6">
        <f t="shared" si="6"/>
        <v>14.083514562332443</v>
      </c>
      <c r="N6">
        <f t="shared" si="7"/>
        <v>14.76999563735647</v>
      </c>
      <c r="O6">
        <f t="shared" si="8"/>
        <v>3.3461552816266352E-2</v>
      </c>
      <c r="P6">
        <f t="shared" si="9"/>
        <v>14.562908774162558</v>
      </c>
      <c r="Q6">
        <f t="shared" si="10"/>
        <v>-14.512889528246355</v>
      </c>
      <c r="R6">
        <f t="shared" si="11"/>
        <v>1.6318285419385826E-2</v>
      </c>
      <c r="X6" t="s">
        <v>29</v>
      </c>
      <c r="Y6">
        <v>3.1877370443709641</v>
      </c>
      <c r="AA6" t="s">
        <v>39</v>
      </c>
      <c r="AB6">
        <v>0.18322814701085635</v>
      </c>
    </row>
    <row r="7" spans="2:28" x14ac:dyDescent="0.3">
      <c r="B7" s="2">
        <v>1.5</v>
      </c>
      <c r="C7">
        <v>-4.65E-2</v>
      </c>
      <c r="D7" s="2">
        <f t="shared" si="0"/>
        <v>-46.5</v>
      </c>
      <c r="E7" s="2">
        <f>D7/$U$2</f>
        <v>5.1666666666666666E-2</v>
      </c>
      <c r="F7" s="2">
        <f t="shared" si="1"/>
        <v>5.166666666666667</v>
      </c>
      <c r="G7" s="2">
        <f t="shared" si="2"/>
        <v>7.1321044345062914</v>
      </c>
      <c r="I7" s="2">
        <f t="shared" si="3"/>
        <v>7.1321044345062914</v>
      </c>
      <c r="J7">
        <v>-51.3</v>
      </c>
      <c r="K7">
        <f t="shared" si="4"/>
        <v>-2.9128895282463532</v>
      </c>
      <c r="L7">
        <f t="shared" si="5"/>
        <v>13.087110471753647</v>
      </c>
      <c r="M7">
        <f t="shared" si="6"/>
        <v>20.356872060274743</v>
      </c>
      <c r="N7">
        <f t="shared" si="7"/>
        <v>19.268246799968836</v>
      </c>
      <c r="O7">
        <f t="shared" si="8"/>
        <v>5.8216456529624094E-2</v>
      </c>
      <c r="P7">
        <f t="shared" si="9"/>
        <v>20.114452196849655</v>
      </c>
      <c r="Q7">
        <f t="shared" si="10"/>
        <v>-12.912889528246353</v>
      </c>
      <c r="R7">
        <f t="shared" si="11"/>
        <v>2.8868575687381456E-3</v>
      </c>
      <c r="T7" t="s">
        <v>8</v>
      </c>
      <c r="U7">
        <v>25.2</v>
      </c>
      <c r="V7" t="s">
        <v>15</v>
      </c>
      <c r="X7" t="s">
        <v>30</v>
      </c>
      <c r="Y7">
        <v>2.7982720707188511</v>
      </c>
      <c r="AA7" t="s">
        <v>38</v>
      </c>
      <c r="AB7">
        <v>2.2993623852538314</v>
      </c>
    </row>
    <row r="8" spans="2:28" x14ac:dyDescent="0.3">
      <c r="O8">
        <f>SUM(O3:O7)</f>
        <v>0.12576157918177516</v>
      </c>
      <c r="R8">
        <f>SUM(R3:R7)</f>
        <v>2.7394769470785028E-2</v>
      </c>
      <c r="T8" t="s">
        <v>9</v>
      </c>
      <c r="U8">
        <v>6.5</v>
      </c>
      <c r="V8" t="s">
        <v>15</v>
      </c>
      <c r="AA8" t="s">
        <v>37</v>
      </c>
      <c r="AB8">
        <v>3.3432396153317194</v>
      </c>
    </row>
    <row r="9" spans="2:28" x14ac:dyDescent="0.3"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C10" t="s">
        <v>58</v>
      </c>
      <c r="D10" t="s">
        <v>52</v>
      </c>
      <c r="E10" t="s">
        <v>49</v>
      </c>
      <c r="F10" t="s">
        <v>51</v>
      </c>
      <c r="G10" t="s">
        <v>50</v>
      </c>
      <c r="H10" t="s">
        <v>53</v>
      </c>
      <c r="J10" s="6" t="s">
        <v>54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C11">
        <v>0.5</v>
      </c>
      <c r="D11">
        <v>0.2</v>
      </c>
      <c r="E11">
        <v>-2.8500000000000001E-3</v>
      </c>
      <c r="F11">
        <v>0.85499999999999998</v>
      </c>
      <c r="G11">
        <f>-F11/E11</f>
        <v>300</v>
      </c>
      <c r="H11">
        <v>-58.3</v>
      </c>
      <c r="J11" s="2">
        <v>-53.6</v>
      </c>
      <c r="K11">
        <f>J11+$U$10</f>
        <v>-5.2128895282463574</v>
      </c>
      <c r="L11">
        <f>K11-$U$8+$U$12+$U$13</f>
        <v>10.787110471753643</v>
      </c>
    </row>
    <row r="12" spans="2:28" x14ac:dyDescent="0.3">
      <c r="C12">
        <v>0.75</v>
      </c>
      <c r="D12">
        <v>0.3</v>
      </c>
      <c r="E12">
        <v>-1.15E-2</v>
      </c>
      <c r="F12">
        <v>1.29</v>
      </c>
      <c r="G12">
        <f>-F12/E12</f>
        <v>112.17391304347827</v>
      </c>
      <c r="H12">
        <v>-56.2</v>
      </c>
      <c r="J12" s="6" t="s">
        <v>44</v>
      </c>
      <c r="T12" t="s">
        <v>10</v>
      </c>
      <c r="U12">
        <v>22</v>
      </c>
      <c r="V12" t="s">
        <v>15</v>
      </c>
    </row>
    <row r="13" spans="2:28" x14ac:dyDescent="0.3">
      <c r="C13">
        <v>1</v>
      </c>
      <c r="D13">
        <v>0.47</v>
      </c>
      <c r="E13">
        <v>-2.1600000000000001E-2</v>
      </c>
      <c r="F13">
        <v>1.81</v>
      </c>
      <c r="G13">
        <f>-F13/E13</f>
        <v>83.796296296296291</v>
      </c>
      <c r="H13">
        <v>-54.3</v>
      </c>
      <c r="J13" s="2">
        <v>-63.6</v>
      </c>
      <c r="K13">
        <f>J13+$U$10</f>
        <v>-15.212889528246357</v>
      </c>
      <c r="L13">
        <f>K13-$U$8+$U$14+$U$13</f>
        <v>10.787110471753643</v>
      </c>
      <c r="T13" t="s">
        <v>11</v>
      </c>
      <c r="U13">
        <v>0.5</v>
      </c>
      <c r="V13" t="s">
        <v>15</v>
      </c>
    </row>
    <row r="14" spans="2:28" x14ac:dyDescent="0.3">
      <c r="C14">
        <v>1.25</v>
      </c>
      <c r="D14">
        <v>0.67</v>
      </c>
      <c r="E14">
        <v>-3.3799999999999997E-2</v>
      </c>
      <c r="F14">
        <v>2.41</v>
      </c>
      <c r="G14">
        <f>-F14/E14</f>
        <v>71.301775147929007</v>
      </c>
      <c r="H14">
        <v>-52.9</v>
      </c>
      <c r="K14" s="2"/>
      <c r="L14" s="2"/>
      <c r="T14" t="s">
        <v>41</v>
      </c>
      <c r="U14">
        <v>32</v>
      </c>
      <c r="V14" t="s">
        <v>15</v>
      </c>
    </row>
    <row r="15" spans="2:28" x14ac:dyDescent="0.3">
      <c r="C15">
        <v>1.5</v>
      </c>
      <c r="D15">
        <v>0.89</v>
      </c>
      <c r="E15">
        <v>-4.65E-2</v>
      </c>
      <c r="F15">
        <v>3.1</v>
      </c>
      <c r="G15">
        <f>-F15/E15</f>
        <v>66.666666666666671</v>
      </c>
      <c r="H15">
        <v>-51.3</v>
      </c>
      <c r="J15" s="2" t="s">
        <v>56</v>
      </c>
      <c r="K15" t="s">
        <v>55</v>
      </c>
      <c r="L15" t="s">
        <v>57</v>
      </c>
      <c r="T15" t="s">
        <v>22</v>
      </c>
      <c r="U15">
        <v>6</v>
      </c>
      <c r="V15" t="s">
        <v>15</v>
      </c>
    </row>
    <row r="16" spans="2:28" x14ac:dyDescent="0.3">
      <c r="J16" s="2">
        <v>1.125</v>
      </c>
      <c r="K16">
        <v>0.89</v>
      </c>
      <c r="L16">
        <v>-28.5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E596-85AF-43F6-8655-6F97BEB6285E}">
  <dimension ref="B2:AB24"/>
  <sheetViews>
    <sheetView zoomScaleNormal="100" workbookViewId="0">
      <selection activeCell="H29" sqref="H29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-5.0000000000000001E-3</v>
      </c>
      <c r="D3" s="2">
        <f t="shared" ref="D3:D7" si="0">C3*1000</f>
        <v>-5</v>
      </c>
      <c r="E3" s="2">
        <f>D3/$U$2</f>
        <v>5.5555555555555558E-3</v>
      </c>
      <c r="F3" s="2">
        <f t="shared" ref="F3:F7" si="1">100*E3</f>
        <v>0.55555555555555558</v>
      </c>
      <c r="G3" s="2">
        <f t="shared" ref="G3:G7" si="2">10*LOG10(F3)</f>
        <v>-2.5527250510330606</v>
      </c>
      <c r="I3" s="2">
        <f t="shared" ref="I3:I7" si="3">G3+H3</f>
        <v>-2.5527250510330606</v>
      </c>
      <c r="J3">
        <v>-58.2</v>
      </c>
      <c r="K3">
        <f t="shared" ref="K3:K7" si="4">J3+$U$10</f>
        <v>-9.8128895282463589</v>
      </c>
      <c r="L3">
        <f t="shared" ref="L3:L7" si="5">K3-$U$8+$U$12+$U$13</f>
        <v>6.1871104717536411</v>
      </c>
      <c r="M3">
        <f t="shared" ref="M3:M7" si="6">(10^(L3/10))</f>
        <v>4.1563398120245862</v>
      </c>
      <c r="N3">
        <f t="shared" ref="N3:N7" si="7">$Y$6*F3+$Y$7</f>
        <v>3.828116435403695</v>
      </c>
      <c r="O3">
        <f t="shared" ref="O3:O7" si="8">(M3-($Y$6*F3+$Y$7))^2/M3</f>
        <v>2.5919580648518493E-2</v>
      </c>
      <c r="P3">
        <f t="shared" ref="P3:P7" si="9">$AB$6*F3^2+$AB$7*F3+$AB$8</f>
        <v>4.1025163297696539</v>
      </c>
      <c r="Q3">
        <f t="shared" ref="Q3:Q7" si="10">L3-$U$14-$U$13+$U$8</f>
        <v>-19.812889528246359</v>
      </c>
      <c r="R3">
        <f t="shared" ref="R3:R7" si="11">(M3-($AB$6*F3^2+$AB$7*F3+$AB$8))^2/M3</f>
        <v>6.9699961337758994E-4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-1.4200000000000001E-2</v>
      </c>
      <c r="D4" s="2">
        <f t="shared" si="0"/>
        <v>-14.200000000000001</v>
      </c>
      <c r="E4" s="2">
        <f>D4/$U$2</f>
        <v>1.5777777777777779E-2</v>
      </c>
      <c r="F4" s="2">
        <f t="shared" si="1"/>
        <v>1.5777777777777779</v>
      </c>
      <c r="G4" s="2">
        <f t="shared" si="2"/>
        <v>1.9804583494373165</v>
      </c>
      <c r="I4" s="2">
        <f t="shared" si="3"/>
        <v>1.9804583494373165</v>
      </c>
      <c r="J4">
        <v>-56.2</v>
      </c>
      <c r="K4">
        <f t="shared" si="4"/>
        <v>-7.8128895282463589</v>
      </c>
      <c r="L4">
        <f t="shared" si="5"/>
        <v>8.1871104717536411</v>
      </c>
      <c r="M4">
        <f t="shared" si="6"/>
        <v>6.5873546736328725</v>
      </c>
      <c r="N4">
        <f t="shared" si="7"/>
        <v>7.0535597578466458</v>
      </c>
      <c r="O4">
        <f t="shared" si="8"/>
        <v>3.299460729156492E-2</v>
      </c>
      <c r="P4">
        <f t="shared" si="9"/>
        <v>6.7745103010957246</v>
      </c>
      <c r="Q4">
        <f t="shared" si="10"/>
        <v>-17.812889528246359</v>
      </c>
      <c r="R4">
        <f t="shared" si="11"/>
        <v>5.3173437026576018E-3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-2.4199999999999999E-2</v>
      </c>
      <c r="D5" s="2">
        <f t="shared" si="0"/>
        <v>-24.2</v>
      </c>
      <c r="E5" s="2">
        <f>D5/$U$2</f>
        <v>2.6888888888888889E-2</v>
      </c>
      <c r="F5" s="2">
        <f t="shared" si="1"/>
        <v>2.6888888888888891</v>
      </c>
      <c r="G5" s="2">
        <f t="shared" si="2"/>
        <v>4.2957285654110642</v>
      </c>
      <c r="I5" s="2">
        <f t="shared" si="3"/>
        <v>4.2957285654110642</v>
      </c>
      <c r="J5">
        <v>-54.3</v>
      </c>
      <c r="K5">
        <f t="shared" si="4"/>
        <v>-5.9128895282463532</v>
      </c>
      <c r="L5">
        <f t="shared" si="5"/>
        <v>10.087110471753647</v>
      </c>
      <c r="M5">
        <f t="shared" si="6"/>
        <v>10.202604393193411</v>
      </c>
      <c r="N5">
        <f t="shared" si="7"/>
        <v>10.559476412675942</v>
      </c>
      <c r="O5">
        <f t="shared" si="8"/>
        <v>1.2482855688740139E-2</v>
      </c>
      <c r="P5">
        <f t="shared" si="9"/>
        <v>10.063332605089499</v>
      </c>
      <c r="Q5">
        <f t="shared" si="10"/>
        <v>-15.912889528246353</v>
      </c>
      <c r="R5">
        <f t="shared" si="11"/>
        <v>1.9011450620001721E-3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-3.6499999999999998E-2</v>
      </c>
      <c r="D6" s="2">
        <f t="shared" si="0"/>
        <v>-36.5</v>
      </c>
      <c r="E6" s="2">
        <f>D6/$U$2</f>
        <v>4.0555555555555553E-2</v>
      </c>
      <c r="F6" s="2">
        <f t="shared" si="1"/>
        <v>4.0555555555555554</v>
      </c>
      <c r="G6" s="2">
        <f t="shared" si="2"/>
        <v>6.0805035501714979</v>
      </c>
      <c r="I6" s="2">
        <f t="shared" si="3"/>
        <v>6.0805035501714979</v>
      </c>
      <c r="J6">
        <v>-52.7</v>
      </c>
      <c r="K6">
        <f t="shared" si="4"/>
        <v>-4.3128895282463589</v>
      </c>
      <c r="L6">
        <f t="shared" si="5"/>
        <v>11.687110471753641</v>
      </c>
      <c r="M6">
        <f t="shared" si="6"/>
        <v>14.747250155108855</v>
      </c>
      <c r="N6">
        <f t="shared" si="7"/>
        <v>14.871753898115969</v>
      </c>
      <c r="O6">
        <f t="shared" si="8"/>
        <v>1.0511235558997775E-3</v>
      </c>
      <c r="P6">
        <f t="shared" si="9"/>
        <v>14.657851236615222</v>
      </c>
      <c r="Q6">
        <f t="shared" si="10"/>
        <v>-14.312889528246359</v>
      </c>
      <c r="R6">
        <f t="shared" si="11"/>
        <v>5.4194283976815932E-4</v>
      </c>
      <c r="X6" t="s">
        <v>29</v>
      </c>
      <c r="Y6">
        <v>3.1553249893463646</v>
      </c>
      <c r="AA6" t="s">
        <v>39</v>
      </c>
      <c r="AB6">
        <v>0.16220293487434526</v>
      </c>
    </row>
    <row r="7" spans="2:28" x14ac:dyDescent="0.3">
      <c r="B7" s="2">
        <v>1.5</v>
      </c>
      <c r="C7">
        <v>-5.0099999999999999E-2</v>
      </c>
      <c r="D7" s="2">
        <f t="shared" si="0"/>
        <v>-50.1</v>
      </c>
      <c r="E7" s="2">
        <f>D7/$U$2</f>
        <v>5.566666666666667E-2</v>
      </c>
      <c r="F7" s="2">
        <f t="shared" si="1"/>
        <v>5.5666666666666673</v>
      </c>
      <c r="G7" s="2">
        <f t="shared" si="2"/>
        <v>7.4559521642792088</v>
      </c>
      <c r="I7" s="2">
        <f t="shared" si="3"/>
        <v>7.4559521642792088</v>
      </c>
      <c r="J7">
        <v>-51.3</v>
      </c>
      <c r="K7">
        <f t="shared" si="4"/>
        <v>-2.9128895282463532</v>
      </c>
      <c r="L7">
        <f t="shared" si="5"/>
        <v>13.087110471753647</v>
      </c>
      <c r="M7">
        <f t="shared" si="6"/>
        <v>20.356872060274743</v>
      </c>
      <c r="N7">
        <f t="shared" si="7"/>
        <v>19.639800548683812</v>
      </c>
      <c r="O7">
        <f t="shared" si="8"/>
        <v>2.5258868416170713E-2</v>
      </c>
      <c r="P7">
        <f t="shared" si="9"/>
        <v>20.443331889415042</v>
      </c>
      <c r="Q7">
        <f t="shared" si="10"/>
        <v>-12.912889528246353</v>
      </c>
      <c r="R7">
        <f t="shared" si="11"/>
        <v>3.6721270501853482E-4</v>
      </c>
      <c r="T7" t="s">
        <v>8</v>
      </c>
      <c r="U7">
        <v>25.2</v>
      </c>
      <c r="V7" t="s">
        <v>15</v>
      </c>
      <c r="X7" t="s">
        <v>30</v>
      </c>
      <c r="Y7">
        <v>2.075158107989048</v>
      </c>
      <c r="AA7" t="s">
        <v>38</v>
      </c>
      <c r="AB7">
        <v>2.2678742181305229</v>
      </c>
    </row>
    <row r="8" spans="2:28" x14ac:dyDescent="0.3">
      <c r="O8">
        <f>SUM(O3:O7)</f>
        <v>9.770703560089404E-2</v>
      </c>
      <c r="R8">
        <f>SUM(R3:R7)</f>
        <v>8.8246439228220584E-3</v>
      </c>
      <c r="T8" t="s">
        <v>9</v>
      </c>
      <c r="U8">
        <v>6.5</v>
      </c>
      <c r="V8" t="s">
        <v>15</v>
      </c>
      <c r="AA8" t="s">
        <v>37</v>
      </c>
      <c r="AB8">
        <v>2.7925235743655534</v>
      </c>
    </row>
    <row r="9" spans="2:28" x14ac:dyDescent="0.3"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C10" t="s">
        <v>58</v>
      </c>
      <c r="D10" t="s">
        <v>52</v>
      </c>
      <c r="E10" t="s">
        <v>49</v>
      </c>
      <c r="F10" t="s">
        <v>51</v>
      </c>
      <c r="G10" t="s">
        <v>50</v>
      </c>
      <c r="H10" t="s">
        <v>53</v>
      </c>
      <c r="J10" s="6" t="s">
        <v>54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C11">
        <v>0.5</v>
      </c>
      <c r="D11">
        <v>0.48</v>
      </c>
      <c r="E11">
        <v>-5.0000000000000001E-3</v>
      </c>
      <c r="F11">
        <v>0.88300000000000001</v>
      </c>
      <c r="G11">
        <f>-F11/E11</f>
        <v>176.6</v>
      </c>
      <c r="H11">
        <v>-58.2</v>
      </c>
      <c r="J11" s="2">
        <v>-53.6</v>
      </c>
      <c r="K11">
        <f>J11+$U$10</f>
        <v>-5.2128895282463574</v>
      </c>
      <c r="L11">
        <f>K11-$U$8+$U$12+$U$13</f>
        <v>10.787110471753643</v>
      </c>
    </row>
    <row r="12" spans="2:28" x14ac:dyDescent="0.3">
      <c r="C12">
        <v>0.75</v>
      </c>
      <c r="D12">
        <v>0.751</v>
      </c>
      <c r="E12">
        <v>-1.4200000000000001E-2</v>
      </c>
      <c r="F12">
        <v>1.31</v>
      </c>
      <c r="G12">
        <f>-F12/E12</f>
        <v>92.25352112676056</v>
      </c>
      <c r="H12">
        <v>-56.2</v>
      </c>
      <c r="J12" s="6" t="s">
        <v>44</v>
      </c>
      <c r="T12" t="s">
        <v>10</v>
      </c>
      <c r="U12">
        <v>22</v>
      </c>
      <c r="V12" t="s">
        <v>15</v>
      </c>
    </row>
    <row r="13" spans="2:28" x14ac:dyDescent="0.3">
      <c r="C13">
        <v>1</v>
      </c>
      <c r="D13">
        <v>0.98799999999999999</v>
      </c>
      <c r="E13">
        <v>-2.4199999999999999E-2</v>
      </c>
      <c r="F13">
        <v>1.84</v>
      </c>
      <c r="G13">
        <f>-F13/E13</f>
        <v>76.033057851239676</v>
      </c>
      <c r="H13">
        <v>-54.3</v>
      </c>
      <c r="J13" s="2">
        <v>-63.6</v>
      </c>
      <c r="K13">
        <f>J13+$U$10</f>
        <v>-15.212889528246357</v>
      </c>
      <c r="L13">
        <f>K13-$U$8+$U$14+$U$13</f>
        <v>10.787110471753643</v>
      </c>
      <c r="T13" t="s">
        <v>11</v>
      </c>
      <c r="U13">
        <v>0.5</v>
      </c>
      <c r="V13" t="s">
        <v>15</v>
      </c>
    </row>
    <row r="14" spans="2:28" x14ac:dyDescent="0.3">
      <c r="C14">
        <v>1.25</v>
      </c>
      <c r="D14">
        <v>1.25</v>
      </c>
      <c r="E14">
        <v>-3.6499999999999998E-2</v>
      </c>
      <c r="F14">
        <v>2.46</v>
      </c>
      <c r="G14">
        <f>-F14/E14</f>
        <v>67.397260273972606</v>
      </c>
      <c r="H14">
        <v>-52.7</v>
      </c>
      <c r="K14" s="2"/>
      <c r="L14" s="2"/>
      <c r="T14" t="s">
        <v>41</v>
      </c>
      <c r="U14">
        <v>32</v>
      </c>
      <c r="V14" t="s">
        <v>15</v>
      </c>
    </row>
    <row r="15" spans="2:28" x14ac:dyDescent="0.3">
      <c r="C15">
        <v>1.5</v>
      </c>
      <c r="D15">
        <v>1.49</v>
      </c>
      <c r="E15">
        <v>-5.0099999999999999E-2</v>
      </c>
      <c r="F15">
        <v>3.14</v>
      </c>
      <c r="G15">
        <f>-F15/E15</f>
        <v>62.674650698602797</v>
      </c>
      <c r="H15">
        <v>-51.3</v>
      </c>
      <c r="J15" s="2" t="s">
        <v>56</v>
      </c>
      <c r="K15" t="s">
        <v>55</v>
      </c>
      <c r="L15" t="s">
        <v>57</v>
      </c>
      <c r="T15" t="s">
        <v>22</v>
      </c>
      <c r="U15">
        <v>6</v>
      </c>
      <c r="V15" t="s">
        <v>15</v>
      </c>
    </row>
    <row r="16" spans="2:28" x14ac:dyDescent="0.3">
      <c r="J16" s="2">
        <v>1.125</v>
      </c>
      <c r="K16">
        <v>1.1200000000000001</v>
      </c>
      <c r="L16">
        <v>-31</v>
      </c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8FF-9E7B-416F-8F8C-3BF866B77E75}">
  <dimension ref="B2:AB19"/>
  <sheetViews>
    <sheetView zoomScaleNormal="100" workbookViewId="0"/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-4.7999999999999996E-3</v>
      </c>
      <c r="D3" s="2">
        <f t="shared" ref="D3:D7" si="0">C3*1000</f>
        <v>-4.8</v>
      </c>
      <c r="E3" s="2">
        <f t="shared" ref="E3:E8" si="1">D3/$U$2</f>
        <v>5.3333333333333332E-3</v>
      </c>
      <c r="F3" s="2">
        <f t="shared" ref="F3:F7" si="2">100*E3</f>
        <v>0.53333333333333333</v>
      </c>
      <c r="G3" s="2">
        <f t="shared" ref="G3:G7" si="3">10*LOG10(F3)</f>
        <v>-2.7300127206373763</v>
      </c>
      <c r="I3" s="2">
        <f t="shared" ref="I3:I7" si="4">G3+H3</f>
        <v>-2.7300127206373763</v>
      </c>
      <c r="J3">
        <v>-72</v>
      </c>
      <c r="K3">
        <f t="shared" ref="K3:K7" si="5">J3+$U$11</f>
        <v>-23.612889528246356</v>
      </c>
      <c r="L3">
        <f t="shared" ref="L3:L7" si="6">K3-$U$9+$U$13+$U$14</f>
        <v>3.387110471753644</v>
      </c>
      <c r="M3">
        <f t="shared" ref="M3:M7" si="7">(10^(L3/10))</f>
        <v>2.1812781406836419</v>
      </c>
      <c r="N3">
        <f t="shared" ref="N3:N7" si="8">$Y$6*F3+$Y$7</f>
        <v>3.7579981023071092</v>
      </c>
      <c r="O3">
        <f t="shared" ref="O3:O7" si="9">(M3-($Y$6*F3+$Y$7))^2/M3</f>
        <v>1.1397197775991776</v>
      </c>
      <c r="P3">
        <f t="shared" ref="P3:P8" si="10">$AB$6*F3^2+$AB$7*F3+$AB$9</f>
        <v>4.0481942143994241</v>
      </c>
      <c r="Q3">
        <f t="shared" ref="Q3:Q7" si="11">L3-$U$15-$U$14+$U$9</f>
        <v>9.387110471753644</v>
      </c>
      <c r="R3">
        <f t="shared" ref="R3:R8" si="12">(M3-($AB$6*F3^2+$AB$7*F3+$AB$9))^2/M3</f>
        <v>1.5978593290289831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-1.35E-2</v>
      </c>
      <c r="D4" s="2">
        <f t="shared" si="0"/>
        <v>-13.5</v>
      </c>
      <c r="E4" s="2">
        <f t="shared" si="1"/>
        <v>1.4999999999999999E-2</v>
      </c>
      <c r="F4" s="2">
        <f t="shared" si="2"/>
        <v>1.5</v>
      </c>
      <c r="G4" s="2">
        <f t="shared" si="3"/>
        <v>1.7609125905568124</v>
      </c>
      <c r="I4" s="2">
        <f t="shared" si="4"/>
        <v>1.7609125905568124</v>
      </c>
      <c r="J4">
        <v>-70</v>
      </c>
      <c r="K4">
        <f t="shared" si="5"/>
        <v>-21.612889528246356</v>
      </c>
      <c r="L4">
        <f t="shared" si="6"/>
        <v>5.387110471753644</v>
      </c>
      <c r="M4">
        <f t="shared" si="7"/>
        <v>3.4570928760337392</v>
      </c>
      <c r="N4">
        <f t="shared" si="8"/>
        <v>6.8081455920085947</v>
      </c>
      <c r="O4">
        <f t="shared" si="9"/>
        <v>3.2482651487587231</v>
      </c>
      <c r="P4">
        <f t="shared" si="10"/>
        <v>6.5592915050286145</v>
      </c>
      <c r="Q4">
        <f t="shared" si="11"/>
        <v>11.387110471753644</v>
      </c>
      <c r="R4">
        <f t="shared" si="12"/>
        <v>2.7837367056157052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-2.4500000000000001E-2</v>
      </c>
      <c r="D5" s="2">
        <f t="shared" si="0"/>
        <v>-24.5</v>
      </c>
      <c r="E5" s="2">
        <f t="shared" si="1"/>
        <v>2.7222222222222221E-2</v>
      </c>
      <c r="F5" s="2">
        <f t="shared" si="2"/>
        <v>2.7222222222222219</v>
      </c>
      <c r="G5" s="2">
        <f t="shared" si="3"/>
        <v>4.3492357492520757</v>
      </c>
      <c r="I5" s="2">
        <f t="shared" si="4"/>
        <v>4.3492357492520757</v>
      </c>
      <c r="J5">
        <v>-68</v>
      </c>
      <c r="K5">
        <f t="shared" si="5"/>
        <v>-19.612889528246356</v>
      </c>
      <c r="L5">
        <f t="shared" si="6"/>
        <v>7.387110471753644</v>
      </c>
      <c r="M5">
        <f t="shared" si="7"/>
        <v>5.4791229649316859</v>
      </c>
      <c r="N5">
        <f t="shared" si="8"/>
        <v>10.664653912320816</v>
      </c>
      <c r="O5">
        <f t="shared" si="9"/>
        <v>4.9076706944586101</v>
      </c>
      <c r="P5">
        <f t="shared" si="10"/>
        <v>10.168185015798962</v>
      </c>
      <c r="Q5">
        <f t="shared" si="11"/>
        <v>13.387110471753644</v>
      </c>
      <c r="R5">
        <f t="shared" si="12"/>
        <v>4.0129237941199882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-3.6700000000000003E-2</v>
      </c>
      <c r="D6" s="2">
        <f t="shared" si="0"/>
        <v>-36.700000000000003</v>
      </c>
      <c r="E6" s="2">
        <f t="shared" si="1"/>
        <v>4.0777777777777781E-2</v>
      </c>
      <c r="F6" s="2">
        <f t="shared" si="2"/>
        <v>4.0777777777777784</v>
      </c>
      <c r="G6" s="2">
        <f t="shared" si="3"/>
        <v>6.1042355481276456</v>
      </c>
      <c r="I6" s="2">
        <f t="shared" si="4"/>
        <v>6.1042355481276456</v>
      </c>
      <c r="J6">
        <v>-66</v>
      </c>
      <c r="K6">
        <f t="shared" si="5"/>
        <v>-17.612889528246356</v>
      </c>
      <c r="L6">
        <f t="shared" si="6"/>
        <v>9.387110471753644</v>
      </c>
      <c r="M6">
        <f t="shared" si="7"/>
        <v>8.683824687777582</v>
      </c>
      <c r="N6">
        <f t="shared" si="8"/>
        <v>14.94187223121256</v>
      </c>
      <c r="O6">
        <f t="shared" si="9"/>
        <v>4.5098974776649294</v>
      </c>
      <c r="P6">
        <f t="shared" si="10"/>
        <v>14.737565120062083</v>
      </c>
      <c r="Q6">
        <f t="shared" si="11"/>
        <v>15.387110471753644</v>
      </c>
      <c r="R6">
        <f t="shared" si="12"/>
        <v>4.2202341179293503</v>
      </c>
      <c r="X6" t="s">
        <v>29</v>
      </c>
      <c r="Y6">
        <v>3.1553249893463646</v>
      </c>
      <c r="AA6" t="s">
        <v>39</v>
      </c>
      <c r="AB6">
        <v>0.16220293487434526</v>
      </c>
    </row>
    <row r="7" spans="2:28" x14ac:dyDescent="0.3">
      <c r="B7" s="2">
        <v>1.5</v>
      </c>
      <c r="C7">
        <v>-5.0200000000000002E-2</v>
      </c>
      <c r="D7" s="2">
        <f t="shared" si="0"/>
        <v>-50.2</v>
      </c>
      <c r="E7" s="2">
        <f t="shared" si="1"/>
        <v>5.577777777777778E-2</v>
      </c>
      <c r="F7" s="2">
        <f t="shared" si="2"/>
        <v>5.5777777777777784</v>
      </c>
      <c r="G7" s="2">
        <f t="shared" si="3"/>
        <v>7.4646120770569446</v>
      </c>
      <c r="I7" s="2">
        <f t="shared" si="4"/>
        <v>7.4646120770569446</v>
      </c>
      <c r="J7">
        <v>-64.900000000000006</v>
      </c>
      <c r="K7">
        <f t="shared" si="5"/>
        <v>-16.512889528246362</v>
      </c>
      <c r="L7">
        <f t="shared" si="6"/>
        <v>10.487110471753638</v>
      </c>
      <c r="M7">
        <f t="shared" si="7"/>
        <v>11.186933261011221</v>
      </c>
      <c r="N7">
        <f t="shared" si="8"/>
        <v>19.674859715232106</v>
      </c>
      <c r="O7">
        <f t="shared" si="9"/>
        <v>6.4400934385971622</v>
      </c>
      <c r="P7">
        <f t="shared" si="10"/>
        <v>20.488615620687966</v>
      </c>
      <c r="Q7">
        <f t="shared" si="11"/>
        <v>16.487110471753638</v>
      </c>
      <c r="R7">
        <f t="shared" si="12"/>
        <v>7.7341388119178438</v>
      </c>
      <c r="T7" t="s">
        <v>8</v>
      </c>
      <c r="U7">
        <v>25.2</v>
      </c>
      <c r="V7" t="s">
        <v>15</v>
      </c>
      <c r="X7" t="s">
        <v>30</v>
      </c>
      <c r="Y7">
        <v>2.075158107989048</v>
      </c>
      <c r="AA7" t="s">
        <v>38</v>
      </c>
      <c r="AB7">
        <v>2.2678742181305229</v>
      </c>
    </row>
    <row r="8" spans="2:28" x14ac:dyDescent="0.3">
      <c r="B8" s="2">
        <v>1.6</v>
      </c>
      <c r="C8">
        <v>-5.9499999999999997E-2</v>
      </c>
      <c r="D8" s="2">
        <f t="shared" ref="D8" si="13">C8*1000</f>
        <v>-59.5</v>
      </c>
      <c r="E8" s="2">
        <f t="shared" si="1"/>
        <v>6.6111111111111107E-2</v>
      </c>
      <c r="F8" s="2">
        <f t="shared" ref="F8" si="14">100*E8</f>
        <v>6.6111111111111107</v>
      </c>
      <c r="G8" s="2">
        <f t="shared" ref="G8" si="15">10*LOG10(F8)</f>
        <v>8.2027445628922475</v>
      </c>
      <c r="I8" s="2">
        <f t="shared" ref="I8" si="16">G8+H8</f>
        <v>8.2027445628922475</v>
      </c>
      <c r="J8">
        <v>-64</v>
      </c>
      <c r="K8">
        <f t="shared" ref="K8" si="17">J8+$U$11</f>
        <v>-15.612889528246356</v>
      </c>
      <c r="L8">
        <f t="shared" ref="L8" si="18">K8-$U$9+$U$13+$U$14</f>
        <v>11.387110471753644</v>
      </c>
      <c r="M8">
        <f t="shared" ref="M8" si="19">(10^(L8/10))</f>
        <v>13.762934632184441</v>
      </c>
      <c r="N8">
        <f t="shared" ref="N8" si="20">$Y$6*F8+$Y$7</f>
        <v>22.935362204223345</v>
      </c>
      <c r="O8">
        <f t="shared" ref="O8" si="21">(M8-($Y$6*F8+$Y$7))^2/M8</f>
        <v>6.1130441880872262</v>
      </c>
      <c r="P8">
        <f t="shared" si="10"/>
        <v>24.875061648412412</v>
      </c>
      <c r="Q8">
        <f t="shared" ref="Q8" si="22">L8-$U$15-$U$14+$U$9</f>
        <v>17.387110471753644</v>
      </c>
      <c r="R8">
        <f t="shared" si="12"/>
        <v>8.9718777371817691</v>
      </c>
    </row>
    <row r="9" spans="2:28" x14ac:dyDescent="0.3">
      <c r="O9">
        <f>SUM(O3:O7)</f>
        <v>20.245646537078603</v>
      </c>
      <c r="R9">
        <f>SUM(R3:R7)</f>
        <v>20.348892758611871</v>
      </c>
      <c r="T9" t="s">
        <v>9</v>
      </c>
      <c r="U9">
        <v>6.5</v>
      </c>
      <c r="V9" t="s">
        <v>15</v>
      </c>
      <c r="AA9" t="s">
        <v>37</v>
      </c>
      <c r="AB9">
        <v>2.7925235743655534</v>
      </c>
    </row>
    <row r="10" spans="2:28" x14ac:dyDescent="0.3">
      <c r="T10" t="s">
        <v>7</v>
      </c>
      <c r="U10" s="4">
        <f>20*LOG10($U$3*$U$4*4*PI()/$U$5)</f>
        <v>73.587110471753647</v>
      </c>
      <c r="V10" t="s">
        <v>15</v>
      </c>
    </row>
    <row r="11" spans="2:28" x14ac:dyDescent="0.3">
      <c r="C11" t="s">
        <v>58</v>
      </c>
      <c r="D11" t="s">
        <v>52</v>
      </c>
      <c r="E11" t="s">
        <v>49</v>
      </c>
      <c r="F11" t="s">
        <v>51</v>
      </c>
      <c r="G11" t="s">
        <v>50</v>
      </c>
      <c r="H11" t="s">
        <v>53</v>
      </c>
      <c r="J11" s="6" t="s">
        <v>44</v>
      </c>
      <c r="T11" t="s">
        <v>16</v>
      </c>
      <c r="U11" s="4">
        <f>$U$10-$U$7</f>
        <v>48.387110471753644</v>
      </c>
      <c r="V11" t="s">
        <v>15</v>
      </c>
    </row>
    <row r="12" spans="2:28" x14ac:dyDescent="0.3">
      <c r="C12">
        <v>0.5</v>
      </c>
      <c r="D12">
        <v>0.48499999999999999</v>
      </c>
      <c r="E12">
        <v>-4.7999999999999996E-3</v>
      </c>
      <c r="F12">
        <v>0.88300000000000001</v>
      </c>
      <c r="G12">
        <f t="shared" ref="G12:G17" si="23">-F12/E12</f>
        <v>183.95833333333334</v>
      </c>
      <c r="H12">
        <v>-72</v>
      </c>
      <c r="J12" s="2">
        <v>-64</v>
      </c>
      <c r="K12">
        <f>J12+$U$11</f>
        <v>-15.612889528246356</v>
      </c>
      <c r="L12">
        <f>K12-$U$9+$U$13+$U$14</f>
        <v>11.387110471753644</v>
      </c>
    </row>
    <row r="13" spans="2:28" x14ac:dyDescent="0.3">
      <c r="C13">
        <v>0.75</v>
      </c>
      <c r="D13">
        <v>0.752</v>
      </c>
      <c r="E13">
        <v>-1.35E-2</v>
      </c>
      <c r="F13">
        <v>1.3</v>
      </c>
      <c r="G13">
        <f t="shared" si="23"/>
        <v>96.296296296296305</v>
      </c>
      <c r="H13">
        <v>-70</v>
      </c>
      <c r="J13" s="6"/>
      <c r="T13" t="s">
        <v>10</v>
      </c>
      <c r="U13">
        <v>33</v>
      </c>
      <c r="V13" t="s">
        <v>15</v>
      </c>
    </row>
    <row r="14" spans="2:28" x14ac:dyDescent="0.3">
      <c r="C14">
        <v>1</v>
      </c>
      <c r="D14">
        <v>0.99</v>
      </c>
      <c r="E14">
        <v>-2.4500000000000001E-2</v>
      </c>
      <c r="F14">
        <v>1.83</v>
      </c>
      <c r="G14">
        <f t="shared" si="23"/>
        <v>74.693877551020407</v>
      </c>
      <c r="H14">
        <v>-68</v>
      </c>
      <c r="J14" s="2" t="s">
        <v>56</v>
      </c>
      <c r="K14" t="s">
        <v>55</v>
      </c>
      <c r="L14" t="s">
        <v>57</v>
      </c>
      <c r="T14" t="s">
        <v>11</v>
      </c>
      <c r="U14">
        <v>0.5</v>
      </c>
      <c r="V14" t="s">
        <v>15</v>
      </c>
    </row>
    <row r="15" spans="2:28" x14ac:dyDescent="0.3">
      <c r="C15">
        <v>1.25</v>
      </c>
      <c r="D15">
        <v>1.24</v>
      </c>
      <c r="E15">
        <v>-3.6700000000000003E-2</v>
      </c>
      <c r="F15">
        <v>2.44</v>
      </c>
      <c r="G15">
        <f t="shared" si="23"/>
        <v>66.48501362397819</v>
      </c>
      <c r="H15">
        <v>-66</v>
      </c>
      <c r="J15" s="2">
        <v>1.6</v>
      </c>
      <c r="K15">
        <v>1.58</v>
      </c>
      <c r="L15">
        <v>59.5</v>
      </c>
    </row>
    <row r="16" spans="2:28" x14ac:dyDescent="0.3">
      <c r="C16">
        <v>1.5</v>
      </c>
      <c r="D16">
        <v>1.49</v>
      </c>
      <c r="E16">
        <v>-5.0200000000000002E-2</v>
      </c>
      <c r="F16">
        <v>3.1</v>
      </c>
      <c r="G16">
        <f t="shared" si="23"/>
        <v>61.752988047808763</v>
      </c>
      <c r="H16">
        <v>-64.900000000000006</v>
      </c>
      <c r="T16" t="s">
        <v>22</v>
      </c>
      <c r="U16">
        <v>6</v>
      </c>
      <c r="V16" t="s">
        <v>15</v>
      </c>
    </row>
    <row r="17" spans="3:8" x14ac:dyDescent="0.3">
      <c r="C17">
        <v>1.6</v>
      </c>
      <c r="D17">
        <v>1.58</v>
      </c>
      <c r="E17">
        <v>-5.9499999999999997E-2</v>
      </c>
      <c r="F17">
        <v>3.37</v>
      </c>
      <c r="G17">
        <f t="shared" si="23"/>
        <v>56.638655462184879</v>
      </c>
      <c r="H17">
        <v>-64</v>
      </c>
    </row>
    <row r="18" spans="3:8" x14ac:dyDescent="0.3">
      <c r="C18"/>
      <c r="D18"/>
      <c r="E18"/>
      <c r="F18"/>
      <c r="G18"/>
      <c r="H18"/>
    </row>
    <row r="19" spans="3:8" x14ac:dyDescent="0.3">
      <c r="C19" t="s">
        <v>59</v>
      </c>
      <c r="D19"/>
      <c r="E19"/>
      <c r="F19"/>
      <c r="G19"/>
      <c r="H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D2CE-9556-4EFF-A8E2-8C95580E13BA}">
  <dimension ref="B2:AB24"/>
  <sheetViews>
    <sheetView topLeftCell="B1" zoomScaleNormal="100" workbookViewId="0">
      <selection activeCell="H25" sqref="H25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 s="2">
        <v>-5.0999999999999995E-3</v>
      </c>
      <c r="D3" s="2">
        <f t="shared" ref="D3:D7" si="0">C3*1000</f>
        <v>-5.0999999999999996</v>
      </c>
      <c r="E3" s="2">
        <f>D3/$U$2</f>
        <v>5.6666666666666662E-3</v>
      </c>
      <c r="F3" s="2">
        <f t="shared" ref="F3:F7" si="1">100*E3</f>
        <v>0.56666666666666665</v>
      </c>
      <c r="G3" s="2">
        <f t="shared" ref="G3:G7" si="2">10*LOG10(F3)</f>
        <v>-2.4667233334138854</v>
      </c>
      <c r="I3" s="2">
        <f t="shared" ref="I3:I7" si="3">G3+H3</f>
        <v>-2.4667233334138854</v>
      </c>
      <c r="J3">
        <v>-72</v>
      </c>
      <c r="K3">
        <f t="shared" ref="K3:K7" si="4">J3+$U$10</f>
        <v>-23.612889528246356</v>
      </c>
      <c r="L3">
        <f t="shared" ref="L3:L7" si="5">K3-$U$8+$U$12+$U$13</f>
        <v>3.387110471753644</v>
      </c>
      <c r="M3">
        <f t="shared" ref="M3:M7" si="6">(10^(L3/10))</f>
        <v>2.1812781406836419</v>
      </c>
      <c r="N3">
        <f t="shared" ref="N3:N7" si="7">$Y$6*F3+$Y$7</f>
        <v>2.0803637283646337</v>
      </c>
      <c r="O3">
        <f t="shared" ref="O3:O7" si="8">(M3-($Y$6*F3+$Y$7))^2/M3</f>
        <v>4.6686932875507035E-3</v>
      </c>
      <c r="P3">
        <f t="shared" ref="P3:P7" si="9">$AB$6*F3^2+$AB$7*F3+$AB$8</f>
        <v>2.2441877444404916</v>
      </c>
      <c r="Q3">
        <f t="shared" ref="Q3:Q7" si="10">L3-$U$14-$U$13+$U$8</f>
        <v>9.387110471753644</v>
      </c>
      <c r="R3">
        <f t="shared" ref="R3:R7" si="11">(M3-($AB$6*F3^2+$AB$7*F3+$AB$8))^2/M3</f>
        <v>1.8143574498956246E-3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 s="2">
        <v>-1.1800000000000001E-2</v>
      </c>
      <c r="D4" s="2">
        <f t="shared" si="0"/>
        <v>-11.8</v>
      </c>
      <c r="E4" s="2">
        <f>D4/$U$2</f>
        <v>1.3111111111111112E-2</v>
      </c>
      <c r="F4" s="2">
        <f t="shared" si="1"/>
        <v>1.3111111111111111</v>
      </c>
      <c r="G4" s="2">
        <f t="shared" si="2"/>
        <v>1.1763949786680052</v>
      </c>
      <c r="I4" s="2">
        <f t="shared" si="3"/>
        <v>1.1763949786680052</v>
      </c>
      <c r="J4">
        <v>-70</v>
      </c>
      <c r="K4">
        <f t="shared" si="4"/>
        <v>-21.612889528246356</v>
      </c>
      <c r="L4">
        <f t="shared" si="5"/>
        <v>5.387110471753644</v>
      </c>
      <c r="M4">
        <f t="shared" si="6"/>
        <v>3.4570928760337392</v>
      </c>
      <c r="N4">
        <f t="shared" si="7"/>
        <v>3.5279526627718871</v>
      </c>
      <c r="O4">
        <f t="shared" si="8"/>
        <v>1.4524080077178718E-3</v>
      </c>
      <c r="P4">
        <f t="shared" si="9"/>
        <v>3.2842188280003928</v>
      </c>
      <c r="Q4">
        <f t="shared" si="10"/>
        <v>11.387110471753644</v>
      </c>
      <c r="R4">
        <f t="shared" si="11"/>
        <v>8.6446727221638243E-3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 s="2">
        <v>-2.07E-2</v>
      </c>
      <c r="D5" s="2">
        <f t="shared" si="0"/>
        <v>-20.7</v>
      </c>
      <c r="E5" s="2">
        <f>D5/$U$2</f>
        <v>2.3E-2</v>
      </c>
      <c r="F5" s="2">
        <f t="shared" si="1"/>
        <v>2.2999999999999998</v>
      </c>
      <c r="G5" s="2">
        <f t="shared" si="2"/>
        <v>3.6172783601759284</v>
      </c>
      <c r="I5" s="2">
        <f t="shared" si="3"/>
        <v>3.6172783601759284</v>
      </c>
      <c r="J5">
        <v>-68.5</v>
      </c>
      <c r="K5">
        <f t="shared" si="4"/>
        <v>-20.112889528246356</v>
      </c>
      <c r="L5">
        <f t="shared" si="5"/>
        <v>6.887110471753644</v>
      </c>
      <c r="M5">
        <f t="shared" si="6"/>
        <v>4.8832734826455129</v>
      </c>
      <c r="N5">
        <f t="shared" si="7"/>
        <v>5.4508693069845071</v>
      </c>
      <c r="O5">
        <f t="shared" si="8"/>
        <v>6.5973167579492092E-2</v>
      </c>
      <c r="P5">
        <f t="shared" si="9"/>
        <v>4.9143350215554804</v>
      </c>
      <c r="Q5">
        <f t="shared" si="10"/>
        <v>12.887110471753644</v>
      </c>
      <c r="R5">
        <f t="shared" si="11"/>
        <v>1.9757631901720505E-4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 s="2">
        <v>-3.0699999999999998E-2</v>
      </c>
      <c r="D6" s="2">
        <f t="shared" si="0"/>
        <v>-30.7</v>
      </c>
      <c r="E6" s="2">
        <f>D6/$U$2</f>
        <v>3.4111111111111113E-2</v>
      </c>
      <c r="F6" s="2">
        <f t="shared" si="1"/>
        <v>3.4111111111111114</v>
      </c>
      <c r="G6" s="2">
        <f t="shared" si="2"/>
        <v>5.3289586603786168</v>
      </c>
      <c r="I6" s="2">
        <f t="shared" si="3"/>
        <v>5.3289586603786168</v>
      </c>
      <c r="J6">
        <v>-67</v>
      </c>
      <c r="K6">
        <f t="shared" si="4"/>
        <v>-18.612889528246356</v>
      </c>
      <c r="L6">
        <f t="shared" si="5"/>
        <v>8.387110471753644</v>
      </c>
      <c r="M6">
        <f t="shared" si="6"/>
        <v>6.8978071348975005</v>
      </c>
      <c r="N6">
        <f t="shared" si="7"/>
        <v>7.6114498060998121</v>
      </c>
      <c r="O6">
        <f t="shared" si="8"/>
        <v>7.3833009853839365E-2</v>
      </c>
      <c r="P6">
        <f t="shared" si="9"/>
        <v>7.0843162473909507</v>
      </c>
      <c r="Q6">
        <f t="shared" si="10"/>
        <v>14.387110471753644</v>
      </c>
      <c r="R6">
        <f t="shared" si="11"/>
        <v>5.0430011107597235E-3</v>
      </c>
      <c r="X6" t="s">
        <v>29</v>
      </c>
      <c r="Y6">
        <v>1.9445224492037734</v>
      </c>
      <c r="AA6" t="s">
        <v>39</v>
      </c>
      <c r="AB6">
        <v>0.14502428448080892</v>
      </c>
    </row>
    <row r="7" spans="2:28" x14ac:dyDescent="0.3">
      <c r="B7" s="2">
        <v>1.5</v>
      </c>
      <c r="C7" s="2">
        <v>-4.24E-2</v>
      </c>
      <c r="D7" s="2">
        <f t="shared" si="0"/>
        <v>-42.4</v>
      </c>
      <c r="E7" s="2">
        <f>D7/$U$2</f>
        <v>4.7111111111111111E-2</v>
      </c>
      <c r="F7" s="2">
        <f t="shared" si="1"/>
        <v>4.7111111111111112</v>
      </c>
      <c r="G7" s="2">
        <f t="shared" si="2"/>
        <v>6.7312334715340771</v>
      </c>
      <c r="I7" s="2">
        <f t="shared" si="3"/>
        <v>6.7312334715340771</v>
      </c>
      <c r="J7">
        <v>-65.3</v>
      </c>
      <c r="K7">
        <f t="shared" si="4"/>
        <v>-16.912889528246353</v>
      </c>
      <c r="L7">
        <f t="shared" si="5"/>
        <v>10.087110471753647</v>
      </c>
      <c r="M7">
        <f t="shared" si="6"/>
        <v>10.202604393193411</v>
      </c>
      <c r="N7">
        <f t="shared" si="7"/>
        <v>10.139328990064717</v>
      </c>
      <c r="O7">
        <f t="shared" si="8"/>
        <v>3.9242692226406636E-4</v>
      </c>
      <c r="P7">
        <f t="shared" si="9"/>
        <v>10.077764844418853</v>
      </c>
      <c r="Q7">
        <f t="shared" si="10"/>
        <v>16.087110471753647</v>
      </c>
      <c r="R7">
        <f t="shared" si="11"/>
        <v>1.5275426094765161E-3</v>
      </c>
      <c r="T7" t="s">
        <v>8</v>
      </c>
      <c r="U7">
        <v>25.2</v>
      </c>
      <c r="V7" t="s">
        <v>15</v>
      </c>
      <c r="X7" t="s">
        <v>30</v>
      </c>
      <c r="Y7">
        <v>0.97846767381582878</v>
      </c>
      <c r="AA7" t="s">
        <v>38</v>
      </c>
      <c r="AB7">
        <v>1.1247333007726361</v>
      </c>
    </row>
    <row r="8" spans="2:28" x14ac:dyDescent="0.3">
      <c r="B8" s="2">
        <v>1.75</v>
      </c>
      <c r="C8" s="2">
        <v>-5.3700000000000005E-2</v>
      </c>
      <c r="D8" s="2">
        <f t="shared" ref="D8:D11" si="12">C8*1000</f>
        <v>-53.7</v>
      </c>
      <c r="E8" s="2">
        <f t="shared" ref="E8:E10" si="13">D8/$U$2</f>
        <v>5.9666666666666666E-2</v>
      </c>
      <c r="F8" s="2">
        <f t="shared" ref="F8:F11" si="14">100*E8</f>
        <v>5.9666666666666668</v>
      </c>
      <c r="G8" s="2">
        <f t="shared" ref="G8:G11" si="15">10*LOG10(F8)</f>
        <v>7.7573177626023071</v>
      </c>
      <c r="I8" s="2">
        <f t="shared" ref="I8:I11" si="16">G8+H8</f>
        <v>7.7573177626023071</v>
      </c>
      <c r="J8">
        <v>-64</v>
      </c>
      <c r="K8">
        <f t="shared" ref="K8:K11" si="17">J8+$U$10</f>
        <v>-15.612889528246356</v>
      </c>
      <c r="L8">
        <f t="shared" ref="L8:L11" si="18">K8-$U$8+$U$12+$U$13</f>
        <v>11.387110471753644</v>
      </c>
      <c r="M8">
        <f t="shared" ref="M8:M11" si="19">(10^(L8/10))</f>
        <v>13.762934632184441</v>
      </c>
      <c r="N8">
        <f t="shared" ref="N8:N11" si="20">$Y$6*F8+$Y$7</f>
        <v>12.58078495406501</v>
      </c>
      <c r="O8">
        <f t="shared" ref="O8:O11" si="21">(M8-($Y$6*F8+$Y$7))^2/M8</f>
        <v>0.10153923555009062</v>
      </c>
      <c r="P8">
        <f t="shared" ref="P8:P11" si="22">$AB$6*F8^2+$AB$7*F8+$AB$8</f>
        <v>13.434204325095665</v>
      </c>
      <c r="Q8">
        <f t="shared" ref="Q8:Q11" si="23">L8-$U$14-$U$13+$U$8</f>
        <v>17.387110471753644</v>
      </c>
      <c r="R8">
        <f t="shared" ref="R8:R11" si="24">(M8-($AB$6*F8^2+$AB$7*F8+$AB$8))^2/M8</f>
        <v>7.8517858063479849E-3</v>
      </c>
      <c r="T8" t="s">
        <v>9</v>
      </c>
      <c r="U8">
        <v>6.5</v>
      </c>
      <c r="V8" t="s">
        <v>15</v>
      </c>
      <c r="AA8" t="s">
        <v>37</v>
      </c>
      <c r="AB8">
        <v>1.5602699648749383</v>
      </c>
    </row>
    <row r="9" spans="2:28" x14ac:dyDescent="0.3">
      <c r="B9" s="2">
        <v>2</v>
      </c>
      <c r="C9" s="2">
        <v>-6.720000000000001E-2</v>
      </c>
      <c r="D9" s="2">
        <f t="shared" si="12"/>
        <v>-67.2</v>
      </c>
      <c r="E9" s="2">
        <f t="shared" si="13"/>
        <v>7.4666666666666673E-2</v>
      </c>
      <c r="F9" s="2">
        <f t="shared" si="14"/>
        <v>7.4666666666666677</v>
      </c>
      <c r="G9" s="2">
        <f t="shared" si="15"/>
        <v>8.7312676361450041</v>
      </c>
      <c r="I9" s="2">
        <f t="shared" si="16"/>
        <v>8.7312676361450041</v>
      </c>
      <c r="J9">
        <v>-63</v>
      </c>
      <c r="K9">
        <f t="shared" si="17"/>
        <v>-14.612889528246356</v>
      </c>
      <c r="L9">
        <f t="shared" si="18"/>
        <v>12.387110471753644</v>
      </c>
      <c r="M9">
        <f t="shared" si="19"/>
        <v>17.326508149319</v>
      </c>
      <c r="N9">
        <f t="shared" si="20"/>
        <v>15.497568627870672</v>
      </c>
      <c r="O9">
        <f t="shared" si="21"/>
        <v>0.19305792859636939</v>
      </c>
      <c r="P9">
        <f t="shared" si="22"/>
        <v>18.043543608542922</v>
      </c>
      <c r="Q9">
        <f t="shared" si="23"/>
        <v>18.387110471753644</v>
      </c>
      <c r="R9">
        <f t="shared" si="24"/>
        <v>2.9673598705153324E-2</v>
      </c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B10" s="2">
        <v>2.25</v>
      </c>
      <c r="C10" s="2">
        <v>-8.3500000000000005E-2</v>
      </c>
      <c r="D10" s="2">
        <f t="shared" si="12"/>
        <v>-83.5</v>
      </c>
      <c r="E10" s="2">
        <f t="shared" si="13"/>
        <v>9.2777777777777778E-2</v>
      </c>
      <c r="F10" s="2">
        <f t="shared" si="14"/>
        <v>9.2777777777777786</v>
      </c>
      <c r="G10" s="2">
        <f t="shared" si="15"/>
        <v>9.674439660442772</v>
      </c>
      <c r="I10" s="2">
        <f t="shared" si="16"/>
        <v>9.674439660442772</v>
      </c>
      <c r="J10">
        <v>-62</v>
      </c>
      <c r="K10">
        <f t="shared" si="17"/>
        <v>-13.612889528246356</v>
      </c>
      <c r="L10">
        <f t="shared" si="18"/>
        <v>13.387110471753644</v>
      </c>
      <c r="M10">
        <f t="shared" si="19"/>
        <v>21.812781406836425</v>
      </c>
      <c r="N10">
        <f t="shared" si="20"/>
        <v>19.019314841428617</v>
      </c>
      <c r="O10">
        <f t="shared" si="21"/>
        <v>0.35774692399409397</v>
      </c>
      <c r="P10">
        <f t="shared" si="22"/>
        <v>24.478574199466991</v>
      </c>
      <c r="Q10">
        <f t="shared" si="23"/>
        <v>19.387110471753644</v>
      </c>
      <c r="R10">
        <f t="shared" si="24"/>
        <v>0.32579298718015892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B11" s="2">
        <v>2.5</v>
      </c>
      <c r="C11" s="2">
        <v>-9.6700000000000008E-2</v>
      </c>
      <c r="D11" s="2">
        <f t="shared" si="12"/>
        <v>-96.7</v>
      </c>
      <c r="E11" s="2">
        <f>D11/$U$2</f>
        <v>0.10744444444444445</v>
      </c>
      <c r="F11" s="2">
        <f t="shared" si="14"/>
        <v>10.744444444444445</v>
      </c>
      <c r="G11" s="2">
        <f t="shared" si="15"/>
        <v>10.31183964643677</v>
      </c>
      <c r="I11" s="2">
        <f t="shared" si="16"/>
        <v>10.31183964643677</v>
      </c>
      <c r="J11" s="2">
        <v>-60.9</v>
      </c>
      <c r="K11">
        <f t="shared" si="17"/>
        <v>-12.512889528246355</v>
      </c>
      <c r="L11">
        <f t="shared" si="18"/>
        <v>14.487110471753645</v>
      </c>
      <c r="M11">
        <f t="shared" si="19"/>
        <v>28.100305868537362</v>
      </c>
      <c r="N11">
        <f t="shared" si="20"/>
        <v>21.871281100260816</v>
      </c>
      <c r="O11">
        <f t="shared" si="21"/>
        <v>1.3807945630672336</v>
      </c>
      <c r="P11">
        <f t="shared" si="22"/>
        <v>30.38695543612403</v>
      </c>
      <c r="Q11">
        <f t="shared" si="23"/>
        <v>20.487110471753645</v>
      </c>
      <c r="R11">
        <f t="shared" si="24"/>
        <v>0.18607506514008121</v>
      </c>
    </row>
    <row r="12" spans="2:28" x14ac:dyDescent="0.3">
      <c r="O12">
        <f>SUM(O3:O7)</f>
        <v>0.14631970565086411</v>
      </c>
      <c r="R12">
        <f>SUM(R3:R7)</f>
        <v>1.7227150211312894E-2</v>
      </c>
      <c r="T12" t="s">
        <v>10</v>
      </c>
      <c r="U12">
        <v>33</v>
      </c>
      <c r="V12" t="s">
        <v>15</v>
      </c>
    </row>
    <row r="13" spans="2:28" x14ac:dyDescent="0.3">
      <c r="T13" t="s">
        <v>11</v>
      </c>
      <c r="U13">
        <v>0.5</v>
      </c>
      <c r="V13" t="s">
        <v>15</v>
      </c>
    </row>
    <row r="14" spans="2:28" x14ac:dyDescent="0.3">
      <c r="C14" t="s">
        <v>58</v>
      </c>
      <c r="D14" t="s">
        <v>52</v>
      </c>
      <c r="E14" t="s">
        <v>49</v>
      </c>
      <c r="F14" s="2" t="s">
        <v>60</v>
      </c>
      <c r="G14" t="s">
        <v>51</v>
      </c>
      <c r="H14" t="s">
        <v>50</v>
      </c>
      <c r="I14" t="s">
        <v>53</v>
      </c>
      <c r="J14" s="6" t="s">
        <v>44</v>
      </c>
    </row>
    <row r="15" spans="2:28" x14ac:dyDescent="0.3">
      <c r="C15">
        <v>0.5</v>
      </c>
      <c r="D15">
        <v>0.48499999999999999</v>
      </c>
      <c r="E15">
        <v>-5.0999999999999996</v>
      </c>
      <c r="F15" s="2">
        <f>E15/1000</f>
        <v>-5.0999999999999995E-3</v>
      </c>
      <c r="G15">
        <v>0.193</v>
      </c>
      <c r="H15">
        <f>-G15/F15</f>
        <v>37.843137254901968</v>
      </c>
      <c r="I15">
        <v>-72</v>
      </c>
      <c r="J15" s="2">
        <v>-64</v>
      </c>
      <c r="K15">
        <f>J15+$U$10</f>
        <v>-15.612889528246356</v>
      </c>
      <c r="L15">
        <f>K15-$U$8+$U$12+$U$13</f>
        <v>11.387110471753644</v>
      </c>
      <c r="T15" t="s">
        <v>22</v>
      </c>
      <c r="U15">
        <v>6</v>
      </c>
      <c r="V15" t="s">
        <v>15</v>
      </c>
    </row>
    <row r="16" spans="2:28" x14ac:dyDescent="0.3">
      <c r="C16">
        <v>0.75</v>
      </c>
      <c r="D16">
        <v>0.752</v>
      </c>
      <c r="E16">
        <v>-11.8</v>
      </c>
      <c r="F16" s="2">
        <f t="shared" ref="F16:F23" si="25">E16/1000</f>
        <v>-1.1800000000000001E-2</v>
      </c>
      <c r="G16">
        <v>0.43</v>
      </c>
      <c r="H16">
        <f t="shared" ref="H16:H23" si="26">-G16/F16</f>
        <v>36.440677966101688</v>
      </c>
      <c r="I16">
        <v>-70</v>
      </c>
      <c r="J16" s="6"/>
    </row>
    <row r="17" spans="3:12" x14ac:dyDescent="0.3">
      <c r="C17">
        <v>1</v>
      </c>
      <c r="D17">
        <v>0.99</v>
      </c>
      <c r="E17">
        <v>-20.7</v>
      </c>
      <c r="F17" s="2">
        <f t="shared" si="25"/>
        <v>-2.07E-2</v>
      </c>
      <c r="G17">
        <v>0.73399999999999999</v>
      </c>
      <c r="H17">
        <f t="shared" si="26"/>
        <v>35.45893719806763</v>
      </c>
      <c r="I17">
        <v>-68</v>
      </c>
      <c r="J17" s="2" t="s">
        <v>56</v>
      </c>
      <c r="K17" t="s">
        <v>55</v>
      </c>
      <c r="L17" t="s">
        <v>57</v>
      </c>
    </row>
    <row r="18" spans="3:12" x14ac:dyDescent="0.3">
      <c r="C18">
        <v>1.25</v>
      </c>
      <c r="D18">
        <v>1.24</v>
      </c>
      <c r="E18">
        <v>-30.7</v>
      </c>
      <c r="F18" s="2">
        <f t="shared" si="25"/>
        <v>-3.0699999999999998E-2</v>
      </c>
      <c r="G18">
        <v>1.07</v>
      </c>
      <c r="H18">
        <f t="shared" si="26"/>
        <v>34.853420195439746</v>
      </c>
      <c r="I18">
        <v>-67</v>
      </c>
      <c r="J18" s="2">
        <v>1.75</v>
      </c>
      <c r="K18">
        <v>1.73</v>
      </c>
      <c r="L18">
        <v>-53.5</v>
      </c>
    </row>
    <row r="19" spans="3:12" x14ac:dyDescent="0.3">
      <c r="C19">
        <v>1.5</v>
      </c>
      <c r="D19">
        <v>1.48</v>
      </c>
      <c r="E19">
        <v>-42.4</v>
      </c>
      <c r="F19" s="2">
        <f t="shared" si="25"/>
        <v>-4.24E-2</v>
      </c>
      <c r="G19">
        <v>1.47</v>
      </c>
      <c r="H19">
        <f t="shared" si="26"/>
        <v>34.669811320754718</v>
      </c>
      <c r="I19">
        <v>-65.3</v>
      </c>
    </row>
    <row r="20" spans="3:12" x14ac:dyDescent="0.3">
      <c r="C20">
        <v>1.75</v>
      </c>
      <c r="D20">
        <v>1.73</v>
      </c>
      <c r="E20">
        <v>-53.7</v>
      </c>
      <c r="F20" s="2">
        <f t="shared" si="25"/>
        <v>-5.3700000000000005E-2</v>
      </c>
      <c r="G20">
        <v>1.9</v>
      </c>
      <c r="H20">
        <f t="shared" si="26"/>
        <v>35.381750465549345</v>
      </c>
      <c r="I20">
        <v>-64</v>
      </c>
    </row>
    <row r="21" spans="3:12" x14ac:dyDescent="0.3">
      <c r="C21">
        <v>2</v>
      </c>
      <c r="D21">
        <v>1.99</v>
      </c>
      <c r="E21">
        <v>-67.2</v>
      </c>
      <c r="F21" s="2">
        <f t="shared" si="25"/>
        <v>-6.720000000000001E-2</v>
      </c>
      <c r="G21">
        <v>2.37</v>
      </c>
      <c r="H21">
        <f t="shared" si="26"/>
        <v>35.267857142857139</v>
      </c>
      <c r="I21">
        <v>-63</v>
      </c>
    </row>
    <row r="22" spans="3:12" x14ac:dyDescent="0.3">
      <c r="C22">
        <v>2.25</v>
      </c>
      <c r="D22">
        <v>2.25</v>
      </c>
      <c r="E22">
        <v>-83.5</v>
      </c>
      <c r="F22" s="2">
        <f t="shared" si="25"/>
        <v>-8.3500000000000005E-2</v>
      </c>
      <c r="G22">
        <v>2.85</v>
      </c>
      <c r="H22">
        <f t="shared" si="26"/>
        <v>34.131736526946106</v>
      </c>
      <c r="I22">
        <v>-62</v>
      </c>
    </row>
    <row r="23" spans="3:12" x14ac:dyDescent="0.3">
      <c r="C23" s="2">
        <v>2.5</v>
      </c>
      <c r="D23" s="2">
        <v>2.5</v>
      </c>
      <c r="E23" s="2">
        <v>-96.7</v>
      </c>
      <c r="F23" s="2">
        <f t="shared" si="25"/>
        <v>-9.6700000000000008E-2</v>
      </c>
      <c r="G23" s="2">
        <v>3.32</v>
      </c>
      <c r="H23">
        <f t="shared" si="26"/>
        <v>34.332988624612199</v>
      </c>
      <c r="I23" s="2">
        <v>-60.9</v>
      </c>
    </row>
    <row r="24" spans="3:12" x14ac:dyDescent="0.3">
      <c r="H24" s="2">
        <f>AVERAGE(H18:H23)</f>
        <v>34.772927379359878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C145-901E-41FF-BD54-679511BE3629}">
  <dimension ref="B2:AB25"/>
  <sheetViews>
    <sheetView tabSelected="1" topLeftCell="A3" zoomScale="104" zoomScaleNormal="265" workbookViewId="0">
      <selection activeCell="L19" sqref="L19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 s="2">
        <v>-3.3E-3</v>
      </c>
      <c r="D3" s="2">
        <f t="shared" ref="D3:D11" si="0">C3*1000</f>
        <v>-3.3</v>
      </c>
      <c r="E3" s="2">
        <f>D3/$U$2</f>
        <v>3.6666666666666666E-3</v>
      </c>
      <c r="F3" s="2">
        <f t="shared" ref="F3:F11" si="1">100*E3</f>
        <v>0.36666666666666664</v>
      </c>
      <c r="G3" s="2">
        <f t="shared" ref="G3:G11" si="2">10*LOG10(F3)</f>
        <v>-4.3572856956143742</v>
      </c>
      <c r="I3" s="2">
        <f t="shared" ref="I3:I11" si="3">G3+H3</f>
        <v>-4.3572856956143742</v>
      </c>
      <c r="J3">
        <v>-72</v>
      </c>
      <c r="K3">
        <f t="shared" ref="K3:K11" si="4">J3+$U$10</f>
        <v>-23.612889528246356</v>
      </c>
      <c r="L3">
        <f t="shared" ref="L3:L11" si="5">K3-$U$8+$U$12+$U$13</f>
        <v>3.387110471753644</v>
      </c>
      <c r="M3">
        <f t="shared" ref="M3:M11" si="6">(10^(L3/10))</f>
        <v>2.1812781406836419</v>
      </c>
      <c r="N3">
        <f t="shared" ref="N3:N11" si="7">$Y$6*F3+$Y$7</f>
        <v>2.1123222493044227</v>
      </c>
      <c r="O3">
        <f t="shared" ref="O3:O11" si="8">(M3-($Y$6*F3+$Y$7))^2/M3</f>
        <v>2.1798755817597948E-3</v>
      </c>
      <c r="P3">
        <f t="shared" ref="P3:P11" si="9">$AB$6*F3^2+$AB$7*F3+$AB$8</f>
        <v>2.2401708382875034</v>
      </c>
      <c r="Q3">
        <f t="shared" ref="Q3:Q11" si="10">L3-$U$14-$U$13+$U$8</f>
        <v>9.387110471753644</v>
      </c>
      <c r="R3">
        <f t="shared" ref="R3:R11" si="11">(M3-($AB$6*F3^2+$AB$7*F3+$AB$8))^2/M3</f>
        <v>1.5900539075557084E-3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 s="2">
        <v>-1.0199999999999999E-2</v>
      </c>
      <c r="D4" s="2">
        <f t="shared" si="0"/>
        <v>-10.199999999999999</v>
      </c>
      <c r="E4" s="2">
        <f>D4/$U$2</f>
        <v>1.1333333333333332E-2</v>
      </c>
      <c r="F4" s="2">
        <f t="shared" si="1"/>
        <v>1.1333333333333333</v>
      </c>
      <c r="G4" s="2">
        <f t="shared" si="2"/>
        <v>0.5435766232259267</v>
      </c>
      <c r="I4" s="2">
        <f t="shared" si="3"/>
        <v>0.5435766232259267</v>
      </c>
      <c r="J4">
        <v>-70</v>
      </c>
      <c r="K4">
        <f t="shared" si="4"/>
        <v>-21.612889528246356</v>
      </c>
      <c r="L4">
        <f t="shared" si="5"/>
        <v>5.387110471753644</v>
      </c>
      <c r="M4">
        <f t="shared" si="6"/>
        <v>3.4570928760337392</v>
      </c>
      <c r="N4">
        <f t="shared" si="7"/>
        <v>3.3215959871224028</v>
      </c>
      <c r="O4">
        <f t="shared" si="8"/>
        <v>5.3106490230353451E-3</v>
      </c>
      <c r="P4">
        <f t="shared" si="9"/>
        <v>3.2172031015002087</v>
      </c>
      <c r="Q4">
        <f t="shared" si="10"/>
        <v>11.387110471753644</v>
      </c>
      <c r="R4">
        <f t="shared" si="11"/>
        <v>1.6646097165827618E-2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 s="2">
        <v>-1.89E-2</v>
      </c>
      <c r="D5" s="2">
        <f t="shared" si="0"/>
        <v>-18.899999999999999</v>
      </c>
      <c r="E5" s="2">
        <f>D5/$U$2</f>
        <v>2.0999999999999998E-2</v>
      </c>
      <c r="F5" s="2">
        <f t="shared" si="1"/>
        <v>2.0999999999999996</v>
      </c>
      <c r="G5" s="2">
        <f t="shared" si="2"/>
        <v>3.2221929473391917</v>
      </c>
      <c r="I5" s="2">
        <f t="shared" si="3"/>
        <v>3.2221929473391917</v>
      </c>
      <c r="J5">
        <v>-69</v>
      </c>
      <c r="K5">
        <f t="shared" si="4"/>
        <v>-20.612889528246356</v>
      </c>
      <c r="L5">
        <f t="shared" si="5"/>
        <v>6.387110471753644</v>
      </c>
      <c r="M5">
        <f t="shared" si="6"/>
        <v>4.3522220725714575</v>
      </c>
      <c r="N5">
        <f t="shared" si="7"/>
        <v>4.8463324391537679</v>
      </c>
      <c r="O5">
        <f t="shared" si="8"/>
        <v>5.6096644494028534E-2</v>
      </c>
      <c r="P5">
        <f t="shared" si="9"/>
        <v>4.6281558424103464</v>
      </c>
      <c r="Q5">
        <f t="shared" si="10"/>
        <v>12.387110471753644</v>
      </c>
      <c r="R5">
        <f t="shared" si="11"/>
        <v>1.7494384263465404E-2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 s="2">
        <v>-2.86E-2</v>
      </c>
      <c r="D6" s="2">
        <f t="shared" si="0"/>
        <v>-28.6</v>
      </c>
      <c r="E6" s="2">
        <f>D6/$U$2</f>
        <v>3.177777777777778E-2</v>
      </c>
      <c r="F6" s="2">
        <f t="shared" si="1"/>
        <v>3.177777777777778</v>
      </c>
      <c r="G6" s="2">
        <f t="shared" si="2"/>
        <v>5.0212352368971818</v>
      </c>
      <c r="I6" s="2">
        <f t="shared" si="3"/>
        <v>5.0212352368971818</v>
      </c>
      <c r="J6">
        <v>-67.2</v>
      </c>
      <c r="K6">
        <f t="shared" si="4"/>
        <v>-18.812889528246359</v>
      </c>
      <c r="L6">
        <f t="shared" si="5"/>
        <v>8.1871104717536411</v>
      </c>
      <c r="M6">
        <f t="shared" si="6"/>
        <v>6.5873546736328725</v>
      </c>
      <c r="N6">
        <f t="shared" si="7"/>
        <v>6.5463259546370161</v>
      </c>
      <c r="O6">
        <f t="shared" si="8"/>
        <v>2.5554351721471778E-4</v>
      </c>
      <c r="P6">
        <f t="shared" si="9"/>
        <v>6.4367387589943199</v>
      </c>
      <c r="Q6">
        <f t="shared" si="10"/>
        <v>14.187110471753641</v>
      </c>
      <c r="R6">
        <f t="shared" si="11"/>
        <v>3.4437425744220772E-3</v>
      </c>
      <c r="X6" t="s">
        <v>29</v>
      </c>
      <c r="Y6">
        <v>1.5773135710669306</v>
      </c>
      <c r="AA6" t="s">
        <v>39</v>
      </c>
      <c r="AB6">
        <v>0.1068556010549036</v>
      </c>
    </row>
    <row r="7" spans="2:28" x14ac:dyDescent="0.3">
      <c r="B7" s="2">
        <v>1.5</v>
      </c>
      <c r="C7" s="2">
        <v>-4.0100000000000004E-2</v>
      </c>
      <c r="D7" s="2">
        <f t="shared" si="0"/>
        <v>-40.1</v>
      </c>
      <c r="E7" s="2">
        <f>D7/$U$2</f>
        <v>4.4555555555555557E-2</v>
      </c>
      <c r="F7" s="2">
        <f t="shared" si="1"/>
        <v>4.4555555555555557</v>
      </c>
      <c r="G7" s="2">
        <f t="shared" si="2"/>
        <v>6.4890186318085741</v>
      </c>
      <c r="I7" s="2">
        <f t="shared" si="3"/>
        <v>6.4890186318085741</v>
      </c>
      <c r="J7">
        <v>-65.900000000000006</v>
      </c>
      <c r="K7">
        <f t="shared" si="4"/>
        <v>-17.512889528246362</v>
      </c>
      <c r="L7">
        <f t="shared" si="5"/>
        <v>9.4871104717536383</v>
      </c>
      <c r="M7">
        <f t="shared" si="6"/>
        <v>8.8860969491973947</v>
      </c>
      <c r="N7">
        <f t="shared" si="7"/>
        <v>8.5617821843336497</v>
      </c>
      <c r="O7">
        <f t="shared" si="8"/>
        <v>1.1836475261293004E-2</v>
      </c>
      <c r="P7">
        <f t="shared" si="9"/>
        <v>8.9025571674309614</v>
      </c>
      <c r="Q7">
        <f t="shared" si="10"/>
        <v>15.487110471753638</v>
      </c>
      <c r="R7">
        <f t="shared" si="11"/>
        <v>3.049018999518264E-5</v>
      </c>
      <c r="T7" t="s">
        <v>8</v>
      </c>
      <c r="U7">
        <v>25.2</v>
      </c>
      <c r="V7" t="s">
        <v>15</v>
      </c>
      <c r="X7" t="s">
        <v>30</v>
      </c>
      <c r="Y7">
        <v>1.5339739399132148</v>
      </c>
      <c r="AA7" t="s">
        <v>38</v>
      </c>
      <c r="AB7">
        <v>1.1141065069559555</v>
      </c>
    </row>
    <row r="8" spans="2:28" x14ac:dyDescent="0.3">
      <c r="B8" s="2">
        <v>1.75</v>
      </c>
      <c r="C8" s="2">
        <v>-5.2399999999999995E-2</v>
      </c>
      <c r="D8" s="2">
        <f t="shared" si="0"/>
        <v>-52.4</v>
      </c>
      <c r="E8" s="2">
        <f t="shared" ref="E8:E10" si="12">D8/$U$2</f>
        <v>5.8222222222222224E-2</v>
      </c>
      <c r="F8" s="2">
        <f t="shared" si="1"/>
        <v>5.822222222222222</v>
      </c>
      <c r="G8" s="2">
        <f t="shared" si="2"/>
        <v>7.6508877754440174</v>
      </c>
      <c r="I8" s="2">
        <f t="shared" si="3"/>
        <v>7.6508877754440174</v>
      </c>
      <c r="J8">
        <v>-64.599999999999994</v>
      </c>
      <c r="K8">
        <f t="shared" si="4"/>
        <v>-16.21288952824635</v>
      </c>
      <c r="L8">
        <f t="shared" si="5"/>
        <v>10.78711047175365</v>
      </c>
      <c r="M8">
        <f t="shared" si="6"/>
        <v>11.987014955578248</v>
      </c>
      <c r="N8">
        <f t="shared" si="7"/>
        <v>10.717444064791788</v>
      </c>
      <c r="O8">
        <f t="shared" si="8"/>
        <v>0.1344630212530315</v>
      </c>
      <c r="P8">
        <f t="shared" si="9"/>
        <v>11.926094826940108</v>
      </c>
      <c r="Q8">
        <f t="shared" si="10"/>
        <v>16.78711047175365</v>
      </c>
      <c r="R8">
        <f t="shared" si="11"/>
        <v>3.0960686101091478E-4</v>
      </c>
      <c r="T8" t="s">
        <v>9</v>
      </c>
      <c r="U8">
        <v>6.5</v>
      </c>
      <c r="V8" t="s">
        <v>15</v>
      </c>
      <c r="Y8">
        <v>0</v>
      </c>
      <c r="AA8" t="s">
        <v>37</v>
      </c>
      <c r="AB8">
        <v>1.8172989771507162</v>
      </c>
    </row>
    <row r="9" spans="2:28" x14ac:dyDescent="0.3">
      <c r="B9" s="2">
        <v>2</v>
      </c>
      <c r="C9" s="2">
        <v>-6.5099999999999991E-2</v>
      </c>
      <c r="D9" s="2">
        <f t="shared" si="0"/>
        <v>-65.099999999999994</v>
      </c>
      <c r="E9" s="2">
        <f t="shared" si="12"/>
        <v>7.2333333333333333E-2</v>
      </c>
      <c r="F9" s="2">
        <f t="shared" si="1"/>
        <v>7.2333333333333334</v>
      </c>
      <c r="G9" s="2">
        <f t="shared" si="2"/>
        <v>8.5933847912886705</v>
      </c>
      <c r="I9" s="2">
        <f t="shared" si="3"/>
        <v>8.5933847912886705</v>
      </c>
      <c r="J9">
        <v>-63.4</v>
      </c>
      <c r="K9">
        <f t="shared" si="4"/>
        <v>-15.012889528246355</v>
      </c>
      <c r="L9">
        <f t="shared" si="5"/>
        <v>11.987110471753645</v>
      </c>
      <c r="M9">
        <f t="shared" si="6"/>
        <v>15.801963240367439</v>
      </c>
      <c r="N9">
        <f t="shared" si="7"/>
        <v>12.94320877063068</v>
      </c>
      <c r="O9">
        <f t="shared" si="8"/>
        <v>0.51718112451765619</v>
      </c>
      <c r="P9">
        <f t="shared" si="9"/>
        <v>15.466806486436969</v>
      </c>
      <c r="Q9">
        <f t="shared" si="10"/>
        <v>17.987110471753645</v>
      </c>
      <c r="R9">
        <f t="shared" si="11"/>
        <v>7.1086135308967716E-3</v>
      </c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B10" s="2">
        <v>2.25</v>
      </c>
      <c r="C10" s="2">
        <v>-8.0299999999999996E-2</v>
      </c>
      <c r="D10" s="2">
        <f t="shared" si="0"/>
        <v>-80.3</v>
      </c>
      <c r="E10" s="2">
        <f t="shared" si="12"/>
        <v>8.9222222222222217E-2</v>
      </c>
      <c r="F10" s="2">
        <f t="shared" si="1"/>
        <v>8.9222222222222225</v>
      </c>
      <c r="G10" s="2">
        <f t="shared" si="2"/>
        <v>9.5047303583935605</v>
      </c>
      <c r="I10" s="2">
        <f t="shared" si="3"/>
        <v>9.5047303583935605</v>
      </c>
      <c r="J10">
        <v>-62.2</v>
      </c>
      <c r="K10">
        <f t="shared" si="4"/>
        <v>-13.812889528246359</v>
      </c>
      <c r="L10">
        <f t="shared" si="5"/>
        <v>13.187110471753641</v>
      </c>
      <c r="M10">
        <f t="shared" si="6"/>
        <v>20.83104452403499</v>
      </c>
      <c r="N10">
        <f t="shared" si="7"/>
        <v>15.607116135099274</v>
      </c>
      <c r="O10">
        <f t="shared" si="8"/>
        <v>1.3100364593451757</v>
      </c>
      <c r="P10">
        <f t="shared" si="9"/>
        <v>20.263957065831981</v>
      </c>
      <c r="Q10">
        <f t="shared" si="10"/>
        <v>19.187110471753641</v>
      </c>
      <c r="R10">
        <f t="shared" si="11"/>
        <v>1.5437928946870559E-2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B11" s="2">
        <v>2.5</v>
      </c>
      <c r="C11" s="2">
        <v>-9.4400000000000012E-2</v>
      </c>
      <c r="D11" s="2">
        <f t="shared" si="0"/>
        <v>-94.4</v>
      </c>
      <c r="E11" s="2">
        <f>D11/$U$2</f>
        <v>0.10488888888888889</v>
      </c>
      <c r="F11" s="2">
        <f t="shared" si="1"/>
        <v>10.488888888888889</v>
      </c>
      <c r="G11" s="2">
        <f t="shared" si="2"/>
        <v>10.207294848587441</v>
      </c>
      <c r="I11" s="2">
        <f t="shared" si="3"/>
        <v>10.207294848587441</v>
      </c>
      <c r="J11" s="2">
        <v>-61.3</v>
      </c>
      <c r="K11">
        <f t="shared" si="4"/>
        <v>-12.912889528246353</v>
      </c>
      <c r="L11">
        <f t="shared" si="5"/>
        <v>14.087110471753647</v>
      </c>
      <c r="M11">
        <f t="shared" si="6"/>
        <v>25.627783541322565</v>
      </c>
      <c r="N11">
        <f t="shared" si="7"/>
        <v>18.078240729770798</v>
      </c>
      <c r="O11">
        <f t="shared" si="8"/>
        <v>2.2239768246657978</v>
      </c>
      <c r="P11">
        <f t="shared" si="9"/>
        <v>25.258948573773008</v>
      </c>
      <c r="Q11">
        <f t="shared" si="10"/>
        <v>20.087110471753647</v>
      </c>
      <c r="R11">
        <f t="shared" si="11"/>
        <v>5.3082715119679028E-3</v>
      </c>
    </row>
    <row r="12" spans="2:28" x14ac:dyDescent="0.3">
      <c r="O12">
        <f>SUM(O3:O7)</f>
        <v>7.5679187877331383E-2</v>
      </c>
      <c r="R12">
        <f>SUM(R3:R7)</f>
        <v>3.920476810126599E-2</v>
      </c>
      <c r="T12" t="s">
        <v>10</v>
      </c>
      <c r="U12">
        <v>33</v>
      </c>
      <c r="V12" t="s">
        <v>15</v>
      </c>
    </row>
    <row r="13" spans="2:28" x14ac:dyDescent="0.3">
      <c r="T13" t="s">
        <v>11</v>
      </c>
      <c r="U13">
        <v>0.5</v>
      </c>
      <c r="V13" t="s">
        <v>15</v>
      </c>
    </row>
    <row r="14" spans="2:28" x14ac:dyDescent="0.3">
      <c r="C14" t="s">
        <v>58</v>
      </c>
      <c r="D14" t="s">
        <v>52</v>
      </c>
      <c r="E14" t="s">
        <v>49</v>
      </c>
      <c r="F14" s="2" t="s">
        <v>60</v>
      </c>
      <c r="G14" t="s">
        <v>51</v>
      </c>
      <c r="H14" t="s">
        <v>53</v>
      </c>
      <c r="J14" s="6" t="s">
        <v>44</v>
      </c>
    </row>
    <row r="15" spans="2:28" x14ac:dyDescent="0.3">
      <c r="C15">
        <v>0.5</v>
      </c>
      <c r="D15">
        <v>0.48499999999999999</v>
      </c>
      <c r="E15">
        <v>-3.3</v>
      </c>
      <c r="F15" s="2">
        <f>E15/1000</f>
        <v>-3.3E-3</v>
      </c>
      <c r="G15">
        <v>0.39</v>
      </c>
      <c r="H15">
        <v>-72</v>
      </c>
      <c r="J15" s="2">
        <v>-63.4</v>
      </c>
      <c r="K15">
        <f>J15+$U$10</f>
        <v>-15.012889528246355</v>
      </c>
      <c r="L15">
        <f>K15-$U$8+$U$12+$U$13</f>
        <v>11.987110471753645</v>
      </c>
      <c r="T15" t="s">
        <v>22</v>
      </c>
      <c r="U15">
        <v>6</v>
      </c>
      <c r="V15" t="s">
        <v>15</v>
      </c>
    </row>
    <row r="16" spans="2:28" x14ac:dyDescent="0.3">
      <c r="C16">
        <v>0.75</v>
      </c>
      <c r="D16">
        <v>0.752</v>
      </c>
      <c r="E16">
        <v>-10.199999999999999</v>
      </c>
      <c r="F16" s="2">
        <f t="shared" ref="F16:F23" si="13">E16/1000</f>
        <v>-1.0199999999999999E-2</v>
      </c>
      <c r="G16">
        <v>0.61</v>
      </c>
      <c r="H16">
        <v>-70</v>
      </c>
      <c r="J16" s="6"/>
    </row>
    <row r="17" spans="3:12" x14ac:dyDescent="0.3">
      <c r="C17">
        <v>1</v>
      </c>
      <c r="D17">
        <v>0.99</v>
      </c>
      <c r="E17">
        <v>-18.899999999999999</v>
      </c>
      <c r="F17" s="2">
        <f t="shared" si="13"/>
        <v>-1.89E-2</v>
      </c>
      <c r="G17">
        <v>0.88400000000000001</v>
      </c>
      <c r="H17">
        <v>-69</v>
      </c>
      <c r="J17" s="2" t="s">
        <v>56</v>
      </c>
      <c r="K17" t="s">
        <v>55</v>
      </c>
      <c r="L17" t="s">
        <v>57</v>
      </c>
    </row>
    <row r="18" spans="3:12" x14ac:dyDescent="0.3">
      <c r="C18">
        <v>1.25</v>
      </c>
      <c r="D18">
        <v>1.24</v>
      </c>
      <c r="E18">
        <v>-28.6</v>
      </c>
      <c r="F18" s="2">
        <f t="shared" si="13"/>
        <v>-2.86E-2</v>
      </c>
      <c r="G18">
        <v>1.2</v>
      </c>
      <c r="H18">
        <v>-67.2</v>
      </c>
      <c r="J18" s="2">
        <v>1.75</v>
      </c>
      <c r="K18">
        <v>1.73</v>
      </c>
      <c r="L18">
        <v>-61</v>
      </c>
    </row>
    <row r="19" spans="3:12" x14ac:dyDescent="0.3">
      <c r="C19">
        <v>1.5</v>
      </c>
      <c r="D19">
        <v>1.48</v>
      </c>
      <c r="E19">
        <v>-40.1</v>
      </c>
      <c r="F19" s="2">
        <f t="shared" si="13"/>
        <v>-4.0100000000000004E-2</v>
      </c>
      <c r="G19">
        <v>1.57</v>
      </c>
      <c r="H19">
        <v>-65.900000000000006</v>
      </c>
    </row>
    <row r="20" spans="3:12" x14ac:dyDescent="0.3">
      <c r="C20">
        <v>1.75</v>
      </c>
      <c r="D20">
        <v>1.73</v>
      </c>
      <c r="E20">
        <v>-52.4</v>
      </c>
      <c r="F20" s="2">
        <f t="shared" si="13"/>
        <v>-5.2399999999999995E-2</v>
      </c>
      <c r="G20">
        <v>1.97</v>
      </c>
      <c r="H20">
        <v>-64.599999999999994</v>
      </c>
      <c r="J20" s="2" t="s">
        <v>62</v>
      </c>
      <c r="K20" t="s">
        <v>63</v>
      </c>
    </row>
    <row r="21" spans="3:12" x14ac:dyDescent="0.3">
      <c r="C21">
        <v>2</v>
      </c>
      <c r="D21">
        <v>1.99</v>
      </c>
      <c r="E21">
        <v>-65.099999999999994</v>
      </c>
      <c r="F21" s="2">
        <f t="shared" si="13"/>
        <v>-6.5099999999999991E-2</v>
      </c>
      <c r="G21">
        <v>2.39</v>
      </c>
      <c r="H21">
        <v>-63.4</v>
      </c>
      <c r="J21" s="2">
        <v>-31.99</v>
      </c>
      <c r="K21" s="2">
        <v>0.2858</v>
      </c>
    </row>
    <row r="22" spans="3:12" x14ac:dyDescent="0.3">
      <c r="C22">
        <v>2.25</v>
      </c>
      <c r="D22">
        <v>2.25</v>
      </c>
      <c r="E22">
        <v>-80.3</v>
      </c>
      <c r="F22" s="2">
        <f t="shared" si="13"/>
        <v>-8.0299999999999996E-2</v>
      </c>
      <c r="G22">
        <v>2.84</v>
      </c>
      <c r="H22">
        <v>-62.2</v>
      </c>
    </row>
    <row r="23" spans="3:12" x14ac:dyDescent="0.3">
      <c r="C23" s="2">
        <v>2.5</v>
      </c>
      <c r="D23" s="2">
        <v>2.5</v>
      </c>
      <c r="E23" s="2">
        <v>-94.4</v>
      </c>
      <c r="F23" s="2">
        <f t="shared" si="13"/>
        <v>-9.4400000000000012E-2</v>
      </c>
      <c r="G23" s="2">
        <v>3.3</v>
      </c>
      <c r="H23" s="2">
        <v>-61.3</v>
      </c>
    </row>
    <row r="25" spans="3:12" x14ac:dyDescent="0.3">
      <c r="C25" s="6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ValonPWR 6 (good)</vt:lpstr>
      <vt:lpstr>ValonPWR 6 (rango corto)</vt:lpstr>
      <vt:lpstr>ValonPWR 6 (corto volt good)</vt:lpstr>
      <vt:lpstr>ValonPWR 6 (corto new att 30)</vt:lpstr>
      <vt:lpstr>ValonPWR 6 (new gain) </vt:lpstr>
      <vt:lpstr>ValonPWR 6 (new new gain)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Rojas Sepulveda</dc:creator>
  <cp:lastModifiedBy>Matias Rojas Sepulveda</cp:lastModifiedBy>
  <cp:lastPrinted>2024-07-04T20:18:54Z</cp:lastPrinted>
  <dcterms:created xsi:type="dcterms:W3CDTF">2024-07-02T18:27:54Z</dcterms:created>
  <dcterms:modified xsi:type="dcterms:W3CDTF">2024-08-23T15:11:22Z</dcterms:modified>
</cp:coreProperties>
</file>