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tro\Documents\AIUC\Scripts\RFLabTests\rf_gainamp\"/>
    </mc:Choice>
  </mc:AlternateContent>
  <xr:revisionPtr revIDLastSave="0" documentId="13_ncr:1_{E390AC3A-3C7A-4E06-88F6-B33C88C6E5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juste 14-15 dec" sheetId="1" r:id="rId1"/>
    <sheet name="Ajuste 8-13 dec" sheetId="2" r:id="rId2"/>
  </sheets>
  <definedNames>
    <definedName name="solver_adj" localSheetId="0" hidden="1">'Ajuste 14-15 dec'!$D$19,'Ajuste 14-15 dec'!$C$20</definedName>
    <definedName name="solver_adj" localSheetId="1" hidden="1">'Ajuste 8-13 dec'!$D$19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'Ajuste 14-15 dec'!$D$19</definedName>
    <definedName name="solver_lhs1" localSheetId="1" hidden="1">'Ajuste 8-13 dec'!$D$19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'Ajuste 14-15 dec'!$C$18</definedName>
    <definedName name="solver_opt" localSheetId="1" hidden="1">'Ajuste 8-13 dec'!$C$18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hs1" localSheetId="0" hidden="1">0</definedName>
    <definedName name="solver_rhs1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F5" i="1" s="1"/>
  <c r="C19" i="2"/>
  <c r="F5" i="2" s="1"/>
  <c r="N9" i="2"/>
  <c r="O9" i="2" s="1"/>
  <c r="J9" i="2"/>
  <c r="K9" i="2" s="1"/>
  <c r="L9" i="2" s="1"/>
  <c r="M9" i="2" s="1"/>
  <c r="H9" i="2"/>
  <c r="I9" i="2" s="1"/>
  <c r="D9" i="2"/>
  <c r="N8" i="2"/>
  <c r="O8" i="2" s="1"/>
  <c r="J8" i="2"/>
  <c r="K8" i="2" s="1"/>
  <c r="L8" i="2" s="1"/>
  <c r="M8" i="2" s="1"/>
  <c r="H8" i="2"/>
  <c r="I8" i="2" s="1"/>
  <c r="D8" i="2"/>
  <c r="N7" i="2"/>
  <c r="O7" i="2" s="1"/>
  <c r="J7" i="2"/>
  <c r="K7" i="2" s="1"/>
  <c r="L7" i="2" s="1"/>
  <c r="M7" i="2" s="1"/>
  <c r="H7" i="2"/>
  <c r="I7" i="2" s="1"/>
  <c r="D7" i="2"/>
  <c r="N6" i="2"/>
  <c r="O6" i="2" s="1"/>
  <c r="J6" i="2"/>
  <c r="K6" i="2" s="1"/>
  <c r="L6" i="2" s="1"/>
  <c r="M6" i="2" s="1"/>
  <c r="H6" i="2"/>
  <c r="I6" i="2" s="1"/>
  <c r="D6" i="2"/>
  <c r="N5" i="2"/>
  <c r="O5" i="2" s="1"/>
  <c r="J5" i="2"/>
  <c r="K5" i="2" s="1"/>
  <c r="L5" i="2" s="1"/>
  <c r="M5" i="2" s="1"/>
  <c r="H5" i="2"/>
  <c r="I5" i="2" s="1"/>
  <c r="D5" i="2"/>
  <c r="N6" i="1"/>
  <c r="O6" i="1" s="1"/>
  <c r="N7" i="1"/>
  <c r="O7" i="1" s="1"/>
  <c r="N8" i="1"/>
  <c r="O8" i="1" s="1"/>
  <c r="N9" i="1"/>
  <c r="O9" i="1" s="1"/>
  <c r="N5" i="1"/>
  <c r="O5" i="1" s="1"/>
  <c r="J6" i="1"/>
  <c r="K6" i="1" s="1"/>
  <c r="L6" i="1" s="1"/>
  <c r="M6" i="1" s="1"/>
  <c r="J7" i="1"/>
  <c r="K7" i="1" s="1"/>
  <c r="L7" i="1" s="1"/>
  <c r="M7" i="1" s="1"/>
  <c r="J8" i="1"/>
  <c r="K8" i="1" s="1"/>
  <c r="L8" i="1" s="1"/>
  <c r="M8" i="1" s="1"/>
  <c r="J9" i="1"/>
  <c r="K9" i="1" s="1"/>
  <c r="L9" i="1" s="1"/>
  <c r="M9" i="1" s="1"/>
  <c r="J5" i="1"/>
  <c r="K5" i="1" s="1"/>
  <c r="L5" i="1" s="1"/>
  <c r="M5" i="1" s="1"/>
  <c r="F7" i="1" l="1"/>
  <c r="F8" i="1"/>
  <c r="F6" i="1"/>
  <c r="F9" i="1"/>
  <c r="F7" i="2"/>
  <c r="F8" i="2"/>
  <c r="F6" i="2"/>
  <c r="F9" i="2"/>
  <c r="D6" i="1"/>
  <c r="D7" i="1"/>
  <c r="D8" i="1"/>
  <c r="D9" i="1"/>
  <c r="D5" i="1"/>
  <c r="H6" i="1"/>
  <c r="I6" i="1" s="1"/>
  <c r="H7" i="1"/>
  <c r="I7" i="1" s="1"/>
  <c r="H8" i="1"/>
  <c r="I8" i="1" s="1"/>
  <c r="H9" i="1"/>
  <c r="I9" i="1" s="1"/>
  <c r="H5" i="1"/>
  <c r="I5" i="1" s="1"/>
  <c r="C18" i="1" l="1"/>
  <c r="C18" i="2"/>
</calcChain>
</file>

<file path=xl/sharedStrings.xml><?xml version="1.0" encoding="utf-8"?>
<sst xmlns="http://schemas.openxmlformats.org/spreadsheetml/2006/main" count="60" uniqueCount="27">
  <si>
    <t>V. atenuation Multiplier (V)</t>
  </si>
  <si>
    <t>Vin (Amplifier) (mV)</t>
  </si>
  <si>
    <t>Vout (Amplifier) (V)</t>
  </si>
  <si>
    <t>Power measured (spectrum analyzer)</t>
  </si>
  <si>
    <t>Power estimated at waveguide</t>
  </si>
  <si>
    <t>Relación voltajes entrada - salida amplificador - ajuste nuevo (post 14-15 dic)</t>
  </si>
  <si>
    <t>Vin (Amplifier) (V)</t>
  </si>
  <si>
    <t>Slope Gain</t>
  </si>
  <si>
    <t>Offset Gain</t>
  </si>
  <si>
    <t>RFL (dB)</t>
  </si>
  <si>
    <t>Attenuator (dB)</t>
  </si>
  <si>
    <t>Directional Coupler losses (dB)</t>
  </si>
  <si>
    <t>Waveguide Gain (dB)</t>
  </si>
  <si>
    <t>Vout Diode (mV)</t>
  </si>
  <si>
    <t>Pout Diode (mW)</t>
  </si>
  <si>
    <t>mV/mW</t>
  </si>
  <si>
    <t>mV/mW diode</t>
  </si>
  <si>
    <t>dB</t>
  </si>
  <si>
    <t>P.Diode In (dB)</t>
  </si>
  <si>
    <t>P.Diode In (mW)</t>
  </si>
  <si>
    <t>Power estimated Diode In (dB)</t>
  </si>
  <si>
    <t>V. ADC In (V)</t>
  </si>
  <si>
    <t>Bit ADC expected</t>
  </si>
  <si>
    <t>Bit ADC measured (average)</t>
  </si>
  <si>
    <t>Chi2 function</t>
  </si>
  <si>
    <t xml:space="preserve"> sum((Vout-(slope*vin+offset))^2)</t>
  </si>
  <si>
    <t>(Vout-(a*Vin+b))^2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</si>
</sst>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'Ajuste 14-15 dec'!$E$4</c:f>
              <c:strCache>
                <c:ptCount val="1"/>
                <c:pt idx="0">
                  <c:v>Vout (Amplifier)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'Ajuste 14-15 dec'!$D$5:$D$9</c:f>
              <c:numCache>
                <c:formatCode>General</c:formatCode>
                <c:ptCount val="5"/>
                <c:pt idx="0">
                  <c:v>-8.1599999999999992E-2</c:v>
                </c:pt>
                <c:pt idx="1">
                  <c:v>-5.3200000000000004E-2</c:v>
                </c:pt>
                <c:pt idx="2">
                  <c:v>-2.8899999999999999E-2</c:v>
                </c:pt>
                <c:pt idx="3">
                  <c:v>-1.2E-2</c:v>
                </c:pt>
                <c:pt idx="4">
                  <c:v>-4.5999999999999999E-3</c:v>
                </c:pt>
              </c:numCache>
            </c:numRef>
          </c:xVal>
          <c:yVal>
            <c:numRef>
              <c:f>'Ajuste 14-15 dec'!$E$5:$E$9</c:f>
              <c:numCache>
                <c:formatCode>General</c:formatCode>
                <c:ptCount val="5"/>
                <c:pt idx="0">
                  <c:v>2.13</c:v>
                </c:pt>
                <c:pt idx="1">
                  <c:v>1.56</c:v>
                </c:pt>
                <c:pt idx="2">
                  <c:v>0.97</c:v>
                </c:pt>
                <c:pt idx="3">
                  <c:v>0.56000000000000005</c:v>
                </c:pt>
                <c:pt idx="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C-4B35-9633-B7A48FDD0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410976"/>
        <c:axId val="1280411808"/>
      </c:scatterChart>
      <c:valAx>
        <c:axId val="128041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80411808"/>
        <c:crosses val="autoZero"/>
        <c:crossBetween val="midCat"/>
      </c:valAx>
      <c:valAx>
        <c:axId val="12804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8041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'Ajuste 14-15 dec'!$M$4</c:f>
              <c:strCache>
                <c:ptCount val="1"/>
                <c:pt idx="0">
                  <c:v>P.Diode 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'Ajuste 14-15 dec'!$I$5:$I$9</c:f>
              <c:numCache>
                <c:formatCode>General</c:formatCode>
                <c:ptCount val="5"/>
                <c:pt idx="0">
                  <c:v>11.82</c:v>
                </c:pt>
                <c:pt idx="1">
                  <c:v>9.5200000000000031</c:v>
                </c:pt>
                <c:pt idx="2">
                  <c:v>6.32</c:v>
                </c:pt>
                <c:pt idx="3">
                  <c:v>2.0200000000000031</c:v>
                </c:pt>
                <c:pt idx="4">
                  <c:v>-1.1799999999999997</c:v>
                </c:pt>
              </c:numCache>
            </c:numRef>
          </c:xVal>
          <c:yVal>
            <c:numRef>
              <c:f>'Ajuste 14-15 dec'!$M$5:$M$9</c:f>
              <c:numCache>
                <c:formatCode>General</c:formatCode>
                <c:ptCount val="5"/>
                <c:pt idx="0">
                  <c:v>9.5744764931453634</c:v>
                </c:pt>
                <c:pt idx="1">
                  <c:v>7.7166912285572327</c:v>
                </c:pt>
                <c:pt idx="2">
                  <c:v>5.0665533331722301</c:v>
                </c:pt>
                <c:pt idx="3">
                  <c:v>1.2493873660829999</c:v>
                </c:pt>
                <c:pt idx="4">
                  <c:v>-2.9148467775775084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2-40A7-AD53-2A2A00E0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830432"/>
        <c:axId val="1284830848"/>
      </c:scatterChart>
      <c:valAx>
        <c:axId val="128483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84830848"/>
        <c:crosses val="autoZero"/>
        <c:crossBetween val="midCat"/>
      </c:valAx>
      <c:valAx>
        <c:axId val="12848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8483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'Ajuste 8-13 dec'!$E$4</c:f>
              <c:strCache>
                <c:ptCount val="1"/>
                <c:pt idx="0">
                  <c:v>Vout (Amplifier)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'Ajuste 8-13 dec'!$D$5:$D$9</c:f>
              <c:numCache>
                <c:formatCode>General</c:formatCode>
                <c:ptCount val="5"/>
                <c:pt idx="0">
                  <c:v>-8.0099999999999991E-2</c:v>
                </c:pt>
                <c:pt idx="1">
                  <c:v>-5.21E-2</c:v>
                </c:pt>
                <c:pt idx="2">
                  <c:v>-2.81E-2</c:v>
                </c:pt>
                <c:pt idx="3">
                  <c:v>-1.1699999999999999E-2</c:v>
                </c:pt>
                <c:pt idx="4">
                  <c:v>-4.0099999999999997E-3</c:v>
                </c:pt>
              </c:numCache>
            </c:numRef>
          </c:xVal>
          <c:yVal>
            <c:numRef>
              <c:f>'Ajuste 8-13 dec'!$E$5:$E$9</c:f>
              <c:numCache>
                <c:formatCode>General</c:formatCode>
                <c:ptCount val="5"/>
                <c:pt idx="0">
                  <c:v>2.75</c:v>
                </c:pt>
                <c:pt idx="1">
                  <c:v>2.2999999999999998</c:v>
                </c:pt>
                <c:pt idx="2">
                  <c:v>1.5</c:v>
                </c:pt>
                <c:pt idx="3">
                  <c:v>0.77</c:v>
                </c:pt>
                <c:pt idx="4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14-4B13-B8E7-08C1F9583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410976"/>
        <c:axId val="1280411808"/>
      </c:scatterChart>
      <c:valAx>
        <c:axId val="128041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80411808"/>
        <c:crosses val="autoZero"/>
        <c:crossBetween val="midCat"/>
      </c:valAx>
      <c:valAx>
        <c:axId val="12804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8041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'Ajuste 8-13 dec'!$M$4</c:f>
              <c:strCache>
                <c:ptCount val="1"/>
                <c:pt idx="0">
                  <c:v>P.Diode 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'Ajuste 8-13 dec'!$I$5:$I$9</c:f>
              <c:numCache>
                <c:formatCode>General</c:formatCode>
                <c:ptCount val="5"/>
                <c:pt idx="0">
                  <c:v>11.920000000000002</c:v>
                </c:pt>
                <c:pt idx="1">
                  <c:v>9.5200000000000031</c:v>
                </c:pt>
                <c:pt idx="2">
                  <c:v>6.32</c:v>
                </c:pt>
                <c:pt idx="3">
                  <c:v>2.3200000000000003</c:v>
                </c:pt>
                <c:pt idx="4">
                  <c:v>-0.97999999999999687</c:v>
                </c:pt>
              </c:numCache>
            </c:numRef>
          </c:xVal>
          <c:yVal>
            <c:numRef>
              <c:f>'Ajuste 8-13 dec'!$M$5:$M$9</c:f>
              <c:numCache>
                <c:formatCode>General</c:formatCode>
                <c:ptCount val="5"/>
                <c:pt idx="0">
                  <c:v>9.4939000664491289</c:v>
                </c:pt>
                <c:pt idx="1">
                  <c:v>7.6259521386019973</c:v>
                </c:pt>
                <c:pt idx="2">
                  <c:v>4.9446381046575496</c:v>
                </c:pt>
                <c:pt idx="3">
                  <c:v>1.1394335230683679</c:v>
                </c:pt>
                <c:pt idx="4">
                  <c:v>-3.5109813681914259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D7-46F3-8505-4DDA759F7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830432"/>
        <c:axId val="1284830848"/>
      </c:scatterChart>
      <c:valAx>
        <c:axId val="128483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84830848"/>
        <c:crosses val="autoZero"/>
        <c:crossBetween val="midCat"/>
      </c:valAx>
      <c:valAx>
        <c:axId val="12848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8483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20</xdr:row>
      <xdr:rowOff>72390</xdr:rowOff>
    </xdr:from>
    <xdr:to>
      <xdr:col>4</xdr:col>
      <xdr:colOff>518160</xdr:colOff>
      <xdr:row>35</xdr:row>
      <xdr:rowOff>72390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0931B4-8EC5-42B5-875B-7D4BDA594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205740</xdr:colOff>
      <xdr:row>20</xdr:row>
      <xdr:rowOff>72390</xdr:rowOff>
    </xdr:from>
    <xdr:to>
      <xdr:col>11</xdr:col>
      <xdr:colOff>807720</xdr:colOff>
      <xdr:row>35</xdr:row>
      <xdr:rowOff>72390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F832A0-0A06-4B4F-8BF7-99AD397E5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20</xdr:row>
      <xdr:rowOff>72390</xdr:rowOff>
    </xdr:from>
    <xdr:to>
      <xdr:col>4</xdr:col>
      <xdr:colOff>518160</xdr:colOff>
      <xdr:row>35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6388DF-40D2-4BC1-B029-BFAA60ECB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205740</xdr:colOff>
      <xdr:row>20</xdr:row>
      <xdr:rowOff>72390</xdr:rowOff>
    </xdr:from>
    <xdr:to>
      <xdr:col>11</xdr:col>
      <xdr:colOff>807720</xdr:colOff>
      <xdr:row>35</xdr:row>
      <xdr:rowOff>72390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B97FEA-17B4-4F41-8329-572FF636C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0"/>
  <sheetViews>
    <sheetView tabSelected="1" topLeftCell="A4" workbookViewId="0">
      <selection activeCell="C20" sqref="C20"/>
    </sheetView>
  </sheetViews>
  <sheetFormatPr baseColWidth="10" defaultColWidth="8.88671875" defaultRowHeight="14.4" x14ac:dyDescent="0.3"/>
  <cols>
    <col min="2" max="2" width="25.5546875" customWidth="1"/>
    <col min="3" max="6" width="17.6640625" customWidth="1"/>
    <col min="7" max="7" width="31.44140625" bestFit="1" customWidth="1"/>
    <col min="8" max="9" width="26.109375" customWidth="1"/>
    <col min="10" max="13" width="15.88671875" customWidth="1"/>
    <col min="14" max="14" width="15" customWidth="1"/>
    <col min="15" max="15" width="17.109375" customWidth="1"/>
    <col min="16" max="16" width="17.33203125" customWidth="1"/>
  </cols>
  <sheetData>
    <row r="1" spans="2:16" x14ac:dyDescent="0.3">
      <c r="B1" t="s">
        <v>5</v>
      </c>
    </row>
    <row r="4" spans="2:16" x14ac:dyDescent="0.3">
      <c r="B4" t="s">
        <v>0</v>
      </c>
      <c r="C4" t="s">
        <v>1</v>
      </c>
      <c r="D4" t="s">
        <v>6</v>
      </c>
      <c r="E4" t="s">
        <v>2</v>
      </c>
      <c r="F4" t="s">
        <v>26</v>
      </c>
      <c r="G4" t="s">
        <v>3</v>
      </c>
      <c r="H4" t="s">
        <v>4</v>
      </c>
      <c r="I4" s="1" t="s">
        <v>20</v>
      </c>
      <c r="J4" t="s">
        <v>13</v>
      </c>
      <c r="K4" t="s">
        <v>14</v>
      </c>
      <c r="L4" t="s">
        <v>19</v>
      </c>
      <c r="M4" s="1" t="s">
        <v>18</v>
      </c>
      <c r="N4" t="s">
        <v>21</v>
      </c>
      <c r="O4" t="s">
        <v>22</v>
      </c>
      <c r="P4" t="s">
        <v>23</v>
      </c>
    </row>
    <row r="5" spans="2:16" x14ac:dyDescent="0.3">
      <c r="B5">
        <v>2</v>
      </c>
      <c r="C5">
        <v>-81.599999999999994</v>
      </c>
      <c r="D5">
        <f>C5/1000</f>
        <v>-8.1599999999999992E-2</v>
      </c>
      <c r="E5">
        <v>2.13</v>
      </c>
      <c r="F5">
        <f>(E5-($C$19*D5+$C$20))^2</f>
        <v>9.1517625375443974E-4</v>
      </c>
      <c r="G5">
        <v>-64</v>
      </c>
      <c r="H5">
        <f>G5+$C$12</f>
        <v>-15.18</v>
      </c>
      <c r="I5" s="1">
        <f>H5-$C$13+$C$14+$C$15</f>
        <v>11.82</v>
      </c>
      <c r="J5">
        <f>C5</f>
        <v>-81.599999999999994</v>
      </c>
      <c r="K5">
        <f>J5/$C$16</f>
        <v>9.0666666666666659E-2</v>
      </c>
      <c r="L5">
        <f>100*K5</f>
        <v>9.0666666666666664</v>
      </c>
      <c r="M5" s="1">
        <f>10*LOG10(L5)</f>
        <v>9.5744764931453634</v>
      </c>
      <c r="N5">
        <f>E5</f>
        <v>2.13</v>
      </c>
      <c r="O5">
        <f>INT(N5/3.3*1023)</f>
        <v>660</v>
      </c>
    </row>
    <row r="6" spans="2:16" x14ac:dyDescent="0.3">
      <c r="B6">
        <v>1.5</v>
      </c>
      <c r="C6">
        <v>-53.2</v>
      </c>
      <c r="D6">
        <f t="shared" ref="D6:D9" si="0">C6/1000</f>
        <v>-5.3200000000000004E-2</v>
      </c>
      <c r="E6">
        <v>1.56</v>
      </c>
      <c r="F6">
        <f>(E6-($C$19*D6+$C$20))^2</f>
        <v>2.1144710316040255E-3</v>
      </c>
      <c r="G6">
        <v>-66.3</v>
      </c>
      <c r="H6">
        <f t="shared" ref="H6:H9" si="1">G6+$C$12</f>
        <v>-17.479999999999997</v>
      </c>
      <c r="I6" s="1">
        <f t="shared" ref="I6:I9" si="2">H6-$C$13+$C$14+$C$15</f>
        <v>9.5200000000000031</v>
      </c>
      <c r="J6">
        <f t="shared" ref="J6:J9" si="3">C6</f>
        <v>-53.2</v>
      </c>
      <c r="K6">
        <f t="shared" ref="K6:K9" si="4">J6/$C$16</f>
        <v>5.9111111111111114E-2</v>
      </c>
      <c r="L6">
        <f t="shared" ref="L6:L9" si="5">100*K6</f>
        <v>5.9111111111111114</v>
      </c>
      <c r="M6" s="1">
        <f t="shared" ref="M6:M9" si="6">10*LOG10(L6)</f>
        <v>7.7166912285572327</v>
      </c>
      <c r="N6">
        <f t="shared" ref="N6:N9" si="7">E6</f>
        <v>1.56</v>
      </c>
      <c r="O6">
        <f t="shared" ref="O6:O9" si="8">INT(N6/3.3*1023)</f>
        <v>483</v>
      </c>
    </row>
    <row r="7" spans="2:16" x14ac:dyDescent="0.3">
      <c r="B7">
        <v>1</v>
      </c>
      <c r="C7">
        <v>-28.9</v>
      </c>
      <c r="D7">
        <f t="shared" si="0"/>
        <v>-2.8899999999999999E-2</v>
      </c>
      <c r="E7">
        <v>0.97</v>
      </c>
      <c r="F7">
        <f>(E7-($C$19*D7+$C$20))^2</f>
        <v>7.9639722229713549E-5</v>
      </c>
      <c r="G7">
        <v>-69.5</v>
      </c>
      <c r="H7">
        <f t="shared" si="1"/>
        <v>-20.68</v>
      </c>
      <c r="I7" s="1">
        <f t="shared" si="2"/>
        <v>6.32</v>
      </c>
      <c r="J7">
        <f t="shared" si="3"/>
        <v>-28.9</v>
      </c>
      <c r="K7">
        <f t="shared" si="4"/>
        <v>3.2111111111111111E-2</v>
      </c>
      <c r="L7">
        <f t="shared" si="5"/>
        <v>3.2111111111111112</v>
      </c>
      <c r="M7" s="1">
        <f t="shared" si="6"/>
        <v>5.0665533331722301</v>
      </c>
      <c r="N7">
        <f t="shared" si="7"/>
        <v>0.97</v>
      </c>
      <c r="O7">
        <f t="shared" si="8"/>
        <v>300</v>
      </c>
    </row>
    <row r="8" spans="2:16" x14ac:dyDescent="0.3">
      <c r="B8">
        <v>0.5</v>
      </c>
      <c r="C8">
        <v>-12</v>
      </c>
      <c r="D8">
        <f t="shared" si="0"/>
        <v>-1.2E-2</v>
      </c>
      <c r="E8">
        <v>0.56000000000000005</v>
      </c>
      <c r="F8">
        <f t="shared" ref="F8" si="9">(E8-($C$19*D8+$C$20))^2</f>
        <v>2.7292371376574649E-4</v>
      </c>
      <c r="G8">
        <v>-73.8</v>
      </c>
      <c r="H8">
        <f t="shared" si="1"/>
        <v>-24.979999999999997</v>
      </c>
      <c r="I8" s="1">
        <f t="shared" si="2"/>
        <v>2.0200000000000031</v>
      </c>
      <c r="J8">
        <f t="shared" si="3"/>
        <v>-12</v>
      </c>
      <c r="K8">
        <f t="shared" si="4"/>
        <v>1.3333333333333334E-2</v>
      </c>
      <c r="L8">
        <f t="shared" si="5"/>
        <v>1.3333333333333335</v>
      </c>
      <c r="M8" s="1">
        <f t="shared" si="6"/>
        <v>1.2493873660829999</v>
      </c>
      <c r="N8">
        <f t="shared" si="7"/>
        <v>0.56000000000000005</v>
      </c>
      <c r="O8">
        <f t="shared" si="8"/>
        <v>173</v>
      </c>
    </row>
    <row r="9" spans="2:16" x14ac:dyDescent="0.3">
      <c r="B9">
        <v>0</v>
      </c>
      <c r="C9">
        <v>-4.5999999999999996</v>
      </c>
      <c r="D9">
        <f t="shared" si="0"/>
        <v>-4.5999999999999999E-3</v>
      </c>
      <c r="E9">
        <v>0.4</v>
      </c>
      <c r="F9">
        <f>(E9-($C$19*D9+$C$20))^2</f>
        <v>6.6180823133063344E-5</v>
      </c>
      <c r="G9">
        <v>-77</v>
      </c>
      <c r="H9">
        <f t="shared" si="1"/>
        <v>-28.18</v>
      </c>
      <c r="I9" s="1">
        <f t="shared" si="2"/>
        <v>-1.1799999999999997</v>
      </c>
      <c r="J9">
        <f t="shared" si="3"/>
        <v>-4.5999999999999996</v>
      </c>
      <c r="K9">
        <f t="shared" si="4"/>
        <v>5.1111111111111105E-3</v>
      </c>
      <c r="L9">
        <f t="shared" si="5"/>
        <v>0.51111111111111107</v>
      </c>
      <c r="M9" s="1">
        <f t="shared" si="6"/>
        <v>-2.9148467775775084</v>
      </c>
      <c r="N9">
        <f t="shared" si="7"/>
        <v>0.4</v>
      </c>
      <c r="O9">
        <f t="shared" si="8"/>
        <v>124</v>
      </c>
    </row>
    <row r="12" spans="2:16" x14ac:dyDescent="0.3">
      <c r="B12" t="s">
        <v>9</v>
      </c>
      <c r="C12">
        <v>48.82</v>
      </c>
      <c r="D12" t="s">
        <v>17</v>
      </c>
    </row>
    <row r="13" spans="2:16" x14ac:dyDescent="0.3">
      <c r="B13" t="s">
        <v>12</v>
      </c>
      <c r="C13">
        <v>6.5</v>
      </c>
      <c r="D13" t="s">
        <v>17</v>
      </c>
    </row>
    <row r="14" spans="2:16" x14ac:dyDescent="0.3">
      <c r="B14" t="s">
        <v>10</v>
      </c>
      <c r="C14">
        <v>33</v>
      </c>
      <c r="D14" t="s">
        <v>17</v>
      </c>
    </row>
    <row r="15" spans="2:16" x14ac:dyDescent="0.3">
      <c r="B15" t="s">
        <v>11</v>
      </c>
      <c r="C15">
        <v>0.5</v>
      </c>
      <c r="D15" t="s">
        <v>17</v>
      </c>
    </row>
    <row r="16" spans="2:16" x14ac:dyDescent="0.3">
      <c r="B16" t="s">
        <v>16</v>
      </c>
      <c r="C16">
        <v>-900</v>
      </c>
      <c r="D16" t="s">
        <v>15</v>
      </c>
    </row>
    <row r="18" spans="2:4" x14ac:dyDescent="0.3">
      <c r="B18" t="s">
        <v>24</v>
      </c>
      <c r="C18">
        <f>SUM(F5:F9)</f>
        <v>3.4483915444869884E-3</v>
      </c>
      <c r="D18" t="s">
        <v>25</v>
      </c>
    </row>
    <row r="19" spans="2:4" x14ac:dyDescent="0.3">
      <c r="B19" t="s">
        <v>7</v>
      </c>
      <c r="C19">
        <f>-D19</f>
        <v>-22.754762603661188</v>
      </c>
      <c r="D19">
        <v>22.754762603661188</v>
      </c>
    </row>
    <row r="20" spans="2:4" x14ac:dyDescent="0.3">
      <c r="B20" t="s">
        <v>8</v>
      </c>
      <c r="C20">
        <v>0.30346325171016308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10B6-C4CC-4333-B295-E23AE7B19CD9}">
  <dimension ref="B1:P20"/>
  <sheetViews>
    <sheetView workbookViewId="0">
      <selection activeCell="C19" sqref="C19"/>
    </sheetView>
  </sheetViews>
  <sheetFormatPr baseColWidth="10" defaultColWidth="8.88671875" defaultRowHeight="14.4" x14ac:dyDescent="0.3"/>
  <cols>
    <col min="2" max="2" width="25.5546875" customWidth="1"/>
    <col min="3" max="6" width="17.6640625" customWidth="1"/>
    <col min="7" max="7" width="31.44140625" bestFit="1" customWidth="1"/>
    <col min="8" max="9" width="26.109375" customWidth="1"/>
    <col min="10" max="13" width="15.88671875" customWidth="1"/>
    <col min="14" max="14" width="15" customWidth="1"/>
    <col min="15" max="15" width="17.109375" customWidth="1"/>
    <col min="16" max="16" width="17.33203125" customWidth="1"/>
  </cols>
  <sheetData>
    <row r="1" spans="2:16" x14ac:dyDescent="0.3">
      <c r="B1" t="s">
        <v>5</v>
      </c>
    </row>
    <row r="4" spans="2:16" x14ac:dyDescent="0.3">
      <c r="B4" t="s">
        <v>0</v>
      </c>
      <c r="C4" t="s">
        <v>1</v>
      </c>
      <c r="D4" t="s">
        <v>6</v>
      </c>
      <c r="E4" t="s">
        <v>2</v>
      </c>
      <c r="F4" t="s">
        <v>26</v>
      </c>
      <c r="G4" t="s">
        <v>3</v>
      </c>
      <c r="H4" t="s">
        <v>4</v>
      </c>
      <c r="I4" s="1" t="s">
        <v>20</v>
      </c>
      <c r="J4" t="s">
        <v>13</v>
      </c>
      <c r="K4" t="s">
        <v>14</v>
      </c>
      <c r="L4" t="s">
        <v>19</v>
      </c>
      <c r="M4" s="1" t="s">
        <v>18</v>
      </c>
      <c r="N4" t="s">
        <v>21</v>
      </c>
      <c r="O4" t="s">
        <v>22</v>
      </c>
      <c r="P4" t="s">
        <v>23</v>
      </c>
    </row>
    <row r="5" spans="2:16" x14ac:dyDescent="0.3">
      <c r="B5">
        <v>2</v>
      </c>
      <c r="C5">
        <v>-80.099999999999994</v>
      </c>
      <c r="D5">
        <f>C5/1000</f>
        <v>-8.0099999999999991E-2</v>
      </c>
      <c r="E5">
        <v>2.75</v>
      </c>
      <c r="F5">
        <f>(E5-($C$19*D5+$C$20))^2</f>
        <v>6.5194640421816427E-2</v>
      </c>
      <c r="G5">
        <v>-63.9</v>
      </c>
      <c r="H5">
        <f>G5+$C$12</f>
        <v>-15.079999999999998</v>
      </c>
      <c r="I5" s="1">
        <f>H5-$C$13+$C$14+$C$15</f>
        <v>11.920000000000002</v>
      </c>
      <c r="J5">
        <f>C5</f>
        <v>-80.099999999999994</v>
      </c>
      <c r="K5">
        <f>J5/$C$16</f>
        <v>8.8999999999999996E-2</v>
      </c>
      <c r="L5">
        <f>100*K5</f>
        <v>8.9</v>
      </c>
      <c r="M5" s="1">
        <f>10*LOG10(L5)</f>
        <v>9.4939000664491289</v>
      </c>
      <c r="N5">
        <f>E5</f>
        <v>2.75</v>
      </c>
      <c r="O5">
        <f>INT(N5/3.3*1023)</f>
        <v>852</v>
      </c>
    </row>
    <row r="6" spans="2:16" x14ac:dyDescent="0.3">
      <c r="B6">
        <v>1.5</v>
      </c>
      <c r="C6">
        <v>-52.1</v>
      </c>
      <c r="D6">
        <f t="shared" ref="D6:D9" si="0">C6/1000</f>
        <v>-5.21E-2</v>
      </c>
      <c r="E6">
        <v>2.2999999999999998</v>
      </c>
      <c r="F6">
        <f>(E6-($C$19*D6+$C$20))^2</f>
        <v>5.7182370877247979E-2</v>
      </c>
      <c r="G6">
        <v>-66.3</v>
      </c>
      <c r="H6">
        <f t="shared" ref="H6:H9" si="1">G6+$C$12</f>
        <v>-17.479999999999997</v>
      </c>
      <c r="I6" s="1">
        <f t="shared" ref="I6:I9" si="2">H6-$C$13+$C$14+$C$15</f>
        <v>9.5200000000000031</v>
      </c>
      <c r="J6">
        <f t="shared" ref="J6:J9" si="3">C6</f>
        <v>-52.1</v>
      </c>
      <c r="K6">
        <f t="shared" ref="K6:K9" si="4">J6/$C$16</f>
        <v>5.7888888888888893E-2</v>
      </c>
      <c r="L6">
        <f t="shared" ref="L6:L9" si="5">100*K6</f>
        <v>5.7888888888888896</v>
      </c>
      <c r="M6" s="1">
        <f t="shared" ref="M6:M9" si="6">10*LOG10(L6)</f>
        <v>7.6259521386019973</v>
      </c>
      <c r="N6">
        <f t="shared" ref="N6:N9" si="7">E6</f>
        <v>2.2999999999999998</v>
      </c>
      <c r="O6">
        <f t="shared" ref="O6:O9" si="8">INT(N6/3.3*1023)</f>
        <v>713</v>
      </c>
    </row>
    <row r="7" spans="2:16" x14ac:dyDescent="0.3">
      <c r="B7">
        <v>1</v>
      </c>
      <c r="C7">
        <v>-28.1</v>
      </c>
      <c r="D7">
        <f t="shared" si="0"/>
        <v>-2.81E-2</v>
      </c>
      <c r="E7">
        <v>1.5</v>
      </c>
      <c r="F7">
        <f>(E7-($C$19*D7+$C$20))^2</f>
        <v>6.1834857996524474E-2</v>
      </c>
      <c r="G7">
        <v>-69.5</v>
      </c>
      <c r="H7">
        <f t="shared" si="1"/>
        <v>-20.68</v>
      </c>
      <c r="I7" s="1">
        <f t="shared" si="2"/>
        <v>6.32</v>
      </c>
      <c r="J7">
        <f t="shared" si="3"/>
        <v>-28.1</v>
      </c>
      <c r="K7">
        <f t="shared" si="4"/>
        <v>3.1222222222222224E-2</v>
      </c>
      <c r="L7">
        <f t="shared" si="5"/>
        <v>3.1222222222222222</v>
      </c>
      <c r="M7" s="1">
        <f t="shared" si="6"/>
        <v>4.9446381046575496</v>
      </c>
      <c r="N7">
        <f t="shared" si="7"/>
        <v>1.5</v>
      </c>
      <c r="O7">
        <f t="shared" si="8"/>
        <v>465</v>
      </c>
    </row>
    <row r="8" spans="2:16" x14ac:dyDescent="0.3">
      <c r="B8">
        <v>0.5</v>
      </c>
      <c r="C8">
        <v>-11.7</v>
      </c>
      <c r="D8">
        <f t="shared" si="0"/>
        <v>-1.1699999999999999E-2</v>
      </c>
      <c r="E8">
        <v>0.77</v>
      </c>
      <c r="F8">
        <f t="shared" ref="F8" si="9">(E8-($C$19*D8+$C$20))^2</f>
        <v>5.1624687569520895E-3</v>
      </c>
      <c r="G8">
        <v>-73.5</v>
      </c>
      <c r="H8">
        <f t="shared" si="1"/>
        <v>-24.68</v>
      </c>
      <c r="I8" s="1">
        <f t="shared" si="2"/>
        <v>2.3200000000000003</v>
      </c>
      <c r="J8">
        <f t="shared" si="3"/>
        <v>-11.7</v>
      </c>
      <c r="K8">
        <f t="shared" si="4"/>
        <v>1.2999999999999999E-2</v>
      </c>
      <c r="L8">
        <f t="shared" si="5"/>
        <v>1.3</v>
      </c>
      <c r="M8" s="1">
        <f t="shared" si="6"/>
        <v>1.1394335230683679</v>
      </c>
      <c r="N8">
        <f t="shared" si="7"/>
        <v>0.77</v>
      </c>
      <c r="O8">
        <f t="shared" si="8"/>
        <v>238</v>
      </c>
    </row>
    <row r="9" spans="2:16" x14ac:dyDescent="0.3">
      <c r="B9">
        <v>0</v>
      </c>
      <c r="C9">
        <v>-4.01</v>
      </c>
      <c r="D9">
        <f t="shared" si="0"/>
        <v>-4.0099999999999997E-3</v>
      </c>
      <c r="E9">
        <v>0.48</v>
      </c>
      <c r="F9">
        <f>(E9-($C$19*D9+$C$20))^2</f>
        <v>1.700714976684916E-3</v>
      </c>
      <c r="G9">
        <v>-76.8</v>
      </c>
      <c r="H9">
        <f t="shared" si="1"/>
        <v>-27.979999999999997</v>
      </c>
      <c r="I9" s="1">
        <f t="shared" si="2"/>
        <v>-0.97999999999999687</v>
      </c>
      <c r="J9">
        <f t="shared" si="3"/>
        <v>-4.01</v>
      </c>
      <c r="K9">
        <f t="shared" si="4"/>
        <v>4.4555555555555555E-3</v>
      </c>
      <c r="L9">
        <f t="shared" si="5"/>
        <v>0.44555555555555554</v>
      </c>
      <c r="M9" s="1">
        <f t="shared" si="6"/>
        <v>-3.5109813681914259</v>
      </c>
      <c r="N9">
        <f t="shared" si="7"/>
        <v>0.48</v>
      </c>
      <c r="O9">
        <f t="shared" si="8"/>
        <v>148</v>
      </c>
    </row>
    <row r="12" spans="2:16" x14ac:dyDescent="0.3">
      <c r="B12" t="s">
        <v>9</v>
      </c>
      <c r="C12">
        <v>48.82</v>
      </c>
      <c r="D12" t="s">
        <v>17</v>
      </c>
    </row>
    <row r="13" spans="2:16" x14ac:dyDescent="0.3">
      <c r="B13" t="s">
        <v>12</v>
      </c>
      <c r="C13">
        <v>6.5</v>
      </c>
      <c r="D13" t="s">
        <v>17</v>
      </c>
    </row>
    <row r="14" spans="2:16" x14ac:dyDescent="0.3">
      <c r="B14" t="s">
        <v>10</v>
      </c>
      <c r="C14">
        <v>33</v>
      </c>
      <c r="D14" t="s">
        <v>17</v>
      </c>
    </row>
    <row r="15" spans="2:16" x14ac:dyDescent="0.3">
      <c r="B15" t="s">
        <v>11</v>
      </c>
      <c r="C15">
        <v>0.5</v>
      </c>
      <c r="D15" t="s">
        <v>17</v>
      </c>
    </row>
    <row r="16" spans="2:16" x14ac:dyDescent="0.3">
      <c r="B16" t="s">
        <v>16</v>
      </c>
      <c r="C16">
        <v>-900</v>
      </c>
      <c r="D16" t="s">
        <v>15</v>
      </c>
    </row>
    <row r="18" spans="2:4" x14ac:dyDescent="0.3">
      <c r="B18" t="s">
        <v>24</v>
      </c>
      <c r="C18">
        <f>SUM(F5:F9)</f>
        <v>0.19107505302922589</v>
      </c>
      <c r="D18" t="s">
        <v>25</v>
      </c>
    </row>
    <row r="19" spans="2:4" x14ac:dyDescent="0.3">
      <c r="B19" t="s">
        <v>7</v>
      </c>
      <c r="C19">
        <f>-D19</f>
        <v>-33.730741718056692</v>
      </c>
      <c r="D19">
        <v>33.730741718056692</v>
      </c>
    </row>
    <row r="20" spans="2:4" x14ac:dyDescent="0.3">
      <c r="B20" t="s">
        <v>8</v>
      </c>
      <c r="C20">
        <v>0.30349999999999999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Ajuste 14-15 dec</vt:lpstr>
      <vt:lpstr>Ajuste 8-13 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Matías Rojas Sepúlveda</dc:creator>
  <cp:lastModifiedBy>Matias Rojas Sepulveda</cp:lastModifiedBy>
  <dcterms:created xsi:type="dcterms:W3CDTF">2015-06-05T18:19:34Z</dcterms:created>
  <dcterms:modified xsi:type="dcterms:W3CDTF">2025-02-14T15:39:56Z</dcterms:modified>
</cp:coreProperties>
</file>