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BE0061AD-CCF7-4206-938F-48D9C9CB22E1}" xr6:coauthVersionLast="45" xr6:coauthVersionMax="45" xr10:uidLastSave="{00000000-0000-0000-0000-000000000000}"/>
  <bookViews>
    <workbookView xWindow="-120" yWindow="-120" windowWidth="29040" windowHeight="15840" tabRatio="721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4" i="1" l="1"/>
  <c r="V43" i="1"/>
  <c r="V42" i="1"/>
  <c r="V41" i="1"/>
  <c r="V40" i="1"/>
  <c r="V39" i="1"/>
  <c r="V38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V29" i="1"/>
  <c r="V28" i="1"/>
  <c r="V27" i="1" s="1"/>
  <c r="AA26" i="1"/>
  <c r="AA25" i="1"/>
  <c r="W25" i="1"/>
  <c r="AA24" i="1"/>
  <c r="W24" i="1"/>
  <c r="AA23" i="1"/>
  <c r="W23" i="1"/>
  <c r="AA22" i="1"/>
  <c r="W22" i="1"/>
  <c r="AA21" i="1"/>
  <c r="W21" i="1"/>
  <c r="AA20" i="1"/>
  <c r="W20" i="1"/>
  <c r="V18" i="1" s="1"/>
  <c r="AJ14" i="1"/>
  <c r="AH14" i="1"/>
  <c r="AF14" i="1"/>
  <c r="AE14" i="1"/>
  <c r="AD14" i="1"/>
  <c r="AC14" i="1"/>
  <c r="AB14" i="1"/>
  <c r="AA14" i="1"/>
  <c r="Z14" i="1"/>
  <c r="Y14" i="1"/>
  <c r="X14" i="1"/>
  <c r="W14" i="1"/>
  <c r="V14" i="1"/>
  <c r="AJ13" i="1"/>
  <c r="AH13" i="1"/>
  <c r="AF13" i="1"/>
  <c r="AE13" i="1"/>
  <c r="AD13" i="1"/>
  <c r="AG29" i="1" s="1"/>
  <c r="AC13" i="1"/>
  <c r="AB13" i="1"/>
  <c r="AA13" i="1"/>
  <c r="Z13" i="1"/>
  <c r="Y13" i="1"/>
  <c r="X13" i="1"/>
  <c r="W13" i="1"/>
  <c r="V13" i="1"/>
  <c r="AJ12" i="1"/>
  <c r="AG12" i="1" s="1"/>
  <c r="AH28" i="1" s="1"/>
  <c r="AH12" i="1"/>
  <c r="AF12" i="1"/>
  <c r="AE12" i="1"/>
  <c r="AD12" i="1"/>
  <c r="AC12" i="1"/>
  <c r="AB12" i="1"/>
  <c r="AA12" i="1"/>
  <c r="AF28" i="1" s="1"/>
  <c r="Z12" i="1"/>
  <c r="Y12" i="1"/>
  <c r="X12" i="1"/>
  <c r="W12" i="1"/>
  <c r="V12" i="1"/>
  <c r="AJ11" i="1"/>
  <c r="AH11" i="1"/>
  <c r="AG11" i="1" s="1"/>
  <c r="AH27" i="1" s="1"/>
  <c r="AF11" i="1"/>
  <c r="AE11" i="1"/>
  <c r="AD11" i="1"/>
  <c r="AC11" i="1"/>
  <c r="AB11" i="1"/>
  <c r="AA11" i="1"/>
  <c r="Z11" i="1"/>
  <c r="Y11" i="1"/>
  <c r="X11" i="1"/>
  <c r="W11" i="1"/>
  <c r="V11" i="1"/>
  <c r="AJ10" i="1"/>
  <c r="AH10" i="1"/>
  <c r="AG10" i="1" s="1"/>
  <c r="AF10" i="1"/>
  <c r="AE10" i="1"/>
  <c r="AD10" i="1"/>
  <c r="AG26" i="1" s="1"/>
  <c r="AC10" i="1"/>
  <c r="AC15" i="1" s="1"/>
  <c r="AB10" i="1"/>
  <c r="AA10" i="1"/>
  <c r="Z10" i="1"/>
  <c r="Z15" i="1" s="1"/>
  <c r="Y10" i="1"/>
  <c r="Y15" i="1" s="1"/>
  <c r="X10" i="1"/>
  <c r="W10" i="1"/>
  <c r="V10" i="1"/>
  <c r="V15" i="1" s="1"/>
  <c r="AJ7" i="1"/>
  <c r="AG7" i="1" s="1"/>
  <c r="AH23" i="1" s="1"/>
  <c r="AH7" i="1"/>
  <c r="AF7" i="1"/>
  <c r="AE7" i="1"/>
  <c r="AD7" i="1"/>
  <c r="AG23" i="1" s="1"/>
  <c r="AC7" i="1"/>
  <c r="AB7" i="1"/>
  <c r="AA7" i="1"/>
  <c r="AF23" i="1" s="1"/>
  <c r="Z7" i="1"/>
  <c r="Y7" i="1"/>
  <c r="X7" i="1"/>
  <c r="W7" i="1"/>
  <c r="V7" i="1"/>
  <c r="AJ6" i="1"/>
  <c r="AH6" i="1"/>
  <c r="AG6" i="1" s="1"/>
  <c r="AH22" i="1" s="1"/>
  <c r="AF6" i="1"/>
  <c r="AE6" i="1"/>
  <c r="AD6" i="1"/>
  <c r="AC6" i="1"/>
  <c r="AB6" i="1"/>
  <c r="AA6" i="1"/>
  <c r="AF22" i="1" s="1"/>
  <c r="Z6" i="1"/>
  <c r="Y6" i="1"/>
  <c r="X6" i="1"/>
  <c r="W6" i="1"/>
  <c r="V6" i="1"/>
  <c r="AJ5" i="1"/>
  <c r="AH5" i="1"/>
  <c r="AG5" i="1"/>
  <c r="AH21" i="1" s="1"/>
  <c r="AF5" i="1"/>
  <c r="AE5" i="1"/>
  <c r="AD5" i="1"/>
  <c r="AC5" i="1"/>
  <c r="AB5" i="1"/>
  <c r="AA5" i="1"/>
  <c r="Z5" i="1"/>
  <c r="Y5" i="1"/>
  <c r="X5" i="1"/>
  <c r="W5" i="1"/>
  <c r="V5" i="1"/>
  <c r="AJ4" i="1"/>
  <c r="AG4" i="1" s="1"/>
  <c r="AH20" i="1" s="1"/>
  <c r="AH4" i="1"/>
  <c r="AF4" i="1"/>
  <c r="AE4" i="1"/>
  <c r="AD4" i="1"/>
  <c r="AG20" i="1" s="1"/>
  <c r="AC4" i="1"/>
  <c r="AB4" i="1"/>
  <c r="AA4" i="1"/>
  <c r="Z4" i="1"/>
  <c r="Y4" i="1"/>
  <c r="X4" i="1"/>
  <c r="W4" i="1"/>
  <c r="V4" i="1"/>
  <c r="AJ3" i="1"/>
  <c r="AH3" i="1"/>
  <c r="AH16" i="1" s="1"/>
  <c r="AF3" i="1"/>
  <c r="AF8" i="1" s="1"/>
  <c r="AE3" i="1"/>
  <c r="AE16" i="1" s="1"/>
  <c r="AD3" i="1"/>
  <c r="AC3" i="1"/>
  <c r="AC8" i="1" s="1"/>
  <c r="AB3" i="1"/>
  <c r="AB8" i="1" s="1"/>
  <c r="AA3" i="1"/>
  <c r="AA16" i="1" s="1"/>
  <c r="Z3" i="1"/>
  <c r="Y3" i="1"/>
  <c r="Y8" i="1" s="1"/>
  <c r="X3" i="1"/>
  <c r="X8" i="1" s="1"/>
  <c r="W3" i="1"/>
  <c r="W16" i="1" s="1"/>
  <c r="V3" i="1"/>
  <c r="AF20" i="1" l="1"/>
  <c r="AG21" i="1"/>
  <c r="AF21" i="1"/>
  <c r="W15" i="1"/>
  <c r="AA15" i="1"/>
  <c r="AE15" i="1"/>
  <c r="AJ15" i="1"/>
  <c r="AF29" i="1"/>
  <c r="AG14" i="1"/>
  <c r="AH30" i="1" s="1"/>
  <c r="AA37" i="1"/>
  <c r="V16" i="1"/>
  <c r="Z16" i="1"/>
  <c r="AG19" i="1"/>
  <c r="AJ16" i="1"/>
  <c r="AG22" i="1"/>
  <c r="X15" i="1"/>
  <c r="AB15" i="1"/>
  <c r="AF15" i="1"/>
  <c r="AG27" i="1"/>
  <c r="AG31" i="1" s="1"/>
  <c r="AF30" i="1"/>
  <c r="AG30" i="1"/>
  <c r="AA27" i="1"/>
  <c r="AF27" i="1"/>
  <c r="AG28" i="1"/>
  <c r="AG13" i="1"/>
  <c r="AH29" i="1" s="1"/>
  <c r="AG24" i="1"/>
  <c r="AG32" i="1"/>
  <c r="AG15" i="1"/>
  <c r="V8" i="1"/>
  <c r="Z8" i="1"/>
  <c r="AD8" i="1"/>
  <c r="AH8" i="1"/>
  <c r="AD15" i="1"/>
  <c r="AH15" i="1"/>
  <c r="X16" i="1"/>
  <c r="AB16" i="1"/>
  <c r="AF16" i="1"/>
  <c r="AF26" i="1"/>
  <c r="AF31" i="1" s="1"/>
  <c r="AG3" i="1"/>
  <c r="W8" i="1"/>
  <c r="AA8" i="1"/>
  <c r="AE8" i="1"/>
  <c r="AJ8" i="1"/>
  <c r="Y16" i="1"/>
  <c r="AC16" i="1"/>
  <c r="AF19" i="1"/>
  <c r="AD16" i="1"/>
  <c r="AH26" i="1"/>
  <c r="AH31" i="1" s="1"/>
  <c r="AH19" i="1" l="1"/>
  <c r="AG8" i="1"/>
  <c r="AG16" i="1"/>
  <c r="AF24" i="1"/>
  <c r="AF32" i="1"/>
  <c r="AH32" i="1" l="1"/>
  <c r="AH24" i="1"/>
</calcChain>
</file>

<file path=xl/sharedStrings.xml><?xml version="1.0" encoding="utf-8"?>
<sst xmlns="http://schemas.openxmlformats.org/spreadsheetml/2006/main" count="3430" uniqueCount="210">
  <si>
    <t>Gluten Free</t>
  </si>
  <si>
    <t>Number of Meals</t>
  </si>
  <si>
    <t>Size</t>
  </si>
  <si>
    <t>Meals</t>
  </si>
  <si>
    <t>Antiox</t>
  </si>
  <si>
    <t>BIG RED</t>
  </si>
  <si>
    <t>Blue</t>
  </si>
  <si>
    <t>Boost</t>
  </si>
  <si>
    <t>Green</t>
  </si>
  <si>
    <t>PBJ</t>
  </si>
  <si>
    <t>VitC</t>
  </si>
  <si>
    <t>BREAKGF</t>
  </si>
  <si>
    <t>CHIP</t>
  </si>
  <si>
    <t>CHIPGF</t>
  </si>
  <si>
    <t>OR</t>
  </si>
  <si>
    <t>OR GF</t>
  </si>
  <si>
    <t>SUGAR</t>
  </si>
  <si>
    <t>SUGARGF</t>
  </si>
  <si>
    <t>Delivery Route</t>
  </si>
  <si>
    <t>DATE</t>
  </si>
  <si>
    <t>10/15/2020</t>
  </si>
  <si>
    <t>sub</t>
  </si>
  <si>
    <t>0</t>
  </si>
  <si>
    <t xml:space="preserve">red, green , blue, </t>
  </si>
  <si>
    <t xml:space="preserve"> Size</t>
  </si>
  <si>
    <t>BEEF</t>
  </si>
  <si>
    <t>CHIX</t>
  </si>
  <si>
    <t>PEALAFEL</t>
  </si>
  <si>
    <t>POTPIE</t>
  </si>
  <si>
    <t>V-CHIX</t>
  </si>
  <si>
    <t>B-Tacos</t>
  </si>
  <si>
    <t>T-Tacos</t>
  </si>
  <si>
    <t>V-Tacos</t>
  </si>
  <si>
    <t>B-Burg</t>
  </si>
  <si>
    <t>T-Burg</t>
  </si>
  <si>
    <t>V-Burg</t>
  </si>
  <si>
    <t>Pizza</t>
  </si>
  <si>
    <t>V-Pizza</t>
  </si>
  <si>
    <t>Column1</t>
  </si>
  <si>
    <t>Pizza2</t>
  </si>
  <si>
    <t xml:space="preserve">green , teal, </t>
  </si>
  <si>
    <t>1</t>
  </si>
  <si>
    <t xml:space="preserve">Classic Veggie Burger &amp; Fries, green , yellow, </t>
  </si>
  <si>
    <t>veg</t>
  </si>
  <si>
    <t xml:space="preserve">green , yellow, blue, </t>
  </si>
  <si>
    <t>Woodland Hills</t>
  </si>
  <si>
    <t>3</t>
  </si>
  <si>
    <t xml:space="preserve">red, green , teal, </t>
  </si>
  <si>
    <t>4</t>
  </si>
  <si>
    <t xml:space="preserve">red, yellow, teal, </t>
  </si>
  <si>
    <t>Manhattan Beach</t>
  </si>
  <si>
    <t>2</t>
  </si>
  <si>
    <t xml:space="preserve">red, green , yellow, </t>
  </si>
  <si>
    <t>Santa Monica</t>
  </si>
  <si>
    <t>reg total=</t>
  </si>
  <si>
    <t xml:space="preserve">Beef Tacos, yellow, </t>
  </si>
  <si>
    <t>Studio City 2</t>
  </si>
  <si>
    <t>GF</t>
  </si>
  <si>
    <t xml:space="preserve">Vegetarian Pizza, yellow, teal, </t>
  </si>
  <si>
    <t>omni</t>
  </si>
  <si>
    <t xml:space="preserve">red, teal, </t>
  </si>
  <si>
    <t xml:space="preserve">red, yellow, </t>
  </si>
  <si>
    <t>gf total =</t>
  </si>
  <si>
    <t xml:space="preserve">green , yellow, teal, </t>
  </si>
  <si>
    <t>Pasadena</t>
  </si>
  <si>
    <t>TOTAL</t>
  </si>
  <si>
    <t xml:space="preserve">yellow, teal, </t>
  </si>
  <si>
    <t>Los Angeles</t>
  </si>
  <si>
    <t xml:space="preserve">Total Boxes = </t>
  </si>
  <si>
    <t>Taco TOTAL</t>
  </si>
  <si>
    <t>Burg TOTAL</t>
  </si>
  <si>
    <t># of Meals</t>
  </si>
  <si>
    <t># of boxes</t>
  </si>
  <si>
    <t>Smoothie</t>
  </si>
  <si>
    <t># of Orders</t>
  </si>
  <si>
    <t xml:space="preserve">3 meals </t>
  </si>
  <si>
    <t>3-4k</t>
  </si>
  <si>
    <t>3-4k GF</t>
  </si>
  <si>
    <t xml:space="preserve">red, green , </t>
  </si>
  <si>
    <t>3 meals</t>
  </si>
  <si>
    <t>0-2k</t>
  </si>
  <si>
    <t>Los Angeles 04</t>
  </si>
  <si>
    <t>0-2k GF</t>
  </si>
  <si>
    <t xml:space="preserve">red, Turkey Tacos, </t>
  </si>
  <si>
    <t>Beverly Hills</t>
  </si>
  <si>
    <t>2 meals</t>
  </si>
  <si>
    <t>all size REG</t>
  </si>
  <si>
    <t>all size GF</t>
  </si>
  <si>
    <t>VIT C</t>
  </si>
  <si>
    <t xml:space="preserve">Vegetarian Pizza, green , blue, </t>
  </si>
  <si>
    <t>BAGS</t>
  </si>
  <si>
    <t>Total</t>
  </si>
  <si>
    <t>Manhattan beach</t>
  </si>
  <si>
    <t>COOKIES</t>
  </si>
  <si>
    <t>woodland hills</t>
  </si>
  <si>
    <t>Studio city</t>
  </si>
  <si>
    <t xml:space="preserve">Vegetarian Pizza, yellow, </t>
  </si>
  <si>
    <t>Orange County</t>
  </si>
  <si>
    <t>Brentwood</t>
  </si>
  <si>
    <t>culver city</t>
  </si>
  <si>
    <t xml:space="preserve">green , yellow, </t>
  </si>
  <si>
    <t>ORGF</t>
  </si>
  <si>
    <t xml:space="preserve">red, Beef Tacos, teal, </t>
  </si>
  <si>
    <t>Hollywood</t>
  </si>
  <si>
    <t>Hollywood2</t>
  </si>
  <si>
    <t xml:space="preserve">Classic Veggie Burger &amp; Fries, yellow, blue, </t>
  </si>
  <si>
    <t>Valley</t>
  </si>
  <si>
    <t>Long Beach</t>
  </si>
  <si>
    <t xml:space="preserve">red, Classic Burger &amp; Fries, teal, </t>
  </si>
  <si>
    <t>Studio city 2</t>
  </si>
  <si>
    <t>Valley 2</t>
  </si>
  <si>
    <t xml:space="preserve">Classic Turkey Burger &amp; Fries, green , blue, </t>
  </si>
  <si>
    <t xml:space="preserve">Pizza, red, yellow, </t>
  </si>
  <si>
    <t xml:space="preserve">Pizza, Beef Tacos, </t>
  </si>
  <si>
    <t xml:space="preserve">Classic Burger &amp; Fries, green , teal, </t>
  </si>
  <si>
    <t xml:space="preserve">Turkey Tacos, yellow, teal, </t>
  </si>
  <si>
    <t xml:space="preserve">Pizza, yellow, teal, </t>
  </si>
  <si>
    <t xml:space="preserve">red, Classic Burger &amp; Fries, Vegetarian Pizza, </t>
  </si>
  <si>
    <t xml:space="preserve">Vegetarian Pizza, yellow, blue, </t>
  </si>
  <si>
    <t xml:space="preserve">red, Classic Burger &amp; Fries, Turkey Tacos, </t>
  </si>
  <si>
    <t xml:space="preserve">red, Beef Tacos, green , </t>
  </si>
  <si>
    <t xml:space="preserve">Vegetarian Pizza, green , teal, </t>
  </si>
  <si>
    <t xml:space="preserve">red, Beef Tacos, yellow, </t>
  </si>
  <si>
    <t xml:space="preserve">Classic Veggie Burger &amp; Fries, Vegetarian Pizza, yellow, </t>
  </si>
  <si>
    <t xml:space="preserve">Pizza, teal, </t>
  </si>
  <si>
    <t xml:space="preserve">red, Beef Tacos, </t>
  </si>
  <si>
    <t xml:space="preserve">Classic Turkey Burger &amp; Fries, green , </t>
  </si>
  <si>
    <t xml:space="preserve">red, blue, </t>
  </si>
  <si>
    <t>Mid-City</t>
  </si>
  <si>
    <t xml:space="preserve">Pizza, Turkey Tacos, yellow, </t>
  </si>
  <si>
    <t xml:space="preserve">Classic Burger &amp; Fries, Turkey Tacos, yellow, </t>
  </si>
  <si>
    <t xml:space="preserve">yellow, blue, </t>
  </si>
  <si>
    <t xml:space="preserve">Pizza, red, Beef Tacos, </t>
  </si>
  <si>
    <t>Studio City</t>
  </si>
  <si>
    <t xml:space="preserve">red, Classic Burger &amp; Fries, yellow, </t>
  </si>
  <si>
    <t xml:space="preserve">red, Classic Burger &amp; Fries, </t>
  </si>
  <si>
    <t xml:space="preserve">red, Classic Turkey Burger &amp; Fries, teal, </t>
  </si>
  <si>
    <t xml:space="preserve">Vegetarian Pizza, Beef Tacos, </t>
  </si>
  <si>
    <t>Valley2</t>
  </si>
  <si>
    <t xml:space="preserve">green , blue, </t>
  </si>
  <si>
    <t xml:space="preserve">Veggie Tacos, yellow, </t>
  </si>
  <si>
    <t xml:space="preserve">Pizza, red, </t>
  </si>
  <si>
    <t xml:space="preserve">Classic Veggie Burger &amp; Fries, blue, </t>
  </si>
  <si>
    <t xml:space="preserve">red, Turkey Tacos, teal, </t>
  </si>
  <si>
    <t xml:space="preserve">Classic Burger &amp; Fries, yellow, </t>
  </si>
  <si>
    <t xml:space="preserve">Classic Turkey Burger &amp; Fries, Turkey Tacos, teal, </t>
  </si>
  <si>
    <t xml:space="preserve">Beef Tacos, yellow, teal, </t>
  </si>
  <si>
    <t xml:space="preserve">red, Classic Burger &amp; Fries, green , </t>
  </si>
  <si>
    <t xml:space="preserve">Classic Veggie Burger &amp; Fries, yellow, </t>
  </si>
  <si>
    <t xml:space="preserve">Beef Tacos, teal, </t>
  </si>
  <si>
    <t xml:space="preserve">Beef Tacos, green , teal, </t>
  </si>
  <si>
    <t xml:space="preserve">Classic Turkey Burger &amp; Fries, green , teal, </t>
  </si>
  <si>
    <t xml:space="preserve">Vegetarian Pizza, green , yellow, </t>
  </si>
  <si>
    <t xml:space="preserve">Pizza, green , yellow, </t>
  </si>
  <si>
    <t xml:space="preserve">Pizza, green , teal, </t>
  </si>
  <si>
    <t xml:space="preserve">Vegetarian Pizza, Turkey Tacos, </t>
  </si>
  <si>
    <t xml:space="preserve">red, Turkey Tacos, yellow, </t>
  </si>
  <si>
    <t xml:space="preserve">Pizza, yellow, </t>
  </si>
  <si>
    <t xml:space="preserve">Pizza, red, teal, </t>
  </si>
  <si>
    <t xml:space="preserve">Pizza, green , </t>
  </si>
  <si>
    <t xml:space="preserve">red, yellow, blue, </t>
  </si>
  <si>
    <t xml:space="preserve">Turkey Tacos, yellow, </t>
  </si>
  <si>
    <t xml:space="preserve">Vegetarian Pizza, teal, </t>
  </si>
  <si>
    <t xml:space="preserve">Veggie Tacos, green , </t>
  </si>
  <si>
    <t xml:space="preserve">Classic Burger &amp; Fries, teal, </t>
  </si>
  <si>
    <t xml:space="preserve">Classic Turkey Burger &amp; Fries, Turkey Tacos, </t>
  </si>
  <si>
    <t xml:space="preserve">Classic Turkey Burger &amp; Fries, yellow, </t>
  </si>
  <si>
    <t xml:space="preserve">Turkey Tacos, teal, </t>
  </si>
  <si>
    <t xml:space="preserve">red, Classic Turkey Burger &amp; Fries, Turkey Tacos, </t>
  </si>
  <si>
    <t xml:space="preserve">Turkey Tacos, green , </t>
  </si>
  <si>
    <t xml:space="preserve">Classic Burger &amp; Fries, Turkey Tacos, teal, </t>
  </si>
  <si>
    <t xml:space="preserve">Vegetarian Pizza, Beef Tacos, yellow, </t>
  </si>
  <si>
    <t xml:space="preserve">Turkey Tacos, green , teal, </t>
  </si>
  <si>
    <t xml:space="preserve">Classic Turkey Burger &amp; Fries, teal, </t>
  </si>
  <si>
    <t xml:space="preserve">red, Classic Turkey Burger &amp; Fries, green , </t>
  </si>
  <si>
    <t xml:space="preserve">red, Vegetarian Pizza, yellow, </t>
  </si>
  <si>
    <t xml:space="preserve">red, Classic Turkey Burger &amp; Fries, </t>
  </si>
  <si>
    <t xml:space="preserve">Classic Turkey Burger &amp; Fries, Beef Tacos, </t>
  </si>
  <si>
    <t xml:space="preserve">Pizza, Turkey Tacos, </t>
  </si>
  <si>
    <t xml:space="preserve">red, Vegetarian Pizza, </t>
  </si>
  <si>
    <t xml:space="preserve">Turkey Tacos, green , yellow, </t>
  </si>
  <si>
    <t xml:space="preserve">Classic Veggie Burger &amp; Fries, Vegetarian Pizza, green , </t>
  </si>
  <si>
    <t xml:space="preserve">Classic Veggie Burger &amp; Fries, Vegetarian Pizza, </t>
  </si>
  <si>
    <t>None</t>
  </si>
  <si>
    <t xml:space="preserve">Classic Burger &amp; Fries, Turkey Tacos, </t>
  </si>
  <si>
    <t xml:space="preserve">Pizza, Classic Burger &amp; Fries, yellow, </t>
  </si>
  <si>
    <t xml:space="preserve">Pizza, Beef Tacos, teal, </t>
  </si>
  <si>
    <t xml:space="preserve">Pizza, red, green , </t>
  </si>
  <si>
    <t xml:space="preserve">Vegetarian Pizza, green , </t>
  </si>
  <si>
    <t xml:space="preserve">Classic Veggie Burger &amp; Fries, Beef Tacos, </t>
  </si>
  <si>
    <t xml:space="preserve">red, Classic Veggie Burger &amp; Fries, Turkey Tacos, </t>
  </si>
  <si>
    <t xml:space="preserve">Veggie Tacos, green , yellow, </t>
  </si>
  <si>
    <t xml:space="preserve">Classic Burger &amp; Fries, yellow, teal, </t>
  </si>
  <si>
    <t xml:space="preserve">red, Classic Burger &amp; Fries, Beef Tacos, </t>
  </si>
  <si>
    <t xml:space="preserve">Classic Veggie Burger &amp; Fries, Turkey Tacos, </t>
  </si>
  <si>
    <t xml:space="preserve">blue, teal, </t>
  </si>
  <si>
    <t xml:space="preserve">red, Classic Turkey Burger &amp; Fries, yellow, </t>
  </si>
  <si>
    <t xml:space="preserve">red, Classic Veggie Burger &amp; Fries, </t>
  </si>
  <si>
    <t xml:space="preserve">Classic Veggie Burger &amp; Fries, green , </t>
  </si>
  <si>
    <t xml:space="preserve">Classic Turkey Burger &amp; Fries, yellow, teal, </t>
  </si>
  <si>
    <t xml:space="preserve">Beef Tacos, green , </t>
  </si>
  <si>
    <t xml:space="preserve">Pizza, Turkey Tacos, teal, </t>
  </si>
  <si>
    <t xml:space="preserve">Classic Burger &amp; Fries, Vegetarian Pizza, Turkey Tacos, </t>
  </si>
  <si>
    <t xml:space="preserve">Pizza, yellow, blue, </t>
  </si>
  <si>
    <t xml:space="preserve">Beef Tacos, blue, </t>
  </si>
  <si>
    <t xml:space="preserve">Pizza, red, Classic Burger &amp; Fries, </t>
  </si>
  <si>
    <t xml:space="preserve">red, Classic Veggie Burger &amp; Fries, yellow, </t>
  </si>
  <si>
    <t xml:space="preserve">Turkey Tacos, green , blue, </t>
  </si>
  <si>
    <t xml:space="preserve">Classic Veggie Burger &amp; Fries, Beef Tacos, teal, </t>
  </si>
  <si>
    <t xml:space="preserve">Pizza, Classic Turkey Burger &amp; Fries,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</si>
</sst>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</borders>
  <cellStyleXfs count="11">
    <xf numFmtId="0" fontId="0" fillId="0" borderId="0"/>
    <xf numFmtId="0" fontId="6" fillId="2" borderId="0"/>
    <xf numFmtId="0" fontId="7" fillId="3" borderId="0"/>
    <xf numFmtId="0" fontId="8" fillId="4" borderId="0"/>
    <xf numFmtId="0" fontId="9" fillId="5" borderId="1"/>
    <xf numFmtId="0" fontId="10" fillId="6" borderId="2"/>
    <xf numFmtId="0" fontId="11" fillId="7" borderId="0"/>
    <xf numFmtId="0" fontId="4" fillId="8" borderId="0"/>
    <xf numFmtId="0" fontId="4" fillId="9" borderId="0"/>
    <xf numFmtId="0" fontId="4" fillId="10" borderId="0"/>
    <xf numFmtId="0" fontId="4" fillId="11" borderId="0"/>
  </cellStyleXfs>
  <cellXfs count="89">
    <xf numFmtId="0" fontId="0" fillId="0" borderId="0" xfId="0"/>
    <xf numFmtId="0" fontId="4" fillId="10" borderId="0" xfId="9" quotePrefix="1"/>
    <xf numFmtId="0" fontId="4" fillId="9" borderId="0" xfId="8"/>
    <xf numFmtId="0" fontId="4" fillId="11" borderId="0" xfId="10"/>
    <xf numFmtId="0" fontId="4" fillId="12" borderId="0" xfId="10" applyFill="1"/>
    <xf numFmtId="0" fontId="4" fillId="13" borderId="0" xfId="10" applyFill="1"/>
    <xf numFmtId="0" fontId="4" fillId="14" borderId="0" xfId="10" applyFill="1"/>
    <xf numFmtId="0" fontId="4" fillId="15" borderId="0" xfId="10" applyFill="1"/>
    <xf numFmtId="0" fontId="4" fillId="16" borderId="0" xfId="10" applyFill="1"/>
    <xf numFmtId="0" fontId="4" fillId="17" borderId="0" xfId="10" applyFill="1"/>
    <xf numFmtId="0" fontId="4" fillId="17" borderId="0" xfId="7" applyFill="1"/>
    <xf numFmtId="0" fontId="9" fillId="5" borderId="3" xfId="4" applyBorder="1"/>
    <xf numFmtId="0" fontId="10" fillId="6" borderId="4" xfId="5" applyBorder="1"/>
    <xf numFmtId="0" fontId="4" fillId="17" borderId="5" xfId="7" applyFill="1" applyBorder="1"/>
    <xf numFmtId="0" fontId="4" fillId="17" borderId="6" xfId="7" applyFill="1" applyBorder="1"/>
    <xf numFmtId="0" fontId="12" fillId="11" borderId="7" xfId="10" applyFont="1" applyBorder="1"/>
    <xf numFmtId="0" fontId="13" fillId="3" borderId="8" xfId="2" applyFont="1" applyBorder="1"/>
    <xf numFmtId="0" fontId="12" fillId="10" borderId="8" xfId="9" quotePrefix="1" applyFont="1" applyBorder="1"/>
    <xf numFmtId="0" fontId="14" fillId="2" borderId="8" xfId="1" applyFont="1" applyBorder="1"/>
    <xf numFmtId="0" fontId="15" fillId="4" borderId="8" xfId="3" applyFont="1" applyBorder="1"/>
    <xf numFmtId="0" fontId="10" fillId="7" borderId="8" xfId="6" applyFont="1" applyBorder="1"/>
    <xf numFmtId="0" fontId="12" fillId="9" borderId="8" xfId="8" applyFont="1" applyBorder="1"/>
    <xf numFmtId="0" fontId="12" fillId="15" borderId="0" xfId="10" applyFont="1" applyFill="1"/>
    <xf numFmtId="0" fontId="13" fillId="15" borderId="0" xfId="2" applyFont="1" applyFill="1"/>
    <xf numFmtId="0" fontId="12" fillId="15" borderId="0" xfId="9" applyFont="1" applyFill="1"/>
    <xf numFmtId="0" fontId="14" fillId="15" borderId="0" xfId="1" applyFont="1" applyFill="1"/>
    <xf numFmtId="0" fontId="15" fillId="15" borderId="0" xfId="3" applyFont="1" applyFill="1"/>
    <xf numFmtId="0" fontId="10" fillId="15" borderId="0" xfId="6" applyFont="1" applyFill="1"/>
    <xf numFmtId="0" fontId="12" fillId="15" borderId="0" xfId="8" applyFont="1" applyFill="1"/>
    <xf numFmtId="0" fontId="16" fillId="15" borderId="11" xfId="4" applyFont="1" applyFill="1" applyBorder="1"/>
    <xf numFmtId="0" fontId="10" fillId="15" borderId="12" xfId="5" applyFill="1" applyBorder="1"/>
    <xf numFmtId="0" fontId="12" fillId="9" borderId="14" xfId="8" applyFont="1" applyBorder="1"/>
    <xf numFmtId="0" fontId="3" fillId="9" borderId="16" xfId="8" applyFont="1" applyBorder="1"/>
    <xf numFmtId="0" fontId="12" fillId="9" borderId="18" xfId="8" applyFont="1" applyBorder="1"/>
    <xf numFmtId="0" fontId="3" fillId="17" borderId="16" xfId="7" applyFont="1" applyFill="1" applyBorder="1"/>
    <xf numFmtId="0" fontId="12" fillId="15" borderId="21" xfId="8" applyFont="1" applyFill="1" applyBorder="1"/>
    <xf numFmtId="0" fontId="16" fillId="5" borderId="1" xfId="4" applyFont="1"/>
    <xf numFmtId="0" fontId="9" fillId="5" borderId="1" xfId="4"/>
    <xf numFmtId="0" fontId="16" fillId="5" borderId="9" xfId="4" applyFont="1" applyBorder="1"/>
    <xf numFmtId="0" fontId="3" fillId="17" borderId="19" xfId="7" applyFont="1" applyFill="1" applyBorder="1"/>
    <xf numFmtId="0" fontId="16" fillId="15" borderId="22" xfId="4" applyFont="1" applyFill="1" applyBorder="1"/>
    <xf numFmtId="0" fontId="12" fillId="11" borderId="13" xfId="10" applyFont="1" applyBorder="1"/>
    <xf numFmtId="0" fontId="3" fillId="16" borderId="15" xfId="10" applyFont="1" applyFill="1" applyBorder="1"/>
    <xf numFmtId="0" fontId="3" fillId="15" borderId="15" xfId="10" applyFont="1" applyFill="1" applyBorder="1"/>
    <xf numFmtId="0" fontId="3" fillId="14" borderId="15" xfId="10" applyFont="1" applyFill="1" applyBorder="1"/>
    <xf numFmtId="0" fontId="3" fillId="13" borderId="15" xfId="10" applyFont="1" applyFill="1" applyBorder="1"/>
    <xf numFmtId="0" fontId="3" fillId="12" borderId="15" xfId="10" applyFont="1" applyFill="1" applyBorder="1"/>
    <xf numFmtId="0" fontId="12" fillId="11" borderId="17" xfId="10" applyFont="1" applyBorder="1"/>
    <xf numFmtId="0" fontId="3" fillId="17" borderId="15" xfId="10" applyFont="1" applyFill="1" applyBorder="1"/>
    <xf numFmtId="0" fontId="12" fillId="15" borderId="20" xfId="10" applyFont="1" applyFill="1" applyBorder="1"/>
    <xf numFmtId="0" fontId="0" fillId="0" borderId="0" xfId="0"/>
    <xf numFmtId="0" fontId="0" fillId="13" borderId="23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7" borderId="26" xfId="0" applyFill="1" applyBorder="1"/>
    <xf numFmtId="0" fontId="0" fillId="17" borderId="27" xfId="0" applyFill="1" applyBorder="1"/>
    <xf numFmtId="0" fontId="0" fillId="17" borderId="28" xfId="0" applyFill="1" applyBorder="1"/>
    <xf numFmtId="0" fontId="18" fillId="0" borderId="0" xfId="0" applyFont="1"/>
    <xf numFmtId="0" fontId="18" fillId="0" borderId="29" xfId="0" applyFont="1" applyBorder="1" applyAlignment="1">
      <alignment horizontal="left" vertical="center"/>
    </xf>
    <xf numFmtId="0" fontId="18" fillId="0" borderId="29" xfId="0" applyFont="1" applyBorder="1" applyAlignment="1">
      <alignment horizontal="left" wrapText="1"/>
    </xf>
    <xf numFmtId="0" fontId="18" fillId="0" borderId="30" xfId="0" applyFont="1" applyBorder="1" applyAlignment="1">
      <alignment horizontal="left" vertical="center"/>
    </xf>
    <xf numFmtId="0" fontId="18" fillId="19" borderId="0" xfId="0" applyFont="1" applyFill="1"/>
    <xf numFmtId="0" fontId="18" fillId="15" borderId="0" xfId="0" applyFont="1" applyFill="1"/>
    <xf numFmtId="0" fontId="18" fillId="21" borderId="0" xfId="0" applyFont="1" applyFill="1"/>
    <xf numFmtId="0" fontId="18" fillId="13" borderId="0" xfId="0" applyFont="1" applyFill="1"/>
    <xf numFmtId="0" fontId="18" fillId="20" borderId="0" xfId="0" applyFont="1" applyFill="1"/>
    <xf numFmtId="0" fontId="19" fillId="22" borderId="0" xfId="0" applyFont="1" applyFill="1"/>
    <xf numFmtId="0" fontId="18" fillId="23" borderId="0" xfId="0" applyFont="1" applyFill="1"/>
    <xf numFmtId="14" fontId="18" fillId="0" borderId="0" xfId="0" applyNumberFormat="1" applyFont="1"/>
    <xf numFmtId="0" fontId="10" fillId="6" borderId="2" xfId="5"/>
    <xf numFmtId="0" fontId="10" fillId="6" borderId="32" xfId="5" applyBorder="1"/>
    <xf numFmtId="0" fontId="10" fillId="6" borderId="10" xfId="5" applyBorder="1"/>
    <xf numFmtId="0" fontId="2" fillId="17" borderId="31" xfId="7" applyFont="1" applyFill="1" applyBorder="1"/>
    <xf numFmtId="0" fontId="10" fillId="15" borderId="33" xfId="5" applyFill="1" applyBorder="1"/>
    <xf numFmtId="0" fontId="0" fillId="18" borderId="0" xfId="0" applyFill="1"/>
    <xf numFmtId="0" fontId="0" fillId="20" borderId="0" xfId="0" applyFill="1"/>
    <xf numFmtId="0" fontId="0" fillId="19" borderId="0" xfId="0" applyFill="1"/>
    <xf numFmtId="0" fontId="0" fillId="13" borderId="0" xfId="0" applyFill="1"/>
    <xf numFmtId="0" fontId="0" fillId="15" borderId="0" xfId="0" applyFill="1"/>
    <xf numFmtId="0" fontId="0" fillId="12" borderId="0" xfId="0" applyFill="1"/>
    <xf numFmtId="0" fontId="0" fillId="24" borderId="0" xfId="0" applyFill="1"/>
    <xf numFmtId="0" fontId="17" fillId="0" borderId="0" xfId="0" applyFont="1"/>
    <xf numFmtId="0" fontId="5" fillId="0" borderId="0" xfId="0" applyFont="1"/>
    <xf numFmtId="1" fontId="0" fillId="0" borderId="0" xfId="0" applyNumberFormat="1"/>
    <xf numFmtId="0" fontId="7" fillId="3" borderId="0" xfId="2"/>
    <xf numFmtId="0" fontId="6" fillId="2" borderId="0" xfId="1"/>
    <xf numFmtId="0" fontId="8" fillId="4" borderId="0" xfId="3"/>
    <xf numFmtId="0" fontId="11" fillId="7" borderId="0" xfId="6"/>
    <xf numFmtId="0" fontId="1" fillId="10" borderId="0" xfId="9" quotePrefix="1" applyFont="1"/>
  </cellXfs>
  <cellStyles count="11">
    <cellStyle name="20% - Accent4" xfId="7" builtinId="42"/>
    <cellStyle name="20% - Accent5" xfId="8" builtinId="46"/>
    <cellStyle name="60% - Accent5" xfId="9" builtinId="48"/>
    <cellStyle name="60% - Accent6" xfId="10" builtinId="52"/>
    <cellStyle name="Accent1" xfId="6" builtinId="29"/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1" formatCode="0"/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fill>
        <patternFill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981" totalsRowShown="0" headerRowDxfId="19">
  <autoFilter ref="A1:S981" xr:uid="{00000000-0009-0000-0100-000001000000}"/>
  <sortState xmlns:xlrd2="http://schemas.microsoft.com/office/spreadsheetml/2017/richdata2" ref="A2:S981">
    <sortCondition ref="A2:A981"/>
    <sortCondition ref="D2:D981"/>
  </sortState>
  <tableColumns count="19">
    <tableColumn id="1" xr3:uid="{00000000-0010-0000-0000-000001000000}" name="Gluten Free"/>
    <tableColumn id="4" xr3:uid="{00000000-0010-0000-0000-000004000000}" name="Number of Meals"/>
    <tableColumn id="5" xr3:uid="{00000000-0010-0000-0000-000005000000}" name="Size" dataDxfId="18"/>
    <tableColumn id="6" xr3:uid="{00000000-0010-0000-0000-000006000000}" name="Meals"/>
    <tableColumn id="2" xr3:uid="{00000000-0010-0000-0000-000002000000}" name="Antiox" dataDxfId="17"/>
    <tableColumn id="3" xr3:uid="{00000000-0010-0000-0000-000003000000}" name="BIG RED" dataDxfId="16"/>
    <tableColumn id="8" xr3:uid="{00000000-0010-0000-0000-000008000000}" name="Blue" dataDxfId="15"/>
    <tableColumn id="9" xr3:uid="{00000000-0010-0000-0000-000009000000}" name="Boost" dataDxfId="14"/>
    <tableColumn id="10" xr3:uid="{00000000-0010-0000-0000-00000A000000}" name="Green" dataDxfId="13"/>
    <tableColumn id="11" xr3:uid="{00000000-0010-0000-0000-00000B000000}" name="PBJ" dataDxfId="12"/>
    <tableColumn id="12" xr3:uid="{00000000-0010-0000-0000-00000C000000}" name="VitC" dataDxfId="11"/>
    <tableColumn id="20" xr3:uid="{00000000-0010-0000-0000-000014000000}" name="BREAKGF" dataDxfId="10"/>
    <tableColumn id="16" xr3:uid="{00000000-0010-0000-0000-000010000000}" name="CHIP" dataDxfId="9"/>
    <tableColumn id="17" xr3:uid="{00000000-0010-0000-0000-000011000000}" name="CHIPGF" dataDxfId="8"/>
    <tableColumn id="18" xr3:uid="{00000000-0010-0000-0000-000012000000}" name="OR" dataDxfId="7"/>
    <tableColumn id="14" xr3:uid="{00000000-0010-0000-0000-00000E000000}" name="OR GF" dataDxfId="6"/>
    <tableColumn id="15" xr3:uid="{00000000-0010-0000-0000-00000F000000}" name="SUGAR" dataDxfId="5"/>
    <tableColumn id="13" xr3:uid="{00000000-0010-0000-0000-00000D000000}" name="SUGARGF" dataDxfId="4"/>
    <tableColumn id="7" xr3:uid="{00000000-0010-0000-0000-000007000000}" name="Delivery Rou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U2:AJ16" totalsRowShown="0">
  <autoFilter ref="U2:AJ16" xr:uid="{00000000-0009-0000-0100-000002000000}"/>
  <tableColumns count="16">
    <tableColumn id="1" xr3:uid="{00000000-0010-0000-0100-000001000000}" name=" Size" dataCellStyle="60% - Accent6"/>
    <tableColumn id="2" xr3:uid="{00000000-0010-0000-0100-000002000000}" name="BEEF" dataDxfId="3" dataCellStyle="Bad">
      <calculatedColumnFormula>COUNTIF(D2:D11, "*Beef &amp; Potato Pierogi*")</calculatedColumnFormula>
    </tableColumn>
    <tableColumn id="3" xr3:uid="{00000000-0010-0000-0100-000003000000}" name="CHIX" dataCellStyle="60% - Accent5"/>
    <tableColumn id="4" xr3:uid="{00000000-0010-0000-0100-000004000000}" name="PEALAFEL" dataCellStyle="Good"/>
    <tableColumn id="5" xr3:uid="{00000000-0010-0000-0100-000005000000}" name="POTPIE" dataCellStyle="Neutral"/>
    <tableColumn id="6" xr3:uid="{00000000-0010-0000-0100-000006000000}" name="V-CHIX" dataCellStyle="Accent1"/>
    <tableColumn id="7" xr3:uid="{00000000-0010-0000-0100-000007000000}" name="B-Tacos" dataCellStyle="20% - Accent5"/>
    <tableColumn id="8" xr3:uid="{00000000-0010-0000-0100-000008000000}" name="T-Tacos" dataCellStyle="20% - Accent5"/>
    <tableColumn id="9" xr3:uid="{00000000-0010-0000-0100-000009000000}" name="V-Tacos" dataCellStyle="20% - Accent5"/>
    <tableColumn id="10" xr3:uid="{00000000-0010-0000-0100-00000A000000}" name="B-Burg" dataCellStyle="Input"/>
    <tableColumn id="11" xr3:uid="{00000000-0010-0000-0100-00000B000000}" name="T-Burg" dataCellStyle="Input"/>
    <tableColumn id="12" xr3:uid="{00000000-0010-0000-0100-00000C000000}" name="V-Burg" dataCellStyle="Input"/>
    <tableColumn id="13" xr3:uid="{00000000-0010-0000-0100-00000D000000}" name="Pizza" dataCellStyle="Check Cell"/>
    <tableColumn id="14" xr3:uid="{00000000-0010-0000-0100-00000E000000}" name="V-Pizza" dataCellStyle="Input"/>
    <tableColumn id="15" xr3:uid="{00000000-0010-0000-0100-00000F000000}" name="Column1" dataCellStyle="Input"/>
    <tableColumn id="16" xr3:uid="{00000000-0010-0000-0100-000010000000}" name="Pizza2" dataCellStyle="Inpu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U19:W25" totalsRowShown="0">
  <autoFilter ref="U19:W25" xr:uid="{00000000-0009-0000-0100-000003000000}"/>
  <tableColumns count="3">
    <tableColumn id="1" xr3:uid="{00000000-0010-0000-0200-000001000000}" name="# of Meals"/>
    <tableColumn id="2" xr3:uid="{00000000-0010-0000-0200-000002000000}" name="Size"/>
    <tableColumn id="3" xr3:uid="{00000000-0010-0000-0200-000003000000}" name="# of boxes" dataDxfId="2">
      <calculatedColumnFormula>COUNTIFS(Table1[Gluten Free], "",Table1[Number of Meals], "3 Meals", Table1[Size], "&gt;=3")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Z19:AA27" totalsRowShown="0">
  <autoFilter ref="Z19:AA27" xr:uid="{00000000-0009-0000-0100-000004000000}"/>
  <tableColumns count="2">
    <tableColumn id="1" xr3:uid="{00000000-0010-0000-0300-000001000000}" name="Smoothie"/>
    <tableColumn id="2" xr3:uid="{00000000-0010-0000-0300-000002000000}" name="# of Orders" dataDxfId="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" displayName="Table46" ref="Z29:AA37" totalsRowShown="0">
  <autoFilter ref="Z29:AA37" xr:uid="{00000000-0009-0000-0100-000005000000}"/>
  <tableColumns count="2">
    <tableColumn id="1" xr3:uid="{00000000-0010-0000-0400-000001000000}" name="COOKIES"/>
    <tableColumn id="2" xr3:uid="{00000000-0010-0000-0400-000002000000}" name="# of Orders" dataDxfId="0">
      <calculatedColumnFormula>SUM(F:F)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81"/>
  <sheetViews>
    <sheetView tabSelected="1" workbookViewId="0">
      <selection activeCell="Q229" sqref="Q229"/>
    </sheetView>
  </sheetViews>
  <sheetFormatPr defaultRowHeight="14.4" x14ac:dyDescent="0.3"/>
  <cols>
    <col min="1" max="1" width="12.88671875" style="50" customWidth="1"/>
    <col min="2" max="2" width="14.109375" style="50" customWidth="1"/>
    <col min="3" max="3" width="7.88671875" style="50" customWidth="1"/>
    <col min="4" max="4" width="34.5546875" style="50" customWidth="1"/>
    <col min="5" max="11" width="5.6640625" style="50" customWidth="1"/>
    <col min="12" max="12" width="10.6640625" style="50" customWidth="1"/>
    <col min="13" max="13" width="8.5546875" style="50" customWidth="1"/>
    <col min="14" max="17" width="5.6640625" style="50" customWidth="1"/>
    <col min="18" max="18" width="7.6640625" style="50" customWidth="1"/>
    <col min="19" max="19" width="23" style="50" customWidth="1"/>
    <col min="20" max="20" width="10.88671875" style="50" customWidth="1"/>
    <col min="21" max="21" width="16.5546875" style="50" customWidth="1"/>
    <col min="22" max="22" width="11" style="50" customWidth="1"/>
    <col min="23" max="23" width="11.109375" style="50" customWidth="1"/>
    <col min="25" max="25" width="11" style="50" customWidth="1"/>
    <col min="26" max="26" width="11.44140625" style="50" customWidth="1"/>
    <col min="27" max="27" width="12.5546875" style="50" customWidth="1"/>
    <col min="28" max="28" width="10" style="50" customWidth="1"/>
  </cols>
  <sheetData>
    <row r="1" spans="1:36" ht="15" customHeight="1" thickBot="1" x14ac:dyDescent="0.35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2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82" t="s">
        <v>18</v>
      </c>
      <c r="U1" s="57" t="s">
        <v>19</v>
      </c>
      <c r="V1" s="68" t="s">
        <v>20</v>
      </c>
      <c r="W1" s="57"/>
    </row>
    <row r="2" spans="1:36" ht="15.6" customHeight="1" thickTop="1" thickBot="1" x14ac:dyDescent="0.35">
      <c r="A2" s="50" t="s">
        <v>0</v>
      </c>
      <c r="B2" t="s">
        <v>21</v>
      </c>
      <c r="C2" t="s">
        <v>22</v>
      </c>
      <c r="D2" t="s">
        <v>55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50" t="s">
        <v>53</v>
      </c>
      <c r="U2" s="3" t="s">
        <v>24</v>
      </c>
      <c r="V2" s="84" t="s">
        <v>25</v>
      </c>
      <c r="W2" s="88" t="s">
        <v>26</v>
      </c>
      <c r="X2" s="85" t="s">
        <v>27</v>
      </c>
      <c r="Y2" s="86" t="s">
        <v>28</v>
      </c>
      <c r="Z2" s="87" t="s">
        <v>29</v>
      </c>
      <c r="AA2" s="2" t="s">
        <v>30</v>
      </c>
      <c r="AB2" s="2" t="s">
        <v>31</v>
      </c>
      <c r="AC2" s="2" t="s">
        <v>32</v>
      </c>
      <c r="AD2" s="37" t="s">
        <v>33</v>
      </c>
      <c r="AE2" s="37" t="s">
        <v>34</v>
      </c>
      <c r="AF2" s="37" t="s">
        <v>35</v>
      </c>
      <c r="AG2" s="69" t="s">
        <v>36</v>
      </c>
      <c r="AH2" s="69" t="s">
        <v>37</v>
      </c>
      <c r="AI2" t="s">
        <v>38</v>
      </c>
      <c r="AJ2" s="69" t="s">
        <v>39</v>
      </c>
    </row>
    <row r="3" spans="1:36" ht="15.6" customHeight="1" thickTop="1" thickBot="1" x14ac:dyDescent="0.35">
      <c r="A3" s="50" t="s">
        <v>0</v>
      </c>
      <c r="B3" t="s">
        <v>21</v>
      </c>
      <c r="C3" t="s">
        <v>48</v>
      </c>
      <c r="D3" t="s">
        <v>146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U3" s="8">
        <v>4</v>
      </c>
      <c r="V3" s="84">
        <f>COUNTIFS(Table1[Gluten Free], "", Table1[Size], "4", Table1[Meals], "*red*")</f>
        <v>41</v>
      </c>
      <c r="W3" s="1">
        <f>COUNTIFS(Table1[Gluten Free], "", Table1[Size], "4", Table1[Meals], "*teal*")</f>
        <v>40</v>
      </c>
      <c r="X3" s="85">
        <f>COUNTIFS(Table1[Gluten Free], "", Table1[Size], "4", Table1[Meals], "*green*")</f>
        <v>32</v>
      </c>
      <c r="Y3" s="86">
        <f>COUNTIFS(Table1[Gluten Free], "", Table1[Size], "4", Table1[Meals], "*yellow*")</f>
        <v>26</v>
      </c>
      <c r="Z3" s="87">
        <f>COUNTIFS(Table1[Gluten Free], "", Table1[Size], "4", Table1[Meals], "*blue*")</f>
        <v>5</v>
      </c>
      <c r="AA3" s="2">
        <f>COUNTIFS(Table1[Gluten Free], "", Table1[Size], "4", Table1[Meals], "*Beef Tacos*")</f>
        <v>2</v>
      </c>
      <c r="AB3" s="2">
        <f>COUNTIFS(Table1[Gluten Free], "", Table1[Size], "4", Table1[Meals], "*Turkey Tacos*")</f>
        <v>4</v>
      </c>
      <c r="AC3" s="2">
        <f>COUNTIFS(Table1[Gluten Free], "", Table1[Size], "4", Table1[Meals], "*Veggie Tacos*")</f>
        <v>0</v>
      </c>
      <c r="AD3" s="37">
        <f>COUNTIFS(Table1[Gluten Free], "", Table1[Size], "4", Table1[Meals], "*Classic Burger &amp; Fries*")</f>
        <v>2</v>
      </c>
      <c r="AE3" s="37">
        <f>COUNTIFS(Table1[Gluten Free], "", Table1[Size], "4", Table1[Meals], "*Classic Turkey Burger &amp; Fries*")</f>
        <v>1</v>
      </c>
      <c r="AF3" s="37">
        <f>COUNTIFS(Table1[Gluten Free], "", Table1[Size], "4", Table1[Meals], "*Classic Veggie Burger &amp; Fries*")</f>
        <v>2</v>
      </c>
      <c r="AG3" s="69">
        <f>AJ3-AH3</f>
        <v>4</v>
      </c>
      <c r="AH3" s="69">
        <f>COUNTIFS(Table1[Gluten Free], "", Table1[Size], "4", Table1[Meals], "*Vegetarian Pizza*")</f>
        <v>1</v>
      </c>
      <c r="AI3" s="37"/>
      <c r="AJ3" s="37">
        <f>COUNTIFS(Table1[Gluten Free], "", Table1[Size], "4", Table1[Meals], "*Pizza*")</f>
        <v>5</v>
      </c>
    </row>
    <row r="4" spans="1:36" ht="15.6" customHeight="1" thickTop="1" thickBot="1" x14ac:dyDescent="0.35">
      <c r="A4" s="50" t="s">
        <v>0</v>
      </c>
      <c r="B4" t="s">
        <v>21</v>
      </c>
      <c r="C4" t="s">
        <v>22</v>
      </c>
      <c r="D4" t="s">
        <v>195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 s="7">
        <v>3</v>
      </c>
      <c r="V4" s="84">
        <f>COUNTIFS(Table1[Gluten Free], "", Table1[Size], "3", Table1[Meals], "*red*")</f>
        <v>80</v>
      </c>
      <c r="W4" s="1">
        <f>COUNTIFS(Table1[Gluten Free], "", Table1[Size], "3", Table1[Meals], "*teal*")</f>
        <v>71</v>
      </c>
      <c r="X4" s="85">
        <f>COUNTIFS(Table1[Gluten Free], "", Table1[Size], "3", Table1[Meals], "*green*")</f>
        <v>43</v>
      </c>
      <c r="Y4" s="86">
        <f>COUNTIFS(Table1[Gluten Free], "", Table1[Size], "3", Table1[Meals], "*yellow*")</f>
        <v>40</v>
      </c>
      <c r="Z4" s="87">
        <f>COUNTIFS(Table1[Gluten Free], "", Table1[Size], "3", Table1[Meals], "*blue*")</f>
        <v>4</v>
      </c>
      <c r="AA4" s="2">
        <f>COUNTIFS(Table1[Gluten Free], "", Table1[Size], "3", Table1[Meals], "*Beef Tacos*")</f>
        <v>10</v>
      </c>
      <c r="AB4" s="2">
        <f>COUNTIFS(Table1[Gluten Free], "", Table1[Size], "3", Table1[Meals], "*Turkey Tacos*")</f>
        <v>9</v>
      </c>
      <c r="AC4" s="2">
        <f>COUNTIFS(Table1[Gluten Free], "", Table1[Size], "3", Table1[Meals], "*Veggie Tacos*")</f>
        <v>0</v>
      </c>
      <c r="AD4" s="37">
        <f>COUNTIFS(Table1[Gluten Free], "", Table1[Size], "3", Table1[Meals], "*Classic Burger &amp; Fries*")</f>
        <v>6</v>
      </c>
      <c r="AE4" s="37">
        <f>COUNTIFS(Table1[Gluten Free], "", Table1[Size], "3", Table1[Meals], "*Classic Turkey Burger &amp; Fries*")</f>
        <v>2</v>
      </c>
      <c r="AF4" s="37">
        <f>COUNTIFS(Table1[Gluten Free], "", Table1[Size], "3", Table1[Meals], "*Classic Veggie Burger &amp; Fries*")</f>
        <v>2</v>
      </c>
      <c r="AG4" s="69">
        <f>AJ4-AH4</f>
        <v>5</v>
      </c>
      <c r="AH4" s="69">
        <f>COUNTIFS(Table1[Gluten Free], "", Table1[Size], "3", Table1[Meals], "*Vegetarian Pizza*")</f>
        <v>3</v>
      </c>
      <c r="AI4" s="37"/>
      <c r="AJ4" s="37">
        <f>COUNTIFS(Table1[Gluten Free], "", Table1[Size], "3", Table1[Meals], "*Pizza*")</f>
        <v>8</v>
      </c>
    </row>
    <row r="5" spans="1:36" ht="15.6" customHeight="1" thickTop="1" thickBot="1" x14ac:dyDescent="0.35">
      <c r="A5" t="s">
        <v>0</v>
      </c>
      <c r="B5" t="s">
        <v>21</v>
      </c>
      <c r="C5" t="s">
        <v>51</v>
      </c>
      <c r="D5" t="s">
        <v>164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/>
      <c r="U5" s="6">
        <v>2</v>
      </c>
      <c r="V5" s="84">
        <f>COUNTIFS(Table1[Gluten Free], "", Table1[Size], "2", Table1[Meals], "*red*")</f>
        <v>172</v>
      </c>
      <c r="W5" s="1">
        <f>COUNTIFS(Table1[Gluten Free], "", Table1[Size], "2", Table1[Meals], "*teal*")</f>
        <v>151</v>
      </c>
      <c r="X5" s="85">
        <f>COUNTIFS(Table1[Gluten Free], "", Table1[Size], "2", Table1[Meals], "*green*")</f>
        <v>96</v>
      </c>
      <c r="Y5" s="86">
        <f>COUNTIFS(Table1[Gluten Free], "", Table1[Size], "2", Table1[Meals], "*yellow*")</f>
        <v>105</v>
      </c>
      <c r="Z5" s="87">
        <f>COUNTIFS(Table1[Gluten Free], "", Table1[Size], "2", Table1[Meals], "*blue*")</f>
        <v>15</v>
      </c>
      <c r="AA5" s="2">
        <f>COUNTIFS(Table1[Gluten Free], "", Table1[Size], "2", Table1[Meals], "*Beef Tacos*")</f>
        <v>10</v>
      </c>
      <c r="AB5" s="2">
        <f>COUNTIFS(Table1[Gluten Free], "", Table1[Size], "2", Table1[Meals], "*Turkey Tacos*")</f>
        <v>25</v>
      </c>
      <c r="AC5" s="2">
        <f>COUNTIFS(Table1[Gluten Free], "", Table1[Size], "2", Table1[Meals], "*Veggie Tacos*")</f>
        <v>5</v>
      </c>
      <c r="AD5" s="37">
        <f>COUNTIFS(Table1[Gluten Free], "", Table1[Size], "2", Table1[Meals], "*Classic Burger &amp; Fries*")</f>
        <v>19</v>
      </c>
      <c r="AE5" s="37">
        <f>COUNTIFS(Table1[Gluten Free], "", Table1[Size], "2", Table1[Meals], "*Classic Turkey Burger &amp; Fries*")</f>
        <v>8</v>
      </c>
      <c r="AF5" s="37">
        <f>COUNTIFS(Table1[Gluten Free], "", Table1[Size], "2", Table1[Meals], "*Classic Veggie Burger &amp; Fries*")</f>
        <v>3</v>
      </c>
      <c r="AG5" s="69">
        <f>AJ5-AH5</f>
        <v>22</v>
      </c>
      <c r="AH5" s="69">
        <f>COUNTIFS(Table1[Gluten Free], "", Table1[Size], "2", Table1[Meals], "*Vegetarian Pizza*")</f>
        <v>7</v>
      </c>
      <c r="AI5" s="37"/>
      <c r="AJ5" s="37">
        <f>COUNTIFS(Table1[Gluten Free], "", Table1[Size], "2", Table1[Meals], "*Pizza*")</f>
        <v>29</v>
      </c>
    </row>
    <row r="6" spans="1:36" ht="15.6" customHeight="1" thickTop="1" thickBot="1" x14ac:dyDescent="0.35">
      <c r="A6" t="s">
        <v>0</v>
      </c>
      <c r="B6" t="s">
        <v>21</v>
      </c>
      <c r="C6" t="s">
        <v>51</v>
      </c>
      <c r="D6" t="s">
        <v>170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/>
      <c r="U6" s="5">
        <v>1</v>
      </c>
      <c r="V6" s="84">
        <f>COUNTIFS(Table1[Gluten Free], "", Table1[Size], "1", Table1[Meals], "*red*")</f>
        <v>120</v>
      </c>
      <c r="W6" s="1">
        <f>COUNTIFS(Table1[Gluten Free], "", Table1[Size], "1", Table1[Meals], "*teal*")</f>
        <v>97</v>
      </c>
      <c r="X6" s="85">
        <f>COUNTIFS(Table1[Gluten Free], "", Table1[Size], "1", Table1[Meals], "*green*")</f>
        <v>78</v>
      </c>
      <c r="Y6" s="86">
        <f>COUNTIFS(Table1[Gluten Free], "", Table1[Size], "1", Table1[Meals], "*yellow*")</f>
        <v>91</v>
      </c>
      <c r="Z6" s="87">
        <f>COUNTIFS(Table1[Gluten Free], "", Table1[Size], "1", Table1[Meals], "*blue*")</f>
        <v>8</v>
      </c>
      <c r="AA6" s="2">
        <f>COUNTIFS(Table1[Gluten Free], "", Table1[Size], "1", Table1[Meals], "*Beef Tacos*")</f>
        <v>12</v>
      </c>
      <c r="AB6" s="2">
        <f>COUNTIFS(Table1[Gluten Free], "", Table1[Size], "1", Table1[Meals], "*Turkey Tacos*")</f>
        <v>10</v>
      </c>
      <c r="AC6" s="2">
        <f>COUNTIFS(Table1[Gluten Free], "", Table1[Size], "1", Table1[Meals], "*Veggie Tacos*")</f>
        <v>0</v>
      </c>
      <c r="AD6" s="37">
        <f>COUNTIFS(Table1[Gluten Free], "", Table1[Size], "1", Table1[Meals], "*Classic Burger &amp; Fries*")</f>
        <v>16</v>
      </c>
      <c r="AE6" s="37">
        <f>COUNTIFS(Table1[Gluten Free], "", Table1[Size], "1", Table1[Meals], "*Classic Turkey Burger &amp; Fries*")</f>
        <v>8</v>
      </c>
      <c r="AF6" s="37">
        <f>COUNTIFS(Table1[Gluten Free], "", Table1[Size], "1", Table1[Meals], "*Classic Veggie Burger &amp; Fries*")</f>
        <v>8</v>
      </c>
      <c r="AG6" s="69">
        <f>AJ6-AH6</f>
        <v>17</v>
      </c>
      <c r="AH6" s="69">
        <f>COUNTIFS(Table1[Gluten Free], "", Table1[Size], "1", Table1[Meals], "*Vegetarian Pizza*")</f>
        <v>7</v>
      </c>
      <c r="AI6" s="37"/>
      <c r="AJ6" s="37">
        <f>COUNTIFS(Table1[Gluten Free], "", Table1[Size], "1", Table1[Meals], "*Pizza*")</f>
        <v>24</v>
      </c>
    </row>
    <row r="7" spans="1:36" ht="15.6" customHeight="1" thickTop="1" thickBot="1" x14ac:dyDescent="0.35">
      <c r="A7" s="50" t="s">
        <v>0</v>
      </c>
      <c r="B7" t="s">
        <v>21</v>
      </c>
      <c r="C7" t="s">
        <v>46</v>
      </c>
      <c r="D7" t="s">
        <v>130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53</v>
      </c>
      <c r="U7" s="4">
        <v>0</v>
      </c>
      <c r="V7" s="84">
        <f>COUNTIFS(Table1[Gluten Free], "", Table1[Size], "0", Table1[Meals], "*red*")</f>
        <v>99</v>
      </c>
      <c r="W7" s="1">
        <f>COUNTIFS(Table1[Gluten Free], "", Table1[Size], "0", Table1[Meals], "*teal*")</f>
        <v>87</v>
      </c>
      <c r="X7" s="85">
        <f>COUNTIFS(Table1[Gluten Free], "", Table1[Size], "0", Table1[Meals], "*green*")</f>
        <v>80</v>
      </c>
      <c r="Y7" s="86">
        <f>COUNTIFS(Table1[Gluten Free], "", Table1[Size], "0", Table1[Meals], "*yellow*")</f>
        <v>83</v>
      </c>
      <c r="Z7" s="87">
        <f>COUNTIFS(Table1[Gluten Free], "", Table1[Size], "0", Table1[Meals], "*blue*")</f>
        <v>13</v>
      </c>
      <c r="AA7" s="2">
        <f>COUNTIFS(Table1[Gluten Free], "", Table1[Size], "0", Table1[Meals], "*Beef Tacos*")</f>
        <v>11</v>
      </c>
      <c r="AB7" s="2">
        <f>COUNTIFS(Table1[Gluten Free], "", Table1[Size], "0", Table1[Meals], "*Turkey Tacos*")</f>
        <v>6</v>
      </c>
      <c r="AC7" s="2">
        <f>COUNTIFS(Table1[Gluten Free], "", Table1[Size], "0", Table1[Meals], "*Veggie Tacos*")</f>
        <v>4</v>
      </c>
      <c r="AD7" s="11">
        <f>COUNTIFS(Table1[Gluten Free], "", Table1[Size], "0", Table1[Meals], "*Classic Burger &amp; Fries*")</f>
        <v>6</v>
      </c>
      <c r="AE7" s="11">
        <f>COUNTIFS(Table1[Gluten Free], "", Table1[Size], "0", Table1[Meals], "*Classic Turkey Burger &amp; Fries*")</f>
        <v>10</v>
      </c>
      <c r="AF7" s="11">
        <f>COUNTIFS(Table1[Gluten Free], "", Table1[Size], "0", Table1[Meals], "*Classic Veggie Burger &amp; Fries*")</f>
        <v>2</v>
      </c>
      <c r="AG7" s="12">
        <f>AJ7-AH7</f>
        <v>10</v>
      </c>
      <c r="AH7" s="12">
        <f>COUNTIFS(Table1[Gluten Free], "", Table1[Size], "0", Table1[Meals], "*Vegetarian Pizza*")</f>
        <v>8</v>
      </c>
      <c r="AI7" s="37"/>
      <c r="AJ7" s="37">
        <f>COUNTIFS(Table1[Gluten Free], "", Table1[Size], "0", Table1[Meals], "*Pizza*")</f>
        <v>18</v>
      </c>
    </row>
    <row r="8" spans="1:36" ht="15" customHeight="1" thickBot="1" x14ac:dyDescent="0.35">
      <c r="A8" s="50" t="s">
        <v>0</v>
      </c>
      <c r="B8" t="s">
        <v>21</v>
      </c>
      <c r="C8" t="s">
        <v>22</v>
      </c>
      <c r="D8" t="s">
        <v>192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84</v>
      </c>
      <c r="U8" s="15" t="s">
        <v>54</v>
      </c>
      <c r="V8" s="16">
        <f t="shared" ref="V8:AH8" si="0">SUM(V3:V7)</f>
        <v>512</v>
      </c>
      <c r="W8" s="17">
        <f t="shared" si="0"/>
        <v>446</v>
      </c>
      <c r="X8" s="18">
        <f t="shared" si="0"/>
        <v>329</v>
      </c>
      <c r="Y8" s="19">
        <f t="shared" si="0"/>
        <v>345</v>
      </c>
      <c r="Z8" s="20">
        <f t="shared" si="0"/>
        <v>45</v>
      </c>
      <c r="AA8" s="21">
        <f t="shared" si="0"/>
        <v>45</v>
      </c>
      <c r="AB8" s="21">
        <f t="shared" si="0"/>
        <v>54</v>
      </c>
      <c r="AC8" s="21">
        <f t="shared" si="0"/>
        <v>9</v>
      </c>
      <c r="AD8" s="38">
        <f t="shared" si="0"/>
        <v>49</v>
      </c>
      <c r="AE8" s="38">
        <f t="shared" si="0"/>
        <v>29</v>
      </c>
      <c r="AF8" s="38">
        <f t="shared" si="0"/>
        <v>17</v>
      </c>
      <c r="AG8" s="71">
        <f t="shared" si="0"/>
        <v>58</v>
      </c>
      <c r="AH8" s="71">
        <f t="shared" si="0"/>
        <v>26</v>
      </c>
      <c r="AI8" s="37"/>
      <c r="AJ8" s="37">
        <f>SUM(AJ3:AJ7)</f>
        <v>84</v>
      </c>
    </row>
    <row r="9" spans="1:36" ht="15" customHeight="1" thickBot="1" x14ac:dyDescent="0.35">
      <c r="A9" s="50" t="s">
        <v>0</v>
      </c>
      <c r="B9" t="s">
        <v>21</v>
      </c>
      <c r="C9" t="s">
        <v>41</v>
      </c>
      <c r="D9" t="s">
        <v>111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/>
      <c r="U9" s="9" t="s">
        <v>57</v>
      </c>
      <c r="V9" s="10"/>
      <c r="W9" s="10"/>
      <c r="X9" s="10"/>
      <c r="Y9" s="10"/>
      <c r="Z9" s="10"/>
      <c r="AA9" s="10"/>
      <c r="AB9" s="10"/>
      <c r="AC9" s="10"/>
      <c r="AD9" s="13"/>
      <c r="AE9" s="13"/>
      <c r="AF9" s="13"/>
      <c r="AG9" s="14"/>
      <c r="AH9" s="14"/>
      <c r="AI9" s="37"/>
      <c r="AJ9" s="37"/>
    </row>
    <row r="10" spans="1:36" ht="15.6" customHeight="1" thickTop="1" thickBot="1" x14ac:dyDescent="0.35">
      <c r="A10" t="s">
        <v>0</v>
      </c>
      <c r="B10" t="s">
        <v>21</v>
      </c>
      <c r="C10" t="s">
        <v>41</v>
      </c>
      <c r="D10" t="s">
        <v>199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 s="8">
        <v>4</v>
      </c>
      <c r="V10" s="84">
        <f>COUNTIFS(Table1[Gluten Free], "gluten free", Table1[Size], "4", Table1[Meals], "*red*")</f>
        <v>9</v>
      </c>
      <c r="W10" s="1">
        <f>COUNTIFS(Table1[Gluten Free], "gluten free", Table1[Size], "4", Table1[Meals], "*teal*")</f>
        <v>10</v>
      </c>
      <c r="X10" s="85">
        <f>COUNTIFS(Table1[Gluten Free], "gluten free", Table1[Size], "4", Table1[Meals], "*green*")</f>
        <v>3</v>
      </c>
      <c r="Y10" s="86">
        <f>COUNTIFS(Table1[Gluten Free], "gluten free", Table1[Size], "4", Table1[Meals], "*yellow*")</f>
        <v>5</v>
      </c>
      <c r="Z10" s="87">
        <f>COUNTIFS(Table1[Gluten Free], "gluten free", Table1[Size], "4", Table1[Meals], "*blue*")</f>
        <v>0</v>
      </c>
      <c r="AA10" s="2">
        <f>COUNTIFS(Table1[Gluten Free], "gluten free", Table1[Size], "4", Table1[Meals], "*Beef Tacos*")</f>
        <v>1</v>
      </c>
      <c r="AB10" s="2">
        <f>COUNTIFS(Table1[Gluten Free], "gluten free", Table1[Size], "4", Table1[Meals], "*Turkey Tacos*")</f>
        <v>0</v>
      </c>
      <c r="AC10" s="2">
        <f>COUNTIFS(Table1[Gluten Free], "gluten free", Table1[Size], "4", Table1[Meals], "*Veggie Tacos*")</f>
        <v>0</v>
      </c>
      <c r="AD10" s="37">
        <f>COUNTIFS(Table1[Gluten Free], "gluten free", Table1[Size], "4", Table1[Meals], "*Classic Burger &amp; Fries*")</f>
        <v>2</v>
      </c>
      <c r="AE10" s="37">
        <f>COUNTIFS(Table1[Gluten Free], "gluten free", Table1[Size], "4", Table1[Meals], "*Classic Turkey Burger &amp; Fries*")</f>
        <v>0</v>
      </c>
      <c r="AF10" s="37">
        <f>COUNTIFS(Table1[Gluten Free], "gluten free", Table1[Size], "4", Table1[Meals], "*Classic Veggie Burger &amp; Fries*")</f>
        <v>0</v>
      </c>
      <c r="AG10" s="69">
        <f>AJ10-AH10</f>
        <v>1</v>
      </c>
      <c r="AH10" s="69">
        <f>COUNTIFS(Table1[Gluten Free], "gluten free", Table1[Size], "4", Table1[Meals], "*Vegetarian Pizza*")</f>
        <v>0</v>
      </c>
      <c r="AI10" s="37"/>
      <c r="AJ10" s="37">
        <f>COUNTIFS(Table1[Gluten Free], "gluten free", Table1[Size], "4", Table1[Meals], "*Pizza*")</f>
        <v>1</v>
      </c>
    </row>
    <row r="11" spans="1:36" ht="15.6" customHeight="1" thickTop="1" thickBot="1" x14ac:dyDescent="0.35">
      <c r="A11" s="50" t="s">
        <v>0</v>
      </c>
      <c r="B11" t="s">
        <v>21</v>
      </c>
      <c r="C11" t="s">
        <v>22</v>
      </c>
      <c r="D11" t="s">
        <v>123</v>
      </c>
      <c r="E11">
        <v>2</v>
      </c>
      <c r="F11">
        <v>0</v>
      </c>
      <c r="G11">
        <v>2</v>
      </c>
      <c r="H11">
        <v>2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s="7">
        <v>3</v>
      </c>
      <c r="V11" s="84">
        <f>COUNTIFS(Table1[Gluten Free], "gluten free", Table1[Size], "3", Table1[Meals], "*red*")</f>
        <v>15</v>
      </c>
      <c r="W11" s="1">
        <f>COUNTIFS(Table1[Gluten Free], "gluten free", Table1[Size], "3", Table1[Meals], "*teal*")</f>
        <v>11</v>
      </c>
      <c r="X11" s="85">
        <f>COUNTIFS(Table1[Gluten Free], "gluten free", Table1[Size], "3", Table1[Meals], "*green*")</f>
        <v>6</v>
      </c>
      <c r="Y11" s="86">
        <f>COUNTIFS(Table1[Gluten Free], "gluten free", Table1[Size], "3", Table1[Meals], "*yellow*")</f>
        <v>6</v>
      </c>
      <c r="Z11" s="87">
        <f>COUNTIFS(Table1[Gluten Free], "gluten free", Table1[Size], "3", Table1[Meals], "*blue*")</f>
        <v>0</v>
      </c>
      <c r="AA11" s="2">
        <f>COUNTIFS(Table1[Gluten Free], "gluten free", Table1[Size], "3", Table1[Meals], "*Beef Tacos*")</f>
        <v>1</v>
      </c>
      <c r="AB11" s="2">
        <f>COUNTIFS(Table1[Gluten Free], "gluten free", Table1[Size], "3", Table1[Meals], "*Turkey Tacos*")</f>
        <v>3</v>
      </c>
      <c r="AC11" s="2">
        <f>COUNTIFS(Table1[Gluten Free], "gluten free", Table1[Size], "3", Table1[Meals], "*Veggie Tacos*")</f>
        <v>0</v>
      </c>
      <c r="AD11" s="37">
        <f>COUNTIFS(Table1[Gluten Free], "gluten free", Table1[Size], "3", Table1[Meals], "*Classic Burger &amp; Fries*")</f>
        <v>2</v>
      </c>
      <c r="AE11" s="37">
        <f>COUNTIFS(Table1[Gluten Free], "gluten free", Table1[Size], "3", Table1[Meals], "*Classic Turkey Burger &amp; Fries*")</f>
        <v>0</v>
      </c>
      <c r="AF11" s="37">
        <f>COUNTIFS(Table1[Gluten Free], "gluten free", Table1[Size], "3", Table1[Meals], "*Classic Veggie Burger &amp; Fries*")</f>
        <v>0</v>
      </c>
      <c r="AG11" s="69">
        <f>AJ11-AH11</f>
        <v>2</v>
      </c>
      <c r="AH11" s="69">
        <f>COUNTIFS(Table1[Gluten Free], "gluten free", Table1[Size], "3", Table1[Meals], "*Vegetarian Pizza*")</f>
        <v>0</v>
      </c>
      <c r="AI11" s="37"/>
      <c r="AJ11" s="37">
        <f>COUNTIFS(Table1[Gluten Free], "gluten free", Table1[Size], "3", Table1[Meals], "*Pizza*")</f>
        <v>2</v>
      </c>
    </row>
    <row r="12" spans="1:36" ht="15.6" customHeight="1" thickTop="1" thickBot="1" x14ac:dyDescent="0.35">
      <c r="A12" s="50" t="s">
        <v>0</v>
      </c>
      <c r="B12" t="s">
        <v>21</v>
      </c>
      <c r="C12" t="s">
        <v>22</v>
      </c>
      <c r="D12" t="s">
        <v>40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50" t="s">
        <v>67</v>
      </c>
      <c r="U12" s="6">
        <v>2</v>
      </c>
      <c r="V12" s="84">
        <f>COUNTIFS(Table1[Gluten Free], "gluten free", Table1[Size], "2", Table1[Meals], "*red*")</f>
        <v>32</v>
      </c>
      <c r="W12" s="1">
        <f>COUNTIFS(Table1[Gluten Free], "gluten free", Table1[Size], "2", Table1[Meals], "*teal*")</f>
        <v>36</v>
      </c>
      <c r="X12" s="85">
        <f>COUNTIFS(Table1[Gluten Free], "gluten free", Table1[Size], "2", Table1[Meals], "*green*")</f>
        <v>16</v>
      </c>
      <c r="Y12" s="86">
        <f>COUNTIFS(Table1[Gluten Free], "gluten free", Table1[Size], "2", Table1[Meals], "*yellow*")</f>
        <v>19</v>
      </c>
      <c r="Z12" s="87">
        <f>COUNTIFS(Table1[Gluten Free], "gluten free", Table1[Size], "2", Table1[Meals], "*blue*")</f>
        <v>1</v>
      </c>
      <c r="AA12" s="2">
        <f>COUNTIFS(Table1[Gluten Free], "gluten free", Table1[Size], "2", Table1[Meals], "*Beef Tacos*")</f>
        <v>2</v>
      </c>
      <c r="AB12" s="2">
        <f>COUNTIFS(Table1[Gluten Free], "gluten free", Table1[Size], "2", Table1[Meals], "*Turkey Tacos*")</f>
        <v>2</v>
      </c>
      <c r="AC12" s="2">
        <f>COUNTIFS(Table1[Gluten Free], "gluten free", Table1[Size], "2", Table1[Meals], "*Veggie Tacos*")</f>
        <v>0</v>
      </c>
      <c r="AD12" s="37">
        <f>COUNTIFS(Table1[Gluten Free], "gluten free", Table1[Size], "2", Table1[Meals], "*Classic Burger &amp; Fries*")</f>
        <v>2</v>
      </c>
      <c r="AE12" s="37">
        <f>COUNTIFS(Table1[Gluten Free], "gluten free", Table1[Size], "2", Table1[Meals], "*Classic Turkey Burger &amp; Fries*")</f>
        <v>0</v>
      </c>
      <c r="AF12" s="37">
        <f>COUNTIFS(Table1[Gluten Free], "gluten free", Table1[Size], "2", Table1[Meals], "*Classic Veggie Burger &amp; Fries*")</f>
        <v>0</v>
      </c>
      <c r="AG12" s="69">
        <f>AJ12-AH12</f>
        <v>3</v>
      </c>
      <c r="AH12" s="69">
        <f>COUNTIFS(Table1[Gluten Free], "gluten free", Table1[Size], "2", Table1[Meals], "*Vegetarian Pizza*")</f>
        <v>0</v>
      </c>
      <c r="AI12" s="37"/>
      <c r="AJ12" s="37">
        <f>COUNTIFS(Table1[Gluten Free], "gluten free", Table1[Size], "2", Table1[Meals], "*Pizza*")</f>
        <v>3</v>
      </c>
    </row>
    <row r="13" spans="1:36" ht="15.6" customHeight="1" thickTop="1" thickBot="1" x14ac:dyDescent="0.35">
      <c r="A13" s="50" t="s">
        <v>0</v>
      </c>
      <c r="B13" t="s">
        <v>21</v>
      </c>
      <c r="C13" t="s">
        <v>22</v>
      </c>
      <c r="D13" t="s">
        <v>40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/>
      <c r="U13" s="5">
        <v>1</v>
      </c>
      <c r="V13" s="84">
        <f>COUNTIFS(Table1[Gluten Free], "gluten free", Table1[Size], "1", Table1[Meals], "*red*")</f>
        <v>14</v>
      </c>
      <c r="W13" s="1">
        <f>COUNTIFS(Table1[Gluten Free], "gluten free", Table1[Size], "1", Table1[Meals], "*teal*")</f>
        <v>14</v>
      </c>
      <c r="X13" s="85">
        <f>COUNTIFS(Table1[Gluten Free], "gluten free", Table1[Size], "1", Table1[Meals], "*green*")</f>
        <v>17</v>
      </c>
      <c r="Y13" s="86">
        <f>COUNTIFS(Table1[Gluten Free], "gluten free", Table1[Size], "1", Table1[Meals], "*yellow*")</f>
        <v>13</v>
      </c>
      <c r="Z13" s="87">
        <f>COUNTIFS(Table1[Gluten Free], "gluten free", Table1[Size], "1", Table1[Meals], "*blue*")</f>
        <v>4</v>
      </c>
      <c r="AA13" s="2">
        <f>COUNTIFS(Table1[Gluten Free], "gluten free", Table1[Size], "1", Table1[Meals], "*Beef Tacos*")</f>
        <v>1</v>
      </c>
      <c r="AB13" s="2">
        <f>COUNTIFS(Table1[Gluten Free], "gluten free", Table1[Size], "1", Table1[Meals], "*Turkey Tacos*")</f>
        <v>5</v>
      </c>
      <c r="AC13" s="2">
        <f>COUNTIFS(Table1[Gluten Free], "gluten free", Table1[Size], "1", Table1[Meals], "*Veggie Tacos*")</f>
        <v>1</v>
      </c>
      <c r="AD13" s="37">
        <f>COUNTIFS(Table1[Gluten Free], "gluten free", Table1[Size], "1", Table1[Meals], "*Classic Burger &amp; Fries*")</f>
        <v>0</v>
      </c>
      <c r="AE13" s="37">
        <f>COUNTIFS(Table1[Gluten Free], "gluten free", Table1[Size], "1", Table1[Meals], "*Classic Turkey Burger &amp; Fries*")</f>
        <v>3</v>
      </c>
      <c r="AF13" s="37">
        <f>COUNTIFS(Table1[Gluten Free], "gluten free", Table1[Size], "1", Table1[Meals], "*Classic Veggie Burger &amp; Fries*")</f>
        <v>1</v>
      </c>
      <c r="AG13" s="69">
        <f>AJ13-AH13</f>
        <v>3</v>
      </c>
      <c r="AH13" s="69">
        <f>COUNTIFS(Table1[Gluten Free], "gluten free", Table1[Size], "1", Table1[Meals], "*Vegetarian Pizza*")</f>
        <v>0</v>
      </c>
      <c r="AI13" s="37"/>
      <c r="AJ13" s="37">
        <f>COUNTIFS(Table1[Gluten Free], "gluten free", Table1[Size], "1", Table1[Meals], "*Pizza*")</f>
        <v>3</v>
      </c>
    </row>
    <row r="14" spans="1:36" ht="15.6" customHeight="1" thickTop="1" thickBot="1" x14ac:dyDescent="0.35">
      <c r="A14" s="50" t="s">
        <v>0</v>
      </c>
      <c r="B14" t="s">
        <v>21</v>
      </c>
      <c r="C14" t="s">
        <v>41</v>
      </c>
      <c r="D14" t="s">
        <v>40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50" t="s">
        <v>53</v>
      </c>
      <c r="U14" s="4">
        <v>0</v>
      </c>
      <c r="V14" s="84">
        <f>COUNTIFS(Table1[Gluten Free], "gluten free", Table1[Size], "0", Table1[Meals], "*red*")</f>
        <v>15</v>
      </c>
      <c r="W14" s="1">
        <f>COUNTIFS(Table1[Gluten Free], "gluten free", Table1[Size], "0", Table1[Meals], "*teal*")</f>
        <v>13</v>
      </c>
      <c r="X14" s="85">
        <f>COUNTIFS(Table1[Gluten Free], "gluten free", Table1[Size], "0", Table1[Meals], "*green*")</f>
        <v>9</v>
      </c>
      <c r="Y14" s="86">
        <f>COUNTIFS(Table1[Gluten Free], "gluten free", Table1[Size], "0", Table1[Meals], "*yellow*")</f>
        <v>14</v>
      </c>
      <c r="Z14" s="87">
        <f>COUNTIFS(Table1[Gluten Free], "gluten free", Table1[Size], "0", Table1[Meals], "*blue*")</f>
        <v>2</v>
      </c>
      <c r="AA14" s="2">
        <f>COUNTIFS(Table1[Gluten Free], "gluten free", Table1[Size], "0", Table1[Meals], "*Beef Tacos*")</f>
        <v>1</v>
      </c>
      <c r="AB14" s="2">
        <f>COUNTIFS(Table1[Gluten Free], "gluten free", Table1[Size], "0", Table1[Meals], "*Turkey Tacos*")</f>
        <v>1</v>
      </c>
      <c r="AC14" s="2">
        <f>COUNTIFS(Table1[Gluten Free], "gluten free", Table1[Size], "0", Table1[Meals], "*Veggie Tacos*")</f>
        <v>0</v>
      </c>
      <c r="AD14" s="11">
        <f>COUNTIFS(Table1[Gluten Free], "gluten free", Table1[Size], "0", Table1[Meals], "*Classic Burger &amp; Fries*")</f>
        <v>1</v>
      </c>
      <c r="AE14" s="11">
        <f>COUNTIFS(Table1[Gluten Free], "gluten free", Table1[Size], "0", Table1[Meals], "*Classic Turkey Burger &amp; Fries*")</f>
        <v>0</v>
      </c>
      <c r="AF14" s="11">
        <f>COUNTIFS(Table1[Gluten Free], "gluten free", Table1[Size], "0", Table1[Meals], "*Classic Veggie Burger &amp; Fries*")</f>
        <v>1</v>
      </c>
      <c r="AG14" s="12">
        <f>AJ14-AH14</f>
        <v>0</v>
      </c>
      <c r="AH14" s="12">
        <f>COUNTIFS(Table1[Gluten Free], "gluten free", Table1[Size], "0", Table1[Meals], "*Vegetarian Pizza*")</f>
        <v>1</v>
      </c>
      <c r="AI14" s="37"/>
      <c r="AJ14" s="37">
        <f>COUNTIFS(Table1[Gluten Free], "gluten free", Table1[Size], "0", Table1[Meals], "*Pizza*")</f>
        <v>1</v>
      </c>
    </row>
    <row r="15" spans="1:36" ht="15" customHeight="1" thickBot="1" x14ac:dyDescent="0.35">
      <c r="A15" s="50" t="s">
        <v>0</v>
      </c>
      <c r="B15" t="s">
        <v>21</v>
      </c>
      <c r="C15" t="s">
        <v>41</v>
      </c>
      <c r="D15" t="s">
        <v>40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U15" s="15" t="s">
        <v>62</v>
      </c>
      <c r="V15" s="16">
        <f t="shared" ref="V15:AH15" si="1">SUM(V10:V14)</f>
        <v>85</v>
      </c>
      <c r="W15" s="17">
        <f t="shared" si="1"/>
        <v>84</v>
      </c>
      <c r="X15" s="18">
        <f t="shared" si="1"/>
        <v>51</v>
      </c>
      <c r="Y15" s="19">
        <f t="shared" si="1"/>
        <v>57</v>
      </c>
      <c r="Z15" s="20">
        <f t="shared" si="1"/>
        <v>7</v>
      </c>
      <c r="AA15" s="21">
        <f t="shared" si="1"/>
        <v>6</v>
      </c>
      <c r="AB15" s="21">
        <f t="shared" si="1"/>
        <v>11</v>
      </c>
      <c r="AC15" s="21">
        <f t="shared" si="1"/>
        <v>1</v>
      </c>
      <c r="AD15" s="38">
        <f t="shared" si="1"/>
        <v>7</v>
      </c>
      <c r="AE15" s="38">
        <f t="shared" si="1"/>
        <v>3</v>
      </c>
      <c r="AF15" s="38">
        <f t="shared" si="1"/>
        <v>2</v>
      </c>
      <c r="AG15" s="71">
        <f t="shared" si="1"/>
        <v>9</v>
      </c>
      <c r="AH15" s="71">
        <f t="shared" si="1"/>
        <v>1</v>
      </c>
      <c r="AI15" s="37"/>
      <c r="AJ15" s="37">
        <f>SUM(AJ10:AJ14)</f>
        <v>10</v>
      </c>
    </row>
    <row r="16" spans="1:36" x14ac:dyDescent="0.3">
      <c r="A16" s="50" t="s">
        <v>0</v>
      </c>
      <c r="B16" t="s">
        <v>21</v>
      </c>
      <c r="C16" t="s">
        <v>48</v>
      </c>
      <c r="D16" t="s">
        <v>40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/>
      <c r="U16" s="22" t="s">
        <v>65</v>
      </c>
      <c r="V16" s="23">
        <f t="shared" ref="V16:AH16" si="2">SUM(V3:V7,V10:V14)</f>
        <v>597</v>
      </c>
      <c r="W16" s="24">
        <f t="shared" si="2"/>
        <v>530</v>
      </c>
      <c r="X16" s="25">
        <f t="shared" si="2"/>
        <v>380</v>
      </c>
      <c r="Y16" s="26">
        <f t="shared" si="2"/>
        <v>402</v>
      </c>
      <c r="Z16" s="27">
        <f t="shared" si="2"/>
        <v>52</v>
      </c>
      <c r="AA16" s="28">
        <f t="shared" si="2"/>
        <v>51</v>
      </c>
      <c r="AB16" s="28">
        <f t="shared" si="2"/>
        <v>65</v>
      </c>
      <c r="AC16" s="28">
        <f t="shared" si="2"/>
        <v>10</v>
      </c>
      <c r="AD16" s="29">
        <f t="shared" si="2"/>
        <v>56</v>
      </c>
      <c r="AE16" s="29">
        <f t="shared" si="2"/>
        <v>32</v>
      </c>
      <c r="AF16" s="29">
        <f t="shared" si="2"/>
        <v>19</v>
      </c>
      <c r="AG16" s="30">
        <f t="shared" si="2"/>
        <v>67</v>
      </c>
      <c r="AH16" s="30">
        <f t="shared" si="2"/>
        <v>27</v>
      </c>
      <c r="AI16" s="37"/>
      <c r="AJ16" s="37">
        <f>SUM(AJ3:AJ7,AJ10:AJ14)</f>
        <v>94</v>
      </c>
    </row>
    <row r="17" spans="1:34" ht="15" customHeight="1" thickBot="1" x14ac:dyDescent="0.35">
      <c r="A17" t="s">
        <v>0</v>
      </c>
      <c r="B17" t="s">
        <v>21</v>
      </c>
      <c r="C17" t="s">
        <v>41</v>
      </c>
      <c r="D17" t="s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V17" s="57"/>
    </row>
    <row r="18" spans="1:34" ht="15.6" customHeight="1" thickTop="1" thickBot="1" x14ac:dyDescent="0.35">
      <c r="A18" s="50" t="s">
        <v>0</v>
      </c>
      <c r="B18" t="s">
        <v>21</v>
      </c>
      <c r="C18" t="s">
        <v>51</v>
      </c>
      <c r="D18" t="s">
        <v>100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/>
      <c r="U18" t="s">
        <v>68</v>
      </c>
      <c r="V18">
        <f>SUM(Table3['# of boxes])</f>
        <v>0</v>
      </c>
      <c r="W18" s="57"/>
      <c r="AE18" s="41" t="s">
        <v>24</v>
      </c>
      <c r="AF18" s="31" t="s">
        <v>69</v>
      </c>
      <c r="AG18" s="36" t="s">
        <v>70</v>
      </c>
      <c r="AH18" s="69" t="s">
        <v>36</v>
      </c>
    </row>
    <row r="19" spans="1:34" ht="15.6" customHeight="1" thickTop="1" thickBot="1" x14ac:dyDescent="0.35">
      <c r="A19" s="50" t="s">
        <v>0</v>
      </c>
      <c r="B19" t="s">
        <v>21</v>
      </c>
      <c r="C19" t="s">
        <v>51</v>
      </c>
      <c r="D19" t="s">
        <v>100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50" t="s">
        <v>53</v>
      </c>
      <c r="U19" t="s">
        <v>71</v>
      </c>
      <c r="V19" t="s">
        <v>2</v>
      </c>
      <c r="W19" t="s">
        <v>72</v>
      </c>
      <c r="Z19" t="s">
        <v>73</v>
      </c>
      <c r="AA19" t="s">
        <v>74</v>
      </c>
      <c r="AE19" s="42">
        <v>4</v>
      </c>
      <c r="AF19" s="32">
        <f>SUM(AA3:AC3)</f>
        <v>6</v>
      </c>
      <c r="AG19" s="37">
        <f>SUM(AD3:AF3)</f>
        <v>5</v>
      </c>
      <c r="AH19" s="69">
        <f>SUM(AG3:AH3)</f>
        <v>5</v>
      </c>
    </row>
    <row r="20" spans="1:34" ht="15.6" customHeight="1" thickTop="1" thickBot="1" x14ac:dyDescent="0.35">
      <c r="A20" s="50" t="s">
        <v>0</v>
      </c>
      <c r="B20" t="s">
        <v>21</v>
      </c>
      <c r="C20" t="s">
        <v>22</v>
      </c>
      <c r="D20" t="s">
        <v>100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50" t="s">
        <v>53</v>
      </c>
      <c r="U20" s="51" t="s">
        <v>75</v>
      </c>
      <c r="V20" s="52" t="s">
        <v>76</v>
      </c>
      <c r="W20" s="53">
        <f>COUNTIFS(Table1[Gluten Free], "",Table1[Number of Meals], "3 Meals", Table1[Size], "&gt;=3")</f>
        <v>0</v>
      </c>
      <c r="Z20" s="74" t="s">
        <v>4</v>
      </c>
      <c r="AA20">
        <f>SUM(E:E)</f>
        <v>43</v>
      </c>
      <c r="AE20" s="43">
        <v>3</v>
      </c>
      <c r="AF20" s="32">
        <f>SUM(AA4:AC4)</f>
        <v>19</v>
      </c>
      <c r="AG20" s="37">
        <f>SUM(AD4:AF4)</f>
        <v>10</v>
      </c>
      <c r="AH20" s="69">
        <f>SUM(AG4:AH4)</f>
        <v>8</v>
      </c>
    </row>
    <row r="21" spans="1:34" ht="15.6" customHeight="1" thickTop="1" thickBot="1" x14ac:dyDescent="0.35">
      <c r="A21" s="50" t="s">
        <v>0</v>
      </c>
      <c r="B21" t="s">
        <v>21</v>
      </c>
      <c r="C21" t="s">
        <v>41</v>
      </c>
      <c r="D21" t="s">
        <v>100</v>
      </c>
      <c r="E21">
        <v>2</v>
      </c>
      <c r="F21">
        <v>0</v>
      </c>
      <c r="G21">
        <v>1</v>
      </c>
      <c r="H21">
        <v>0</v>
      </c>
      <c r="I21">
        <v>2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s="54" t="s">
        <v>75</v>
      </c>
      <c r="V21" s="55" t="s">
        <v>77</v>
      </c>
      <c r="W21" s="56">
        <f>COUNTIFS(Table1[Gluten Free], "Gluten Free",Table1[Number of Meals], "3 Meals", Table1[Size], "&gt;=3")</f>
        <v>0</v>
      </c>
      <c r="Z21" s="75" t="s">
        <v>5</v>
      </c>
      <c r="AA21">
        <f>SUM(F:F)</f>
        <v>24</v>
      </c>
      <c r="AE21" s="44">
        <v>2</v>
      </c>
      <c r="AF21" s="32">
        <f>SUM(AA5:AC5)</f>
        <v>40</v>
      </c>
      <c r="AG21" s="37">
        <f>SUM(AD5:AF5)</f>
        <v>30</v>
      </c>
      <c r="AH21" s="69">
        <f>SUM(AG5:AH5)</f>
        <v>29</v>
      </c>
    </row>
    <row r="22" spans="1:34" ht="15.6" customHeight="1" thickTop="1" thickBot="1" x14ac:dyDescent="0.35">
      <c r="A22" s="50" t="s">
        <v>0</v>
      </c>
      <c r="B22" t="s">
        <v>43</v>
      </c>
      <c r="C22" t="s">
        <v>41</v>
      </c>
      <c r="D22" t="s">
        <v>44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50" t="s">
        <v>45</v>
      </c>
      <c r="U22" s="51" t="s">
        <v>79</v>
      </c>
      <c r="V22" s="52" t="s">
        <v>80</v>
      </c>
      <c r="W22" s="53">
        <f>COUNTIFS(Table1[Gluten Free], "",Table1[Number of Meals], "3 Meals", Table1[Size], "&lt;=2")</f>
        <v>0</v>
      </c>
      <c r="Z22" s="76" t="s">
        <v>6</v>
      </c>
      <c r="AA22">
        <f>SUM(G:G)</f>
        <v>56</v>
      </c>
      <c r="AE22" s="45">
        <v>1</v>
      </c>
      <c r="AF22" s="32">
        <f>SUM(AA6:AC6)</f>
        <v>22</v>
      </c>
      <c r="AG22" s="37">
        <f>SUM(AD6:AF6)</f>
        <v>32</v>
      </c>
      <c r="AH22" s="69">
        <f>SUM(AG6:AH6)</f>
        <v>24</v>
      </c>
    </row>
    <row r="23" spans="1:34" ht="15.6" customHeight="1" thickTop="1" thickBot="1" x14ac:dyDescent="0.35">
      <c r="A23" s="50" t="s">
        <v>0</v>
      </c>
      <c r="B23" t="s">
        <v>43</v>
      </c>
      <c r="C23" t="s">
        <v>41</v>
      </c>
      <c r="D23" t="s">
        <v>44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/>
      <c r="U23" s="54" t="s">
        <v>79</v>
      </c>
      <c r="V23" s="55" t="s">
        <v>82</v>
      </c>
      <c r="W23" s="56">
        <f>COUNTIFS(Table1[Gluten Free], "Gluten Free",Table1[Number of Meals], "3 Meals", Table1[Size], "&lt;=2")</f>
        <v>0</v>
      </c>
      <c r="Z23" s="77" t="s">
        <v>7</v>
      </c>
      <c r="AA23">
        <f>SUM(H:H)</f>
        <v>51</v>
      </c>
      <c r="AE23" s="46">
        <v>0</v>
      </c>
      <c r="AF23" s="32">
        <f>SUM(AA7:AC7)</f>
        <v>21</v>
      </c>
      <c r="AG23" s="37">
        <f>SUM(AD7:AF7)</f>
        <v>18</v>
      </c>
      <c r="AH23" s="70">
        <f>SUM(AG7:AH7)</f>
        <v>18</v>
      </c>
    </row>
    <row r="24" spans="1:34" ht="15" customHeight="1" thickBot="1" x14ac:dyDescent="0.35">
      <c r="A24" s="50" t="s">
        <v>0</v>
      </c>
      <c r="B24" t="s">
        <v>43</v>
      </c>
      <c r="C24" t="s">
        <v>51</v>
      </c>
      <c r="D24" t="s">
        <v>44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56</v>
      </c>
      <c r="U24" s="51" t="s">
        <v>85</v>
      </c>
      <c r="V24" s="52" t="s">
        <v>86</v>
      </c>
      <c r="W24" s="53">
        <f>COUNTIFS(Table1[Gluten Free], "",Table1[Number of Meals], "2 Meals")</f>
        <v>0</v>
      </c>
      <c r="Z24" s="78" t="s">
        <v>8</v>
      </c>
      <c r="AA24">
        <f>SUM(I:I)</f>
        <v>94</v>
      </c>
      <c r="AE24" s="47" t="s">
        <v>54</v>
      </c>
      <c r="AF24" s="33">
        <f>SUM(AF19:AF23)</f>
        <v>108</v>
      </c>
      <c r="AG24" s="38">
        <f>SUM(AG19:AG23)</f>
        <v>95</v>
      </c>
      <c r="AH24" s="71">
        <f>SUM(AH19:AH23)</f>
        <v>84</v>
      </c>
    </row>
    <row r="25" spans="1:34" ht="15" customHeight="1" thickBot="1" x14ac:dyDescent="0.35">
      <c r="A25" t="s">
        <v>0</v>
      </c>
      <c r="B25" t="s">
        <v>43</v>
      </c>
      <c r="C25" t="s">
        <v>41</v>
      </c>
      <c r="D25" t="s">
        <v>44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50" t="s">
        <v>133</v>
      </c>
      <c r="U25" s="54" t="s">
        <v>85</v>
      </c>
      <c r="V25" s="54" t="s">
        <v>87</v>
      </c>
      <c r="W25" s="54">
        <f>COUNTIFS(Table1[Gluten Free], "Gluten Free",Table1[Number of Meals], "2 Meals")</f>
        <v>0</v>
      </c>
      <c r="Z25" s="79" t="s">
        <v>9</v>
      </c>
      <c r="AA25">
        <f>SUM(J:J)</f>
        <v>42</v>
      </c>
      <c r="AE25" s="48" t="s">
        <v>57</v>
      </c>
      <c r="AF25" s="34"/>
      <c r="AG25" s="39"/>
      <c r="AH25" s="72"/>
    </row>
    <row r="26" spans="1:34" ht="15.6" customHeight="1" thickTop="1" thickBot="1" x14ac:dyDescent="0.35">
      <c r="A26" s="50" t="s">
        <v>0</v>
      </c>
      <c r="B26" t="s">
        <v>21</v>
      </c>
      <c r="C26" t="s">
        <v>46</v>
      </c>
      <c r="D26" t="s">
        <v>63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Z26" s="80" t="s">
        <v>88</v>
      </c>
      <c r="AA26">
        <f>SUM(K:K)</f>
        <v>44</v>
      </c>
      <c r="AE26" s="42">
        <v>4</v>
      </c>
      <c r="AF26" s="32">
        <f>SUM(AA10:AC10)</f>
        <v>1</v>
      </c>
      <c r="AG26" s="37">
        <f>SUM(AD10:AF10)</f>
        <v>2</v>
      </c>
      <c r="AH26" s="69">
        <f>SUM(AG10:AH10)</f>
        <v>1</v>
      </c>
    </row>
    <row r="27" spans="1:34" ht="16.8" customHeight="1" thickTop="1" thickBot="1" x14ac:dyDescent="0.35">
      <c r="A27" s="50" t="s">
        <v>0</v>
      </c>
      <c r="B27" t="s">
        <v>21</v>
      </c>
      <c r="C27" t="s">
        <v>41</v>
      </c>
      <c r="D27" t="s">
        <v>63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U27" s="57" t="s">
        <v>90</v>
      </c>
      <c r="V27">
        <f>SUM(V28:V44)</f>
        <v>320</v>
      </c>
      <c r="Z27" s="81" t="s">
        <v>91</v>
      </c>
      <c r="AA27" s="82">
        <f>SUM(AA20:AA26)</f>
        <v>354</v>
      </c>
      <c r="AE27" s="43">
        <v>3</v>
      </c>
      <c r="AF27" s="32">
        <f>SUM(AA11:AC11)</f>
        <v>4</v>
      </c>
      <c r="AG27" s="37">
        <f>SUM(AD11:AF11)</f>
        <v>2</v>
      </c>
      <c r="AH27" s="69">
        <f>SUM(AG11:AH11)</f>
        <v>2</v>
      </c>
    </row>
    <row r="28" spans="1:34" ht="15.6" customHeight="1" thickTop="1" thickBot="1" x14ac:dyDescent="0.35">
      <c r="A28" s="50" t="s">
        <v>0</v>
      </c>
      <c r="B28" t="s">
        <v>21</v>
      </c>
      <c r="C28" t="s">
        <v>51</v>
      </c>
      <c r="D28" t="s">
        <v>63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/>
      <c r="U28" s="58" t="s">
        <v>64</v>
      </c>
      <c r="V28">
        <f>COUNTIFS(Table1[Delivery Route], "Pasadena")</f>
        <v>33</v>
      </c>
      <c r="AE28" s="44">
        <v>2</v>
      </c>
      <c r="AF28" s="32">
        <f>SUM(AA12:AC12)</f>
        <v>4</v>
      </c>
      <c r="AG28" s="37">
        <f>SUM(AD12:AF12)</f>
        <v>2</v>
      </c>
      <c r="AH28" s="69">
        <f>SUM(AG12:AH12)</f>
        <v>3</v>
      </c>
    </row>
    <row r="29" spans="1:34" ht="15.6" customHeight="1" thickTop="1" thickBot="1" x14ac:dyDescent="0.35">
      <c r="A29" s="50" t="s">
        <v>0</v>
      </c>
      <c r="B29" t="s">
        <v>21</v>
      </c>
      <c r="C29" t="s">
        <v>51</v>
      </c>
      <c r="D29" t="s">
        <v>63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U29" s="58" t="s">
        <v>92</v>
      </c>
      <c r="V29">
        <f>COUNTIFS(Table1[Delivery Route], "Manhattan Beach")</f>
        <v>29</v>
      </c>
      <c r="Z29" t="s">
        <v>93</v>
      </c>
      <c r="AA29" t="s">
        <v>74</v>
      </c>
      <c r="AE29" s="45">
        <v>1</v>
      </c>
      <c r="AF29" s="32">
        <f>SUM(AA13:AC13)</f>
        <v>7</v>
      </c>
      <c r="AG29" s="37">
        <f>SUM(AD13:AF13)</f>
        <v>4</v>
      </c>
      <c r="AH29" s="69">
        <f>SUM(AG13:AH13)</f>
        <v>3</v>
      </c>
    </row>
    <row r="30" spans="1:34" ht="15.6" customHeight="1" thickTop="1" thickBot="1" x14ac:dyDescent="0.35">
      <c r="A30" s="50" t="s">
        <v>0</v>
      </c>
      <c r="B30" t="s">
        <v>21</v>
      </c>
      <c r="C30" t="s">
        <v>22</v>
      </c>
      <c r="D30" t="s">
        <v>63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U30" s="58" t="s">
        <v>94</v>
      </c>
      <c r="V30">
        <f>COUNTIFS(Table1[Delivery Route], "Woodland Hills")</f>
        <v>28</v>
      </c>
      <c r="Z30" s="61" t="s">
        <v>11</v>
      </c>
      <c r="AA30">
        <f>SUM(L:L)</f>
        <v>30</v>
      </c>
      <c r="AE30" s="46">
        <v>0</v>
      </c>
      <c r="AF30" s="32">
        <f>SUM(AA14:AC14)</f>
        <v>2</v>
      </c>
      <c r="AG30" s="37">
        <f>SUM(AD14:AF14)</f>
        <v>2</v>
      </c>
      <c r="AH30" s="70">
        <f>SUM(AG14:AH14)</f>
        <v>1</v>
      </c>
    </row>
    <row r="31" spans="1:34" ht="15" customHeight="1" thickBot="1" x14ac:dyDescent="0.35">
      <c r="A31" s="50" t="s">
        <v>0</v>
      </c>
      <c r="B31" t="s">
        <v>21</v>
      </c>
      <c r="C31" t="s">
        <v>51</v>
      </c>
      <c r="D31" t="s">
        <v>63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50" t="s">
        <v>107</v>
      </c>
      <c r="U31" s="58" t="s">
        <v>95</v>
      </c>
      <c r="V31">
        <f>COUNTIFS(Table1[Delivery Route], "Studio City")</f>
        <v>14</v>
      </c>
      <c r="Z31" s="66" t="s">
        <v>12</v>
      </c>
      <c r="AA31">
        <f>SUM(M:M)</f>
        <v>37</v>
      </c>
      <c r="AE31" s="47" t="s">
        <v>62</v>
      </c>
      <c r="AF31" s="33">
        <f>SUM(AF26:AF30)</f>
        <v>18</v>
      </c>
      <c r="AG31" s="38">
        <f>SUM(AG26:AG30)</f>
        <v>12</v>
      </c>
      <c r="AH31" s="71">
        <f>SUM(AH26:AH30)</f>
        <v>10</v>
      </c>
    </row>
    <row r="32" spans="1:34" ht="15" customHeight="1" thickBot="1" x14ac:dyDescent="0.35">
      <c r="A32" s="50" t="s">
        <v>0</v>
      </c>
      <c r="B32" t="s">
        <v>21</v>
      </c>
      <c r="C32" t="s">
        <v>46</v>
      </c>
      <c r="D32" t="s">
        <v>141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/>
      <c r="U32" s="58" t="s">
        <v>98</v>
      </c>
      <c r="V32">
        <f>COUNTIFS(Table1[Delivery Route], "Brentwood")</f>
        <v>20</v>
      </c>
      <c r="Z32" s="63" t="s">
        <v>13</v>
      </c>
      <c r="AA32">
        <f>SUM(N:N)</f>
        <v>17</v>
      </c>
      <c r="AE32" s="49" t="s">
        <v>65</v>
      </c>
      <c r="AF32" s="35">
        <f>SUM(AF19:AF23,AF26:AF30)</f>
        <v>126</v>
      </c>
      <c r="AG32" s="40">
        <f>SUM(AG19:AG23,AG26:AG30)</f>
        <v>107</v>
      </c>
      <c r="AH32" s="73">
        <f>SUM(AH19:AH23,AH26:AH30)</f>
        <v>94</v>
      </c>
    </row>
    <row r="33" spans="1:27" ht="15" customHeight="1" thickBot="1" x14ac:dyDescent="0.35">
      <c r="A33" s="50" t="s">
        <v>0</v>
      </c>
      <c r="B33" t="s">
        <v>21</v>
      </c>
      <c r="C33" t="s">
        <v>46</v>
      </c>
      <c r="D33" t="s">
        <v>132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2</v>
      </c>
      <c r="Q33">
        <v>0</v>
      </c>
      <c r="R33">
        <v>0</v>
      </c>
      <c r="U33" s="58" t="s">
        <v>99</v>
      </c>
      <c r="V33">
        <f>COUNTIFS(Table1[Delivery Route], "Culver City")</f>
        <v>0</v>
      </c>
      <c r="Z33" s="65" t="s">
        <v>14</v>
      </c>
      <c r="AA33">
        <f>SUM(O:O)</f>
        <v>8</v>
      </c>
    </row>
    <row r="34" spans="1:27" ht="15" customHeight="1" thickBot="1" x14ac:dyDescent="0.35">
      <c r="A34" s="50" t="s">
        <v>0</v>
      </c>
      <c r="B34" t="s">
        <v>21</v>
      </c>
      <c r="C34" t="s">
        <v>51</v>
      </c>
      <c r="D34" t="s">
        <v>132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/>
      <c r="U34" s="59">
        <v>90004</v>
      </c>
      <c r="V34">
        <f>COUNTIFS(Table1[Delivery Route], "Los Angeles 04")</f>
        <v>8</v>
      </c>
      <c r="Z34" s="64" t="s">
        <v>101</v>
      </c>
      <c r="AA34">
        <f>SUM(P:P)</f>
        <v>6</v>
      </c>
    </row>
    <row r="35" spans="1:27" ht="15" customHeight="1" thickBot="1" x14ac:dyDescent="0.35">
      <c r="A35" s="50" t="s">
        <v>0</v>
      </c>
      <c r="B35" t="s">
        <v>21</v>
      </c>
      <c r="C35" t="s">
        <v>48</v>
      </c>
      <c r="D35" t="s">
        <v>205</v>
      </c>
      <c r="E35">
        <v>0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/>
      <c r="U35" s="58" t="s">
        <v>53</v>
      </c>
      <c r="V35">
        <f>COUNTIFS(Table1[Delivery Route], "Santa Monica")</f>
        <v>34</v>
      </c>
      <c r="Z35" s="62" t="s">
        <v>16</v>
      </c>
      <c r="AA35">
        <f>SUM(Q:Q)</f>
        <v>6</v>
      </c>
    </row>
    <row r="36" spans="1:27" ht="15" customHeight="1" thickBot="1" x14ac:dyDescent="0.35">
      <c r="A36" s="50" t="s">
        <v>0</v>
      </c>
      <c r="B36" t="s">
        <v>21</v>
      </c>
      <c r="C36" t="s">
        <v>51</v>
      </c>
      <c r="D36" t="s">
        <v>158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U36" s="58" t="s">
        <v>67</v>
      </c>
      <c r="V36">
        <f>COUNTIFS(Table1[Delivery Route], "Los Angeles")</f>
        <v>27</v>
      </c>
      <c r="Z36" s="67" t="s">
        <v>17</v>
      </c>
      <c r="AA36">
        <f>SUM(R:R)</f>
        <v>6</v>
      </c>
    </row>
    <row r="37" spans="1:27" ht="16.2" customHeight="1" thickBot="1" x14ac:dyDescent="0.35">
      <c r="A37" s="50" t="s">
        <v>0</v>
      </c>
      <c r="B37" t="s">
        <v>21</v>
      </c>
      <c r="C37" t="s">
        <v>51</v>
      </c>
      <c r="D37" t="s">
        <v>158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50" t="s">
        <v>97</v>
      </c>
      <c r="U37" s="58" t="s">
        <v>103</v>
      </c>
      <c r="V37">
        <f>COUNTIFS(Table1[Delivery Route], "Hollywood")</f>
        <v>12</v>
      </c>
      <c r="Z37" s="81" t="s">
        <v>91</v>
      </c>
      <c r="AA37" s="82">
        <f>SUM(AA30:AA36)</f>
        <v>110</v>
      </c>
    </row>
    <row r="38" spans="1:27" ht="15" customHeight="1" thickBot="1" x14ac:dyDescent="0.35">
      <c r="A38" t="s">
        <v>0</v>
      </c>
      <c r="B38" t="s">
        <v>21</v>
      </c>
      <c r="C38" t="s">
        <v>41</v>
      </c>
      <c r="D38" t="s">
        <v>201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/>
      <c r="U38" s="58" t="s">
        <v>104</v>
      </c>
      <c r="V38">
        <f>COUNTIFS(Table1[Delivery Route], "Hollywood 2")</f>
        <v>0</v>
      </c>
    </row>
    <row r="39" spans="1:27" ht="15" customHeight="1" thickBot="1" x14ac:dyDescent="0.35">
      <c r="A39" s="50" t="s">
        <v>0</v>
      </c>
      <c r="B39" t="s">
        <v>21</v>
      </c>
      <c r="C39" t="s">
        <v>41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50" t="s">
        <v>107</v>
      </c>
      <c r="U39" s="59" t="s">
        <v>106</v>
      </c>
      <c r="V39">
        <f>COUNTIFS(Table1[Delivery Route], "Valley")</f>
        <v>21</v>
      </c>
    </row>
    <row r="40" spans="1:27" x14ac:dyDescent="0.3">
      <c r="A40" s="50" t="s">
        <v>0</v>
      </c>
      <c r="B40" t="s">
        <v>21</v>
      </c>
      <c r="C40" t="s">
        <v>41</v>
      </c>
      <c r="D40" t="s">
        <v>157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 s="60" t="s">
        <v>107</v>
      </c>
      <c r="V40">
        <f>COUNTIFS(Table1[Delivery Route], "Long Beach")</f>
        <v>13</v>
      </c>
    </row>
    <row r="41" spans="1:27" x14ac:dyDescent="0.3">
      <c r="A41" s="50" t="s">
        <v>0</v>
      </c>
      <c r="B41" t="s">
        <v>21</v>
      </c>
      <c r="C41" t="s">
        <v>51</v>
      </c>
      <c r="D41" t="s">
        <v>125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/>
      <c r="U41" s="60" t="s">
        <v>97</v>
      </c>
      <c r="V41">
        <f>COUNTIFS(Table1[Delivery Route], "Orange County")</f>
        <v>41</v>
      </c>
    </row>
    <row r="42" spans="1:27" ht="15" customHeight="1" thickBot="1" x14ac:dyDescent="0.35">
      <c r="A42" s="50" t="s">
        <v>0</v>
      </c>
      <c r="B42" t="s">
        <v>21</v>
      </c>
      <c r="C42" t="s">
        <v>41</v>
      </c>
      <c r="D42" t="s">
        <v>125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50" t="s">
        <v>56</v>
      </c>
      <c r="U42" s="60" t="s">
        <v>84</v>
      </c>
      <c r="V42">
        <f>COUNTIFS(Table1[Delivery Route], "Beverly Hills")</f>
        <v>17</v>
      </c>
    </row>
    <row r="43" spans="1:27" ht="15" customHeight="1" thickBot="1" x14ac:dyDescent="0.35">
      <c r="A43" s="50" t="s">
        <v>0</v>
      </c>
      <c r="B43" t="s">
        <v>21</v>
      </c>
      <c r="C43" t="s">
        <v>46</v>
      </c>
      <c r="D43" t="s">
        <v>135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50" t="s">
        <v>97</v>
      </c>
      <c r="U43" s="58" t="s">
        <v>109</v>
      </c>
      <c r="V43">
        <f>COUNTIFS(Table1[Delivery Route], "Studio City 2")</f>
        <v>15</v>
      </c>
    </row>
    <row r="44" spans="1:27" ht="15" customHeight="1" thickBot="1" x14ac:dyDescent="0.35">
      <c r="A44" s="50" t="s">
        <v>0</v>
      </c>
      <c r="B44" t="s">
        <v>21</v>
      </c>
      <c r="C44" t="s">
        <v>48</v>
      </c>
      <c r="D44" t="s">
        <v>134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U44" s="59" t="s">
        <v>110</v>
      </c>
      <c r="V44">
        <f>COUNTIFS(Table1[Delivery Route], "Valley2")</f>
        <v>8</v>
      </c>
    </row>
    <row r="45" spans="1:27" x14ac:dyDescent="0.3">
      <c r="A45" t="s">
        <v>0</v>
      </c>
      <c r="B45" t="s">
        <v>21</v>
      </c>
      <c r="C45" t="s">
        <v>41</v>
      </c>
      <c r="D45" t="s">
        <v>176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27" x14ac:dyDescent="0.3">
      <c r="A46" s="50" t="s">
        <v>0</v>
      </c>
      <c r="B46" t="s">
        <v>21</v>
      </c>
      <c r="C46" t="s">
        <v>41</v>
      </c>
      <c r="D46" t="s">
        <v>190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50" t="s">
        <v>45</v>
      </c>
    </row>
    <row r="47" spans="1:27" x14ac:dyDescent="0.3">
      <c r="A47" t="s">
        <v>0</v>
      </c>
      <c r="B47" t="s">
        <v>21</v>
      </c>
      <c r="C47" t="s">
        <v>51</v>
      </c>
      <c r="D47" t="s">
        <v>78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67</v>
      </c>
    </row>
    <row r="48" spans="1:27" x14ac:dyDescent="0.3">
      <c r="A48" s="50" t="s">
        <v>0</v>
      </c>
      <c r="B48" t="s">
        <v>21</v>
      </c>
      <c r="C48" t="s">
        <v>22</v>
      </c>
      <c r="D48" t="s">
        <v>78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9" x14ac:dyDescent="0.3">
      <c r="A49" t="s">
        <v>0</v>
      </c>
      <c r="B49" t="s">
        <v>21</v>
      </c>
      <c r="C49" t="s">
        <v>41</v>
      </c>
      <c r="D49" t="s">
        <v>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50" t="s">
        <v>98</v>
      </c>
    </row>
    <row r="50" spans="1:19" x14ac:dyDescent="0.3">
      <c r="A50" s="50" t="s">
        <v>0</v>
      </c>
      <c r="B50" t="s">
        <v>21</v>
      </c>
      <c r="C50" t="s">
        <v>46</v>
      </c>
      <c r="D50" t="s">
        <v>47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50" t="s">
        <v>45</v>
      </c>
    </row>
    <row r="51" spans="1:19" x14ac:dyDescent="0.3">
      <c r="A51" s="50" t="s">
        <v>0</v>
      </c>
      <c r="B51" t="s">
        <v>21</v>
      </c>
      <c r="C51" t="s">
        <v>51</v>
      </c>
      <c r="D51" t="s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9" x14ac:dyDescent="0.3">
      <c r="A52" s="50" t="s">
        <v>0</v>
      </c>
      <c r="B52" t="s">
        <v>21</v>
      </c>
      <c r="C52" t="s">
        <v>22</v>
      </c>
      <c r="D52" t="s">
        <v>47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9" x14ac:dyDescent="0.3">
      <c r="A53" s="50" t="s">
        <v>0</v>
      </c>
      <c r="B53" t="s">
        <v>21</v>
      </c>
      <c r="C53" t="s">
        <v>51</v>
      </c>
      <c r="D53" t="s">
        <v>47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9" x14ac:dyDescent="0.3">
      <c r="A54" s="50" t="s">
        <v>0</v>
      </c>
      <c r="B54" t="s">
        <v>21</v>
      </c>
      <c r="C54" t="s">
        <v>41</v>
      </c>
      <c r="D54" t="s">
        <v>47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50" t="s">
        <v>98</v>
      </c>
    </row>
    <row r="55" spans="1:19" x14ac:dyDescent="0.3">
      <c r="A55" s="50" t="s">
        <v>0</v>
      </c>
      <c r="B55" t="s">
        <v>21</v>
      </c>
      <c r="C55" t="s">
        <v>22</v>
      </c>
      <c r="D55" t="s">
        <v>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9" x14ac:dyDescent="0.3">
      <c r="A56" s="50" t="s">
        <v>0</v>
      </c>
      <c r="B56" t="s">
        <v>21</v>
      </c>
      <c r="C56" t="s">
        <v>46</v>
      </c>
      <c r="D56" t="s">
        <v>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9" x14ac:dyDescent="0.3">
      <c r="A57" s="50" t="s">
        <v>0</v>
      </c>
      <c r="B57" t="s">
        <v>21</v>
      </c>
      <c r="C57" t="s">
        <v>51</v>
      </c>
      <c r="D57" t="s">
        <v>47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/>
    </row>
    <row r="58" spans="1:19" x14ac:dyDescent="0.3">
      <c r="A58" s="50" t="s">
        <v>0</v>
      </c>
      <c r="B58" t="s">
        <v>21</v>
      </c>
      <c r="C58" t="s">
        <v>51</v>
      </c>
      <c r="D58" t="s"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56</v>
      </c>
    </row>
    <row r="59" spans="1:19" x14ac:dyDescent="0.3">
      <c r="A59" s="50" t="s">
        <v>0</v>
      </c>
      <c r="B59" t="s">
        <v>21</v>
      </c>
      <c r="C59" t="s">
        <v>41</v>
      </c>
      <c r="D59" t="s">
        <v>47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9" x14ac:dyDescent="0.3">
      <c r="A60" t="s">
        <v>0</v>
      </c>
      <c r="B60" t="s">
        <v>21</v>
      </c>
      <c r="C60" t="s">
        <v>51</v>
      </c>
      <c r="D60" t="s">
        <v>47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</row>
    <row r="61" spans="1:19" x14ac:dyDescent="0.3">
      <c r="A61" s="50" t="s">
        <v>0</v>
      </c>
      <c r="B61" t="s">
        <v>21</v>
      </c>
      <c r="C61" t="s">
        <v>48</v>
      </c>
      <c r="D61" t="s">
        <v>47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9" x14ac:dyDescent="0.3">
      <c r="A62" s="50" t="s">
        <v>0</v>
      </c>
      <c r="B62" t="s">
        <v>21</v>
      </c>
      <c r="C62" t="s">
        <v>41</v>
      </c>
      <c r="D62" t="s">
        <v>47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/>
    </row>
    <row r="63" spans="1:19" x14ac:dyDescent="0.3">
      <c r="A63" s="50" t="s">
        <v>0</v>
      </c>
      <c r="B63" t="s">
        <v>21</v>
      </c>
      <c r="C63" t="s">
        <v>48</v>
      </c>
      <c r="D63" t="s">
        <v>47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</row>
    <row r="64" spans="1:19" x14ac:dyDescent="0.3">
      <c r="A64" t="s">
        <v>0</v>
      </c>
      <c r="B64" t="s">
        <v>21</v>
      </c>
      <c r="C64" t="s">
        <v>51</v>
      </c>
      <c r="D64" t="s">
        <v>47</v>
      </c>
      <c r="E64">
        <v>1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50" t="s">
        <v>81</v>
      </c>
    </row>
    <row r="65" spans="1:19" x14ac:dyDescent="0.3">
      <c r="A65" s="50" t="s">
        <v>0</v>
      </c>
      <c r="B65" t="s">
        <v>21</v>
      </c>
      <c r="C65" t="s">
        <v>41</v>
      </c>
      <c r="D65" t="s">
        <v>47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50" t="s">
        <v>64</v>
      </c>
    </row>
    <row r="66" spans="1:19" x14ac:dyDescent="0.3">
      <c r="A66" s="50" t="s">
        <v>0</v>
      </c>
      <c r="B66" t="s">
        <v>21</v>
      </c>
      <c r="C66" t="s">
        <v>41</v>
      </c>
      <c r="D66" t="s">
        <v>47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50" t="s">
        <v>45</v>
      </c>
    </row>
    <row r="67" spans="1:19" x14ac:dyDescent="0.3">
      <c r="A67" s="50" t="s">
        <v>0</v>
      </c>
      <c r="B67" t="s">
        <v>21</v>
      </c>
      <c r="C67" t="s">
        <v>51</v>
      </c>
      <c r="D67" t="s">
        <v>47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9" x14ac:dyDescent="0.3">
      <c r="A68" s="50" t="s">
        <v>0</v>
      </c>
      <c r="B68" t="s">
        <v>21</v>
      </c>
      <c r="C68" t="s">
        <v>46</v>
      </c>
      <c r="D68" t="s">
        <v>47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/>
    </row>
    <row r="69" spans="1:19" x14ac:dyDescent="0.3">
      <c r="A69" s="50" t="s">
        <v>0</v>
      </c>
      <c r="B69" t="s">
        <v>21</v>
      </c>
      <c r="C69" t="s">
        <v>22</v>
      </c>
      <c r="D69" t="s">
        <v>52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9" x14ac:dyDescent="0.3">
      <c r="A70" s="50" t="s">
        <v>0</v>
      </c>
      <c r="B70" t="s">
        <v>21</v>
      </c>
      <c r="C70" t="s">
        <v>46</v>
      </c>
      <c r="D70" t="s">
        <v>52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/>
    </row>
    <row r="71" spans="1:19" x14ac:dyDescent="0.3">
      <c r="A71" s="50" t="s">
        <v>0</v>
      </c>
      <c r="B71" t="s">
        <v>21</v>
      </c>
      <c r="C71" t="s">
        <v>51</v>
      </c>
      <c r="D71" t="s">
        <v>52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/>
    </row>
    <row r="72" spans="1:19" x14ac:dyDescent="0.3">
      <c r="A72" s="50" t="s">
        <v>0</v>
      </c>
      <c r="B72" t="s">
        <v>21</v>
      </c>
      <c r="C72" t="s">
        <v>51</v>
      </c>
      <c r="D72" t="s">
        <v>52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9" x14ac:dyDescent="0.3">
      <c r="A73" s="50" t="s">
        <v>0</v>
      </c>
      <c r="B73" t="s">
        <v>59</v>
      </c>
      <c r="C73" t="s">
        <v>51</v>
      </c>
      <c r="D73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9" x14ac:dyDescent="0.3">
      <c r="A74" s="50" t="s">
        <v>0</v>
      </c>
      <c r="B74" t="s">
        <v>59</v>
      </c>
      <c r="C74" t="s">
        <v>48</v>
      </c>
      <c r="D74" t="s">
        <v>60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9" x14ac:dyDescent="0.3">
      <c r="A75" s="50" t="s">
        <v>0</v>
      </c>
      <c r="B75" t="s">
        <v>59</v>
      </c>
      <c r="C75" t="s">
        <v>22</v>
      </c>
      <c r="D75" t="s">
        <v>60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50" t="s">
        <v>67</v>
      </c>
    </row>
    <row r="76" spans="1:19" x14ac:dyDescent="0.3">
      <c r="A76" s="50" t="s">
        <v>0</v>
      </c>
      <c r="B76" t="s">
        <v>59</v>
      </c>
      <c r="C76" t="s">
        <v>48</v>
      </c>
      <c r="D76" t="s">
        <v>60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9" x14ac:dyDescent="0.3">
      <c r="A77" s="50" t="s">
        <v>0</v>
      </c>
      <c r="B77" t="s">
        <v>59</v>
      </c>
      <c r="C77" t="s">
        <v>22</v>
      </c>
      <c r="D77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/>
    </row>
    <row r="78" spans="1:19" x14ac:dyDescent="0.3">
      <c r="A78" s="50" t="s">
        <v>0</v>
      </c>
      <c r="B78" t="s">
        <v>59</v>
      </c>
      <c r="C78" t="s">
        <v>51</v>
      </c>
      <c r="D78" t="s">
        <v>60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9" x14ac:dyDescent="0.3">
      <c r="A79" s="50" t="s">
        <v>0</v>
      </c>
      <c r="B79" t="s">
        <v>59</v>
      </c>
      <c r="C79" t="s">
        <v>22</v>
      </c>
      <c r="D79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/>
    </row>
    <row r="80" spans="1:19" x14ac:dyDescent="0.3">
      <c r="A80" s="50" t="s">
        <v>0</v>
      </c>
      <c r="B80" t="s">
        <v>59</v>
      </c>
      <c r="C80" t="s">
        <v>46</v>
      </c>
      <c r="D80" t="s">
        <v>60</v>
      </c>
      <c r="E80">
        <v>2</v>
      </c>
      <c r="F80">
        <v>0</v>
      </c>
      <c r="G80">
        <v>3</v>
      </c>
      <c r="H80">
        <v>2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9" x14ac:dyDescent="0.3">
      <c r="A81" s="50" t="s">
        <v>0</v>
      </c>
      <c r="B81" t="s">
        <v>59</v>
      </c>
      <c r="C81" t="s">
        <v>51</v>
      </c>
      <c r="D8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/>
    </row>
    <row r="82" spans="1:19" x14ac:dyDescent="0.3">
      <c r="A82" s="50" t="s">
        <v>0</v>
      </c>
      <c r="B82" t="s">
        <v>59</v>
      </c>
      <c r="C82" t="s">
        <v>41</v>
      </c>
      <c r="D82" t="s">
        <v>60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9" x14ac:dyDescent="0.3">
      <c r="A83" t="s">
        <v>0</v>
      </c>
      <c r="B83" t="s">
        <v>59</v>
      </c>
      <c r="C83" t="s">
        <v>46</v>
      </c>
      <c r="D83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/>
    </row>
    <row r="84" spans="1:19" x14ac:dyDescent="0.3">
      <c r="A84" s="50" t="s">
        <v>0</v>
      </c>
      <c r="B84" t="s">
        <v>59</v>
      </c>
      <c r="C84" t="s">
        <v>46</v>
      </c>
      <c r="D84" t="s">
        <v>60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9" x14ac:dyDescent="0.3">
      <c r="A85" s="50" t="s">
        <v>0</v>
      </c>
      <c r="B85" t="s">
        <v>59</v>
      </c>
      <c r="C85" t="s">
        <v>51</v>
      </c>
      <c r="D85" t="s">
        <v>60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/>
    </row>
    <row r="86" spans="1:19" x14ac:dyDescent="0.3">
      <c r="A86" s="50" t="s">
        <v>0</v>
      </c>
      <c r="B86" t="s">
        <v>59</v>
      </c>
      <c r="C86" t="s">
        <v>48</v>
      </c>
      <c r="D86" t="s">
        <v>60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/>
    </row>
    <row r="87" spans="1:19" x14ac:dyDescent="0.3">
      <c r="A87" s="50" t="s">
        <v>0</v>
      </c>
      <c r="B87" t="s">
        <v>59</v>
      </c>
      <c r="C87" t="s">
        <v>51</v>
      </c>
      <c r="D87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9" x14ac:dyDescent="0.3">
      <c r="A88" t="s">
        <v>0</v>
      </c>
      <c r="B88" t="s">
        <v>59</v>
      </c>
      <c r="C88" t="s">
        <v>46</v>
      </c>
      <c r="D88" t="s">
        <v>60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 x14ac:dyDescent="0.3">
      <c r="A89" s="50" t="s">
        <v>0</v>
      </c>
      <c r="B89" t="s">
        <v>59</v>
      </c>
      <c r="C89" t="s">
        <v>46</v>
      </c>
      <c r="D89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0</v>
      </c>
      <c r="Q89">
        <v>0</v>
      </c>
      <c r="R89">
        <v>0</v>
      </c>
    </row>
    <row r="90" spans="1:19" x14ac:dyDescent="0.3">
      <c r="A90" s="50" t="s">
        <v>0</v>
      </c>
      <c r="B90" t="s">
        <v>59</v>
      </c>
      <c r="C90" t="s">
        <v>46</v>
      </c>
      <c r="D90" t="s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50" t="s">
        <v>103</v>
      </c>
    </row>
    <row r="91" spans="1:19" x14ac:dyDescent="0.3">
      <c r="A91" t="s">
        <v>0</v>
      </c>
      <c r="B91" t="s">
        <v>59</v>
      </c>
      <c r="C91" t="s">
        <v>22</v>
      </c>
      <c r="D9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50" t="s">
        <v>97</v>
      </c>
    </row>
    <row r="92" spans="1:19" x14ac:dyDescent="0.3">
      <c r="A92" s="50" t="s">
        <v>0</v>
      </c>
      <c r="B92" t="s">
        <v>59</v>
      </c>
      <c r="C92" t="s">
        <v>48</v>
      </c>
      <c r="D92" t="s">
        <v>60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9" x14ac:dyDescent="0.3">
      <c r="A93" t="s">
        <v>0</v>
      </c>
      <c r="B93" t="s">
        <v>59</v>
      </c>
      <c r="C93" t="s">
        <v>22</v>
      </c>
      <c r="D93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</row>
    <row r="94" spans="1:19" x14ac:dyDescent="0.3">
      <c r="A94" s="50" t="s">
        <v>0</v>
      </c>
      <c r="B94" t="s">
        <v>59</v>
      </c>
      <c r="C94" t="s">
        <v>51</v>
      </c>
      <c r="D94" t="s">
        <v>60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</row>
    <row r="95" spans="1:19" x14ac:dyDescent="0.3">
      <c r="A95" s="50" t="s">
        <v>0</v>
      </c>
      <c r="B95" t="s">
        <v>59</v>
      </c>
      <c r="C95" t="s">
        <v>51</v>
      </c>
      <c r="D95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/>
    </row>
    <row r="96" spans="1:19" x14ac:dyDescent="0.3">
      <c r="A96" s="50" t="s">
        <v>0</v>
      </c>
      <c r="B96" t="s">
        <v>59</v>
      </c>
      <c r="C96" t="s">
        <v>51</v>
      </c>
      <c r="D96" t="s">
        <v>60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45</v>
      </c>
    </row>
    <row r="97" spans="1:19" x14ac:dyDescent="0.3">
      <c r="A97" s="50" t="s">
        <v>0</v>
      </c>
      <c r="B97" t="s">
        <v>59</v>
      </c>
      <c r="C97" t="s">
        <v>51</v>
      </c>
      <c r="D97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50</v>
      </c>
    </row>
    <row r="98" spans="1:19" x14ac:dyDescent="0.3">
      <c r="A98" s="50" t="s">
        <v>0</v>
      </c>
      <c r="B98" t="s">
        <v>59</v>
      </c>
      <c r="C98" t="s">
        <v>51</v>
      </c>
      <c r="D98" t="s">
        <v>60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50" t="s">
        <v>133</v>
      </c>
    </row>
    <row r="99" spans="1:19" x14ac:dyDescent="0.3">
      <c r="A99" t="s">
        <v>0</v>
      </c>
      <c r="B99" t="s">
        <v>59</v>
      </c>
      <c r="C99" t="s">
        <v>51</v>
      </c>
      <c r="D99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64</v>
      </c>
    </row>
    <row r="100" spans="1:19" x14ac:dyDescent="0.3">
      <c r="A100" s="50" t="s">
        <v>0</v>
      </c>
      <c r="B100" t="s">
        <v>21</v>
      </c>
      <c r="C100" t="s">
        <v>41</v>
      </c>
      <c r="D100" t="s">
        <v>83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64</v>
      </c>
    </row>
    <row r="101" spans="1:19" x14ac:dyDescent="0.3">
      <c r="A101" s="50" t="s">
        <v>0</v>
      </c>
      <c r="B101" t="s">
        <v>21</v>
      </c>
      <c r="C101" t="s">
        <v>51</v>
      </c>
      <c r="D101" t="s">
        <v>143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9" x14ac:dyDescent="0.3">
      <c r="A102" s="50" t="s">
        <v>0</v>
      </c>
      <c r="B102" t="s">
        <v>21</v>
      </c>
      <c r="C102" t="s">
        <v>22</v>
      </c>
      <c r="D102" t="s">
        <v>61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 s="50" t="s">
        <v>97</v>
      </c>
    </row>
    <row r="103" spans="1:19" x14ac:dyDescent="0.3">
      <c r="A103" s="50" t="s">
        <v>0</v>
      </c>
      <c r="B103" t="s">
        <v>21</v>
      </c>
      <c r="C103" t="s">
        <v>48</v>
      </c>
      <c r="D103" t="s">
        <v>61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/>
    </row>
    <row r="104" spans="1:19" x14ac:dyDescent="0.3">
      <c r="A104" s="50" t="s">
        <v>0</v>
      </c>
      <c r="B104" t="s">
        <v>21</v>
      </c>
      <c r="C104" t="s">
        <v>46</v>
      </c>
      <c r="D104" t="s">
        <v>61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50" t="s">
        <v>106</v>
      </c>
    </row>
    <row r="105" spans="1:19" x14ac:dyDescent="0.3">
      <c r="A105" s="50" t="s">
        <v>0</v>
      </c>
      <c r="B105" t="s">
        <v>21</v>
      </c>
      <c r="C105" t="s">
        <v>51</v>
      </c>
      <c r="D105" t="s">
        <v>61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9" x14ac:dyDescent="0.3">
      <c r="A106" s="50" t="s">
        <v>0</v>
      </c>
      <c r="B106" t="s">
        <v>21</v>
      </c>
      <c r="C106" t="s">
        <v>22</v>
      </c>
      <c r="D106" t="s">
        <v>61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/>
    </row>
    <row r="107" spans="1:19" x14ac:dyDescent="0.3">
      <c r="A107" s="50" t="s">
        <v>0</v>
      </c>
      <c r="B107" t="s">
        <v>21</v>
      </c>
      <c r="C107" t="s">
        <v>41</v>
      </c>
      <c r="D107" t="s">
        <v>61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/>
    </row>
    <row r="108" spans="1:19" x14ac:dyDescent="0.3">
      <c r="A108" s="50" t="s">
        <v>0</v>
      </c>
      <c r="B108" t="s">
        <v>21</v>
      </c>
      <c r="C108" t="s">
        <v>22</v>
      </c>
      <c r="D108" t="s">
        <v>61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9" x14ac:dyDescent="0.3">
      <c r="A109" s="50" t="s">
        <v>0</v>
      </c>
      <c r="B109" t="s">
        <v>21</v>
      </c>
      <c r="C109" t="s">
        <v>22</v>
      </c>
      <c r="D109" t="s">
        <v>61</v>
      </c>
      <c r="E109">
        <v>0</v>
      </c>
      <c r="F109">
        <v>0</v>
      </c>
      <c r="G109">
        <v>0</v>
      </c>
      <c r="H109">
        <v>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9" x14ac:dyDescent="0.3">
      <c r="A110" s="50" t="s">
        <v>0</v>
      </c>
      <c r="B110" t="s">
        <v>21</v>
      </c>
      <c r="C110" t="s">
        <v>22</v>
      </c>
      <c r="D110" t="s">
        <v>61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9" x14ac:dyDescent="0.3">
      <c r="A111" t="s">
        <v>0</v>
      </c>
      <c r="B111" t="s">
        <v>21</v>
      </c>
      <c r="C111" t="s">
        <v>22</v>
      </c>
      <c r="D111" t="s">
        <v>49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/>
    </row>
    <row r="112" spans="1:19" x14ac:dyDescent="0.3">
      <c r="A112" s="50" t="s">
        <v>0</v>
      </c>
      <c r="B112" t="s">
        <v>21</v>
      </c>
      <c r="C112" t="s">
        <v>51</v>
      </c>
      <c r="D112" t="s">
        <v>49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9" x14ac:dyDescent="0.3">
      <c r="A113" s="50" t="s">
        <v>0</v>
      </c>
      <c r="B113" t="s">
        <v>21</v>
      </c>
      <c r="C113" t="s">
        <v>46</v>
      </c>
      <c r="D113" t="s">
        <v>49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</row>
    <row r="114" spans="1:19" x14ac:dyDescent="0.3">
      <c r="A114" t="s">
        <v>0</v>
      </c>
      <c r="B114" t="s">
        <v>21</v>
      </c>
      <c r="C114" t="s">
        <v>51</v>
      </c>
      <c r="D114" t="s">
        <v>49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9" x14ac:dyDescent="0.3">
      <c r="A115" s="50" t="s">
        <v>0</v>
      </c>
      <c r="B115" t="s">
        <v>21</v>
      </c>
      <c r="C115" t="s">
        <v>51</v>
      </c>
      <c r="D115" t="s">
        <v>49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/>
    </row>
    <row r="116" spans="1:19" x14ac:dyDescent="0.3">
      <c r="A116" s="50" t="s">
        <v>0</v>
      </c>
      <c r="B116" t="s">
        <v>21</v>
      </c>
      <c r="C116" t="s">
        <v>51</v>
      </c>
      <c r="D116" t="s">
        <v>49</v>
      </c>
      <c r="E116">
        <v>0</v>
      </c>
      <c r="F116">
        <v>1</v>
      </c>
      <c r="G116">
        <v>2</v>
      </c>
      <c r="H116">
        <v>0</v>
      </c>
      <c r="I116">
        <v>3</v>
      </c>
      <c r="J116">
        <v>2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/>
    </row>
    <row r="117" spans="1:19" x14ac:dyDescent="0.3">
      <c r="A117" s="50" t="s">
        <v>0</v>
      </c>
      <c r="B117" t="s">
        <v>21</v>
      </c>
      <c r="C117" t="s">
        <v>51</v>
      </c>
      <c r="D117" t="s">
        <v>49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50" t="s">
        <v>50</v>
      </c>
    </row>
    <row r="118" spans="1:19" x14ac:dyDescent="0.3">
      <c r="A118" s="50" t="s">
        <v>0</v>
      </c>
      <c r="B118" t="s">
        <v>21</v>
      </c>
      <c r="C118" t="s">
        <v>41</v>
      </c>
      <c r="D118" t="s">
        <v>49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50" t="s">
        <v>97</v>
      </c>
    </row>
    <row r="119" spans="1:19" x14ac:dyDescent="0.3">
      <c r="A119" t="s">
        <v>0</v>
      </c>
      <c r="B119" t="s">
        <v>21</v>
      </c>
      <c r="C119" t="s">
        <v>41</v>
      </c>
      <c r="D119" t="s">
        <v>49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64</v>
      </c>
    </row>
    <row r="120" spans="1:19" x14ac:dyDescent="0.3">
      <c r="A120" s="50" t="s">
        <v>0</v>
      </c>
      <c r="B120" t="s">
        <v>21</v>
      </c>
      <c r="C120" t="s">
        <v>46</v>
      </c>
      <c r="D120" t="s">
        <v>169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9" x14ac:dyDescent="0.3">
      <c r="A121" s="50" t="s">
        <v>0</v>
      </c>
      <c r="B121" t="s">
        <v>21</v>
      </c>
      <c r="C121" t="s">
        <v>41</v>
      </c>
      <c r="D121" t="s">
        <v>172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9" x14ac:dyDescent="0.3">
      <c r="A122" t="s">
        <v>0</v>
      </c>
      <c r="B122" t="s">
        <v>21</v>
      </c>
      <c r="C122" t="s">
        <v>22</v>
      </c>
      <c r="D122" t="s">
        <v>180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128</v>
      </c>
    </row>
    <row r="123" spans="1:19" x14ac:dyDescent="0.3">
      <c r="A123" s="50" t="s">
        <v>0</v>
      </c>
      <c r="B123" t="s">
        <v>21</v>
      </c>
      <c r="C123" t="s">
        <v>46</v>
      </c>
      <c r="D123" t="s">
        <v>161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9" x14ac:dyDescent="0.3">
      <c r="A124" s="50" t="s">
        <v>0</v>
      </c>
      <c r="B124" t="s">
        <v>21</v>
      </c>
      <c r="C124" t="s">
        <v>41</v>
      </c>
      <c r="D124" t="s">
        <v>191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50" t="s">
        <v>97</v>
      </c>
    </row>
    <row r="125" spans="1:19" x14ac:dyDescent="0.3">
      <c r="A125" s="50" t="s">
        <v>0</v>
      </c>
      <c r="B125" t="s">
        <v>21</v>
      </c>
      <c r="C125" t="s">
        <v>22</v>
      </c>
      <c r="D125" t="s">
        <v>131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9" x14ac:dyDescent="0.3">
      <c r="A126" s="50" t="s">
        <v>0</v>
      </c>
      <c r="B126" t="s">
        <v>21</v>
      </c>
      <c r="C126" t="s">
        <v>51</v>
      </c>
      <c r="D126" t="s">
        <v>66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/>
    </row>
    <row r="127" spans="1:19" x14ac:dyDescent="0.3">
      <c r="A127" s="50" t="s">
        <v>0</v>
      </c>
      <c r="B127" t="s">
        <v>21</v>
      </c>
      <c r="C127" t="s">
        <v>51</v>
      </c>
      <c r="D127" t="s">
        <v>66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9" x14ac:dyDescent="0.3">
      <c r="A128" s="50" t="s">
        <v>0</v>
      </c>
      <c r="B128" t="s">
        <v>21</v>
      </c>
      <c r="C128" t="s">
        <v>51</v>
      </c>
      <c r="D128" t="s">
        <v>66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50" t="s">
        <v>97</v>
      </c>
    </row>
    <row r="129" spans="1:19" x14ac:dyDescent="0.3">
      <c r="A129" s="50" t="s">
        <v>0</v>
      </c>
      <c r="B129" t="s">
        <v>21</v>
      </c>
      <c r="C129" t="s">
        <v>51</v>
      </c>
      <c r="D129" t="s">
        <v>66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/>
    </row>
    <row r="130" spans="1:19" x14ac:dyDescent="0.3">
      <c r="A130" s="50" t="s">
        <v>0</v>
      </c>
      <c r="B130" t="s">
        <v>21</v>
      </c>
      <c r="C130" t="s">
        <v>48</v>
      </c>
      <c r="D130" t="s">
        <v>66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/>
    </row>
    <row r="131" spans="1:19" x14ac:dyDescent="0.3">
      <c r="A131" t="s">
        <v>0</v>
      </c>
      <c r="B131" t="s">
        <v>21</v>
      </c>
      <c r="C131" t="s">
        <v>51</v>
      </c>
      <c r="D131" t="s">
        <v>66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9" x14ac:dyDescent="0.3">
      <c r="A132" t="s">
        <v>0</v>
      </c>
      <c r="B132" t="s">
        <v>21</v>
      </c>
      <c r="C132" t="s">
        <v>48</v>
      </c>
      <c r="D132" t="s">
        <v>66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84</v>
      </c>
    </row>
    <row r="133" spans="1:19" x14ac:dyDescent="0.3">
      <c r="B133" t="s">
        <v>21</v>
      </c>
      <c r="C133" t="s">
        <v>46</v>
      </c>
      <c r="D133" t="s">
        <v>204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50" t="s">
        <v>97</v>
      </c>
    </row>
    <row r="134" spans="1:19" x14ac:dyDescent="0.3">
      <c r="B134" t="s">
        <v>21</v>
      </c>
      <c r="C134" t="s">
        <v>41</v>
      </c>
      <c r="D134" t="s">
        <v>200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9" x14ac:dyDescent="0.3">
      <c r="A135"/>
      <c r="B135" t="s">
        <v>21</v>
      </c>
      <c r="C135" t="s">
        <v>51</v>
      </c>
      <c r="D135" t="s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/>
    </row>
    <row r="136" spans="1:19" x14ac:dyDescent="0.3">
      <c r="B136" t="s">
        <v>21</v>
      </c>
      <c r="C136" t="s">
        <v>51</v>
      </c>
      <c r="D136" t="s">
        <v>150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50" t="s">
        <v>64</v>
      </c>
    </row>
    <row r="137" spans="1:19" x14ac:dyDescent="0.3">
      <c r="B137" t="s">
        <v>21</v>
      </c>
      <c r="C137" t="s">
        <v>22</v>
      </c>
      <c r="D137" t="s">
        <v>149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9" x14ac:dyDescent="0.3">
      <c r="B138" t="s">
        <v>21</v>
      </c>
      <c r="C138" t="s">
        <v>51</v>
      </c>
      <c r="D138" t="s">
        <v>149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9" x14ac:dyDescent="0.3">
      <c r="B139" t="s">
        <v>21</v>
      </c>
      <c r="C139" t="s">
        <v>46</v>
      </c>
      <c r="D139" t="s">
        <v>149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9" x14ac:dyDescent="0.3">
      <c r="B140" t="s">
        <v>21</v>
      </c>
      <c r="C140" t="s">
        <v>48</v>
      </c>
      <c r="D140" t="s">
        <v>55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50" t="s">
        <v>56</v>
      </c>
    </row>
    <row r="141" spans="1:19" x14ac:dyDescent="0.3">
      <c r="B141" t="s">
        <v>21</v>
      </c>
      <c r="C141" t="s">
        <v>41</v>
      </c>
      <c r="D141" t="s">
        <v>55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50" t="s">
        <v>67</v>
      </c>
    </row>
    <row r="142" spans="1:19" x14ac:dyDescent="0.3">
      <c r="B142" t="s">
        <v>21</v>
      </c>
      <c r="C142" t="s">
        <v>22</v>
      </c>
      <c r="D142" t="s">
        <v>55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50" t="s">
        <v>45</v>
      </c>
    </row>
    <row r="143" spans="1:19" x14ac:dyDescent="0.3">
      <c r="B143" t="s">
        <v>21</v>
      </c>
      <c r="C143" t="s">
        <v>51</v>
      </c>
      <c r="D143" t="s">
        <v>55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53</v>
      </c>
    </row>
    <row r="144" spans="1:19" x14ac:dyDescent="0.3">
      <c r="B144" t="s">
        <v>21</v>
      </c>
      <c r="C144" t="s">
        <v>41</v>
      </c>
      <c r="D144" t="s">
        <v>114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/>
    </row>
    <row r="145" spans="1:19" x14ac:dyDescent="0.3">
      <c r="B145" t="s">
        <v>21</v>
      </c>
      <c r="C145" t="s">
        <v>51</v>
      </c>
      <c r="D145" t="s">
        <v>114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9" x14ac:dyDescent="0.3">
      <c r="B146" t="s">
        <v>21</v>
      </c>
      <c r="C146" t="s">
        <v>22</v>
      </c>
      <c r="D146" t="s">
        <v>114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50" t="s">
        <v>84</v>
      </c>
    </row>
    <row r="147" spans="1:19" x14ac:dyDescent="0.3">
      <c r="B147" t="s">
        <v>21</v>
      </c>
      <c r="C147" t="s">
        <v>48</v>
      </c>
      <c r="D147" t="s">
        <v>114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/>
    </row>
    <row r="148" spans="1:19" x14ac:dyDescent="0.3">
      <c r="B148" t="s">
        <v>21</v>
      </c>
      <c r="C148" t="s">
        <v>51</v>
      </c>
      <c r="D148" t="s">
        <v>114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9" x14ac:dyDescent="0.3">
      <c r="B149" t="s">
        <v>21</v>
      </c>
      <c r="C149" t="s">
        <v>51</v>
      </c>
      <c r="D149" t="s">
        <v>164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98</v>
      </c>
    </row>
    <row r="150" spans="1:19" x14ac:dyDescent="0.3">
      <c r="B150" t="s">
        <v>21</v>
      </c>
      <c r="C150" t="s">
        <v>41</v>
      </c>
      <c r="D150" t="s">
        <v>164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/>
    </row>
    <row r="151" spans="1:19" x14ac:dyDescent="0.3">
      <c r="B151" t="s">
        <v>21</v>
      </c>
      <c r="C151" t="s">
        <v>46</v>
      </c>
      <c r="D151" t="s">
        <v>164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64</v>
      </c>
    </row>
    <row r="152" spans="1:19" x14ac:dyDescent="0.3">
      <c r="B152" t="s">
        <v>21</v>
      </c>
      <c r="C152" t="s">
        <v>51</v>
      </c>
      <c r="D152" t="s">
        <v>164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9" x14ac:dyDescent="0.3">
      <c r="B153" t="s">
        <v>21</v>
      </c>
      <c r="C153" t="s">
        <v>51</v>
      </c>
      <c r="D153" t="s">
        <v>184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50" t="s">
        <v>56</v>
      </c>
    </row>
    <row r="154" spans="1:19" x14ac:dyDescent="0.3">
      <c r="A154"/>
      <c r="B154" t="s">
        <v>21</v>
      </c>
      <c r="C154" t="s">
        <v>51</v>
      </c>
      <c r="D154" t="s">
        <v>170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50" t="s">
        <v>128</v>
      </c>
    </row>
    <row r="155" spans="1:19" x14ac:dyDescent="0.3">
      <c r="B155" t="s">
        <v>21</v>
      </c>
      <c r="C155" t="s">
        <v>51</v>
      </c>
      <c r="D155" t="s">
        <v>130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50" t="s">
        <v>106</v>
      </c>
    </row>
    <row r="156" spans="1:19" x14ac:dyDescent="0.3">
      <c r="B156" t="s">
        <v>21</v>
      </c>
      <c r="C156" t="s">
        <v>48</v>
      </c>
      <c r="D156" t="s">
        <v>202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9" x14ac:dyDescent="0.3">
      <c r="B157" t="s">
        <v>21</v>
      </c>
      <c r="C157" t="s">
        <v>22</v>
      </c>
      <c r="D157" t="s">
        <v>144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50" t="s">
        <v>84</v>
      </c>
    </row>
    <row r="158" spans="1:19" x14ac:dyDescent="0.3">
      <c r="B158" t="s">
        <v>21</v>
      </c>
      <c r="C158" t="s">
        <v>51</v>
      </c>
      <c r="D158" t="s">
        <v>144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/>
    </row>
    <row r="159" spans="1:19" x14ac:dyDescent="0.3">
      <c r="A159"/>
      <c r="B159" t="s">
        <v>21</v>
      </c>
      <c r="C159" t="s">
        <v>41</v>
      </c>
      <c r="D159" t="s">
        <v>144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9" x14ac:dyDescent="0.3">
      <c r="B160" t="s">
        <v>21</v>
      </c>
      <c r="C160" t="s">
        <v>41</v>
      </c>
      <c r="D160" t="s">
        <v>144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50" t="s">
        <v>98</v>
      </c>
    </row>
    <row r="161" spans="1:19" x14ac:dyDescent="0.3">
      <c r="B161" t="s">
        <v>21</v>
      </c>
      <c r="C161" t="s">
        <v>51</v>
      </c>
      <c r="D161" t="s">
        <v>177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133</v>
      </c>
    </row>
    <row r="162" spans="1:19" x14ac:dyDescent="0.3">
      <c r="B162" t="s">
        <v>21</v>
      </c>
      <c r="C162" t="s">
        <v>46</v>
      </c>
      <c r="D162" t="s">
        <v>126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50" t="s">
        <v>64</v>
      </c>
    </row>
    <row r="163" spans="1:19" x14ac:dyDescent="0.3">
      <c r="B163" t="s">
        <v>21</v>
      </c>
      <c r="C163" t="s">
        <v>51</v>
      </c>
      <c r="D163" t="s">
        <v>126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9" x14ac:dyDescent="0.3">
      <c r="B164" t="s">
        <v>21</v>
      </c>
      <c r="C164" t="s">
        <v>41</v>
      </c>
      <c r="D164" t="s">
        <v>126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/>
    </row>
    <row r="165" spans="1:19" x14ac:dyDescent="0.3">
      <c r="B165" t="s">
        <v>21</v>
      </c>
      <c r="C165" t="s">
        <v>51</v>
      </c>
      <c r="D165" t="s">
        <v>151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/>
    </row>
    <row r="166" spans="1:19" x14ac:dyDescent="0.3">
      <c r="B166" t="s">
        <v>21</v>
      </c>
      <c r="C166" t="s">
        <v>51</v>
      </c>
      <c r="D166" t="s">
        <v>173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67</v>
      </c>
    </row>
    <row r="167" spans="1:19" x14ac:dyDescent="0.3">
      <c r="B167" t="s">
        <v>21</v>
      </c>
      <c r="C167" t="s">
        <v>22</v>
      </c>
      <c r="D167" t="s">
        <v>173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50" t="s">
        <v>97</v>
      </c>
    </row>
    <row r="168" spans="1:19" x14ac:dyDescent="0.3">
      <c r="B168" t="s">
        <v>21</v>
      </c>
      <c r="C168" t="s">
        <v>51</v>
      </c>
      <c r="D168" t="s">
        <v>173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9" x14ac:dyDescent="0.3">
      <c r="B169" t="s">
        <v>21</v>
      </c>
      <c r="C169" t="s">
        <v>22</v>
      </c>
      <c r="D169" t="s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50" t="s">
        <v>45</v>
      </c>
    </row>
    <row r="170" spans="1:19" x14ac:dyDescent="0.3">
      <c r="B170" t="s">
        <v>21</v>
      </c>
      <c r="C170" t="s">
        <v>48</v>
      </c>
      <c r="D170" t="s">
        <v>145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84</v>
      </c>
    </row>
    <row r="171" spans="1:19" x14ac:dyDescent="0.3">
      <c r="B171" t="s">
        <v>21</v>
      </c>
      <c r="C171" t="s">
        <v>51</v>
      </c>
      <c r="D171" t="s">
        <v>166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9" x14ac:dyDescent="0.3">
      <c r="A172"/>
      <c r="B172" t="s">
        <v>21</v>
      </c>
      <c r="C172" t="s">
        <v>22</v>
      </c>
      <c r="D172" t="s">
        <v>166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 s="50" t="s">
        <v>97</v>
      </c>
    </row>
    <row r="173" spans="1:19" x14ac:dyDescent="0.3">
      <c r="B173" t="s">
        <v>21</v>
      </c>
      <c r="C173" t="s">
        <v>22</v>
      </c>
      <c r="D173" t="s">
        <v>166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50" t="s">
        <v>106</v>
      </c>
    </row>
    <row r="174" spans="1:19" x14ac:dyDescent="0.3">
      <c r="B174" t="s">
        <v>21</v>
      </c>
      <c r="C174" t="s">
        <v>22</v>
      </c>
      <c r="D174" t="s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9" x14ac:dyDescent="0.3">
      <c r="B175" t="s">
        <v>21</v>
      </c>
      <c r="C175" t="s">
        <v>41</v>
      </c>
      <c r="D175" t="s">
        <v>189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9" x14ac:dyDescent="0.3">
      <c r="B176" t="s">
        <v>21</v>
      </c>
      <c r="C176" t="s">
        <v>51</v>
      </c>
      <c r="D176" t="s">
        <v>208</v>
      </c>
      <c r="E176">
        <v>1</v>
      </c>
      <c r="F176">
        <v>0</v>
      </c>
      <c r="G176">
        <v>0</v>
      </c>
      <c r="H176">
        <v>0</v>
      </c>
      <c r="I176">
        <v>3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50</v>
      </c>
    </row>
    <row r="177" spans="1:19" x14ac:dyDescent="0.3">
      <c r="B177" t="s">
        <v>21</v>
      </c>
      <c r="C177" t="s">
        <v>41</v>
      </c>
      <c r="D177" t="s">
        <v>142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9" x14ac:dyDescent="0.3">
      <c r="B178" t="s">
        <v>21</v>
      </c>
      <c r="C178" t="s">
        <v>48</v>
      </c>
      <c r="D178" t="s">
        <v>198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67</v>
      </c>
    </row>
    <row r="179" spans="1:19" x14ac:dyDescent="0.3">
      <c r="B179" t="s">
        <v>21</v>
      </c>
      <c r="C179" t="s">
        <v>41</v>
      </c>
      <c r="D179" t="s">
        <v>42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/>
    </row>
    <row r="180" spans="1:19" x14ac:dyDescent="0.3">
      <c r="B180" t="s">
        <v>21</v>
      </c>
      <c r="C180" t="s">
        <v>46</v>
      </c>
      <c r="D180" t="s">
        <v>194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67</v>
      </c>
    </row>
    <row r="181" spans="1:19" x14ac:dyDescent="0.3">
      <c r="B181" t="s">
        <v>21</v>
      </c>
      <c r="C181" t="s">
        <v>22</v>
      </c>
      <c r="D181" t="s">
        <v>182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9" x14ac:dyDescent="0.3">
      <c r="B182" t="s">
        <v>21</v>
      </c>
      <c r="C182" t="s">
        <v>22</v>
      </c>
      <c r="D182" t="s">
        <v>181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9" x14ac:dyDescent="0.3">
      <c r="B183" t="s">
        <v>21</v>
      </c>
      <c r="C183" t="s">
        <v>41</v>
      </c>
      <c r="D183" t="s">
        <v>123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/>
    </row>
    <row r="184" spans="1:19" x14ac:dyDescent="0.3">
      <c r="A184"/>
      <c r="B184" t="s">
        <v>21</v>
      </c>
      <c r="C184" t="s">
        <v>51</v>
      </c>
      <c r="D184" t="s">
        <v>123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9" x14ac:dyDescent="0.3">
      <c r="B185" t="s">
        <v>21</v>
      </c>
      <c r="C185" t="s">
        <v>46</v>
      </c>
      <c r="D185" t="s">
        <v>148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/>
    </row>
    <row r="186" spans="1:19" x14ac:dyDescent="0.3">
      <c r="B186" t="s">
        <v>21</v>
      </c>
      <c r="C186" t="s">
        <v>41</v>
      </c>
      <c r="D186" t="s">
        <v>148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67</v>
      </c>
    </row>
    <row r="187" spans="1:19" x14ac:dyDescent="0.3">
      <c r="B187" t="s">
        <v>21</v>
      </c>
      <c r="C187" t="s">
        <v>41</v>
      </c>
      <c r="D187" t="s">
        <v>148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/>
    </row>
    <row r="188" spans="1:19" x14ac:dyDescent="0.3">
      <c r="B188" t="s">
        <v>21</v>
      </c>
      <c r="C188" t="s">
        <v>48</v>
      </c>
      <c r="D188" t="s">
        <v>105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/>
    </row>
    <row r="189" spans="1:19" x14ac:dyDescent="0.3">
      <c r="B189" t="s">
        <v>21</v>
      </c>
      <c r="C189" t="s">
        <v>41</v>
      </c>
      <c r="D189" t="s">
        <v>105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9" x14ac:dyDescent="0.3">
      <c r="B190" t="s">
        <v>21</v>
      </c>
      <c r="C190" t="s">
        <v>22</v>
      </c>
      <c r="D190" t="s">
        <v>139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9" x14ac:dyDescent="0.3">
      <c r="A191"/>
      <c r="B191" t="s">
        <v>21</v>
      </c>
      <c r="C191" t="s">
        <v>41</v>
      </c>
      <c r="D191" t="s">
        <v>139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9" x14ac:dyDescent="0.3">
      <c r="B192" t="s">
        <v>21</v>
      </c>
      <c r="C192" t="s">
        <v>41</v>
      </c>
      <c r="D192" t="s">
        <v>139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67</v>
      </c>
    </row>
    <row r="193" spans="1:19" x14ac:dyDescent="0.3">
      <c r="B193" t="s">
        <v>21</v>
      </c>
      <c r="C193" t="s">
        <v>46</v>
      </c>
      <c r="D193" t="s">
        <v>139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9" x14ac:dyDescent="0.3">
      <c r="B194" t="s">
        <v>21</v>
      </c>
      <c r="C194" t="s">
        <v>22</v>
      </c>
      <c r="D194" t="s">
        <v>40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/>
    </row>
    <row r="195" spans="1:19" x14ac:dyDescent="0.3">
      <c r="A195"/>
      <c r="B195" t="s">
        <v>21</v>
      </c>
      <c r="C195" t="s">
        <v>46</v>
      </c>
      <c r="D195" t="s">
        <v>40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50" t="s">
        <v>103</v>
      </c>
    </row>
    <row r="196" spans="1:19" x14ac:dyDescent="0.3">
      <c r="B196" t="s">
        <v>21</v>
      </c>
      <c r="C196" t="s">
        <v>22</v>
      </c>
      <c r="D196" t="s">
        <v>40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9" x14ac:dyDescent="0.3">
      <c r="B197" t="s">
        <v>21</v>
      </c>
      <c r="C197" t="s">
        <v>22</v>
      </c>
      <c r="D197" t="s">
        <v>40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/>
    </row>
    <row r="198" spans="1:19" x14ac:dyDescent="0.3">
      <c r="B198" t="s">
        <v>21</v>
      </c>
      <c r="C198" t="s">
        <v>22</v>
      </c>
      <c r="D198" t="s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9" x14ac:dyDescent="0.3">
      <c r="B199" t="s">
        <v>21</v>
      </c>
      <c r="C199" t="s">
        <v>48</v>
      </c>
      <c r="D199" t="s">
        <v>40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106</v>
      </c>
    </row>
    <row r="200" spans="1:19" x14ac:dyDescent="0.3">
      <c r="B200" t="s">
        <v>21</v>
      </c>
      <c r="C200" t="s">
        <v>51</v>
      </c>
      <c r="D200" t="s">
        <v>40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/>
    </row>
    <row r="201" spans="1:19" x14ac:dyDescent="0.3">
      <c r="B201" t="s">
        <v>21</v>
      </c>
      <c r="C201" t="s">
        <v>46</v>
      </c>
      <c r="D201" t="s">
        <v>40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/>
    </row>
    <row r="202" spans="1:19" x14ac:dyDescent="0.3">
      <c r="B202" t="s">
        <v>21</v>
      </c>
      <c r="C202" t="s">
        <v>51</v>
      </c>
      <c r="D202" t="s">
        <v>40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9" x14ac:dyDescent="0.3">
      <c r="A203"/>
      <c r="B203" t="s">
        <v>21</v>
      </c>
      <c r="C203" t="s">
        <v>41</v>
      </c>
      <c r="D203" t="s">
        <v>40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50" t="s">
        <v>45</v>
      </c>
    </row>
    <row r="204" spans="1:19" x14ac:dyDescent="0.3">
      <c r="B204" t="s">
        <v>21</v>
      </c>
      <c r="C204" t="s">
        <v>51</v>
      </c>
      <c r="D204" t="s">
        <v>40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/>
    </row>
    <row r="205" spans="1:19" x14ac:dyDescent="0.3">
      <c r="B205" t="s">
        <v>21</v>
      </c>
      <c r="C205" t="s">
        <v>51</v>
      </c>
      <c r="D205" t="s">
        <v>40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/>
    </row>
    <row r="206" spans="1:19" x14ac:dyDescent="0.3">
      <c r="B206" t="s">
        <v>21</v>
      </c>
      <c r="C206" t="s">
        <v>48</v>
      </c>
      <c r="D206" t="s">
        <v>40</v>
      </c>
      <c r="E206">
        <v>0</v>
      </c>
      <c r="F206">
        <v>0</v>
      </c>
      <c r="G206">
        <v>1</v>
      </c>
      <c r="H206">
        <v>0</v>
      </c>
      <c r="I206">
        <v>2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/>
    </row>
    <row r="207" spans="1:19" x14ac:dyDescent="0.3">
      <c r="B207" t="s">
        <v>21</v>
      </c>
      <c r="C207" t="s">
        <v>41</v>
      </c>
      <c r="D207" t="s">
        <v>40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9" x14ac:dyDescent="0.3">
      <c r="B208" t="s">
        <v>21</v>
      </c>
      <c r="C208" t="s">
        <v>46</v>
      </c>
      <c r="D208" t="s">
        <v>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/>
    </row>
    <row r="209" spans="1:19" x14ac:dyDescent="0.3">
      <c r="B209" t="s">
        <v>21</v>
      </c>
      <c r="C209" t="s">
        <v>41</v>
      </c>
      <c r="D209" t="s">
        <v>40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/>
    </row>
    <row r="210" spans="1:19" x14ac:dyDescent="0.3">
      <c r="B210" t="s">
        <v>21</v>
      </c>
      <c r="C210" t="s">
        <v>46</v>
      </c>
      <c r="D210" t="s">
        <v>40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50" t="s">
        <v>64</v>
      </c>
    </row>
    <row r="211" spans="1:19" x14ac:dyDescent="0.3">
      <c r="B211" t="s">
        <v>21</v>
      </c>
      <c r="C211" t="s">
        <v>41</v>
      </c>
      <c r="D211" t="s">
        <v>40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/>
    </row>
    <row r="212" spans="1:19" x14ac:dyDescent="0.3">
      <c r="B212" t="s">
        <v>21</v>
      </c>
      <c r="C212" t="s">
        <v>46</v>
      </c>
      <c r="D212" t="s">
        <v>40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9" x14ac:dyDescent="0.3">
      <c r="A213"/>
      <c r="B213" t="s">
        <v>21</v>
      </c>
      <c r="C213" t="s">
        <v>22</v>
      </c>
      <c r="D213" t="s">
        <v>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50" t="s">
        <v>98</v>
      </c>
    </row>
    <row r="214" spans="1:19" x14ac:dyDescent="0.3">
      <c r="B214" t="s">
        <v>21</v>
      </c>
      <c r="C214" t="s">
        <v>22</v>
      </c>
      <c r="D214" t="s">
        <v>40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9" x14ac:dyDescent="0.3">
      <c r="B215" t="s">
        <v>21</v>
      </c>
      <c r="C215" t="s">
        <v>46</v>
      </c>
      <c r="D215" t="s">
        <v>40</v>
      </c>
      <c r="E215">
        <v>2</v>
      </c>
      <c r="F215">
        <v>0</v>
      </c>
      <c r="G215">
        <v>0</v>
      </c>
      <c r="H215">
        <v>2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50" t="s">
        <v>67</v>
      </c>
    </row>
    <row r="216" spans="1:19" x14ac:dyDescent="0.3">
      <c r="B216" t="s">
        <v>21</v>
      </c>
      <c r="C216" t="s">
        <v>22</v>
      </c>
      <c r="D216" t="s">
        <v>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/>
    </row>
    <row r="217" spans="1:19" x14ac:dyDescent="0.3">
      <c r="B217" t="s">
        <v>21</v>
      </c>
      <c r="C217" t="s">
        <v>51</v>
      </c>
      <c r="D217" t="s">
        <v>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9" x14ac:dyDescent="0.3">
      <c r="B218" t="s">
        <v>21</v>
      </c>
      <c r="C218" t="s">
        <v>41</v>
      </c>
      <c r="D218" t="s">
        <v>40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50" t="s">
        <v>81</v>
      </c>
    </row>
    <row r="219" spans="1:19" x14ac:dyDescent="0.3">
      <c r="B219" t="s">
        <v>21</v>
      </c>
      <c r="C219" t="s">
        <v>22</v>
      </c>
      <c r="D219" t="s">
        <v>40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64</v>
      </c>
    </row>
    <row r="220" spans="1:19" x14ac:dyDescent="0.3">
      <c r="B220" t="s">
        <v>21</v>
      </c>
      <c r="C220" t="s">
        <v>22</v>
      </c>
      <c r="D220" t="s">
        <v>40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50" t="s">
        <v>106</v>
      </c>
    </row>
    <row r="221" spans="1:19" x14ac:dyDescent="0.3">
      <c r="B221" t="s">
        <v>21</v>
      </c>
      <c r="C221" t="s">
        <v>48</v>
      </c>
      <c r="D221" t="s">
        <v>40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9" x14ac:dyDescent="0.3">
      <c r="B222" t="s">
        <v>21</v>
      </c>
      <c r="C222" t="s">
        <v>41</v>
      </c>
      <c r="D222" t="s">
        <v>40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50" t="s">
        <v>98</v>
      </c>
    </row>
    <row r="223" spans="1:19" x14ac:dyDescent="0.3">
      <c r="B223" t="s">
        <v>21</v>
      </c>
      <c r="C223" t="s">
        <v>46</v>
      </c>
      <c r="D223" t="s">
        <v>40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9" x14ac:dyDescent="0.3">
      <c r="B224" t="s">
        <v>21</v>
      </c>
      <c r="C224" t="s">
        <v>51</v>
      </c>
      <c r="D224" t="s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50" t="s">
        <v>97</v>
      </c>
    </row>
    <row r="225" spans="1:19" x14ac:dyDescent="0.3">
      <c r="B225" t="s">
        <v>21</v>
      </c>
      <c r="C225" t="s">
        <v>22</v>
      </c>
      <c r="D225" t="s">
        <v>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/>
    </row>
    <row r="226" spans="1:19" x14ac:dyDescent="0.3">
      <c r="B226" t="s">
        <v>21</v>
      </c>
      <c r="C226" t="s">
        <v>51</v>
      </c>
      <c r="D226" t="s">
        <v>100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9" x14ac:dyDescent="0.3">
      <c r="B227" t="s">
        <v>21</v>
      </c>
      <c r="C227" t="s">
        <v>22</v>
      </c>
      <c r="D227" t="s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50" t="s">
        <v>67</v>
      </c>
    </row>
    <row r="228" spans="1:19" x14ac:dyDescent="0.3">
      <c r="B228" t="s">
        <v>21</v>
      </c>
      <c r="C228" t="s">
        <v>51</v>
      </c>
      <c r="D228" t="s">
        <v>100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50" t="s">
        <v>98</v>
      </c>
    </row>
    <row r="229" spans="1:19" x14ac:dyDescent="0.3">
      <c r="B229" t="s">
        <v>21</v>
      </c>
      <c r="C229" t="s">
        <v>51</v>
      </c>
      <c r="D229" t="s">
        <v>100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56</v>
      </c>
    </row>
    <row r="230" spans="1:19" x14ac:dyDescent="0.3">
      <c r="A230"/>
      <c r="B230" t="s">
        <v>21</v>
      </c>
      <c r="C230" t="s">
        <v>51</v>
      </c>
      <c r="D230" t="s">
        <v>100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50" t="s">
        <v>107</v>
      </c>
    </row>
    <row r="231" spans="1:19" x14ac:dyDescent="0.3">
      <c r="B231" t="s">
        <v>21</v>
      </c>
      <c r="C231" t="s">
        <v>41</v>
      </c>
      <c r="D231" t="s">
        <v>100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50" t="s">
        <v>50</v>
      </c>
    </row>
    <row r="232" spans="1:19" x14ac:dyDescent="0.3">
      <c r="B232" t="s">
        <v>21</v>
      </c>
      <c r="C232" t="s">
        <v>41</v>
      </c>
      <c r="D232" t="s">
        <v>100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/>
    </row>
    <row r="233" spans="1:19" x14ac:dyDescent="0.3">
      <c r="B233" t="s">
        <v>21</v>
      </c>
      <c r="C233" t="s">
        <v>22</v>
      </c>
      <c r="D233" t="s">
        <v>100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/>
    </row>
    <row r="234" spans="1:19" x14ac:dyDescent="0.3">
      <c r="B234" t="s">
        <v>21</v>
      </c>
      <c r="C234" t="s">
        <v>41</v>
      </c>
      <c r="D234" t="s">
        <v>100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9" x14ac:dyDescent="0.3">
      <c r="B235" t="s">
        <v>21</v>
      </c>
      <c r="C235" t="s">
        <v>22</v>
      </c>
      <c r="D235" t="s">
        <v>100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/>
    </row>
    <row r="236" spans="1:19" x14ac:dyDescent="0.3">
      <c r="B236" t="s">
        <v>21</v>
      </c>
      <c r="C236" t="s">
        <v>51</v>
      </c>
      <c r="D236" t="s">
        <v>100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9" x14ac:dyDescent="0.3">
      <c r="B237" t="s">
        <v>21</v>
      </c>
      <c r="C237" t="s">
        <v>48</v>
      </c>
      <c r="D237" t="s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9" x14ac:dyDescent="0.3">
      <c r="B238" t="s">
        <v>21</v>
      </c>
      <c r="C238" t="s">
        <v>46</v>
      </c>
      <c r="D238" t="s">
        <v>100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9" x14ac:dyDescent="0.3">
      <c r="B239" t="s">
        <v>21</v>
      </c>
      <c r="C239" t="s">
        <v>22</v>
      </c>
      <c r="D239" t="s">
        <v>100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9" x14ac:dyDescent="0.3">
      <c r="B240" t="s">
        <v>21</v>
      </c>
      <c r="C240" t="s">
        <v>48</v>
      </c>
      <c r="D240" t="s">
        <v>100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9" x14ac:dyDescent="0.3">
      <c r="A241"/>
      <c r="B241" t="s">
        <v>21</v>
      </c>
      <c r="C241" t="s">
        <v>41</v>
      </c>
      <c r="D241" t="s">
        <v>100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9" x14ac:dyDescent="0.3">
      <c r="B242" t="s">
        <v>21</v>
      </c>
      <c r="C242" t="s">
        <v>22</v>
      </c>
      <c r="D242" t="s">
        <v>100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9" x14ac:dyDescent="0.3">
      <c r="B243" t="s">
        <v>21</v>
      </c>
      <c r="C243" t="s">
        <v>41</v>
      </c>
      <c r="D243" t="s">
        <v>100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50" t="s">
        <v>103</v>
      </c>
    </row>
    <row r="244" spans="1:19" x14ac:dyDescent="0.3">
      <c r="B244" t="s">
        <v>21</v>
      </c>
      <c r="C244" t="s">
        <v>51</v>
      </c>
      <c r="D244" t="s">
        <v>100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/>
    </row>
    <row r="245" spans="1:19" x14ac:dyDescent="0.3">
      <c r="B245" t="s">
        <v>21</v>
      </c>
      <c r="C245" t="s">
        <v>46</v>
      </c>
      <c r="D245" t="s">
        <v>100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9" x14ac:dyDescent="0.3">
      <c r="B246" t="s">
        <v>21</v>
      </c>
      <c r="C246" t="s">
        <v>51</v>
      </c>
      <c r="D246" t="s">
        <v>100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9" x14ac:dyDescent="0.3">
      <c r="A247"/>
      <c r="B247" t="s">
        <v>21</v>
      </c>
      <c r="C247" t="s">
        <v>22</v>
      </c>
      <c r="D247" t="s">
        <v>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9" x14ac:dyDescent="0.3">
      <c r="B248" t="s">
        <v>21</v>
      </c>
      <c r="C248" t="s">
        <v>51</v>
      </c>
      <c r="D248" t="s">
        <v>100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9" x14ac:dyDescent="0.3">
      <c r="B249" t="s">
        <v>21</v>
      </c>
      <c r="C249" t="s">
        <v>51</v>
      </c>
      <c r="D249" t="s">
        <v>100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9" x14ac:dyDescent="0.3">
      <c r="B250" t="s">
        <v>21</v>
      </c>
      <c r="C250" t="s">
        <v>22</v>
      </c>
      <c r="D250" t="s">
        <v>100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9" x14ac:dyDescent="0.3">
      <c r="B251" t="s">
        <v>21</v>
      </c>
      <c r="C251" t="s">
        <v>51</v>
      </c>
      <c r="D251" t="s">
        <v>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/>
    </row>
    <row r="252" spans="1:19" x14ac:dyDescent="0.3">
      <c r="A252"/>
      <c r="B252" t="s">
        <v>21</v>
      </c>
      <c r="C252" t="s">
        <v>51</v>
      </c>
      <c r="D252" t="s">
        <v>100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9" x14ac:dyDescent="0.3">
      <c r="B253" t="s">
        <v>21</v>
      </c>
      <c r="C253" t="s">
        <v>22</v>
      </c>
      <c r="D253" t="s">
        <v>100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106</v>
      </c>
    </row>
    <row r="254" spans="1:19" x14ac:dyDescent="0.3">
      <c r="B254" t="s">
        <v>21</v>
      </c>
      <c r="C254" t="s">
        <v>22</v>
      </c>
      <c r="D254" t="s">
        <v>100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">
        <v>50</v>
      </c>
    </row>
    <row r="255" spans="1:19" x14ac:dyDescent="0.3">
      <c r="B255" t="s">
        <v>21</v>
      </c>
      <c r="C255" t="s">
        <v>22</v>
      </c>
      <c r="D255" t="s">
        <v>100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/>
    </row>
    <row r="256" spans="1:19" x14ac:dyDescent="0.3">
      <c r="B256" t="s">
        <v>21</v>
      </c>
      <c r="C256" t="s">
        <v>41</v>
      </c>
      <c r="D256" t="s">
        <v>100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9" x14ac:dyDescent="0.3">
      <c r="B257" t="s">
        <v>21</v>
      </c>
      <c r="C257" t="s">
        <v>22</v>
      </c>
      <c r="D257" t="s">
        <v>100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50" t="s">
        <v>45</v>
      </c>
    </row>
    <row r="258" spans="1:19" x14ac:dyDescent="0.3">
      <c r="B258" t="s">
        <v>21</v>
      </c>
      <c r="C258" t="s">
        <v>48</v>
      </c>
      <c r="D258" t="s">
        <v>100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9" x14ac:dyDescent="0.3">
      <c r="B259" t="s">
        <v>21</v>
      </c>
      <c r="C259" t="s">
        <v>41</v>
      </c>
      <c r="D259" t="s">
        <v>100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/>
    </row>
    <row r="260" spans="1:19" x14ac:dyDescent="0.3">
      <c r="A260"/>
      <c r="B260" t="s">
        <v>21</v>
      </c>
      <c r="C260" t="s">
        <v>41</v>
      </c>
      <c r="D260" t="s">
        <v>100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50" t="s">
        <v>128</v>
      </c>
    </row>
    <row r="261" spans="1:19" x14ac:dyDescent="0.3">
      <c r="B261" t="s">
        <v>21</v>
      </c>
      <c r="C261" t="s">
        <v>48</v>
      </c>
      <c r="D261" t="s">
        <v>100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/>
    </row>
    <row r="262" spans="1:19" x14ac:dyDescent="0.3">
      <c r="A262"/>
      <c r="B262" t="s">
        <v>21</v>
      </c>
      <c r="C262" t="s">
        <v>41</v>
      </c>
      <c r="D262" t="s">
        <v>100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9" x14ac:dyDescent="0.3">
      <c r="A263"/>
      <c r="B263" t="s">
        <v>21</v>
      </c>
      <c r="C263" t="s">
        <v>46</v>
      </c>
      <c r="D263" t="s">
        <v>100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50" t="s">
        <v>64</v>
      </c>
    </row>
    <row r="264" spans="1:19" x14ac:dyDescent="0.3">
      <c r="B264" t="s">
        <v>21</v>
      </c>
      <c r="C264" t="s">
        <v>22</v>
      </c>
      <c r="D264" t="s">
        <v>100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/>
    </row>
    <row r="265" spans="1:19" x14ac:dyDescent="0.3">
      <c r="B265" t="s">
        <v>21</v>
      </c>
      <c r="C265" t="s">
        <v>41</v>
      </c>
      <c r="D265" t="s">
        <v>100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9" x14ac:dyDescent="0.3">
      <c r="B266" t="s">
        <v>21</v>
      </c>
      <c r="C266" t="s">
        <v>41</v>
      </c>
      <c r="D266" t="s">
        <v>100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64</v>
      </c>
    </row>
    <row r="267" spans="1:19" x14ac:dyDescent="0.3">
      <c r="A267"/>
      <c r="B267" t="s">
        <v>21</v>
      </c>
      <c r="C267" t="s">
        <v>51</v>
      </c>
      <c r="D267" t="s">
        <v>100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/>
    </row>
    <row r="268" spans="1:19" x14ac:dyDescent="0.3">
      <c r="A268"/>
      <c r="B268" t="s">
        <v>21</v>
      </c>
      <c r="C268" t="s">
        <v>41</v>
      </c>
      <c r="D268" t="s">
        <v>100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9" x14ac:dyDescent="0.3">
      <c r="B269" t="s">
        <v>21</v>
      </c>
      <c r="C269" t="s">
        <v>22</v>
      </c>
      <c r="D269" t="s">
        <v>100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50" t="s">
        <v>45</v>
      </c>
    </row>
    <row r="270" spans="1:19" x14ac:dyDescent="0.3">
      <c r="B270" t="s">
        <v>21</v>
      </c>
      <c r="C270" t="s">
        <v>41</v>
      </c>
      <c r="D270" t="s">
        <v>100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9" x14ac:dyDescent="0.3">
      <c r="B271" t="s">
        <v>21</v>
      </c>
      <c r="C271" t="s">
        <v>22</v>
      </c>
      <c r="D271" t="s">
        <v>100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/>
    </row>
    <row r="272" spans="1:19" x14ac:dyDescent="0.3">
      <c r="A272"/>
      <c r="B272" t="s">
        <v>21</v>
      </c>
      <c r="C272" t="s">
        <v>22</v>
      </c>
      <c r="D272" t="s">
        <v>100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9" x14ac:dyDescent="0.3">
      <c r="B273" t="s">
        <v>21</v>
      </c>
      <c r="C273" t="s">
        <v>22</v>
      </c>
      <c r="D273" t="s">
        <v>100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/>
    </row>
    <row r="274" spans="1:19" x14ac:dyDescent="0.3">
      <c r="B274" t="s">
        <v>43</v>
      </c>
      <c r="C274" t="s">
        <v>51</v>
      </c>
      <c r="D274" t="s">
        <v>44</v>
      </c>
      <c r="E274">
        <v>0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9" x14ac:dyDescent="0.3">
      <c r="B275" t="s">
        <v>43</v>
      </c>
      <c r="C275" t="s">
        <v>22</v>
      </c>
      <c r="D275" t="s">
        <v>44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9" x14ac:dyDescent="0.3">
      <c r="A276"/>
      <c r="B276" t="s">
        <v>43</v>
      </c>
      <c r="C276" t="s">
        <v>51</v>
      </c>
      <c r="D276" t="s">
        <v>44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 s="50" t="s">
        <v>138</v>
      </c>
    </row>
    <row r="277" spans="1:19" x14ac:dyDescent="0.3">
      <c r="B277" t="s">
        <v>43</v>
      </c>
      <c r="C277" t="s">
        <v>51</v>
      </c>
      <c r="D277" t="s">
        <v>44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/>
    </row>
    <row r="278" spans="1:19" x14ac:dyDescent="0.3">
      <c r="B278" t="s">
        <v>43</v>
      </c>
      <c r="C278" t="s">
        <v>46</v>
      </c>
      <c r="D278" t="s">
        <v>44</v>
      </c>
      <c r="E278">
        <v>0</v>
      </c>
      <c r="F278">
        <v>0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64</v>
      </c>
    </row>
    <row r="279" spans="1:19" x14ac:dyDescent="0.3">
      <c r="B279" t="s">
        <v>43</v>
      </c>
      <c r="C279" t="s">
        <v>48</v>
      </c>
      <c r="D279" t="s">
        <v>44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9" x14ac:dyDescent="0.3">
      <c r="B280" t="s">
        <v>43</v>
      </c>
      <c r="C280" t="s">
        <v>41</v>
      </c>
      <c r="D280" t="s">
        <v>44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50" t="s">
        <v>97</v>
      </c>
    </row>
    <row r="281" spans="1:19" x14ac:dyDescent="0.3">
      <c r="B281" t="s">
        <v>43</v>
      </c>
      <c r="C281" t="s">
        <v>22</v>
      </c>
      <c r="D281" t="s">
        <v>44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9" x14ac:dyDescent="0.3">
      <c r="B282" t="s">
        <v>43</v>
      </c>
      <c r="C282" t="s">
        <v>51</v>
      </c>
      <c r="D282" t="s">
        <v>44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/>
    </row>
    <row r="283" spans="1:19" x14ac:dyDescent="0.3">
      <c r="A283"/>
      <c r="B283" t="s">
        <v>43</v>
      </c>
      <c r="C283" t="s">
        <v>51</v>
      </c>
      <c r="D283" t="s">
        <v>44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9" x14ac:dyDescent="0.3">
      <c r="B284" t="s">
        <v>43</v>
      </c>
      <c r="C284" t="s">
        <v>22</v>
      </c>
      <c r="D284" t="s">
        <v>44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50" t="s">
        <v>53</v>
      </c>
    </row>
    <row r="285" spans="1:19" x14ac:dyDescent="0.3">
      <c r="B285" t="s">
        <v>43</v>
      </c>
      <c r="C285" t="s">
        <v>22</v>
      </c>
      <c r="D285" t="s">
        <v>44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/>
    </row>
    <row r="286" spans="1:19" x14ac:dyDescent="0.3">
      <c r="B286" t="s">
        <v>43</v>
      </c>
      <c r="C286" t="s">
        <v>51</v>
      </c>
      <c r="D286" t="s">
        <v>44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50" t="s">
        <v>128</v>
      </c>
    </row>
    <row r="287" spans="1:19" x14ac:dyDescent="0.3">
      <c r="A287"/>
      <c r="B287" t="s">
        <v>43</v>
      </c>
      <c r="C287" t="s">
        <v>51</v>
      </c>
      <c r="D287" t="s">
        <v>44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9" x14ac:dyDescent="0.3">
      <c r="B288" t="s">
        <v>43</v>
      </c>
      <c r="C288" t="s">
        <v>41</v>
      </c>
      <c r="D288" t="s">
        <v>44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/>
    </row>
    <row r="289" spans="2:19" x14ac:dyDescent="0.3">
      <c r="B289" t="s">
        <v>43</v>
      </c>
      <c r="C289" t="s">
        <v>48</v>
      </c>
      <c r="D289" t="s">
        <v>44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2:19" x14ac:dyDescent="0.3">
      <c r="B290" t="s">
        <v>43</v>
      </c>
      <c r="C290" t="s">
        <v>22</v>
      </c>
      <c r="D290" t="s">
        <v>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2:19" x14ac:dyDescent="0.3">
      <c r="B291" t="s">
        <v>43</v>
      </c>
      <c r="C291" t="s">
        <v>22</v>
      </c>
      <c r="D291" t="s">
        <v>44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50" t="s">
        <v>53</v>
      </c>
    </row>
    <row r="292" spans="2:19" x14ac:dyDescent="0.3">
      <c r="B292" t="s">
        <v>43</v>
      </c>
      <c r="C292" t="s">
        <v>22</v>
      </c>
      <c r="D292" t="s">
        <v>44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97</v>
      </c>
    </row>
    <row r="293" spans="2:19" x14ac:dyDescent="0.3">
      <c r="B293" t="s">
        <v>43</v>
      </c>
      <c r="C293" t="s">
        <v>41</v>
      </c>
      <c r="D293" t="s">
        <v>44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2:19" x14ac:dyDescent="0.3">
      <c r="B294" t="s">
        <v>43</v>
      </c>
      <c r="C294" t="s">
        <v>48</v>
      </c>
      <c r="D294" t="s">
        <v>44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/>
    </row>
    <row r="295" spans="2:19" x14ac:dyDescent="0.3">
      <c r="B295" t="s">
        <v>43</v>
      </c>
      <c r="C295" t="s">
        <v>22</v>
      </c>
      <c r="D295" t="s">
        <v>44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/>
    </row>
    <row r="296" spans="2:19" x14ac:dyDescent="0.3">
      <c r="B296" t="s">
        <v>43</v>
      </c>
      <c r="C296" t="s">
        <v>51</v>
      </c>
      <c r="D296" t="s">
        <v>44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2:19" x14ac:dyDescent="0.3">
      <c r="B297" t="s">
        <v>21</v>
      </c>
      <c r="C297" t="s">
        <v>22</v>
      </c>
      <c r="D297" t="s">
        <v>63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50" t="s">
        <v>64</v>
      </c>
    </row>
    <row r="298" spans="2:19" x14ac:dyDescent="0.3">
      <c r="B298" t="s">
        <v>21</v>
      </c>
      <c r="C298" t="s">
        <v>41</v>
      </c>
      <c r="D298" t="s">
        <v>63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">
        <v>84</v>
      </c>
    </row>
    <row r="299" spans="2:19" x14ac:dyDescent="0.3">
      <c r="B299" t="s">
        <v>21</v>
      </c>
      <c r="C299" t="s">
        <v>22</v>
      </c>
      <c r="D299" t="s">
        <v>63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">
        <v>53</v>
      </c>
    </row>
    <row r="300" spans="2:19" x14ac:dyDescent="0.3">
      <c r="B300" t="s">
        <v>21</v>
      </c>
      <c r="C300" t="s">
        <v>22</v>
      </c>
      <c r="D300" t="s">
        <v>63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50" t="s">
        <v>53</v>
      </c>
    </row>
    <row r="301" spans="2:19" x14ac:dyDescent="0.3">
      <c r="B301" t="s">
        <v>21</v>
      </c>
      <c r="C301" t="s">
        <v>51</v>
      </c>
      <c r="D301" t="s">
        <v>63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50" t="s">
        <v>138</v>
      </c>
    </row>
    <row r="302" spans="2:19" x14ac:dyDescent="0.3">
      <c r="B302" t="s">
        <v>21</v>
      </c>
      <c r="C302" t="s">
        <v>22</v>
      </c>
      <c r="D302" t="s">
        <v>63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/>
    </row>
    <row r="303" spans="2:19" x14ac:dyDescent="0.3">
      <c r="B303" t="s">
        <v>21</v>
      </c>
      <c r="C303" t="s">
        <v>46</v>
      </c>
      <c r="D303" t="s">
        <v>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2:19" x14ac:dyDescent="0.3">
      <c r="B304" t="s">
        <v>21</v>
      </c>
      <c r="C304" t="s">
        <v>51</v>
      </c>
      <c r="D304" t="s">
        <v>63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/>
    </row>
    <row r="305" spans="1:19" x14ac:dyDescent="0.3">
      <c r="B305" t="s">
        <v>21</v>
      </c>
      <c r="C305" t="s">
        <v>46</v>
      </c>
      <c r="D305" t="s">
        <v>63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9" x14ac:dyDescent="0.3">
      <c r="B306" t="s">
        <v>21</v>
      </c>
      <c r="C306" t="s">
        <v>48</v>
      </c>
      <c r="D306" t="s">
        <v>63</v>
      </c>
      <c r="E306">
        <v>1</v>
      </c>
      <c r="F306">
        <v>0</v>
      </c>
      <c r="G306">
        <v>2</v>
      </c>
      <c r="H306">
        <v>0</v>
      </c>
      <c r="I306">
        <v>3</v>
      </c>
      <c r="J306">
        <v>2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50" t="s">
        <v>97</v>
      </c>
    </row>
    <row r="307" spans="1:19" x14ac:dyDescent="0.3">
      <c r="B307" t="s">
        <v>21</v>
      </c>
      <c r="C307" t="s">
        <v>51</v>
      </c>
      <c r="D307" t="s">
        <v>63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/>
    </row>
    <row r="308" spans="1:19" x14ac:dyDescent="0.3">
      <c r="B308" t="s">
        <v>21</v>
      </c>
      <c r="C308" t="s">
        <v>41</v>
      </c>
      <c r="D308" t="s">
        <v>63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50" t="s">
        <v>53</v>
      </c>
    </row>
    <row r="309" spans="1:19" x14ac:dyDescent="0.3">
      <c r="B309" t="s">
        <v>21</v>
      </c>
      <c r="C309" t="s">
        <v>51</v>
      </c>
      <c r="D309" t="s">
        <v>63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9" x14ac:dyDescent="0.3">
      <c r="B310" t="s">
        <v>21</v>
      </c>
      <c r="C310" t="s">
        <v>41</v>
      </c>
      <c r="D310" t="s">
        <v>63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">
        <v>67</v>
      </c>
    </row>
    <row r="311" spans="1:19" x14ac:dyDescent="0.3">
      <c r="A311"/>
      <c r="B311" t="s">
        <v>21</v>
      </c>
      <c r="C311" t="s">
        <v>46</v>
      </c>
      <c r="D311" t="s">
        <v>63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/>
    </row>
    <row r="312" spans="1:19" x14ac:dyDescent="0.3">
      <c r="B312" t="s">
        <v>21</v>
      </c>
      <c r="C312" t="s">
        <v>41</v>
      </c>
      <c r="D312" t="s">
        <v>63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9" x14ac:dyDescent="0.3">
      <c r="B313" t="s">
        <v>21</v>
      </c>
      <c r="C313" t="s">
        <v>41</v>
      </c>
      <c r="D313" t="s">
        <v>63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9" x14ac:dyDescent="0.3">
      <c r="B314" t="s">
        <v>21</v>
      </c>
      <c r="C314" t="s">
        <v>46</v>
      </c>
      <c r="D314" t="s">
        <v>63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50" t="s">
        <v>50</v>
      </c>
    </row>
    <row r="315" spans="1:19" x14ac:dyDescent="0.3">
      <c r="B315" t="s">
        <v>21</v>
      </c>
      <c r="C315" t="s">
        <v>41</v>
      </c>
      <c r="D315" t="s">
        <v>63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50" t="s">
        <v>53</v>
      </c>
    </row>
    <row r="316" spans="1:19" x14ac:dyDescent="0.3">
      <c r="B316" t="s">
        <v>21</v>
      </c>
      <c r="C316" t="s">
        <v>51</v>
      </c>
      <c r="D316" t="s">
        <v>63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56</v>
      </c>
    </row>
    <row r="317" spans="1:19" x14ac:dyDescent="0.3">
      <c r="B317" t="s">
        <v>21</v>
      </c>
      <c r="C317" t="s">
        <v>22</v>
      </c>
      <c r="D317" t="s">
        <v>63</v>
      </c>
      <c r="E317">
        <v>0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</row>
    <row r="318" spans="1:19" x14ac:dyDescent="0.3">
      <c r="B318" t="s">
        <v>21</v>
      </c>
      <c r="C318" t="s">
        <v>51</v>
      </c>
      <c r="D318" t="s">
        <v>63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9" x14ac:dyDescent="0.3">
      <c r="B319" t="s">
        <v>21</v>
      </c>
      <c r="C319" t="s">
        <v>41</v>
      </c>
      <c r="D319" t="s">
        <v>63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84</v>
      </c>
    </row>
    <row r="320" spans="1:19" x14ac:dyDescent="0.3">
      <c r="B320" t="s">
        <v>21</v>
      </c>
      <c r="C320" t="s">
        <v>41</v>
      </c>
      <c r="D320" t="s">
        <v>63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97</v>
      </c>
    </row>
    <row r="321" spans="1:19" x14ac:dyDescent="0.3">
      <c r="B321" t="s">
        <v>21</v>
      </c>
      <c r="C321" t="s">
        <v>41</v>
      </c>
      <c r="D321" t="s">
        <v>183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">
        <v>97</v>
      </c>
    </row>
    <row r="322" spans="1:19" x14ac:dyDescent="0.3">
      <c r="B322"/>
      <c r="C322" s="83"/>
      <c r="D322" t="s">
        <v>183</v>
      </c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9" x14ac:dyDescent="0.3">
      <c r="B323"/>
      <c r="C323" s="83"/>
      <c r="D323" t="s">
        <v>183</v>
      </c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9" x14ac:dyDescent="0.3">
      <c r="B324"/>
      <c r="C324" s="83"/>
      <c r="D324" t="s">
        <v>183</v>
      </c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/>
    </row>
    <row r="325" spans="1:19" x14ac:dyDescent="0.3">
      <c r="B325"/>
      <c r="C325" s="83"/>
      <c r="D325" t="s">
        <v>183</v>
      </c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/>
    </row>
    <row r="326" spans="1:19" x14ac:dyDescent="0.3">
      <c r="A326"/>
      <c r="B326"/>
      <c r="C326" s="83"/>
      <c r="D326" t="s">
        <v>183</v>
      </c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9" x14ac:dyDescent="0.3">
      <c r="A327"/>
      <c r="B327"/>
      <c r="C327" s="83"/>
      <c r="D327" t="s">
        <v>183</v>
      </c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9" x14ac:dyDescent="0.3">
      <c r="B328"/>
      <c r="C328" s="83"/>
      <c r="D328" t="s">
        <v>183</v>
      </c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9" x14ac:dyDescent="0.3">
      <c r="B329"/>
      <c r="C329" s="83"/>
      <c r="D329" t="s">
        <v>183</v>
      </c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/>
    </row>
    <row r="330" spans="1:19" x14ac:dyDescent="0.3">
      <c r="B330"/>
      <c r="C330" s="83"/>
      <c r="D330" t="s">
        <v>183</v>
      </c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/>
    </row>
    <row r="331" spans="1:19" x14ac:dyDescent="0.3">
      <c r="B331"/>
      <c r="C331" s="83"/>
      <c r="D331" t="s">
        <v>183</v>
      </c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/>
    </row>
    <row r="332" spans="1:19" x14ac:dyDescent="0.3">
      <c r="B332"/>
      <c r="C332" s="83"/>
      <c r="D332" t="s">
        <v>183</v>
      </c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9" x14ac:dyDescent="0.3">
      <c r="A333"/>
      <c r="B333"/>
      <c r="C333" s="83"/>
      <c r="D333" t="s">
        <v>183</v>
      </c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9" x14ac:dyDescent="0.3">
      <c r="B334"/>
      <c r="C334" s="83"/>
      <c r="D334" t="s">
        <v>183</v>
      </c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9" x14ac:dyDescent="0.3">
      <c r="B335"/>
      <c r="C335" s="83"/>
      <c r="D335" t="s">
        <v>183</v>
      </c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9" x14ac:dyDescent="0.3">
      <c r="B336"/>
      <c r="C336" s="83"/>
      <c r="D336" t="s">
        <v>183</v>
      </c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9" x14ac:dyDescent="0.3">
      <c r="B337"/>
      <c r="C337" s="83"/>
      <c r="D337" t="s">
        <v>183</v>
      </c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/>
    </row>
    <row r="338" spans="1:19" x14ac:dyDescent="0.3">
      <c r="B338"/>
      <c r="C338" s="83"/>
      <c r="D338" t="s">
        <v>183</v>
      </c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9" x14ac:dyDescent="0.3">
      <c r="B339"/>
      <c r="C339" s="83"/>
      <c r="D339" t="s">
        <v>183</v>
      </c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9" x14ac:dyDescent="0.3">
      <c r="B340"/>
      <c r="C340" s="83"/>
      <c r="D340" t="s">
        <v>183</v>
      </c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9" x14ac:dyDescent="0.3">
      <c r="B341"/>
      <c r="C341" s="83"/>
      <c r="D341" t="s">
        <v>183</v>
      </c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/>
    </row>
    <row r="342" spans="1:19" x14ac:dyDescent="0.3">
      <c r="B342"/>
      <c r="C342" s="83"/>
      <c r="D342" t="s">
        <v>183</v>
      </c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9" x14ac:dyDescent="0.3">
      <c r="B343"/>
      <c r="C343" s="83"/>
      <c r="D343" t="s">
        <v>183</v>
      </c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9" x14ac:dyDescent="0.3">
      <c r="B344"/>
      <c r="C344" s="83"/>
      <c r="D344" t="s">
        <v>183</v>
      </c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9" x14ac:dyDescent="0.3">
      <c r="B345"/>
      <c r="C345" s="83"/>
      <c r="D345" t="s">
        <v>183</v>
      </c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9" x14ac:dyDescent="0.3">
      <c r="B346"/>
      <c r="C346" s="83"/>
      <c r="D346" t="s">
        <v>183</v>
      </c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/>
    </row>
    <row r="347" spans="1:19" x14ac:dyDescent="0.3">
      <c r="B347"/>
      <c r="C347" s="83"/>
      <c r="D347" t="s">
        <v>183</v>
      </c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/>
    </row>
    <row r="348" spans="1:19" x14ac:dyDescent="0.3">
      <c r="A348"/>
      <c r="B348"/>
      <c r="C348" s="83"/>
      <c r="D348" t="s">
        <v>183</v>
      </c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9" x14ac:dyDescent="0.3">
      <c r="B349"/>
      <c r="C349" s="83"/>
      <c r="D349" t="s">
        <v>183</v>
      </c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9" x14ac:dyDescent="0.3">
      <c r="B350"/>
      <c r="C350" s="83"/>
      <c r="D350" t="s">
        <v>183</v>
      </c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9" x14ac:dyDescent="0.3">
      <c r="B351"/>
      <c r="C351" s="83"/>
      <c r="D351" t="s">
        <v>183</v>
      </c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/>
    </row>
    <row r="352" spans="1:19" x14ac:dyDescent="0.3">
      <c r="B352"/>
      <c r="C352" s="83"/>
      <c r="D352" t="s">
        <v>183</v>
      </c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9" x14ac:dyDescent="0.3">
      <c r="B353"/>
      <c r="C353" s="83"/>
      <c r="D353" t="s">
        <v>183</v>
      </c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9" x14ac:dyDescent="0.3">
      <c r="B354"/>
      <c r="C354" s="83"/>
      <c r="D354" t="s">
        <v>183</v>
      </c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9" x14ac:dyDescent="0.3">
      <c r="B355"/>
      <c r="C355" s="83"/>
      <c r="D355" t="s">
        <v>183</v>
      </c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9" x14ac:dyDescent="0.3">
      <c r="A356"/>
      <c r="B356"/>
      <c r="C356" s="83"/>
      <c r="D356" t="s">
        <v>183</v>
      </c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9" x14ac:dyDescent="0.3">
      <c r="B357"/>
      <c r="C357" s="83"/>
      <c r="D357" t="s">
        <v>183</v>
      </c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9" x14ac:dyDescent="0.3">
      <c r="B358"/>
      <c r="C358" s="83"/>
      <c r="D358" t="s">
        <v>183</v>
      </c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9" x14ac:dyDescent="0.3">
      <c r="B359"/>
      <c r="C359" s="83"/>
      <c r="D359" t="s">
        <v>183</v>
      </c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/>
    </row>
    <row r="360" spans="1:19" x14ac:dyDescent="0.3">
      <c r="B360"/>
      <c r="C360" s="83"/>
      <c r="D360" t="s">
        <v>183</v>
      </c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9" x14ac:dyDescent="0.3">
      <c r="B361" t="s">
        <v>21</v>
      </c>
      <c r="C361" t="s">
        <v>41</v>
      </c>
      <c r="D361" t="s">
        <v>113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9" x14ac:dyDescent="0.3">
      <c r="B362" t="s">
        <v>21</v>
      </c>
      <c r="C362" t="s">
        <v>41</v>
      </c>
      <c r="D362" t="s">
        <v>113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9" x14ac:dyDescent="0.3">
      <c r="A363"/>
      <c r="B363" t="s">
        <v>21</v>
      </c>
      <c r="C363" t="s">
        <v>41</v>
      </c>
      <c r="D363" t="s">
        <v>186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9" x14ac:dyDescent="0.3">
      <c r="B364" t="s">
        <v>21</v>
      </c>
      <c r="C364" t="s">
        <v>22</v>
      </c>
      <c r="D364" t="s">
        <v>185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">
        <v>103</v>
      </c>
    </row>
    <row r="365" spans="1:19" x14ac:dyDescent="0.3">
      <c r="B365" t="s">
        <v>21</v>
      </c>
      <c r="C365" t="s">
        <v>41</v>
      </c>
      <c r="D365" t="s">
        <v>209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9" x14ac:dyDescent="0.3">
      <c r="B366" t="s">
        <v>21</v>
      </c>
      <c r="C366" t="s">
        <v>41</v>
      </c>
      <c r="D366" t="s">
        <v>159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">
        <v>133</v>
      </c>
    </row>
    <row r="367" spans="1:19" x14ac:dyDescent="0.3">
      <c r="B367" t="s">
        <v>21</v>
      </c>
      <c r="C367" t="s">
        <v>41</v>
      </c>
      <c r="D367" t="s">
        <v>154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50" t="s">
        <v>103</v>
      </c>
    </row>
    <row r="368" spans="1:19" x14ac:dyDescent="0.3">
      <c r="B368" t="s">
        <v>21</v>
      </c>
      <c r="C368" t="s">
        <v>51</v>
      </c>
      <c r="D368" t="s">
        <v>154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50" t="s">
        <v>64</v>
      </c>
    </row>
    <row r="369" spans="1:19" x14ac:dyDescent="0.3">
      <c r="B369" t="s">
        <v>21</v>
      </c>
      <c r="C369" t="s">
        <v>41</v>
      </c>
      <c r="D369" t="s">
        <v>153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9" x14ac:dyDescent="0.3">
      <c r="B370" t="s">
        <v>21</v>
      </c>
      <c r="C370" t="s">
        <v>22</v>
      </c>
      <c r="D370" t="s">
        <v>153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9" x14ac:dyDescent="0.3">
      <c r="B371" t="s">
        <v>21</v>
      </c>
      <c r="C371" t="s">
        <v>46</v>
      </c>
      <c r="D371" t="s">
        <v>153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9" x14ac:dyDescent="0.3">
      <c r="B372" t="s">
        <v>21</v>
      </c>
      <c r="C372" t="s">
        <v>51</v>
      </c>
      <c r="D372" t="s">
        <v>153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9" x14ac:dyDescent="0.3">
      <c r="B373" t="s">
        <v>21</v>
      </c>
      <c r="C373" t="s">
        <v>51</v>
      </c>
      <c r="D373" t="s">
        <v>141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50" t="s">
        <v>45</v>
      </c>
    </row>
    <row r="374" spans="1:19" x14ac:dyDescent="0.3">
      <c r="B374" t="s">
        <v>21</v>
      </c>
      <c r="C374" t="s">
        <v>41</v>
      </c>
      <c r="D374" t="s">
        <v>141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/>
    </row>
    <row r="375" spans="1:19" x14ac:dyDescent="0.3">
      <c r="B375" t="s">
        <v>21</v>
      </c>
      <c r="C375" t="s">
        <v>41</v>
      </c>
      <c r="D375" t="s">
        <v>141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9" x14ac:dyDescent="0.3">
      <c r="B376" t="s">
        <v>21</v>
      </c>
      <c r="C376" t="s">
        <v>51</v>
      </c>
      <c r="D376" t="s">
        <v>141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/>
    </row>
    <row r="377" spans="1:19" x14ac:dyDescent="0.3">
      <c r="A377"/>
      <c r="B377" t="s">
        <v>21</v>
      </c>
      <c r="C377" t="s">
        <v>51</v>
      </c>
      <c r="D377" t="s">
        <v>141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9" x14ac:dyDescent="0.3">
      <c r="B378" t="s">
        <v>21</v>
      </c>
      <c r="C378" t="s">
        <v>51</v>
      </c>
      <c r="D378" t="s">
        <v>141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/>
    </row>
    <row r="379" spans="1:19" x14ac:dyDescent="0.3">
      <c r="B379" t="s">
        <v>21</v>
      </c>
      <c r="C379" t="s">
        <v>22</v>
      </c>
      <c r="D379" t="s">
        <v>141</v>
      </c>
      <c r="E379">
        <v>0</v>
      </c>
      <c r="F379">
        <v>0</v>
      </c>
      <c r="G379">
        <v>0</v>
      </c>
      <c r="H379">
        <v>0</v>
      </c>
      <c r="I379">
        <v>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9" x14ac:dyDescent="0.3">
      <c r="A380"/>
      <c r="B380" t="s">
        <v>21</v>
      </c>
      <c r="C380" t="s">
        <v>51</v>
      </c>
      <c r="D380" t="s">
        <v>141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9" x14ac:dyDescent="0.3">
      <c r="B381" t="s">
        <v>21</v>
      </c>
      <c r="C381" t="s">
        <v>51</v>
      </c>
      <c r="D381" t="s">
        <v>141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/>
    </row>
    <row r="382" spans="1:19" x14ac:dyDescent="0.3">
      <c r="B382" t="s">
        <v>21</v>
      </c>
      <c r="C382" t="s">
        <v>46</v>
      </c>
      <c r="D382" t="s">
        <v>141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9" x14ac:dyDescent="0.3">
      <c r="B383" t="s">
        <v>21</v>
      </c>
      <c r="C383" t="s">
        <v>48</v>
      </c>
      <c r="D383" t="s">
        <v>141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9" x14ac:dyDescent="0.3">
      <c r="A384"/>
      <c r="B384" t="s">
        <v>21</v>
      </c>
      <c r="C384" t="s">
        <v>51</v>
      </c>
      <c r="D384" t="s">
        <v>141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50" t="s">
        <v>64</v>
      </c>
    </row>
    <row r="385" spans="1:19" x14ac:dyDescent="0.3">
      <c r="B385" t="s">
        <v>21</v>
      </c>
      <c r="C385" t="s">
        <v>51</v>
      </c>
      <c r="D385" t="s">
        <v>141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50" t="s">
        <v>97</v>
      </c>
    </row>
    <row r="386" spans="1:19" x14ac:dyDescent="0.3">
      <c r="B386" t="s">
        <v>21</v>
      </c>
      <c r="C386" t="s">
        <v>41</v>
      </c>
      <c r="D386" t="s">
        <v>141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9" x14ac:dyDescent="0.3">
      <c r="B387" t="s">
        <v>21</v>
      </c>
      <c r="C387" t="s">
        <v>22</v>
      </c>
      <c r="D387" t="s">
        <v>132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9" x14ac:dyDescent="0.3">
      <c r="B388" t="s">
        <v>21</v>
      </c>
      <c r="C388" t="s">
        <v>48</v>
      </c>
      <c r="D388" t="s">
        <v>132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">
        <v>84</v>
      </c>
    </row>
    <row r="389" spans="1:19" x14ac:dyDescent="0.3">
      <c r="B389" t="s">
        <v>21</v>
      </c>
      <c r="C389" t="s">
        <v>41</v>
      </c>
      <c r="D389" t="s">
        <v>187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/>
    </row>
    <row r="390" spans="1:19" x14ac:dyDescent="0.3">
      <c r="B390" t="s">
        <v>21</v>
      </c>
      <c r="C390" t="s">
        <v>51</v>
      </c>
      <c r="D390" t="s">
        <v>158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0</v>
      </c>
      <c r="S390" s="50" t="s">
        <v>97</v>
      </c>
    </row>
    <row r="391" spans="1:19" x14ac:dyDescent="0.3">
      <c r="B391" t="s">
        <v>21</v>
      </c>
      <c r="C391" t="s">
        <v>22</v>
      </c>
      <c r="D391" t="s">
        <v>158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9" x14ac:dyDescent="0.3">
      <c r="B392" t="s">
        <v>21</v>
      </c>
      <c r="C392" t="s">
        <v>46</v>
      </c>
      <c r="D392" t="s">
        <v>158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9" x14ac:dyDescent="0.3">
      <c r="B393" t="s">
        <v>21</v>
      </c>
      <c r="C393" t="s">
        <v>22</v>
      </c>
      <c r="D393" t="s">
        <v>158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9" x14ac:dyDescent="0.3">
      <c r="B394" t="s">
        <v>21</v>
      </c>
      <c r="C394" t="s">
        <v>48</v>
      </c>
      <c r="D394" t="s">
        <v>158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50" t="s">
        <v>97</v>
      </c>
    </row>
    <row r="395" spans="1:19" x14ac:dyDescent="0.3">
      <c r="B395" t="s">
        <v>21</v>
      </c>
      <c r="C395" t="s">
        <v>22</v>
      </c>
      <c r="D395" t="s">
        <v>112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9" x14ac:dyDescent="0.3">
      <c r="B396" t="s">
        <v>21</v>
      </c>
      <c r="C396" t="s">
        <v>46</v>
      </c>
      <c r="D396" t="s">
        <v>112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9" x14ac:dyDescent="0.3">
      <c r="A397"/>
      <c r="B397" t="s">
        <v>21</v>
      </c>
      <c r="C397" t="s">
        <v>41</v>
      </c>
      <c r="D397" t="s">
        <v>112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/>
    </row>
    <row r="398" spans="1:19" x14ac:dyDescent="0.3">
      <c r="B398" t="s">
        <v>21</v>
      </c>
      <c r="C398" t="s">
        <v>51</v>
      </c>
      <c r="D398" t="s">
        <v>112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/>
    </row>
    <row r="399" spans="1:19" x14ac:dyDescent="0.3">
      <c r="B399" t="s">
        <v>21</v>
      </c>
      <c r="C399" t="s">
        <v>41</v>
      </c>
      <c r="D399" t="s">
        <v>112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50" t="s">
        <v>45</v>
      </c>
    </row>
    <row r="400" spans="1:19" x14ac:dyDescent="0.3">
      <c r="B400" t="s">
        <v>21</v>
      </c>
      <c r="C400" t="s">
        <v>22</v>
      </c>
      <c r="D400" t="s">
        <v>112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9" x14ac:dyDescent="0.3">
      <c r="B401" t="s">
        <v>21</v>
      </c>
      <c r="C401" t="s">
        <v>51</v>
      </c>
      <c r="D401" t="s">
        <v>124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0</v>
      </c>
    </row>
    <row r="402" spans="1:19" x14ac:dyDescent="0.3">
      <c r="B402" t="s">
        <v>21</v>
      </c>
      <c r="C402" t="s">
        <v>41</v>
      </c>
      <c r="D402" t="s">
        <v>124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9" x14ac:dyDescent="0.3">
      <c r="B403" t="s">
        <v>21</v>
      </c>
      <c r="C403" t="s">
        <v>51</v>
      </c>
      <c r="D403" t="s">
        <v>124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/>
    </row>
    <row r="404" spans="1:19" x14ac:dyDescent="0.3">
      <c r="B404" t="s">
        <v>21</v>
      </c>
      <c r="C404" t="s">
        <v>41</v>
      </c>
      <c r="D404" t="s">
        <v>124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50" t="s">
        <v>53</v>
      </c>
    </row>
    <row r="405" spans="1:19" x14ac:dyDescent="0.3">
      <c r="B405" t="s">
        <v>21</v>
      </c>
      <c r="C405" t="s">
        <v>51</v>
      </c>
      <c r="D405" t="s">
        <v>124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9" x14ac:dyDescent="0.3">
      <c r="A406"/>
      <c r="B406" t="s">
        <v>21</v>
      </c>
      <c r="C406" t="s">
        <v>46</v>
      </c>
      <c r="D406" t="s">
        <v>124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9" x14ac:dyDescent="0.3">
      <c r="B407" t="s">
        <v>21</v>
      </c>
      <c r="C407" t="s">
        <v>41</v>
      </c>
      <c r="D407" t="s">
        <v>124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50" t="s">
        <v>64</v>
      </c>
    </row>
    <row r="408" spans="1:19" x14ac:dyDescent="0.3">
      <c r="B408" t="s">
        <v>21</v>
      </c>
      <c r="C408" t="s">
        <v>22</v>
      </c>
      <c r="D408" t="s">
        <v>124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</row>
    <row r="409" spans="1:19" x14ac:dyDescent="0.3">
      <c r="B409" t="s">
        <v>21</v>
      </c>
      <c r="C409" t="s">
        <v>51</v>
      </c>
      <c r="D409" t="s">
        <v>178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s="50" t="s">
        <v>138</v>
      </c>
    </row>
    <row r="410" spans="1:19" x14ac:dyDescent="0.3">
      <c r="A410"/>
      <c r="B410" t="s">
        <v>21</v>
      </c>
      <c r="C410" t="s">
        <v>51</v>
      </c>
      <c r="D410" t="s">
        <v>178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">
        <v>56</v>
      </c>
    </row>
    <row r="411" spans="1:19" x14ac:dyDescent="0.3">
      <c r="B411" t="s">
        <v>21</v>
      </c>
      <c r="C411" t="s">
        <v>48</v>
      </c>
      <c r="D411" t="s">
        <v>129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9" x14ac:dyDescent="0.3">
      <c r="B412" t="s">
        <v>21</v>
      </c>
      <c r="C412" t="s">
        <v>51</v>
      </c>
      <c r="D412" t="s">
        <v>129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9" x14ac:dyDescent="0.3">
      <c r="B413" t="s">
        <v>21</v>
      </c>
      <c r="C413" t="s">
        <v>51</v>
      </c>
      <c r="D413" t="s">
        <v>157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133</v>
      </c>
    </row>
    <row r="414" spans="1:19" x14ac:dyDescent="0.3">
      <c r="B414" t="s">
        <v>21</v>
      </c>
      <c r="C414" t="s">
        <v>22</v>
      </c>
      <c r="D414" t="s">
        <v>157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9" x14ac:dyDescent="0.3">
      <c r="B415" t="s">
        <v>21</v>
      </c>
      <c r="C415" t="s">
        <v>51</v>
      </c>
      <c r="D415" t="s">
        <v>203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/>
    </row>
    <row r="416" spans="1:19" x14ac:dyDescent="0.3">
      <c r="B416" t="s">
        <v>21</v>
      </c>
      <c r="C416" t="s">
        <v>41</v>
      </c>
      <c r="D416" t="s">
        <v>116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/>
    </row>
    <row r="417" spans="1:19" x14ac:dyDescent="0.3">
      <c r="B417" t="s">
        <v>21</v>
      </c>
      <c r="C417" t="s">
        <v>51</v>
      </c>
      <c r="D417" t="s">
        <v>116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50" t="s">
        <v>107</v>
      </c>
    </row>
    <row r="418" spans="1:19" x14ac:dyDescent="0.3">
      <c r="B418" t="s">
        <v>21</v>
      </c>
      <c r="C418" t="s">
        <v>51</v>
      </c>
      <c r="D418" t="s">
        <v>116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50" t="s">
        <v>56</v>
      </c>
    </row>
    <row r="419" spans="1:19" x14ac:dyDescent="0.3">
      <c r="A419"/>
      <c r="B419" t="s">
        <v>21</v>
      </c>
      <c r="C419" t="s">
        <v>41</v>
      </c>
      <c r="D419" t="s">
        <v>125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50" t="s">
        <v>128</v>
      </c>
    </row>
    <row r="420" spans="1:19" x14ac:dyDescent="0.3">
      <c r="B420" t="s">
        <v>21</v>
      </c>
      <c r="C420" t="s">
        <v>41</v>
      </c>
      <c r="D420" t="s">
        <v>125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9" x14ac:dyDescent="0.3">
      <c r="B421" t="s">
        <v>21</v>
      </c>
      <c r="C421" t="s">
        <v>51</v>
      </c>
      <c r="D421" t="s">
        <v>125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/>
    </row>
    <row r="422" spans="1:19" x14ac:dyDescent="0.3">
      <c r="B422" t="s">
        <v>21</v>
      </c>
      <c r="C422" t="s">
        <v>41</v>
      </c>
      <c r="D422" t="s">
        <v>125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9" x14ac:dyDescent="0.3">
      <c r="B423" t="s">
        <v>21</v>
      </c>
      <c r="C423" t="s">
        <v>41</v>
      </c>
      <c r="D423" t="s">
        <v>125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9" x14ac:dyDescent="0.3">
      <c r="A424"/>
      <c r="B424" t="s">
        <v>21</v>
      </c>
      <c r="C424" t="s">
        <v>41</v>
      </c>
      <c r="D424" t="s">
        <v>125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50" t="s">
        <v>138</v>
      </c>
    </row>
    <row r="425" spans="1:19" x14ac:dyDescent="0.3">
      <c r="B425" t="s">
        <v>21</v>
      </c>
      <c r="C425" t="s">
        <v>22</v>
      </c>
      <c r="D425" t="s">
        <v>120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/>
    </row>
    <row r="426" spans="1:19" x14ac:dyDescent="0.3">
      <c r="B426" t="s">
        <v>21</v>
      </c>
      <c r="C426" t="s">
        <v>22</v>
      </c>
      <c r="D426" t="s">
        <v>120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9" x14ac:dyDescent="0.3">
      <c r="A427"/>
      <c r="B427" t="s">
        <v>21</v>
      </c>
      <c r="C427" t="s">
        <v>46</v>
      </c>
      <c r="D427" t="s">
        <v>120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">
        <v>53</v>
      </c>
    </row>
    <row r="428" spans="1:19" x14ac:dyDescent="0.3">
      <c r="B428" t="s">
        <v>21</v>
      </c>
      <c r="C428" t="s">
        <v>22</v>
      </c>
      <c r="D428" t="s">
        <v>102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/>
    </row>
    <row r="429" spans="1:19" x14ac:dyDescent="0.3">
      <c r="B429" t="s">
        <v>21</v>
      </c>
      <c r="C429" t="s">
        <v>46</v>
      </c>
      <c r="D429" t="s">
        <v>102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/>
    </row>
    <row r="430" spans="1:19" x14ac:dyDescent="0.3">
      <c r="A430"/>
      <c r="B430" t="s">
        <v>21</v>
      </c>
      <c r="C430" t="s">
        <v>41</v>
      </c>
      <c r="D430" t="s">
        <v>102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9" x14ac:dyDescent="0.3">
      <c r="B431" t="s">
        <v>21</v>
      </c>
      <c r="C431" t="s">
        <v>51</v>
      </c>
      <c r="D431" t="s">
        <v>102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">
        <v>50</v>
      </c>
    </row>
    <row r="432" spans="1:19" x14ac:dyDescent="0.3">
      <c r="B432" t="s">
        <v>21</v>
      </c>
      <c r="C432" t="s">
        <v>46</v>
      </c>
      <c r="D432" t="s">
        <v>102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/>
    </row>
    <row r="433" spans="1:19" x14ac:dyDescent="0.3">
      <c r="B433" t="s">
        <v>21</v>
      </c>
      <c r="C433" t="s">
        <v>51</v>
      </c>
      <c r="D433" t="s">
        <v>102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9" x14ac:dyDescent="0.3">
      <c r="B434" t="s">
        <v>21</v>
      </c>
      <c r="C434" t="s">
        <v>22</v>
      </c>
      <c r="D434" t="s">
        <v>102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9" x14ac:dyDescent="0.3">
      <c r="B435" t="s">
        <v>21</v>
      </c>
      <c r="C435" t="s">
        <v>46</v>
      </c>
      <c r="D435" t="s">
        <v>102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9" x14ac:dyDescent="0.3">
      <c r="B436" t="s">
        <v>21</v>
      </c>
      <c r="C436" t="s">
        <v>46</v>
      </c>
      <c r="D436" t="s">
        <v>102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/>
    </row>
    <row r="437" spans="1:19" x14ac:dyDescent="0.3">
      <c r="B437" t="s">
        <v>21</v>
      </c>
      <c r="C437" t="s">
        <v>22</v>
      </c>
      <c r="D437" t="s">
        <v>122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s="50" t="s">
        <v>98</v>
      </c>
    </row>
    <row r="438" spans="1:19" x14ac:dyDescent="0.3">
      <c r="B438" t="s">
        <v>21</v>
      </c>
      <c r="C438" t="s">
        <v>22</v>
      </c>
      <c r="D438" t="s">
        <v>122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9" x14ac:dyDescent="0.3">
      <c r="A439"/>
      <c r="B439" t="s">
        <v>21</v>
      </c>
      <c r="C439" t="s">
        <v>46</v>
      </c>
      <c r="D439" t="s">
        <v>122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9" x14ac:dyDescent="0.3">
      <c r="B440" t="s">
        <v>21</v>
      </c>
      <c r="C440" t="s">
        <v>51</v>
      </c>
      <c r="D440" t="s">
        <v>127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9" x14ac:dyDescent="0.3">
      <c r="B441" t="s">
        <v>21</v>
      </c>
      <c r="C441" t="s">
        <v>51</v>
      </c>
      <c r="D441" t="s">
        <v>127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9" x14ac:dyDescent="0.3">
      <c r="B442" t="s">
        <v>21</v>
      </c>
      <c r="C442" t="s">
        <v>22</v>
      </c>
      <c r="D442" t="s">
        <v>127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9" x14ac:dyDescent="0.3">
      <c r="B443" t="s">
        <v>21</v>
      </c>
      <c r="C443" t="s">
        <v>51</v>
      </c>
      <c r="D443" t="s">
        <v>127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9" x14ac:dyDescent="0.3">
      <c r="B444" t="s">
        <v>21</v>
      </c>
      <c r="C444" t="s">
        <v>22</v>
      </c>
      <c r="D444" t="s">
        <v>135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/>
    </row>
    <row r="445" spans="1:19" x14ac:dyDescent="0.3">
      <c r="B445" t="s">
        <v>21</v>
      </c>
      <c r="C445" t="s">
        <v>51</v>
      </c>
      <c r="D445" t="s">
        <v>135</v>
      </c>
      <c r="E445">
        <v>0</v>
      </c>
      <c r="F445">
        <v>0</v>
      </c>
      <c r="G445">
        <v>3</v>
      </c>
      <c r="H445">
        <v>0</v>
      </c>
      <c r="I445">
        <v>0</v>
      </c>
      <c r="J445">
        <v>3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9" x14ac:dyDescent="0.3">
      <c r="B446" t="s">
        <v>21</v>
      </c>
      <c r="C446" t="s">
        <v>46</v>
      </c>
      <c r="D446" t="s">
        <v>135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9" x14ac:dyDescent="0.3">
      <c r="A447"/>
      <c r="B447" t="s">
        <v>21</v>
      </c>
      <c r="C447" t="s">
        <v>51</v>
      </c>
      <c r="D447" t="s">
        <v>135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9" x14ac:dyDescent="0.3">
      <c r="B448" t="s">
        <v>21</v>
      </c>
      <c r="C448" t="s">
        <v>51</v>
      </c>
      <c r="D448" t="s">
        <v>135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/>
    </row>
    <row r="449" spans="1:19" x14ac:dyDescent="0.3">
      <c r="B449" t="s">
        <v>21</v>
      </c>
      <c r="C449" t="s">
        <v>51</v>
      </c>
      <c r="D449" t="s">
        <v>135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50" t="s">
        <v>97</v>
      </c>
    </row>
    <row r="450" spans="1:19" x14ac:dyDescent="0.3">
      <c r="B450" t="s">
        <v>21</v>
      </c>
      <c r="C450" t="s">
        <v>41</v>
      </c>
      <c r="D450" t="s">
        <v>135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50" t="s">
        <v>84</v>
      </c>
    </row>
    <row r="451" spans="1:19" x14ac:dyDescent="0.3">
      <c r="B451" t="s">
        <v>21</v>
      </c>
      <c r="C451" t="s">
        <v>41</v>
      </c>
      <c r="D451" t="s">
        <v>135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50" t="s">
        <v>50</v>
      </c>
    </row>
    <row r="452" spans="1:19" x14ac:dyDescent="0.3">
      <c r="B452" t="s">
        <v>21</v>
      </c>
      <c r="C452" t="s">
        <v>41</v>
      </c>
      <c r="D452" t="s">
        <v>135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/>
    </row>
    <row r="453" spans="1:19" x14ac:dyDescent="0.3">
      <c r="B453" t="s">
        <v>21</v>
      </c>
      <c r="C453" t="s">
        <v>41</v>
      </c>
      <c r="D453" t="s">
        <v>135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9" x14ac:dyDescent="0.3">
      <c r="B454" t="s">
        <v>21</v>
      </c>
      <c r="C454" t="s">
        <v>46</v>
      </c>
      <c r="D454" t="s">
        <v>193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9" x14ac:dyDescent="0.3">
      <c r="B455" t="s">
        <v>21</v>
      </c>
      <c r="C455" t="s">
        <v>22</v>
      </c>
      <c r="D455" t="s">
        <v>147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9" x14ac:dyDescent="0.3">
      <c r="B456" t="s">
        <v>21</v>
      </c>
      <c r="C456" t="s">
        <v>46</v>
      </c>
      <c r="D456" t="s">
        <v>147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9" x14ac:dyDescent="0.3">
      <c r="B457" t="s">
        <v>21</v>
      </c>
      <c r="C457" t="s">
        <v>51</v>
      </c>
      <c r="D457" t="s">
        <v>147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9" x14ac:dyDescent="0.3">
      <c r="B458" t="s">
        <v>21</v>
      </c>
      <c r="C458" t="s">
        <v>41</v>
      </c>
      <c r="D458" t="s">
        <v>147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50" t="s">
        <v>103</v>
      </c>
    </row>
    <row r="459" spans="1:19" x14ac:dyDescent="0.3">
      <c r="A459"/>
      <c r="B459" t="s">
        <v>21</v>
      </c>
      <c r="C459" t="s">
        <v>41</v>
      </c>
      <c r="D459" t="s">
        <v>108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50" t="s">
        <v>97</v>
      </c>
    </row>
    <row r="460" spans="1:19" x14ac:dyDescent="0.3">
      <c r="B460" t="s">
        <v>21</v>
      </c>
      <c r="C460" t="s">
        <v>41</v>
      </c>
      <c r="D460" t="s">
        <v>108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/>
    </row>
    <row r="461" spans="1:19" x14ac:dyDescent="0.3">
      <c r="B461" t="s">
        <v>21</v>
      </c>
      <c r="C461" t="s">
        <v>41</v>
      </c>
      <c r="D461" t="s">
        <v>108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9" x14ac:dyDescent="0.3">
      <c r="B462" t="s">
        <v>21</v>
      </c>
      <c r="C462" t="s">
        <v>41</v>
      </c>
      <c r="D462" t="s">
        <v>108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9" x14ac:dyDescent="0.3">
      <c r="B463" t="s">
        <v>21</v>
      </c>
      <c r="C463" t="s">
        <v>51</v>
      </c>
      <c r="D463" t="s">
        <v>108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9" x14ac:dyDescent="0.3">
      <c r="B464" t="s">
        <v>21</v>
      </c>
      <c r="C464" t="s">
        <v>51</v>
      </c>
      <c r="D464" t="s">
        <v>108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2:19" x14ac:dyDescent="0.3">
      <c r="B465" t="s">
        <v>21</v>
      </c>
      <c r="C465" t="s">
        <v>41</v>
      </c>
      <c r="D465" t="s">
        <v>108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2:19" x14ac:dyDescent="0.3">
      <c r="B466" t="s">
        <v>21</v>
      </c>
      <c r="C466" t="s">
        <v>51</v>
      </c>
      <c r="D466" t="s">
        <v>108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2:19" x14ac:dyDescent="0.3">
      <c r="B467" t="s">
        <v>21</v>
      </c>
      <c r="C467" t="s">
        <v>22</v>
      </c>
      <c r="D467" t="s">
        <v>108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/>
    </row>
    <row r="468" spans="2:19" x14ac:dyDescent="0.3">
      <c r="B468" t="s">
        <v>21</v>
      </c>
      <c r="C468" t="s">
        <v>46</v>
      </c>
      <c r="D468" t="s">
        <v>108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/>
    </row>
    <row r="469" spans="2:19" x14ac:dyDescent="0.3">
      <c r="B469" t="s">
        <v>21</v>
      </c>
      <c r="C469" t="s">
        <v>41</v>
      </c>
      <c r="D469" t="s">
        <v>108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/>
    </row>
    <row r="470" spans="2:19" x14ac:dyDescent="0.3">
      <c r="B470" t="s">
        <v>21</v>
      </c>
      <c r="C470" t="s">
        <v>41</v>
      </c>
      <c r="D470" t="s">
        <v>108</v>
      </c>
      <c r="E470">
        <v>0</v>
      </c>
      <c r="F470">
        <v>0</v>
      </c>
      <c r="G470">
        <v>0</v>
      </c>
      <c r="H470">
        <v>0</v>
      </c>
      <c r="I470">
        <v>2</v>
      </c>
      <c r="J470">
        <v>2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2:19" x14ac:dyDescent="0.3">
      <c r="B471" t="s">
        <v>21</v>
      </c>
      <c r="C471" t="s">
        <v>51</v>
      </c>
      <c r="D471" t="s">
        <v>119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2:19" x14ac:dyDescent="0.3">
      <c r="B472" t="s">
        <v>21</v>
      </c>
      <c r="C472" t="s">
        <v>51</v>
      </c>
      <c r="D472" t="s">
        <v>117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50" t="s">
        <v>107</v>
      </c>
    </row>
    <row r="473" spans="2:19" x14ac:dyDescent="0.3">
      <c r="B473" t="s">
        <v>21</v>
      </c>
      <c r="C473" t="s">
        <v>46</v>
      </c>
      <c r="D473" t="s">
        <v>134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50" t="s">
        <v>64</v>
      </c>
    </row>
    <row r="474" spans="2:19" x14ac:dyDescent="0.3">
      <c r="B474" t="s">
        <v>21</v>
      </c>
      <c r="C474" t="s">
        <v>51</v>
      </c>
      <c r="D474" t="s">
        <v>134</v>
      </c>
      <c r="E474">
        <v>0</v>
      </c>
      <c r="F474">
        <v>0</v>
      </c>
      <c r="G474">
        <v>0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/>
    </row>
    <row r="475" spans="2:19" x14ac:dyDescent="0.3">
      <c r="B475" t="s">
        <v>21</v>
      </c>
      <c r="C475" t="s">
        <v>46</v>
      </c>
      <c r="D475" t="s">
        <v>176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">
        <v>67</v>
      </c>
    </row>
    <row r="476" spans="2:19" x14ac:dyDescent="0.3">
      <c r="B476" t="s">
        <v>21</v>
      </c>
      <c r="C476" t="s">
        <v>22</v>
      </c>
      <c r="D476" t="s">
        <v>176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2:19" x14ac:dyDescent="0.3">
      <c r="B477" t="s">
        <v>21</v>
      </c>
      <c r="C477" t="s">
        <v>41</v>
      </c>
      <c r="D477" t="s">
        <v>176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/>
    </row>
    <row r="478" spans="2:19" x14ac:dyDescent="0.3">
      <c r="B478" t="s">
        <v>21</v>
      </c>
      <c r="C478" t="s">
        <v>41</v>
      </c>
      <c r="D478" t="s">
        <v>174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50" t="s">
        <v>50</v>
      </c>
    </row>
    <row r="479" spans="2:19" x14ac:dyDescent="0.3">
      <c r="B479" t="s">
        <v>21</v>
      </c>
      <c r="C479" t="s">
        <v>41</v>
      </c>
      <c r="D479" t="s">
        <v>174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/>
    </row>
    <row r="480" spans="2:19" x14ac:dyDescent="0.3">
      <c r="B480" t="s">
        <v>21</v>
      </c>
      <c r="C480" t="s">
        <v>22</v>
      </c>
      <c r="D480" t="s">
        <v>136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50" t="s">
        <v>67</v>
      </c>
    </row>
    <row r="481" spans="2:19" x14ac:dyDescent="0.3">
      <c r="B481" t="s">
        <v>21</v>
      </c>
      <c r="C481" t="s">
        <v>51</v>
      </c>
      <c r="D481" t="s">
        <v>136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50" t="s">
        <v>53</v>
      </c>
    </row>
    <row r="482" spans="2:19" x14ac:dyDescent="0.3">
      <c r="B482" t="s">
        <v>21</v>
      </c>
      <c r="C482" t="s">
        <v>41</v>
      </c>
      <c r="D482" t="s">
        <v>136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2:19" x14ac:dyDescent="0.3">
      <c r="B483" t="s">
        <v>21</v>
      </c>
      <c r="C483" t="s">
        <v>22</v>
      </c>
      <c r="D483" t="s">
        <v>136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50" t="s">
        <v>53</v>
      </c>
    </row>
    <row r="484" spans="2:19" x14ac:dyDescent="0.3">
      <c r="B484" t="s">
        <v>21</v>
      </c>
      <c r="C484" t="s">
        <v>41</v>
      </c>
      <c r="D484" t="s">
        <v>136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50" t="s">
        <v>81</v>
      </c>
    </row>
    <row r="485" spans="2:19" x14ac:dyDescent="0.3">
      <c r="B485" t="s">
        <v>21</v>
      </c>
      <c r="C485" t="s">
        <v>22</v>
      </c>
      <c r="D485" t="s">
        <v>168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/>
    </row>
    <row r="486" spans="2:19" x14ac:dyDescent="0.3">
      <c r="B486" t="s">
        <v>21</v>
      </c>
      <c r="C486" t="s">
        <v>51</v>
      </c>
      <c r="D486" t="s">
        <v>168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>
        <v>0</v>
      </c>
      <c r="L486">
        <v>1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 s="50" t="s">
        <v>133</v>
      </c>
    </row>
    <row r="487" spans="2:19" x14ac:dyDescent="0.3">
      <c r="B487" t="s">
        <v>21</v>
      </c>
      <c r="C487" t="s">
        <v>41</v>
      </c>
      <c r="D487" t="s">
        <v>196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50" t="s">
        <v>97</v>
      </c>
    </row>
    <row r="488" spans="2:19" x14ac:dyDescent="0.3">
      <c r="B488" t="s">
        <v>21</v>
      </c>
      <c r="C488" t="s">
        <v>22</v>
      </c>
      <c r="D488" t="s">
        <v>196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2:19" x14ac:dyDescent="0.3">
      <c r="B489" t="s">
        <v>21</v>
      </c>
      <c r="C489" t="s">
        <v>51</v>
      </c>
      <c r="D489" t="s">
        <v>197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50" t="s">
        <v>67</v>
      </c>
    </row>
    <row r="490" spans="2:19" x14ac:dyDescent="0.3">
      <c r="B490" t="s">
        <v>21</v>
      </c>
      <c r="C490" t="s">
        <v>41</v>
      </c>
      <c r="D490" t="s">
        <v>206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2:19" x14ac:dyDescent="0.3">
      <c r="B491" t="s">
        <v>21</v>
      </c>
      <c r="C491" t="s">
        <v>41</v>
      </c>
      <c r="D491" t="s">
        <v>78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/>
    </row>
    <row r="492" spans="2:19" x14ac:dyDescent="0.3">
      <c r="B492" t="s">
        <v>21</v>
      </c>
      <c r="C492" t="s">
        <v>46</v>
      </c>
      <c r="D492" t="s">
        <v>78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2:19" x14ac:dyDescent="0.3">
      <c r="B493" t="s">
        <v>21</v>
      </c>
      <c r="C493" t="s">
        <v>48</v>
      </c>
      <c r="D493" t="s">
        <v>78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2:19" x14ac:dyDescent="0.3">
      <c r="B494" t="s">
        <v>21</v>
      </c>
      <c r="C494" t="s">
        <v>51</v>
      </c>
      <c r="D494" t="s">
        <v>78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">
        <v>50</v>
      </c>
    </row>
    <row r="495" spans="2:19" x14ac:dyDescent="0.3">
      <c r="B495" t="s">
        <v>21</v>
      </c>
      <c r="C495" t="s">
        <v>41</v>
      </c>
      <c r="D495" t="s">
        <v>78</v>
      </c>
      <c r="E495">
        <v>0</v>
      </c>
      <c r="F495">
        <v>2</v>
      </c>
      <c r="G495">
        <v>0</v>
      </c>
      <c r="H495">
        <v>0</v>
      </c>
      <c r="I495">
        <v>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50" t="s">
        <v>53</v>
      </c>
    </row>
    <row r="496" spans="2:19" x14ac:dyDescent="0.3">
      <c r="B496" t="s">
        <v>21</v>
      </c>
      <c r="C496" t="s">
        <v>51</v>
      </c>
      <c r="D496" t="s">
        <v>78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9" x14ac:dyDescent="0.3">
      <c r="A497"/>
      <c r="B497" t="s">
        <v>21</v>
      </c>
      <c r="C497" t="s">
        <v>41</v>
      </c>
      <c r="D497" t="s">
        <v>78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">
        <v>98</v>
      </c>
    </row>
    <row r="498" spans="1:19" x14ac:dyDescent="0.3">
      <c r="B498" t="s">
        <v>21</v>
      </c>
      <c r="C498" t="s">
        <v>51</v>
      </c>
      <c r="D498" t="s">
        <v>78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9" x14ac:dyDescent="0.3">
      <c r="B499" t="s">
        <v>21</v>
      </c>
      <c r="C499" t="s">
        <v>51</v>
      </c>
      <c r="D499" t="s">
        <v>78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9" x14ac:dyDescent="0.3">
      <c r="B500" t="s">
        <v>21</v>
      </c>
      <c r="C500" t="s">
        <v>51</v>
      </c>
      <c r="D500" t="s">
        <v>78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50" t="s">
        <v>67</v>
      </c>
    </row>
    <row r="501" spans="1:19" x14ac:dyDescent="0.3">
      <c r="B501" t="s">
        <v>21</v>
      </c>
      <c r="C501" t="s">
        <v>22</v>
      </c>
      <c r="D501" t="s">
        <v>78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/>
    </row>
    <row r="502" spans="1:19" x14ac:dyDescent="0.3">
      <c r="B502" t="s">
        <v>21</v>
      </c>
      <c r="C502" t="s">
        <v>41</v>
      </c>
      <c r="D502" t="s">
        <v>78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9" x14ac:dyDescent="0.3">
      <c r="B503" t="s">
        <v>21</v>
      </c>
      <c r="C503" t="s">
        <v>51</v>
      </c>
      <c r="D503" t="s">
        <v>78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/>
    </row>
    <row r="504" spans="1:19" x14ac:dyDescent="0.3">
      <c r="B504" t="s">
        <v>21</v>
      </c>
      <c r="C504" t="s">
        <v>46</v>
      </c>
      <c r="D504" t="s">
        <v>78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9" x14ac:dyDescent="0.3">
      <c r="B505" t="s">
        <v>21</v>
      </c>
      <c r="C505" t="s">
        <v>41</v>
      </c>
      <c r="D505" t="s">
        <v>78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9" x14ac:dyDescent="0.3">
      <c r="B506" t="s">
        <v>21</v>
      </c>
      <c r="C506" t="s">
        <v>41</v>
      </c>
      <c r="D506" t="s">
        <v>78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/>
    </row>
    <row r="507" spans="1:19" x14ac:dyDescent="0.3">
      <c r="B507" t="s">
        <v>21</v>
      </c>
      <c r="C507" t="s">
        <v>51</v>
      </c>
      <c r="D507" t="s">
        <v>78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/>
    </row>
    <row r="508" spans="1:19" x14ac:dyDescent="0.3">
      <c r="B508" t="s">
        <v>21</v>
      </c>
      <c r="C508" t="s">
        <v>41</v>
      </c>
      <c r="D508" t="s">
        <v>78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9" x14ac:dyDescent="0.3">
      <c r="B509" t="s">
        <v>21</v>
      </c>
      <c r="C509" t="s">
        <v>51</v>
      </c>
      <c r="D509" t="s">
        <v>78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9" x14ac:dyDescent="0.3">
      <c r="A510"/>
      <c r="B510" t="s">
        <v>21</v>
      </c>
      <c r="C510" t="s">
        <v>51</v>
      </c>
      <c r="D510" t="s">
        <v>78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50" t="s">
        <v>97</v>
      </c>
    </row>
    <row r="511" spans="1:19" x14ac:dyDescent="0.3">
      <c r="B511" t="s">
        <v>21</v>
      </c>
      <c r="C511" t="s">
        <v>51</v>
      </c>
      <c r="D511" t="s">
        <v>78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9" x14ac:dyDescent="0.3">
      <c r="B512" t="s">
        <v>21</v>
      </c>
      <c r="C512" t="s">
        <v>46</v>
      </c>
      <c r="D512" t="s">
        <v>78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/>
    </row>
    <row r="513" spans="1:19" x14ac:dyDescent="0.3">
      <c r="B513" t="s">
        <v>21</v>
      </c>
      <c r="C513" t="s">
        <v>22</v>
      </c>
      <c r="D513" t="s">
        <v>78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">
        <v>50</v>
      </c>
    </row>
    <row r="514" spans="1:19" x14ac:dyDescent="0.3">
      <c r="B514" t="s">
        <v>21</v>
      </c>
      <c r="C514" t="s">
        <v>22</v>
      </c>
      <c r="D514" t="s">
        <v>78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9" x14ac:dyDescent="0.3">
      <c r="B515" t="s">
        <v>21</v>
      </c>
      <c r="C515" t="s">
        <v>46</v>
      </c>
      <c r="D515" t="s">
        <v>78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9" x14ac:dyDescent="0.3">
      <c r="B516" t="s">
        <v>21</v>
      </c>
      <c r="C516" t="s">
        <v>51</v>
      </c>
      <c r="D516" t="s">
        <v>78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9" x14ac:dyDescent="0.3">
      <c r="B517" t="s">
        <v>21</v>
      </c>
      <c r="C517" t="s">
        <v>22</v>
      </c>
      <c r="D517" t="s">
        <v>23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9" x14ac:dyDescent="0.3">
      <c r="B518" t="s">
        <v>21</v>
      </c>
      <c r="C518" t="s">
        <v>46</v>
      </c>
      <c r="D518" t="s">
        <v>47</v>
      </c>
      <c r="E518">
        <v>1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50" t="s">
        <v>50</v>
      </c>
    </row>
    <row r="519" spans="1:19" x14ac:dyDescent="0.3">
      <c r="A519"/>
      <c r="B519" t="s">
        <v>21</v>
      </c>
      <c r="C519" t="s">
        <v>51</v>
      </c>
      <c r="D519" t="s">
        <v>47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9" x14ac:dyDescent="0.3">
      <c r="B520" t="s">
        <v>21</v>
      </c>
      <c r="C520" t="s">
        <v>51</v>
      </c>
      <c r="D520" t="s">
        <v>47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9" x14ac:dyDescent="0.3">
      <c r="B521" t="s">
        <v>21</v>
      </c>
      <c r="C521" t="s">
        <v>48</v>
      </c>
      <c r="D521" t="s">
        <v>47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50" t="s">
        <v>81</v>
      </c>
    </row>
    <row r="522" spans="1:19" x14ac:dyDescent="0.3">
      <c r="A522"/>
      <c r="B522" t="s">
        <v>21</v>
      </c>
      <c r="C522" t="s">
        <v>41</v>
      </c>
      <c r="D522" t="s">
        <v>47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50" t="s">
        <v>56</v>
      </c>
    </row>
    <row r="523" spans="1:19" x14ac:dyDescent="0.3">
      <c r="B523" t="s">
        <v>21</v>
      </c>
      <c r="C523" t="s">
        <v>22</v>
      </c>
      <c r="D523" t="s">
        <v>47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9" x14ac:dyDescent="0.3">
      <c r="B524" t="s">
        <v>21</v>
      </c>
      <c r="C524" t="s">
        <v>46</v>
      </c>
      <c r="D524" t="s">
        <v>47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9" x14ac:dyDescent="0.3">
      <c r="B525" t="s">
        <v>21</v>
      </c>
      <c r="C525" t="s">
        <v>46</v>
      </c>
      <c r="D525" t="s">
        <v>47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9" x14ac:dyDescent="0.3">
      <c r="B526" t="s">
        <v>21</v>
      </c>
      <c r="C526" t="s">
        <v>22</v>
      </c>
      <c r="D526" t="s">
        <v>47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50" t="s">
        <v>106</v>
      </c>
    </row>
    <row r="527" spans="1:19" x14ac:dyDescent="0.3">
      <c r="B527" t="s">
        <v>21</v>
      </c>
      <c r="C527" t="s">
        <v>46</v>
      </c>
      <c r="D527" t="s">
        <v>47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9" x14ac:dyDescent="0.3">
      <c r="A528"/>
      <c r="B528" t="s">
        <v>21</v>
      </c>
      <c r="C528" t="s">
        <v>22</v>
      </c>
      <c r="D528" t="s">
        <v>47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9" x14ac:dyDescent="0.3">
      <c r="A529"/>
      <c r="B529" t="s">
        <v>21</v>
      </c>
      <c r="C529" t="s">
        <v>22</v>
      </c>
      <c r="D529" t="s">
        <v>47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50" t="s">
        <v>45</v>
      </c>
    </row>
    <row r="530" spans="1:19" x14ac:dyDescent="0.3">
      <c r="B530" t="s">
        <v>21</v>
      </c>
      <c r="C530" t="s">
        <v>51</v>
      </c>
      <c r="D530" t="s">
        <v>47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s="50" t="s">
        <v>53</v>
      </c>
    </row>
    <row r="531" spans="1:19" x14ac:dyDescent="0.3">
      <c r="B531" t="s">
        <v>21</v>
      </c>
      <c r="C531" t="s">
        <v>46</v>
      </c>
      <c r="D531" t="s">
        <v>47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9" x14ac:dyDescent="0.3">
      <c r="B532" t="s">
        <v>21</v>
      </c>
      <c r="C532" t="s">
        <v>51</v>
      </c>
      <c r="D532" t="s">
        <v>47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/>
    </row>
    <row r="533" spans="1:19" x14ac:dyDescent="0.3">
      <c r="B533" t="s">
        <v>21</v>
      </c>
      <c r="C533" t="s">
        <v>51</v>
      </c>
      <c r="D533" t="s">
        <v>47</v>
      </c>
      <c r="E533">
        <v>0</v>
      </c>
      <c r="F533">
        <v>0</v>
      </c>
      <c r="G533">
        <v>2</v>
      </c>
      <c r="H533">
        <v>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9" x14ac:dyDescent="0.3">
      <c r="A534"/>
      <c r="B534" t="s">
        <v>21</v>
      </c>
      <c r="C534" t="s">
        <v>51</v>
      </c>
      <c r="D534" t="s">
        <v>47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/>
    </row>
    <row r="535" spans="1:19" x14ac:dyDescent="0.3">
      <c r="A535"/>
      <c r="B535" t="s">
        <v>21</v>
      </c>
      <c r="C535" t="s">
        <v>46</v>
      </c>
      <c r="D535" t="s">
        <v>47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9" x14ac:dyDescent="0.3">
      <c r="A536"/>
      <c r="B536" t="s">
        <v>21</v>
      </c>
      <c r="C536" t="s">
        <v>51</v>
      </c>
      <c r="D536" t="s">
        <v>47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9" x14ac:dyDescent="0.3">
      <c r="B537" t="s">
        <v>21</v>
      </c>
      <c r="C537" t="s">
        <v>22</v>
      </c>
      <c r="D537" t="s">
        <v>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9" x14ac:dyDescent="0.3">
      <c r="B538" t="s">
        <v>21</v>
      </c>
      <c r="C538" t="s">
        <v>41</v>
      </c>
      <c r="D538" t="s">
        <v>47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50" t="s">
        <v>53</v>
      </c>
    </row>
    <row r="539" spans="1:19" x14ac:dyDescent="0.3">
      <c r="B539" t="s">
        <v>21</v>
      </c>
      <c r="C539" t="s">
        <v>48</v>
      </c>
      <c r="D539" t="s">
        <v>47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/>
    </row>
    <row r="540" spans="1:19" x14ac:dyDescent="0.3">
      <c r="B540" t="s">
        <v>21</v>
      </c>
      <c r="C540" t="s">
        <v>48</v>
      </c>
      <c r="D540" t="s">
        <v>47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9" x14ac:dyDescent="0.3">
      <c r="B541" t="s">
        <v>21</v>
      </c>
      <c r="C541" t="s">
        <v>48</v>
      </c>
      <c r="D541" t="s">
        <v>47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9" x14ac:dyDescent="0.3">
      <c r="B542" t="s">
        <v>21</v>
      </c>
      <c r="C542" t="s">
        <v>22</v>
      </c>
      <c r="D542" t="s">
        <v>47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9" x14ac:dyDescent="0.3">
      <c r="B543" t="s">
        <v>21</v>
      </c>
      <c r="C543" t="s">
        <v>48</v>
      </c>
      <c r="D543" t="s">
        <v>47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97</v>
      </c>
    </row>
    <row r="544" spans="1:19" x14ac:dyDescent="0.3">
      <c r="B544" t="s">
        <v>21</v>
      </c>
      <c r="C544" t="s">
        <v>48</v>
      </c>
      <c r="D544" t="s">
        <v>47</v>
      </c>
      <c r="E544">
        <v>0</v>
      </c>
      <c r="F544">
        <v>0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2:19" x14ac:dyDescent="0.3">
      <c r="B545" t="s">
        <v>21</v>
      </c>
      <c r="C545" t="s">
        <v>41</v>
      </c>
      <c r="D545" t="s">
        <v>47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s="50" t="s">
        <v>103</v>
      </c>
    </row>
    <row r="546" spans="2:19" x14ac:dyDescent="0.3">
      <c r="B546" t="s">
        <v>21</v>
      </c>
      <c r="C546" t="s">
        <v>41</v>
      </c>
      <c r="D546" t="s">
        <v>47</v>
      </c>
      <c r="E546">
        <v>0</v>
      </c>
      <c r="F546">
        <v>0</v>
      </c>
      <c r="G546">
        <v>0</v>
      </c>
      <c r="H546">
        <v>0</v>
      </c>
      <c r="I546">
        <v>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50" t="s">
        <v>84</v>
      </c>
    </row>
    <row r="547" spans="2:19" x14ac:dyDescent="0.3">
      <c r="B547" t="s">
        <v>21</v>
      </c>
      <c r="C547" t="s">
        <v>51</v>
      </c>
      <c r="D547" t="s">
        <v>47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">
        <v>133</v>
      </c>
    </row>
    <row r="548" spans="2:19" x14ac:dyDescent="0.3">
      <c r="B548" t="s">
        <v>21</v>
      </c>
      <c r="C548" t="s">
        <v>51</v>
      </c>
      <c r="D548" t="s">
        <v>47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50" t="s">
        <v>84</v>
      </c>
    </row>
    <row r="549" spans="2:19" x14ac:dyDescent="0.3">
      <c r="B549" t="s">
        <v>21</v>
      </c>
      <c r="C549" t="s">
        <v>48</v>
      </c>
      <c r="D549" t="s">
        <v>47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2:19" x14ac:dyDescent="0.3">
      <c r="B550" t="s">
        <v>21</v>
      </c>
      <c r="C550" t="s">
        <v>46</v>
      </c>
      <c r="D550" t="s">
        <v>47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2:19" x14ac:dyDescent="0.3">
      <c r="B551" t="s">
        <v>21</v>
      </c>
      <c r="C551" t="s">
        <v>51</v>
      </c>
      <c r="D551" t="s">
        <v>47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50" t="s">
        <v>56</v>
      </c>
    </row>
    <row r="552" spans="2:19" x14ac:dyDescent="0.3">
      <c r="B552" t="s">
        <v>21</v>
      </c>
      <c r="C552" t="s">
        <v>51</v>
      </c>
      <c r="D552" t="s">
        <v>47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50" t="s">
        <v>103</v>
      </c>
    </row>
    <row r="553" spans="2:19" x14ac:dyDescent="0.3">
      <c r="B553" t="s">
        <v>21</v>
      </c>
      <c r="C553" t="s">
        <v>22</v>
      </c>
      <c r="D553" t="s">
        <v>47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2:19" x14ac:dyDescent="0.3">
      <c r="B554" t="s">
        <v>21</v>
      </c>
      <c r="C554" t="s">
        <v>48</v>
      </c>
      <c r="D554" t="s">
        <v>47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50" t="s">
        <v>81</v>
      </c>
    </row>
    <row r="555" spans="2:19" x14ac:dyDescent="0.3">
      <c r="B555" t="s">
        <v>21</v>
      </c>
      <c r="C555" t="s">
        <v>46</v>
      </c>
      <c r="D555" t="s">
        <v>47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2:19" x14ac:dyDescent="0.3">
      <c r="B556" t="s">
        <v>21</v>
      </c>
      <c r="C556" t="s">
        <v>51</v>
      </c>
      <c r="D556" t="s">
        <v>47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50" t="s">
        <v>107</v>
      </c>
    </row>
    <row r="557" spans="2:19" x14ac:dyDescent="0.3">
      <c r="B557" t="s">
        <v>21</v>
      </c>
      <c r="C557" t="s">
        <v>51</v>
      </c>
      <c r="D557" t="s">
        <v>47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53</v>
      </c>
    </row>
    <row r="558" spans="2:19" x14ac:dyDescent="0.3">
      <c r="B558" t="s">
        <v>21</v>
      </c>
      <c r="C558" t="s">
        <v>41</v>
      </c>
      <c r="D558" t="s">
        <v>47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2:19" x14ac:dyDescent="0.3">
      <c r="B559" t="s">
        <v>21</v>
      </c>
      <c r="C559" t="s">
        <v>51</v>
      </c>
      <c r="D559" t="s">
        <v>47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/>
    </row>
    <row r="560" spans="2:19" x14ac:dyDescent="0.3">
      <c r="B560" t="s">
        <v>21</v>
      </c>
      <c r="C560" t="s">
        <v>48</v>
      </c>
      <c r="D560" t="s">
        <v>47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9" x14ac:dyDescent="0.3">
      <c r="B561" t="s">
        <v>21</v>
      </c>
      <c r="C561" t="s">
        <v>46</v>
      </c>
      <c r="D561" t="s">
        <v>47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/>
    </row>
    <row r="562" spans="1:19" x14ac:dyDescent="0.3">
      <c r="B562" t="s">
        <v>21</v>
      </c>
      <c r="C562" t="s">
        <v>41</v>
      </c>
      <c r="D562" t="s">
        <v>47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9" x14ac:dyDescent="0.3">
      <c r="B563" t="s">
        <v>21</v>
      </c>
      <c r="C563" t="s">
        <v>41</v>
      </c>
      <c r="D563" t="s">
        <v>47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/>
    </row>
    <row r="564" spans="1:19" x14ac:dyDescent="0.3">
      <c r="A564"/>
      <c r="B564" t="s">
        <v>21</v>
      </c>
      <c r="C564" t="s">
        <v>22</v>
      </c>
      <c r="D564" t="s">
        <v>47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/>
    </row>
    <row r="565" spans="1:19" x14ac:dyDescent="0.3">
      <c r="A565"/>
      <c r="B565" t="s">
        <v>21</v>
      </c>
      <c r="C565" t="s">
        <v>48</v>
      </c>
      <c r="D565" t="s">
        <v>47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/>
    </row>
    <row r="566" spans="1:19" x14ac:dyDescent="0.3">
      <c r="B566" t="s">
        <v>21</v>
      </c>
      <c r="C566" t="s">
        <v>51</v>
      </c>
      <c r="D566" t="s">
        <v>47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s="50" t="s">
        <v>97</v>
      </c>
    </row>
    <row r="567" spans="1:19" x14ac:dyDescent="0.3">
      <c r="B567" t="s">
        <v>21</v>
      </c>
      <c r="C567" t="s">
        <v>51</v>
      </c>
      <c r="D567" t="s">
        <v>47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9" x14ac:dyDescent="0.3">
      <c r="A568"/>
      <c r="B568" t="s">
        <v>21</v>
      </c>
      <c r="C568" t="s">
        <v>22</v>
      </c>
      <c r="D568" t="s">
        <v>47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/>
    </row>
    <row r="569" spans="1:19" x14ac:dyDescent="0.3">
      <c r="B569" t="s">
        <v>21</v>
      </c>
      <c r="C569" t="s">
        <v>41</v>
      </c>
      <c r="D569" t="s">
        <v>47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9" x14ac:dyDescent="0.3">
      <c r="B570" t="s">
        <v>21</v>
      </c>
      <c r="C570" t="s">
        <v>46</v>
      </c>
      <c r="D570" t="s">
        <v>47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/>
    </row>
    <row r="571" spans="1:19" x14ac:dyDescent="0.3">
      <c r="B571" t="s">
        <v>21</v>
      </c>
      <c r="C571" t="s">
        <v>22</v>
      </c>
      <c r="D571" t="s">
        <v>47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">
        <v>53</v>
      </c>
    </row>
    <row r="572" spans="1:19" x14ac:dyDescent="0.3">
      <c r="B572" t="s">
        <v>21</v>
      </c>
      <c r="C572" t="s">
        <v>22</v>
      </c>
      <c r="D572" t="s">
        <v>47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/>
    </row>
    <row r="573" spans="1:19" x14ac:dyDescent="0.3">
      <c r="B573" t="s">
        <v>21</v>
      </c>
      <c r="C573" t="s">
        <v>51</v>
      </c>
      <c r="D573" t="s">
        <v>47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9" x14ac:dyDescent="0.3">
      <c r="B574" t="s">
        <v>21</v>
      </c>
      <c r="C574" t="s">
        <v>48</v>
      </c>
      <c r="D574" t="s">
        <v>47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s="50" t="s">
        <v>50</v>
      </c>
    </row>
    <row r="575" spans="1:19" x14ac:dyDescent="0.3">
      <c r="B575" t="s">
        <v>21</v>
      </c>
      <c r="C575" t="s">
        <v>51</v>
      </c>
      <c r="D575" t="s">
        <v>47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/>
    </row>
    <row r="576" spans="1:19" x14ac:dyDescent="0.3">
      <c r="B576" t="s">
        <v>21</v>
      </c>
      <c r="C576" t="s">
        <v>22</v>
      </c>
      <c r="D576" t="s">
        <v>47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9" x14ac:dyDescent="0.3">
      <c r="B577" t="s">
        <v>21</v>
      </c>
      <c r="C577" t="s">
        <v>22</v>
      </c>
      <c r="D577" t="s">
        <v>47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9" x14ac:dyDescent="0.3">
      <c r="B578" t="s">
        <v>21</v>
      </c>
      <c r="C578" t="s">
        <v>51</v>
      </c>
      <c r="D578" t="s">
        <v>47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9" x14ac:dyDescent="0.3">
      <c r="B579" t="s">
        <v>21</v>
      </c>
      <c r="C579" t="s">
        <v>22</v>
      </c>
      <c r="D579" t="s">
        <v>47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">
        <v>56</v>
      </c>
    </row>
    <row r="580" spans="1:19" x14ac:dyDescent="0.3">
      <c r="A580"/>
      <c r="B580" t="s">
        <v>21</v>
      </c>
      <c r="C580" t="s">
        <v>48</v>
      </c>
      <c r="D580" t="s">
        <v>47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/>
    </row>
    <row r="581" spans="1:19" x14ac:dyDescent="0.3">
      <c r="B581" t="s">
        <v>21</v>
      </c>
      <c r="C581" t="s">
        <v>51</v>
      </c>
      <c r="D581" t="s">
        <v>47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/>
    </row>
    <row r="582" spans="1:19" x14ac:dyDescent="0.3">
      <c r="B582" t="s">
        <v>21</v>
      </c>
      <c r="C582" t="s">
        <v>51</v>
      </c>
      <c r="D582" t="s">
        <v>47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">
        <v>64</v>
      </c>
    </row>
    <row r="583" spans="1:19" x14ac:dyDescent="0.3">
      <c r="B583" t="s">
        <v>21</v>
      </c>
      <c r="C583" t="s">
        <v>51</v>
      </c>
      <c r="D583" t="s">
        <v>47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">
        <v>53</v>
      </c>
    </row>
    <row r="584" spans="1:19" x14ac:dyDescent="0.3">
      <c r="A584"/>
      <c r="B584" t="s">
        <v>21</v>
      </c>
      <c r="C584" t="s">
        <v>51</v>
      </c>
      <c r="D584" t="s">
        <v>47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/>
    </row>
    <row r="585" spans="1:19" x14ac:dyDescent="0.3">
      <c r="B585" t="s">
        <v>21</v>
      </c>
      <c r="C585" t="s">
        <v>22</v>
      </c>
      <c r="D585" t="s">
        <v>47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s="50" t="s">
        <v>56</v>
      </c>
    </row>
    <row r="586" spans="1:19" x14ac:dyDescent="0.3">
      <c r="B586" t="s">
        <v>21</v>
      </c>
      <c r="C586" t="s">
        <v>41</v>
      </c>
      <c r="D586" t="s">
        <v>47</v>
      </c>
      <c r="E586">
        <v>0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">
        <v>45</v>
      </c>
    </row>
    <row r="587" spans="1:19" x14ac:dyDescent="0.3">
      <c r="B587" t="s">
        <v>21</v>
      </c>
      <c r="C587" t="s">
        <v>48</v>
      </c>
      <c r="D587" t="s">
        <v>47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 s="50" t="s">
        <v>97</v>
      </c>
    </row>
    <row r="588" spans="1:19" x14ac:dyDescent="0.3">
      <c r="B588" t="s">
        <v>21</v>
      </c>
      <c r="C588" t="s">
        <v>22</v>
      </c>
      <c r="D588" t="s">
        <v>47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9" x14ac:dyDescent="0.3">
      <c r="B589" t="s">
        <v>21</v>
      </c>
      <c r="C589" t="s">
        <v>51</v>
      </c>
      <c r="D589" t="s">
        <v>47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/>
    </row>
    <row r="590" spans="1:19" x14ac:dyDescent="0.3">
      <c r="A590"/>
      <c r="B590" t="s">
        <v>21</v>
      </c>
      <c r="C590" t="s">
        <v>22</v>
      </c>
      <c r="D590" t="s">
        <v>47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9" x14ac:dyDescent="0.3">
      <c r="B591" t="s">
        <v>21</v>
      </c>
      <c r="C591" t="s">
        <v>22</v>
      </c>
      <c r="D591" t="s">
        <v>47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50" t="s">
        <v>64</v>
      </c>
    </row>
    <row r="592" spans="1:19" x14ac:dyDescent="0.3">
      <c r="B592" t="s">
        <v>21</v>
      </c>
      <c r="C592" t="s">
        <v>41</v>
      </c>
      <c r="D592" t="s">
        <v>47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">
        <v>81</v>
      </c>
    </row>
    <row r="593" spans="1:19" x14ac:dyDescent="0.3">
      <c r="A593"/>
      <c r="B593" t="s">
        <v>21</v>
      </c>
      <c r="C593" t="s">
        <v>51</v>
      </c>
      <c r="D593" t="s">
        <v>47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9" x14ac:dyDescent="0.3">
      <c r="B594" t="s">
        <v>21</v>
      </c>
      <c r="C594" t="s">
        <v>41</v>
      </c>
      <c r="D594" t="s">
        <v>47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9" x14ac:dyDescent="0.3">
      <c r="B595" t="s">
        <v>21</v>
      </c>
      <c r="C595" t="s">
        <v>51</v>
      </c>
      <c r="D595" t="s">
        <v>47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9" x14ac:dyDescent="0.3">
      <c r="B596" t="s">
        <v>21</v>
      </c>
      <c r="C596" t="s">
        <v>41</v>
      </c>
      <c r="D596" t="s">
        <v>47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9" x14ac:dyDescent="0.3">
      <c r="B597" t="s">
        <v>21</v>
      </c>
      <c r="C597" t="s">
        <v>48</v>
      </c>
      <c r="D597" t="s">
        <v>47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133</v>
      </c>
    </row>
    <row r="598" spans="1:19" x14ac:dyDescent="0.3">
      <c r="B598" t="s">
        <v>21</v>
      </c>
      <c r="C598" t="s">
        <v>51</v>
      </c>
      <c r="D598" t="s">
        <v>47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9" x14ac:dyDescent="0.3">
      <c r="B599" t="s">
        <v>21</v>
      </c>
      <c r="C599" t="s">
        <v>48</v>
      </c>
      <c r="D599" t="s">
        <v>47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">
        <v>64</v>
      </c>
    </row>
    <row r="600" spans="1:19" x14ac:dyDescent="0.3">
      <c r="B600" t="s">
        <v>21</v>
      </c>
      <c r="C600" t="s">
        <v>51</v>
      </c>
      <c r="D600" t="s">
        <v>47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9" x14ac:dyDescent="0.3">
      <c r="B601" t="s">
        <v>21</v>
      </c>
      <c r="C601" t="s">
        <v>22</v>
      </c>
      <c r="D601" t="s">
        <v>47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">
        <v>53</v>
      </c>
    </row>
    <row r="602" spans="1:19" x14ac:dyDescent="0.3">
      <c r="A602"/>
      <c r="B602" t="s">
        <v>21</v>
      </c>
      <c r="C602" t="s">
        <v>46</v>
      </c>
      <c r="D602" t="s">
        <v>47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9" x14ac:dyDescent="0.3">
      <c r="B603" t="s">
        <v>21</v>
      </c>
      <c r="C603" t="s">
        <v>51</v>
      </c>
      <c r="D603" t="s">
        <v>47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9" x14ac:dyDescent="0.3">
      <c r="B604" t="s">
        <v>21</v>
      </c>
      <c r="C604" t="s">
        <v>46</v>
      </c>
      <c r="D604" t="s">
        <v>47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50" t="s">
        <v>97</v>
      </c>
    </row>
    <row r="605" spans="1:19" x14ac:dyDescent="0.3">
      <c r="B605" t="s">
        <v>21</v>
      </c>
      <c r="C605" t="s">
        <v>51</v>
      </c>
      <c r="D605" t="s">
        <v>47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64</v>
      </c>
    </row>
    <row r="606" spans="1:19" x14ac:dyDescent="0.3">
      <c r="B606" t="s">
        <v>21</v>
      </c>
      <c r="C606" t="s">
        <v>46</v>
      </c>
      <c r="D606" t="s">
        <v>47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9" x14ac:dyDescent="0.3">
      <c r="B607" t="s">
        <v>21</v>
      </c>
      <c r="C607" t="s">
        <v>22</v>
      </c>
      <c r="D607" t="s">
        <v>47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">
        <v>133</v>
      </c>
    </row>
    <row r="608" spans="1:19" x14ac:dyDescent="0.3">
      <c r="B608" t="s">
        <v>21</v>
      </c>
      <c r="C608" t="s">
        <v>51</v>
      </c>
      <c r="D608" t="s">
        <v>47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9" x14ac:dyDescent="0.3">
      <c r="B609" t="s">
        <v>21</v>
      </c>
      <c r="C609" t="s">
        <v>41</v>
      </c>
      <c r="D609" t="s">
        <v>47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50" t="s">
        <v>98</v>
      </c>
    </row>
    <row r="610" spans="1:19" x14ac:dyDescent="0.3">
      <c r="B610" t="s">
        <v>21</v>
      </c>
      <c r="C610" t="s">
        <v>41</v>
      </c>
      <c r="D610" t="s">
        <v>47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50" t="s">
        <v>64</v>
      </c>
    </row>
    <row r="611" spans="1:19" x14ac:dyDescent="0.3">
      <c r="B611" t="s">
        <v>21</v>
      </c>
      <c r="C611" t="s">
        <v>41</v>
      </c>
      <c r="D611" t="s">
        <v>47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50" t="s">
        <v>103</v>
      </c>
    </row>
    <row r="612" spans="1:19" x14ac:dyDescent="0.3">
      <c r="B612" t="s">
        <v>21</v>
      </c>
      <c r="C612" t="s">
        <v>51</v>
      </c>
      <c r="D612" t="s">
        <v>52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50" t="s">
        <v>53</v>
      </c>
    </row>
    <row r="613" spans="1:19" x14ac:dyDescent="0.3">
      <c r="B613" t="s">
        <v>21</v>
      </c>
      <c r="C613" t="s">
        <v>46</v>
      </c>
      <c r="D613" t="s">
        <v>52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9" x14ac:dyDescent="0.3">
      <c r="B614" t="s">
        <v>21</v>
      </c>
      <c r="C614" t="s">
        <v>41</v>
      </c>
      <c r="D614" t="s">
        <v>52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9" x14ac:dyDescent="0.3">
      <c r="B615" t="s">
        <v>21</v>
      </c>
      <c r="C615" t="s">
        <v>48</v>
      </c>
      <c r="D615" t="s">
        <v>52</v>
      </c>
      <c r="E615">
        <v>0</v>
      </c>
      <c r="F615">
        <v>0</v>
      </c>
      <c r="G615">
        <v>0</v>
      </c>
      <c r="H615">
        <v>0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50" t="s">
        <v>98</v>
      </c>
    </row>
    <row r="616" spans="1:19" x14ac:dyDescent="0.3">
      <c r="B616" t="s">
        <v>21</v>
      </c>
      <c r="C616" t="s">
        <v>51</v>
      </c>
      <c r="D616" t="s">
        <v>52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50" t="s">
        <v>106</v>
      </c>
    </row>
    <row r="617" spans="1:19" x14ac:dyDescent="0.3">
      <c r="A617"/>
      <c r="B617" t="s">
        <v>21</v>
      </c>
      <c r="C617" t="s">
        <v>46</v>
      </c>
      <c r="D617" t="s">
        <v>52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9" x14ac:dyDescent="0.3">
      <c r="A618"/>
      <c r="B618" t="s">
        <v>21</v>
      </c>
      <c r="C618" t="s">
        <v>22</v>
      </c>
      <c r="D618" t="s">
        <v>52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9" x14ac:dyDescent="0.3">
      <c r="B619" t="s">
        <v>21</v>
      </c>
      <c r="C619" t="s">
        <v>41</v>
      </c>
      <c r="D619" t="s">
        <v>52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">
        <v>50</v>
      </c>
    </row>
    <row r="620" spans="1:19" x14ac:dyDescent="0.3">
      <c r="B620" t="s">
        <v>21</v>
      </c>
      <c r="C620" t="s">
        <v>22</v>
      </c>
      <c r="D620" t="s">
        <v>52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/>
    </row>
    <row r="621" spans="1:19" x14ac:dyDescent="0.3">
      <c r="B621" t="s">
        <v>21</v>
      </c>
      <c r="C621" t="s">
        <v>41</v>
      </c>
      <c r="D621" t="s">
        <v>52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/>
    </row>
    <row r="622" spans="1:19" x14ac:dyDescent="0.3">
      <c r="B622" t="s">
        <v>21</v>
      </c>
      <c r="C622" t="s">
        <v>46</v>
      </c>
      <c r="D622" t="s">
        <v>52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/>
    </row>
    <row r="623" spans="1:19" x14ac:dyDescent="0.3">
      <c r="B623" t="s">
        <v>21</v>
      </c>
      <c r="C623" t="s">
        <v>46</v>
      </c>
      <c r="D623" t="s">
        <v>52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s="50" t="s">
        <v>45</v>
      </c>
    </row>
    <row r="624" spans="1:19" x14ac:dyDescent="0.3">
      <c r="B624" t="s">
        <v>21</v>
      </c>
      <c r="C624" t="s">
        <v>41</v>
      </c>
      <c r="D624" t="s">
        <v>52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/>
    </row>
    <row r="625" spans="1:19" x14ac:dyDescent="0.3">
      <c r="B625" t="s">
        <v>21</v>
      </c>
      <c r="C625" t="s">
        <v>48</v>
      </c>
      <c r="D625" t="s">
        <v>52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9" x14ac:dyDescent="0.3">
      <c r="B626" t="s">
        <v>21</v>
      </c>
      <c r="C626" t="s">
        <v>51</v>
      </c>
      <c r="D626" t="s">
        <v>52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/>
    </row>
    <row r="627" spans="1:19" x14ac:dyDescent="0.3">
      <c r="B627" t="s">
        <v>21</v>
      </c>
      <c r="C627" t="s">
        <v>41</v>
      </c>
      <c r="D627" t="s">
        <v>52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9" x14ac:dyDescent="0.3">
      <c r="B628" t="s">
        <v>21</v>
      </c>
      <c r="C628" t="s">
        <v>22</v>
      </c>
      <c r="D628" t="s">
        <v>52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9" x14ac:dyDescent="0.3">
      <c r="A629"/>
      <c r="B629" t="s">
        <v>21</v>
      </c>
      <c r="C629" t="s">
        <v>41</v>
      </c>
      <c r="D629" t="s">
        <v>52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 t="s">
        <v>45</v>
      </c>
    </row>
    <row r="630" spans="1:19" x14ac:dyDescent="0.3">
      <c r="B630" t="s">
        <v>21</v>
      </c>
      <c r="C630" t="s">
        <v>22</v>
      </c>
      <c r="D630" t="s">
        <v>52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9" x14ac:dyDescent="0.3">
      <c r="B631" t="s">
        <v>21</v>
      </c>
      <c r="C631" t="s">
        <v>41</v>
      </c>
      <c r="D631" t="s">
        <v>52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106</v>
      </c>
    </row>
    <row r="632" spans="1:19" x14ac:dyDescent="0.3">
      <c r="B632" t="s">
        <v>21</v>
      </c>
      <c r="C632" t="s">
        <v>22</v>
      </c>
      <c r="D632" t="s">
        <v>52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50" t="s">
        <v>67</v>
      </c>
    </row>
    <row r="633" spans="1:19" x14ac:dyDescent="0.3">
      <c r="B633" t="s">
        <v>21</v>
      </c>
      <c r="C633" t="s">
        <v>51</v>
      </c>
      <c r="D633" t="s">
        <v>52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/>
    </row>
    <row r="634" spans="1:19" x14ac:dyDescent="0.3">
      <c r="B634" t="s">
        <v>21</v>
      </c>
      <c r="C634" t="s">
        <v>51</v>
      </c>
      <c r="D634" t="s">
        <v>52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/>
    </row>
    <row r="635" spans="1:19" x14ac:dyDescent="0.3">
      <c r="B635" t="s">
        <v>21</v>
      </c>
      <c r="C635" t="s">
        <v>41</v>
      </c>
      <c r="D635" t="s">
        <v>52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9" x14ac:dyDescent="0.3">
      <c r="B636" t="s">
        <v>21</v>
      </c>
      <c r="C636" t="s">
        <v>48</v>
      </c>
      <c r="D636" t="s">
        <v>52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">
        <v>128</v>
      </c>
    </row>
    <row r="637" spans="1:19" x14ac:dyDescent="0.3">
      <c r="A637"/>
      <c r="B637" t="s">
        <v>21</v>
      </c>
      <c r="C637" t="s">
        <v>41</v>
      </c>
      <c r="D637" t="s">
        <v>52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/>
    </row>
    <row r="638" spans="1:19" x14ac:dyDescent="0.3">
      <c r="B638" t="s">
        <v>21</v>
      </c>
      <c r="C638" t="s">
        <v>46</v>
      </c>
      <c r="D638" t="s">
        <v>52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9" x14ac:dyDescent="0.3">
      <c r="B639" t="s">
        <v>21</v>
      </c>
      <c r="C639" t="s">
        <v>51</v>
      </c>
      <c r="D639" t="s">
        <v>52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9" x14ac:dyDescent="0.3">
      <c r="B640" t="s">
        <v>21</v>
      </c>
      <c r="C640" t="s">
        <v>51</v>
      </c>
      <c r="D640" t="s">
        <v>52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50" t="s">
        <v>64</v>
      </c>
    </row>
    <row r="641" spans="1:19" x14ac:dyDescent="0.3">
      <c r="B641" t="s">
        <v>59</v>
      </c>
      <c r="C641" t="s">
        <v>41</v>
      </c>
      <c r="D64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9" x14ac:dyDescent="0.3">
      <c r="B642" t="s">
        <v>59</v>
      </c>
      <c r="C642" t="s">
        <v>51</v>
      </c>
      <c r="D642" t="s">
        <v>60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9" x14ac:dyDescent="0.3">
      <c r="B643" t="s">
        <v>59</v>
      </c>
      <c r="C643" t="s">
        <v>51</v>
      </c>
      <c r="D643" t="s">
        <v>60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 s="50" t="s">
        <v>53</v>
      </c>
    </row>
    <row r="644" spans="1:19" x14ac:dyDescent="0.3">
      <c r="B644" t="s">
        <v>59</v>
      </c>
      <c r="C644" t="s">
        <v>51</v>
      </c>
      <c r="D644" t="s">
        <v>60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/>
    </row>
    <row r="645" spans="1:19" x14ac:dyDescent="0.3">
      <c r="A645"/>
      <c r="B645" t="s">
        <v>59</v>
      </c>
      <c r="C645" t="s">
        <v>41</v>
      </c>
      <c r="D645" t="s">
        <v>60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/>
    </row>
    <row r="646" spans="1:19" x14ac:dyDescent="0.3">
      <c r="B646" t="s">
        <v>59</v>
      </c>
      <c r="C646" t="s">
        <v>22</v>
      </c>
      <c r="D646" t="s">
        <v>60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98</v>
      </c>
    </row>
    <row r="647" spans="1:19" x14ac:dyDescent="0.3">
      <c r="B647" t="s">
        <v>59</v>
      </c>
      <c r="C647" t="s">
        <v>51</v>
      </c>
      <c r="D647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/>
    </row>
    <row r="648" spans="1:19" x14ac:dyDescent="0.3">
      <c r="B648" t="s">
        <v>59</v>
      </c>
      <c r="C648" t="s">
        <v>22</v>
      </c>
      <c r="D648" t="s">
        <v>60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50" t="s">
        <v>45</v>
      </c>
    </row>
    <row r="649" spans="1:19" x14ac:dyDescent="0.3">
      <c r="B649" t="s">
        <v>59</v>
      </c>
      <c r="C649" t="s">
        <v>41</v>
      </c>
      <c r="D649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">
        <v>106</v>
      </c>
    </row>
    <row r="650" spans="1:19" x14ac:dyDescent="0.3">
      <c r="B650" t="s">
        <v>59</v>
      </c>
      <c r="C650" t="s">
        <v>46</v>
      </c>
      <c r="D650" t="s">
        <v>60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/>
    </row>
    <row r="651" spans="1:19" x14ac:dyDescent="0.3">
      <c r="A651"/>
      <c r="B651" t="s">
        <v>59</v>
      </c>
      <c r="C651" t="s">
        <v>41</v>
      </c>
      <c r="D65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9" x14ac:dyDescent="0.3">
      <c r="B652" t="s">
        <v>59</v>
      </c>
      <c r="C652" t="s">
        <v>41</v>
      </c>
      <c r="D652" t="s">
        <v>60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/>
    </row>
    <row r="653" spans="1:19" x14ac:dyDescent="0.3">
      <c r="B653" t="s">
        <v>59</v>
      </c>
      <c r="C653" t="s">
        <v>46</v>
      </c>
      <c r="D653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s="50" t="s">
        <v>64</v>
      </c>
    </row>
    <row r="654" spans="1:19" x14ac:dyDescent="0.3">
      <c r="B654" t="s">
        <v>59</v>
      </c>
      <c r="C654" t="s">
        <v>51</v>
      </c>
      <c r="D654" t="s">
        <v>60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/>
    </row>
    <row r="655" spans="1:19" x14ac:dyDescent="0.3">
      <c r="B655" t="s">
        <v>59</v>
      </c>
      <c r="C655" t="s">
        <v>22</v>
      </c>
      <c r="D655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84</v>
      </c>
    </row>
    <row r="656" spans="1:19" x14ac:dyDescent="0.3">
      <c r="B656" t="s">
        <v>59</v>
      </c>
      <c r="C656" t="s">
        <v>22</v>
      </c>
      <c r="D656" t="s">
        <v>60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50" t="s">
        <v>84</v>
      </c>
    </row>
    <row r="657" spans="1:19" x14ac:dyDescent="0.3">
      <c r="B657" t="s">
        <v>59</v>
      </c>
      <c r="C657" t="s">
        <v>22</v>
      </c>
      <c r="D657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133</v>
      </c>
    </row>
    <row r="658" spans="1:19" x14ac:dyDescent="0.3">
      <c r="A658"/>
      <c r="B658" t="s">
        <v>59</v>
      </c>
      <c r="C658" t="s">
        <v>51</v>
      </c>
      <c r="D658" t="s">
        <v>60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/>
    </row>
    <row r="659" spans="1:19" x14ac:dyDescent="0.3">
      <c r="B659" t="s">
        <v>59</v>
      </c>
      <c r="C659" t="s">
        <v>46</v>
      </c>
      <c r="D659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/>
    </row>
    <row r="660" spans="1:19" x14ac:dyDescent="0.3">
      <c r="B660" t="s">
        <v>59</v>
      </c>
      <c r="C660" t="s">
        <v>51</v>
      </c>
      <c r="D660" t="s">
        <v>60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s="50" t="s">
        <v>53</v>
      </c>
    </row>
    <row r="661" spans="1:19" x14ac:dyDescent="0.3">
      <c r="A661"/>
      <c r="B661" t="s">
        <v>59</v>
      </c>
      <c r="C661" t="s">
        <v>48</v>
      </c>
      <c r="D66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9" x14ac:dyDescent="0.3">
      <c r="B662" t="s">
        <v>59</v>
      </c>
      <c r="C662" t="s">
        <v>51</v>
      </c>
      <c r="D662" t="s">
        <v>60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9" x14ac:dyDescent="0.3">
      <c r="B663" t="s">
        <v>59</v>
      </c>
      <c r="C663" t="s">
        <v>46</v>
      </c>
      <c r="D663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50" t="s">
        <v>106</v>
      </c>
    </row>
    <row r="664" spans="1:19" x14ac:dyDescent="0.3">
      <c r="B664" t="s">
        <v>59</v>
      </c>
      <c r="C664" t="s">
        <v>41</v>
      </c>
      <c r="D664" t="s">
        <v>60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/>
    </row>
    <row r="665" spans="1:19" x14ac:dyDescent="0.3">
      <c r="B665" t="s">
        <v>59</v>
      </c>
      <c r="C665" t="s">
        <v>51</v>
      </c>
      <c r="D665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/>
    </row>
    <row r="666" spans="1:19" x14ac:dyDescent="0.3">
      <c r="B666" t="s">
        <v>59</v>
      </c>
      <c r="C666" t="s">
        <v>46</v>
      </c>
      <c r="D666" t="s">
        <v>60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 s="50" t="s">
        <v>98</v>
      </c>
    </row>
    <row r="667" spans="1:19" x14ac:dyDescent="0.3">
      <c r="B667" t="s">
        <v>59</v>
      </c>
      <c r="C667" t="s">
        <v>41</v>
      </c>
      <c r="D667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/>
    </row>
    <row r="668" spans="1:19" x14ac:dyDescent="0.3">
      <c r="B668" t="s">
        <v>59</v>
      </c>
      <c r="C668" t="s">
        <v>46</v>
      </c>
      <c r="D668" t="s">
        <v>60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9" x14ac:dyDescent="0.3">
      <c r="B669" t="s">
        <v>59</v>
      </c>
      <c r="C669" t="s">
        <v>46</v>
      </c>
      <c r="D669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50" t="s">
        <v>107</v>
      </c>
    </row>
    <row r="670" spans="1:19" x14ac:dyDescent="0.3">
      <c r="B670" t="s">
        <v>59</v>
      </c>
      <c r="C670" t="s">
        <v>41</v>
      </c>
      <c r="D670" t="s">
        <v>60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9" x14ac:dyDescent="0.3">
      <c r="B671" t="s">
        <v>59</v>
      </c>
      <c r="C671" t="s">
        <v>51</v>
      </c>
      <c r="D67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50" t="s">
        <v>56</v>
      </c>
    </row>
    <row r="672" spans="1:19" x14ac:dyDescent="0.3">
      <c r="B672" t="s">
        <v>59</v>
      </c>
      <c r="C672" t="s">
        <v>22</v>
      </c>
      <c r="D672" t="s">
        <v>60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50" t="s">
        <v>107</v>
      </c>
    </row>
    <row r="673" spans="1:19" x14ac:dyDescent="0.3">
      <c r="B673" t="s">
        <v>59</v>
      </c>
      <c r="C673" t="s">
        <v>22</v>
      </c>
      <c r="D673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50" t="s">
        <v>53</v>
      </c>
    </row>
    <row r="674" spans="1:19" x14ac:dyDescent="0.3">
      <c r="B674" t="s">
        <v>59</v>
      </c>
      <c r="C674" t="s">
        <v>22</v>
      </c>
      <c r="D674" t="s">
        <v>60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9" x14ac:dyDescent="0.3">
      <c r="B675" t="s">
        <v>59</v>
      </c>
      <c r="C675" t="s">
        <v>41</v>
      </c>
      <c r="D675" t="s">
        <v>60</v>
      </c>
      <c r="E675">
        <v>2</v>
      </c>
      <c r="F675">
        <v>0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9" x14ac:dyDescent="0.3">
      <c r="B676" t="s">
        <v>59</v>
      </c>
      <c r="C676" t="s">
        <v>51</v>
      </c>
      <c r="D676" t="s">
        <v>60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">
        <v>50</v>
      </c>
    </row>
    <row r="677" spans="1:19" x14ac:dyDescent="0.3">
      <c r="B677" t="s">
        <v>59</v>
      </c>
      <c r="C677" t="s">
        <v>48</v>
      </c>
      <c r="D677" t="s">
        <v>60</v>
      </c>
      <c r="E677">
        <v>1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3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9" x14ac:dyDescent="0.3">
      <c r="B678" t="s">
        <v>59</v>
      </c>
      <c r="C678" t="s">
        <v>46</v>
      </c>
      <c r="D678" t="s">
        <v>60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">
        <v>45</v>
      </c>
    </row>
    <row r="679" spans="1:19" x14ac:dyDescent="0.3">
      <c r="B679" t="s">
        <v>59</v>
      </c>
      <c r="C679" t="s">
        <v>51</v>
      </c>
      <c r="D679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">
        <v>50</v>
      </c>
    </row>
    <row r="680" spans="1:19" x14ac:dyDescent="0.3">
      <c r="B680" t="s">
        <v>59</v>
      </c>
      <c r="C680" t="s">
        <v>51</v>
      </c>
      <c r="D680" t="s">
        <v>60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50" t="s">
        <v>53</v>
      </c>
    </row>
    <row r="681" spans="1:19" x14ac:dyDescent="0.3">
      <c r="B681" t="s">
        <v>59</v>
      </c>
      <c r="C681" t="s">
        <v>51</v>
      </c>
      <c r="D68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/>
    </row>
    <row r="682" spans="1:19" x14ac:dyDescent="0.3">
      <c r="B682" t="s">
        <v>59</v>
      </c>
      <c r="C682" t="s">
        <v>46</v>
      </c>
      <c r="D682" t="s">
        <v>60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50" t="s">
        <v>45</v>
      </c>
    </row>
    <row r="683" spans="1:19" x14ac:dyDescent="0.3">
      <c r="B683" t="s">
        <v>59</v>
      </c>
      <c r="C683" t="s">
        <v>41</v>
      </c>
      <c r="D683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</row>
    <row r="684" spans="1:19" x14ac:dyDescent="0.3">
      <c r="A684"/>
      <c r="B684" t="s">
        <v>59</v>
      </c>
      <c r="C684" t="s">
        <v>46</v>
      </c>
      <c r="D684" t="s">
        <v>60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9" x14ac:dyDescent="0.3">
      <c r="B685" t="s">
        <v>59</v>
      </c>
      <c r="C685" t="s">
        <v>22</v>
      </c>
      <c r="D685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/>
    </row>
    <row r="686" spans="1:19" x14ac:dyDescent="0.3">
      <c r="B686" t="s">
        <v>59</v>
      </c>
      <c r="C686" t="s">
        <v>22</v>
      </c>
      <c r="D686" t="s">
        <v>60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50" t="s">
        <v>98</v>
      </c>
    </row>
    <row r="687" spans="1:19" x14ac:dyDescent="0.3">
      <c r="B687" t="s">
        <v>59</v>
      </c>
      <c r="C687" t="s">
        <v>41</v>
      </c>
      <c r="D687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50" t="s">
        <v>64</v>
      </c>
    </row>
    <row r="688" spans="1:19" x14ac:dyDescent="0.3">
      <c r="B688" t="s">
        <v>59</v>
      </c>
      <c r="C688" t="s">
        <v>46</v>
      </c>
      <c r="D688" t="s">
        <v>60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/>
    </row>
    <row r="689" spans="1:19" x14ac:dyDescent="0.3">
      <c r="A689"/>
      <c r="B689" t="s">
        <v>59</v>
      </c>
      <c r="C689" t="s">
        <v>22</v>
      </c>
      <c r="D689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9" x14ac:dyDescent="0.3">
      <c r="B690" t="s">
        <v>59</v>
      </c>
      <c r="C690" t="s">
        <v>22</v>
      </c>
      <c r="D690" t="s">
        <v>60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50</v>
      </c>
    </row>
    <row r="691" spans="1:19" x14ac:dyDescent="0.3">
      <c r="B691" t="s">
        <v>59</v>
      </c>
      <c r="C691" t="s">
        <v>51</v>
      </c>
      <c r="D69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9" x14ac:dyDescent="0.3">
      <c r="B692" t="s">
        <v>59</v>
      </c>
      <c r="C692" t="s">
        <v>51</v>
      </c>
      <c r="D692" t="s">
        <v>60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/>
    </row>
    <row r="693" spans="1:19" x14ac:dyDescent="0.3">
      <c r="A693"/>
      <c r="B693" t="s">
        <v>59</v>
      </c>
      <c r="C693" t="s">
        <v>46</v>
      </c>
      <c r="D693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9" x14ac:dyDescent="0.3">
      <c r="B694" t="s">
        <v>59</v>
      </c>
      <c r="C694" t="s">
        <v>51</v>
      </c>
      <c r="D694" t="s">
        <v>60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9" x14ac:dyDescent="0.3">
      <c r="B695" t="s">
        <v>59</v>
      </c>
      <c r="C695" t="s">
        <v>46</v>
      </c>
      <c r="D695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50" t="s">
        <v>50</v>
      </c>
    </row>
    <row r="696" spans="1:19" x14ac:dyDescent="0.3">
      <c r="A696"/>
      <c r="B696" t="s">
        <v>59</v>
      </c>
      <c r="C696" t="s">
        <v>41</v>
      </c>
      <c r="D696" t="s">
        <v>60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9" x14ac:dyDescent="0.3">
      <c r="A697"/>
      <c r="B697" t="s">
        <v>59</v>
      </c>
      <c r="C697" t="s">
        <v>51</v>
      </c>
      <c r="D697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">
        <v>50</v>
      </c>
    </row>
    <row r="698" spans="1:19" x14ac:dyDescent="0.3">
      <c r="B698" t="s">
        <v>59</v>
      </c>
      <c r="C698" t="s">
        <v>51</v>
      </c>
      <c r="D698" t="s">
        <v>60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50" t="s">
        <v>98</v>
      </c>
    </row>
    <row r="699" spans="1:19" x14ac:dyDescent="0.3">
      <c r="B699" t="s">
        <v>59</v>
      </c>
      <c r="C699" t="s">
        <v>41</v>
      </c>
      <c r="D699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/>
    </row>
    <row r="700" spans="1:19" x14ac:dyDescent="0.3">
      <c r="B700" t="s">
        <v>59</v>
      </c>
      <c r="C700" t="s">
        <v>51</v>
      </c>
      <c r="D700" t="s">
        <v>60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/>
    </row>
    <row r="701" spans="1:19" x14ac:dyDescent="0.3">
      <c r="B701" t="s">
        <v>59</v>
      </c>
      <c r="C701" t="s">
        <v>46</v>
      </c>
      <c r="D70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9" x14ac:dyDescent="0.3">
      <c r="B702" t="s">
        <v>59</v>
      </c>
      <c r="C702" t="s">
        <v>51</v>
      </c>
      <c r="D702" t="s">
        <v>60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50" t="s">
        <v>67</v>
      </c>
    </row>
    <row r="703" spans="1:19" x14ac:dyDescent="0.3">
      <c r="B703" t="s">
        <v>59</v>
      </c>
      <c r="C703" t="s">
        <v>22</v>
      </c>
      <c r="D703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/>
    </row>
    <row r="704" spans="1:19" x14ac:dyDescent="0.3">
      <c r="B704" t="s">
        <v>59</v>
      </c>
      <c r="C704" t="s">
        <v>51</v>
      </c>
      <c r="D704" t="s">
        <v>60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9" x14ac:dyDescent="0.3">
      <c r="B705" t="s">
        <v>59</v>
      </c>
      <c r="C705" t="s">
        <v>22</v>
      </c>
      <c r="D705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/>
    </row>
    <row r="706" spans="1:19" x14ac:dyDescent="0.3">
      <c r="B706" t="s">
        <v>59</v>
      </c>
      <c r="C706" t="s">
        <v>41</v>
      </c>
      <c r="D706" t="s">
        <v>60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50" t="s">
        <v>67</v>
      </c>
    </row>
    <row r="707" spans="1:19" x14ac:dyDescent="0.3">
      <c r="A707"/>
      <c r="B707" t="s">
        <v>59</v>
      </c>
      <c r="C707" t="s">
        <v>41</v>
      </c>
      <c r="D707" t="s">
        <v>60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50" t="s">
        <v>45</v>
      </c>
    </row>
    <row r="708" spans="1:19" x14ac:dyDescent="0.3">
      <c r="B708" t="s">
        <v>59</v>
      </c>
      <c r="C708" t="s">
        <v>46</v>
      </c>
      <c r="D708" t="s">
        <v>60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9" x14ac:dyDescent="0.3">
      <c r="A709"/>
      <c r="B709" t="s">
        <v>59</v>
      </c>
      <c r="C709" t="s">
        <v>41</v>
      </c>
      <c r="D709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9" x14ac:dyDescent="0.3">
      <c r="B710" t="s">
        <v>59</v>
      </c>
      <c r="C710" t="s">
        <v>51</v>
      </c>
      <c r="D710" t="s">
        <v>60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s">
        <v>107</v>
      </c>
    </row>
    <row r="711" spans="1:19" x14ac:dyDescent="0.3">
      <c r="B711" t="s">
        <v>59</v>
      </c>
      <c r="C711" t="s">
        <v>46</v>
      </c>
      <c r="D71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/>
    </row>
    <row r="712" spans="1:19" x14ac:dyDescent="0.3">
      <c r="B712" t="s">
        <v>59</v>
      </c>
      <c r="C712" t="s">
        <v>51</v>
      </c>
      <c r="D712" t="s">
        <v>60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9" x14ac:dyDescent="0.3">
      <c r="B713" t="s">
        <v>59</v>
      </c>
      <c r="C713" t="s">
        <v>46</v>
      </c>
      <c r="D713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50" t="s">
        <v>64</v>
      </c>
    </row>
    <row r="714" spans="1:19" x14ac:dyDescent="0.3">
      <c r="B714" t="s">
        <v>59</v>
      </c>
      <c r="C714" t="s">
        <v>41</v>
      </c>
      <c r="D714" t="s">
        <v>60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9" x14ac:dyDescent="0.3">
      <c r="B715" t="s">
        <v>59</v>
      </c>
      <c r="C715" t="s">
        <v>22</v>
      </c>
      <c r="D715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9" x14ac:dyDescent="0.3">
      <c r="B716" t="s">
        <v>59</v>
      </c>
      <c r="C716" t="s">
        <v>51</v>
      </c>
      <c r="D716" t="s">
        <v>60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">
        <v>97</v>
      </c>
    </row>
    <row r="717" spans="1:19" x14ac:dyDescent="0.3">
      <c r="B717" t="s">
        <v>59</v>
      </c>
      <c r="C717" t="s">
        <v>46</v>
      </c>
      <c r="D717" t="s">
        <v>60</v>
      </c>
      <c r="E717">
        <v>3</v>
      </c>
      <c r="F717">
        <v>0</v>
      </c>
      <c r="G717">
        <v>3</v>
      </c>
      <c r="H717">
        <v>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9" x14ac:dyDescent="0.3">
      <c r="B718" t="s">
        <v>59</v>
      </c>
      <c r="C718" t="s">
        <v>48</v>
      </c>
      <c r="D718" t="s">
        <v>60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50" t="s">
        <v>97</v>
      </c>
    </row>
    <row r="719" spans="1:19" x14ac:dyDescent="0.3">
      <c r="B719" t="s">
        <v>59</v>
      </c>
      <c r="C719" t="s">
        <v>48</v>
      </c>
      <c r="D719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/>
    </row>
    <row r="720" spans="1:19" x14ac:dyDescent="0.3">
      <c r="B720" t="s">
        <v>59</v>
      </c>
      <c r="C720" t="s">
        <v>51</v>
      </c>
      <c r="D720" t="s">
        <v>60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t="s">
        <v>64</v>
      </c>
    </row>
    <row r="721" spans="1:19" x14ac:dyDescent="0.3">
      <c r="B721" t="s">
        <v>59</v>
      </c>
      <c r="C721" t="s">
        <v>51</v>
      </c>
      <c r="D72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9" x14ac:dyDescent="0.3">
      <c r="A722"/>
      <c r="B722" t="s">
        <v>59</v>
      </c>
      <c r="C722" t="s">
        <v>48</v>
      </c>
      <c r="D722" t="s">
        <v>60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9" x14ac:dyDescent="0.3">
      <c r="B723" t="s">
        <v>59</v>
      </c>
      <c r="C723" t="s">
        <v>51</v>
      </c>
      <c r="D723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">
        <v>97</v>
      </c>
    </row>
    <row r="724" spans="1:19" x14ac:dyDescent="0.3">
      <c r="B724" t="s">
        <v>59</v>
      </c>
      <c r="C724" t="s">
        <v>22</v>
      </c>
      <c r="D724" t="s">
        <v>60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50" t="s">
        <v>98</v>
      </c>
    </row>
    <row r="725" spans="1:19" x14ac:dyDescent="0.3">
      <c r="B725" t="s">
        <v>59</v>
      </c>
      <c r="C725" t="s">
        <v>51</v>
      </c>
      <c r="D725" t="s">
        <v>60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9" x14ac:dyDescent="0.3">
      <c r="B726" t="s">
        <v>59</v>
      </c>
      <c r="C726" t="s">
        <v>22</v>
      </c>
      <c r="D726" t="s">
        <v>60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">
        <v>106</v>
      </c>
    </row>
    <row r="727" spans="1:19" x14ac:dyDescent="0.3">
      <c r="B727" t="s">
        <v>59</v>
      </c>
      <c r="C727" t="s">
        <v>51</v>
      </c>
      <c r="D727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9" x14ac:dyDescent="0.3">
      <c r="A728"/>
      <c r="B728" t="s">
        <v>59</v>
      </c>
      <c r="C728" t="s">
        <v>46</v>
      </c>
      <c r="D728" t="s">
        <v>60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9" x14ac:dyDescent="0.3">
      <c r="B729" t="s">
        <v>59</v>
      </c>
      <c r="C729" t="s">
        <v>41</v>
      </c>
      <c r="D729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9" x14ac:dyDescent="0.3">
      <c r="B730" t="s">
        <v>59</v>
      </c>
      <c r="C730" t="s">
        <v>48</v>
      </c>
      <c r="D730" t="s">
        <v>60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9" x14ac:dyDescent="0.3">
      <c r="B731" t="s">
        <v>59</v>
      </c>
      <c r="C731" t="s">
        <v>41</v>
      </c>
      <c r="D73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">
        <v>50</v>
      </c>
    </row>
    <row r="732" spans="1:19" x14ac:dyDescent="0.3">
      <c r="B732" t="s">
        <v>59</v>
      </c>
      <c r="C732" t="s">
        <v>48</v>
      </c>
      <c r="D732" t="s">
        <v>60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 t="s">
        <v>53</v>
      </c>
    </row>
    <row r="733" spans="1:19" x14ac:dyDescent="0.3">
      <c r="B733" t="s">
        <v>59</v>
      </c>
      <c r="C733" t="s">
        <v>22</v>
      </c>
      <c r="D733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s="50" t="s">
        <v>133</v>
      </c>
    </row>
    <row r="734" spans="1:19" x14ac:dyDescent="0.3">
      <c r="B734" t="s">
        <v>59</v>
      </c>
      <c r="C734" t="s">
        <v>22</v>
      </c>
      <c r="D734" t="s">
        <v>60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9" x14ac:dyDescent="0.3">
      <c r="A735"/>
      <c r="B735" t="s">
        <v>59</v>
      </c>
      <c r="C735" t="s">
        <v>46</v>
      </c>
      <c r="D735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s="50" t="s">
        <v>103</v>
      </c>
    </row>
    <row r="736" spans="1:19" x14ac:dyDescent="0.3">
      <c r="B736" t="s">
        <v>59</v>
      </c>
      <c r="C736" t="s">
        <v>46</v>
      </c>
      <c r="D736" t="s">
        <v>60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9" x14ac:dyDescent="0.3">
      <c r="B737" t="s">
        <v>59</v>
      </c>
      <c r="C737" t="s">
        <v>51</v>
      </c>
      <c r="D737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50" t="s">
        <v>128</v>
      </c>
    </row>
    <row r="738" spans="1:19" x14ac:dyDescent="0.3">
      <c r="B738" t="s">
        <v>59</v>
      </c>
      <c r="C738" t="s">
        <v>51</v>
      </c>
      <c r="D738" t="s">
        <v>60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1</v>
      </c>
      <c r="R738">
        <v>0</v>
      </c>
    </row>
    <row r="739" spans="1:19" x14ac:dyDescent="0.3">
      <c r="B739" t="s">
        <v>59</v>
      </c>
      <c r="C739" t="s">
        <v>41</v>
      </c>
      <c r="D739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s="50" t="s">
        <v>81</v>
      </c>
    </row>
    <row r="740" spans="1:19" x14ac:dyDescent="0.3">
      <c r="A740"/>
      <c r="B740" t="s">
        <v>59</v>
      </c>
      <c r="C740" t="s">
        <v>51</v>
      </c>
      <c r="D740" t="s">
        <v>60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50" t="s">
        <v>98</v>
      </c>
    </row>
    <row r="741" spans="1:19" x14ac:dyDescent="0.3">
      <c r="A741"/>
      <c r="B741" t="s">
        <v>59</v>
      </c>
      <c r="C741" t="s">
        <v>22</v>
      </c>
      <c r="D74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/>
    </row>
    <row r="742" spans="1:19" x14ac:dyDescent="0.3">
      <c r="B742" t="s">
        <v>59</v>
      </c>
      <c r="C742" t="s">
        <v>48</v>
      </c>
      <c r="D742" t="s">
        <v>60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/>
    </row>
    <row r="743" spans="1:19" x14ac:dyDescent="0.3">
      <c r="B743" t="s">
        <v>59</v>
      </c>
      <c r="C743" t="s">
        <v>51</v>
      </c>
      <c r="D743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9" x14ac:dyDescent="0.3">
      <c r="B744" t="s">
        <v>59</v>
      </c>
      <c r="C744" t="s">
        <v>46</v>
      </c>
      <c r="D744" t="s">
        <v>60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9" x14ac:dyDescent="0.3">
      <c r="B745" t="s">
        <v>59</v>
      </c>
      <c r="C745" t="s">
        <v>48</v>
      </c>
      <c r="D745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t="s">
        <v>53</v>
      </c>
    </row>
    <row r="746" spans="1:19" x14ac:dyDescent="0.3">
      <c r="B746" t="s">
        <v>59</v>
      </c>
      <c r="C746" t="s">
        <v>48</v>
      </c>
      <c r="D746" t="s">
        <v>60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9" x14ac:dyDescent="0.3">
      <c r="B747" t="s">
        <v>59</v>
      </c>
      <c r="C747" t="s">
        <v>51</v>
      </c>
      <c r="D747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/>
    </row>
    <row r="748" spans="1:19" x14ac:dyDescent="0.3">
      <c r="B748" t="s">
        <v>59</v>
      </c>
      <c r="C748" t="s">
        <v>51</v>
      </c>
      <c r="D748" t="s">
        <v>60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9" x14ac:dyDescent="0.3">
      <c r="B749" t="s">
        <v>59</v>
      </c>
      <c r="C749" t="s">
        <v>51</v>
      </c>
      <c r="D749" t="s">
        <v>60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1</v>
      </c>
      <c r="S749"/>
    </row>
    <row r="750" spans="1:19" x14ac:dyDescent="0.3">
      <c r="B750" t="s">
        <v>59</v>
      </c>
      <c r="C750" t="s">
        <v>51</v>
      </c>
      <c r="D750" t="s">
        <v>60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9" x14ac:dyDescent="0.3">
      <c r="B751" t="s">
        <v>59</v>
      </c>
      <c r="C751" t="s">
        <v>22</v>
      </c>
      <c r="D75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9" x14ac:dyDescent="0.3">
      <c r="B752" t="s">
        <v>59</v>
      </c>
      <c r="C752" t="s">
        <v>51</v>
      </c>
      <c r="D752" t="s">
        <v>60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/>
    </row>
    <row r="753" spans="1:19" x14ac:dyDescent="0.3">
      <c r="A753"/>
      <c r="B753" t="s">
        <v>59</v>
      </c>
      <c r="C753" t="s">
        <v>51</v>
      </c>
      <c r="D753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50" t="s">
        <v>128</v>
      </c>
    </row>
    <row r="754" spans="1:19" x14ac:dyDescent="0.3">
      <c r="A754"/>
      <c r="B754" t="s">
        <v>59</v>
      </c>
      <c r="C754" t="s">
        <v>46</v>
      </c>
      <c r="D754" t="s">
        <v>60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t="s">
        <v>106</v>
      </c>
    </row>
    <row r="755" spans="1:19" x14ac:dyDescent="0.3">
      <c r="B755" t="s">
        <v>59</v>
      </c>
      <c r="C755" t="s">
        <v>46</v>
      </c>
      <c r="D755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t="s">
        <v>133</v>
      </c>
    </row>
    <row r="756" spans="1:19" x14ac:dyDescent="0.3">
      <c r="B756" t="s">
        <v>59</v>
      </c>
      <c r="C756" t="s">
        <v>51</v>
      </c>
      <c r="D756" t="s">
        <v>60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9" x14ac:dyDescent="0.3">
      <c r="B757" t="s">
        <v>59</v>
      </c>
      <c r="C757" t="s">
        <v>41</v>
      </c>
      <c r="D757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50" t="s">
        <v>98</v>
      </c>
    </row>
    <row r="758" spans="1:19" x14ac:dyDescent="0.3">
      <c r="B758" t="s">
        <v>59</v>
      </c>
      <c r="C758" t="s">
        <v>22</v>
      </c>
      <c r="D758" t="s">
        <v>60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/>
    </row>
    <row r="759" spans="1:19" x14ac:dyDescent="0.3">
      <c r="B759" t="s">
        <v>59</v>
      </c>
      <c r="C759" t="s">
        <v>22</v>
      </c>
      <c r="D759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9" x14ac:dyDescent="0.3">
      <c r="A760"/>
      <c r="B760" t="s">
        <v>59</v>
      </c>
      <c r="C760" t="s">
        <v>22</v>
      </c>
      <c r="D760" t="s">
        <v>60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50" t="s">
        <v>97</v>
      </c>
    </row>
    <row r="761" spans="1:19" x14ac:dyDescent="0.3">
      <c r="B761" t="s">
        <v>59</v>
      </c>
      <c r="C761" t="s">
        <v>41</v>
      </c>
      <c r="D76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9" x14ac:dyDescent="0.3">
      <c r="B762" t="s">
        <v>59</v>
      </c>
      <c r="C762" t="s">
        <v>51</v>
      </c>
      <c r="D762" t="s">
        <v>60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t="s">
        <v>107</v>
      </c>
    </row>
    <row r="763" spans="1:19" x14ac:dyDescent="0.3">
      <c r="B763" t="s">
        <v>59</v>
      </c>
      <c r="C763" t="s">
        <v>22</v>
      </c>
      <c r="D763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t="s">
        <v>133</v>
      </c>
    </row>
    <row r="764" spans="1:19" x14ac:dyDescent="0.3">
      <c r="B764" t="s">
        <v>59</v>
      </c>
      <c r="C764" t="s">
        <v>51</v>
      </c>
      <c r="D764" t="s">
        <v>60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 t="s">
        <v>97</v>
      </c>
    </row>
    <row r="765" spans="1:19" x14ac:dyDescent="0.3">
      <c r="B765" t="s">
        <v>59</v>
      </c>
      <c r="C765" t="s">
        <v>48</v>
      </c>
      <c r="D765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9" x14ac:dyDescent="0.3">
      <c r="B766" t="s">
        <v>59</v>
      </c>
      <c r="C766" t="s">
        <v>22</v>
      </c>
      <c r="D766" t="s">
        <v>60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84</v>
      </c>
    </row>
    <row r="767" spans="1:19" x14ac:dyDescent="0.3">
      <c r="A767"/>
      <c r="B767" t="s">
        <v>59</v>
      </c>
      <c r="C767" t="s">
        <v>22</v>
      </c>
      <c r="D767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9" x14ac:dyDescent="0.3">
      <c r="B768" t="s">
        <v>59</v>
      </c>
      <c r="C768" t="s">
        <v>51</v>
      </c>
      <c r="D768" t="s">
        <v>60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/>
    </row>
    <row r="769" spans="1:19" x14ac:dyDescent="0.3">
      <c r="B769" t="s">
        <v>59</v>
      </c>
      <c r="C769" t="s">
        <v>41</v>
      </c>
      <c r="D769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9" x14ac:dyDescent="0.3">
      <c r="B770" t="s">
        <v>59</v>
      </c>
      <c r="C770" t="s">
        <v>22</v>
      </c>
      <c r="D770" t="s">
        <v>60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/>
    </row>
    <row r="771" spans="1:19" x14ac:dyDescent="0.3">
      <c r="B771" t="s">
        <v>59</v>
      </c>
      <c r="C771" t="s">
        <v>41</v>
      </c>
      <c r="D771" t="s">
        <v>60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0</v>
      </c>
      <c r="M771">
        <v>2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9" x14ac:dyDescent="0.3">
      <c r="B772" t="s">
        <v>59</v>
      </c>
      <c r="C772" t="s">
        <v>51</v>
      </c>
      <c r="D772" t="s">
        <v>60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9" x14ac:dyDescent="0.3">
      <c r="B773" t="s">
        <v>21</v>
      </c>
      <c r="C773" t="s">
        <v>51</v>
      </c>
      <c r="D773" t="s">
        <v>83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50" t="s">
        <v>84</v>
      </c>
    </row>
    <row r="774" spans="1:19" x14ac:dyDescent="0.3">
      <c r="B774" t="s">
        <v>21</v>
      </c>
      <c r="C774" t="s">
        <v>46</v>
      </c>
      <c r="D774" t="s">
        <v>83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/>
    </row>
    <row r="775" spans="1:19" x14ac:dyDescent="0.3">
      <c r="B775" t="s">
        <v>21</v>
      </c>
      <c r="C775" t="s">
        <v>51</v>
      </c>
      <c r="D775" t="s">
        <v>83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 t="s">
        <v>107</v>
      </c>
    </row>
    <row r="776" spans="1:19" x14ac:dyDescent="0.3">
      <c r="B776" t="s">
        <v>21</v>
      </c>
      <c r="C776" t="s">
        <v>51</v>
      </c>
      <c r="D776" t="s">
        <v>83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/>
    </row>
    <row r="777" spans="1:19" x14ac:dyDescent="0.3">
      <c r="B777" t="s">
        <v>21</v>
      </c>
      <c r="C777" t="s">
        <v>22</v>
      </c>
      <c r="D777" t="s">
        <v>83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9" x14ac:dyDescent="0.3">
      <c r="B778" t="s">
        <v>21</v>
      </c>
      <c r="C778" t="s">
        <v>46</v>
      </c>
      <c r="D778" t="s">
        <v>83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45</v>
      </c>
    </row>
    <row r="779" spans="1:19" x14ac:dyDescent="0.3">
      <c r="B779" t="s">
        <v>21</v>
      </c>
      <c r="C779" t="s">
        <v>51</v>
      </c>
      <c r="D779" t="s">
        <v>143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">
        <v>45</v>
      </c>
    </row>
    <row r="780" spans="1:19" x14ac:dyDescent="0.3">
      <c r="A780"/>
      <c r="B780" t="s">
        <v>21</v>
      </c>
      <c r="C780" t="s">
        <v>41</v>
      </c>
      <c r="D780" t="s">
        <v>143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50" t="s">
        <v>84</v>
      </c>
    </row>
    <row r="781" spans="1:19" x14ac:dyDescent="0.3">
      <c r="A781"/>
      <c r="B781" t="s">
        <v>21</v>
      </c>
      <c r="C781" t="s">
        <v>41</v>
      </c>
      <c r="D781" t="s">
        <v>143</v>
      </c>
      <c r="E781">
        <v>0</v>
      </c>
      <c r="F781">
        <v>0</v>
      </c>
      <c r="G781">
        <v>0</v>
      </c>
      <c r="H781">
        <v>0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/>
    </row>
    <row r="782" spans="1:19" x14ac:dyDescent="0.3">
      <c r="B782" t="s">
        <v>21</v>
      </c>
      <c r="C782" t="s">
        <v>51</v>
      </c>
      <c r="D782" t="s">
        <v>143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50" t="s">
        <v>50</v>
      </c>
    </row>
    <row r="783" spans="1:19" x14ac:dyDescent="0.3">
      <c r="B783" t="s">
        <v>21</v>
      </c>
      <c r="C783" t="s">
        <v>46</v>
      </c>
      <c r="D783" t="s">
        <v>143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9" x14ac:dyDescent="0.3">
      <c r="B784" t="s">
        <v>21</v>
      </c>
      <c r="C784" t="s">
        <v>51</v>
      </c>
      <c r="D784" t="s">
        <v>143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9" x14ac:dyDescent="0.3">
      <c r="B785" t="s">
        <v>21</v>
      </c>
      <c r="C785" t="s">
        <v>51</v>
      </c>
      <c r="D785" t="s">
        <v>143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9" x14ac:dyDescent="0.3">
      <c r="A786"/>
      <c r="B786" t="s">
        <v>21</v>
      </c>
      <c r="C786" t="s">
        <v>46</v>
      </c>
      <c r="D786" t="s">
        <v>143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9" x14ac:dyDescent="0.3">
      <c r="B787" t="s">
        <v>21</v>
      </c>
      <c r="C787" t="s">
        <v>22</v>
      </c>
      <c r="D787" t="s">
        <v>156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9" x14ac:dyDescent="0.3">
      <c r="B788" t="s">
        <v>21</v>
      </c>
      <c r="C788" t="s">
        <v>51</v>
      </c>
      <c r="D788" t="s">
        <v>156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50" t="s">
        <v>107</v>
      </c>
    </row>
    <row r="789" spans="1:19" x14ac:dyDescent="0.3">
      <c r="B789" t="s">
        <v>21</v>
      </c>
      <c r="C789" t="s">
        <v>41</v>
      </c>
      <c r="D789" t="s">
        <v>156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">
        <v>98</v>
      </c>
    </row>
    <row r="790" spans="1:19" x14ac:dyDescent="0.3">
      <c r="B790" t="s">
        <v>21</v>
      </c>
      <c r="C790" t="s">
        <v>41</v>
      </c>
      <c r="D790" t="s">
        <v>156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50" t="s">
        <v>97</v>
      </c>
    </row>
    <row r="791" spans="1:19" x14ac:dyDescent="0.3">
      <c r="B791" t="s">
        <v>21</v>
      </c>
      <c r="C791" t="s">
        <v>51</v>
      </c>
      <c r="D791" t="s">
        <v>156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9" x14ac:dyDescent="0.3">
      <c r="B792" t="s">
        <v>21</v>
      </c>
      <c r="C792" t="s">
        <v>51</v>
      </c>
      <c r="D792" t="s">
        <v>179</v>
      </c>
      <c r="E792">
        <v>2</v>
      </c>
      <c r="F792">
        <v>0</v>
      </c>
      <c r="G792">
        <v>0</v>
      </c>
      <c r="H792">
        <v>0</v>
      </c>
      <c r="I792">
        <v>2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">
        <v>67</v>
      </c>
    </row>
    <row r="793" spans="1:19" x14ac:dyDescent="0.3">
      <c r="A793"/>
      <c r="B793" t="s">
        <v>21</v>
      </c>
      <c r="C793" t="s">
        <v>46</v>
      </c>
      <c r="D793" t="s">
        <v>179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">
        <v>45</v>
      </c>
    </row>
    <row r="794" spans="1:19" x14ac:dyDescent="0.3">
      <c r="A794"/>
      <c r="B794" t="s">
        <v>21</v>
      </c>
      <c r="C794" t="s">
        <v>51</v>
      </c>
      <c r="D794" t="s">
        <v>179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9" x14ac:dyDescent="0.3">
      <c r="A795"/>
      <c r="B795" t="s">
        <v>21</v>
      </c>
      <c r="C795" t="s">
        <v>46</v>
      </c>
      <c r="D795" t="s">
        <v>175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9" x14ac:dyDescent="0.3">
      <c r="B796" t="s">
        <v>21</v>
      </c>
      <c r="C796" t="s">
        <v>41</v>
      </c>
      <c r="D796" t="s">
        <v>175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 t="s">
        <v>106</v>
      </c>
    </row>
    <row r="797" spans="1:19" x14ac:dyDescent="0.3">
      <c r="B797" t="s">
        <v>21</v>
      </c>
      <c r="C797" t="s">
        <v>51</v>
      </c>
      <c r="D797" t="s">
        <v>61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9" x14ac:dyDescent="0.3">
      <c r="B798" t="s">
        <v>21</v>
      </c>
      <c r="C798" t="s">
        <v>48</v>
      </c>
      <c r="D798" t="s">
        <v>61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9" x14ac:dyDescent="0.3">
      <c r="B799" t="s">
        <v>21</v>
      </c>
      <c r="C799" t="s">
        <v>51</v>
      </c>
      <c r="D799" t="s">
        <v>61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9" x14ac:dyDescent="0.3">
      <c r="A800"/>
      <c r="B800" t="s">
        <v>21</v>
      </c>
      <c r="C800" t="s">
        <v>46</v>
      </c>
      <c r="D800" t="s">
        <v>61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9" x14ac:dyDescent="0.3">
      <c r="A801"/>
      <c r="B801" t="s">
        <v>21</v>
      </c>
      <c r="C801" t="s">
        <v>51</v>
      </c>
      <c r="D801" t="s">
        <v>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/>
    </row>
    <row r="802" spans="1:19" x14ac:dyDescent="0.3">
      <c r="B802" t="s">
        <v>21</v>
      </c>
      <c r="C802" t="s">
        <v>51</v>
      </c>
      <c r="D802" t="s">
        <v>61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/>
    </row>
    <row r="803" spans="1:19" x14ac:dyDescent="0.3">
      <c r="B803" t="s">
        <v>21</v>
      </c>
      <c r="C803" t="s">
        <v>46</v>
      </c>
      <c r="D803" t="s">
        <v>61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s="50" t="s">
        <v>64</v>
      </c>
    </row>
    <row r="804" spans="1:19" x14ac:dyDescent="0.3">
      <c r="B804" t="s">
        <v>21</v>
      </c>
      <c r="C804" t="s">
        <v>46</v>
      </c>
      <c r="D804" t="s">
        <v>61</v>
      </c>
      <c r="E804">
        <v>0</v>
      </c>
      <c r="F804">
        <v>0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s="50" t="s">
        <v>106</v>
      </c>
    </row>
    <row r="805" spans="1:19" x14ac:dyDescent="0.3">
      <c r="B805" t="s">
        <v>21</v>
      </c>
      <c r="C805" t="s">
        <v>41</v>
      </c>
      <c r="D805" t="s">
        <v>61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/>
    </row>
    <row r="806" spans="1:19" x14ac:dyDescent="0.3">
      <c r="B806" t="s">
        <v>21</v>
      </c>
      <c r="C806" t="s">
        <v>51</v>
      </c>
      <c r="D806" t="s">
        <v>61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9" x14ac:dyDescent="0.3">
      <c r="B807" t="s">
        <v>21</v>
      </c>
      <c r="C807" t="s">
        <v>51</v>
      </c>
      <c r="D807" t="s">
        <v>61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9" x14ac:dyDescent="0.3">
      <c r="A808"/>
      <c r="B808" t="s">
        <v>21</v>
      </c>
      <c r="C808" t="s">
        <v>22</v>
      </c>
      <c r="D808" t="s">
        <v>61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/>
    </row>
    <row r="809" spans="1:19" x14ac:dyDescent="0.3">
      <c r="B809" t="s">
        <v>21</v>
      </c>
      <c r="C809" t="s">
        <v>41</v>
      </c>
      <c r="D809" t="s">
        <v>61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50" t="s">
        <v>45</v>
      </c>
    </row>
    <row r="810" spans="1:19" x14ac:dyDescent="0.3">
      <c r="B810" t="s">
        <v>21</v>
      </c>
      <c r="C810" t="s">
        <v>41</v>
      </c>
      <c r="D810" t="s">
        <v>61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t="s">
        <v>98</v>
      </c>
    </row>
    <row r="811" spans="1:19" x14ac:dyDescent="0.3">
      <c r="B811" t="s">
        <v>21</v>
      </c>
      <c r="C811" t="s">
        <v>22</v>
      </c>
      <c r="D811" t="s">
        <v>61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50" t="s">
        <v>64</v>
      </c>
    </row>
    <row r="812" spans="1:19" x14ac:dyDescent="0.3">
      <c r="B812" t="s">
        <v>21</v>
      </c>
      <c r="C812" t="s">
        <v>46</v>
      </c>
      <c r="D812" t="s">
        <v>61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67</v>
      </c>
    </row>
    <row r="813" spans="1:19" x14ac:dyDescent="0.3">
      <c r="B813" t="s">
        <v>21</v>
      </c>
      <c r="C813" t="s">
        <v>46</v>
      </c>
      <c r="D813" t="s">
        <v>61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/>
    </row>
    <row r="814" spans="1:19" x14ac:dyDescent="0.3">
      <c r="A814"/>
      <c r="B814" t="s">
        <v>21</v>
      </c>
      <c r="C814" t="s">
        <v>46</v>
      </c>
      <c r="D814" t="s">
        <v>61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 s="50" t="s">
        <v>50</v>
      </c>
    </row>
    <row r="815" spans="1:19" x14ac:dyDescent="0.3">
      <c r="B815" t="s">
        <v>21</v>
      </c>
      <c r="C815" t="s">
        <v>41</v>
      </c>
      <c r="D815" t="s">
        <v>61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9" x14ac:dyDescent="0.3">
      <c r="B816" t="s">
        <v>21</v>
      </c>
      <c r="C816" t="s">
        <v>22</v>
      </c>
      <c r="D816" t="s">
        <v>61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50" t="s">
        <v>67</v>
      </c>
    </row>
    <row r="817" spans="1:19" x14ac:dyDescent="0.3">
      <c r="B817" t="s">
        <v>21</v>
      </c>
      <c r="C817" t="s">
        <v>41</v>
      </c>
      <c r="D817" t="s">
        <v>61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9" x14ac:dyDescent="0.3">
      <c r="B818" t="s">
        <v>21</v>
      </c>
      <c r="C818" t="s">
        <v>51</v>
      </c>
      <c r="D818" t="s">
        <v>61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9" x14ac:dyDescent="0.3">
      <c r="B819" t="s">
        <v>21</v>
      </c>
      <c r="C819" t="s">
        <v>41</v>
      </c>
      <c r="D819" t="s">
        <v>61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/>
    </row>
    <row r="820" spans="1:19" x14ac:dyDescent="0.3">
      <c r="A820"/>
      <c r="B820" t="s">
        <v>21</v>
      </c>
      <c r="C820" t="s">
        <v>41</v>
      </c>
      <c r="D820" t="s">
        <v>61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50" t="s">
        <v>103</v>
      </c>
    </row>
    <row r="821" spans="1:19" x14ac:dyDescent="0.3">
      <c r="A821"/>
      <c r="B821" t="s">
        <v>21</v>
      </c>
      <c r="C821" t="s">
        <v>22</v>
      </c>
      <c r="D821" t="s">
        <v>61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/>
    </row>
    <row r="822" spans="1:19" x14ac:dyDescent="0.3">
      <c r="B822" t="s">
        <v>21</v>
      </c>
      <c r="C822" t="s">
        <v>51</v>
      </c>
      <c r="D822" t="s">
        <v>61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50" t="s">
        <v>53</v>
      </c>
    </row>
    <row r="823" spans="1:19" x14ac:dyDescent="0.3">
      <c r="B823" t="s">
        <v>21</v>
      </c>
      <c r="C823" t="s">
        <v>51</v>
      </c>
      <c r="D823" t="s">
        <v>61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9" x14ac:dyDescent="0.3">
      <c r="B824" t="s">
        <v>21</v>
      </c>
      <c r="C824" t="s">
        <v>51</v>
      </c>
      <c r="D824" t="s">
        <v>61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9" x14ac:dyDescent="0.3">
      <c r="A825"/>
      <c r="B825" t="s">
        <v>21</v>
      </c>
      <c r="C825" t="s">
        <v>22</v>
      </c>
      <c r="D825" t="s">
        <v>61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/>
    </row>
    <row r="826" spans="1:19" x14ac:dyDescent="0.3">
      <c r="B826" t="s">
        <v>21</v>
      </c>
      <c r="C826" t="s">
        <v>41</v>
      </c>
      <c r="D826" t="s">
        <v>61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9" x14ac:dyDescent="0.3">
      <c r="B827" t="s">
        <v>21</v>
      </c>
      <c r="C827" t="s">
        <v>22</v>
      </c>
      <c r="D827" t="s">
        <v>61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50" t="s">
        <v>64</v>
      </c>
    </row>
    <row r="828" spans="1:19" x14ac:dyDescent="0.3">
      <c r="B828" t="s">
        <v>21</v>
      </c>
      <c r="C828" t="s">
        <v>51</v>
      </c>
      <c r="D828" t="s">
        <v>61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9" x14ac:dyDescent="0.3">
      <c r="B829" t="s">
        <v>21</v>
      </c>
      <c r="C829" t="s">
        <v>51</v>
      </c>
      <c r="D829" t="s">
        <v>61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9" x14ac:dyDescent="0.3">
      <c r="B830" t="s">
        <v>21</v>
      </c>
      <c r="C830" t="s">
        <v>46</v>
      </c>
      <c r="D830" t="s">
        <v>61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9" x14ac:dyDescent="0.3">
      <c r="A831"/>
      <c r="B831" t="s">
        <v>21</v>
      </c>
      <c r="C831" t="s">
        <v>41</v>
      </c>
      <c r="D831" t="s">
        <v>61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/>
    </row>
    <row r="832" spans="1:19" x14ac:dyDescent="0.3">
      <c r="B832" t="s">
        <v>21</v>
      </c>
      <c r="C832" t="s">
        <v>48</v>
      </c>
      <c r="D832" t="s">
        <v>61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/>
    </row>
    <row r="833" spans="1:19" x14ac:dyDescent="0.3">
      <c r="B833" t="s">
        <v>21</v>
      </c>
      <c r="C833" t="s">
        <v>41</v>
      </c>
      <c r="D833" t="s">
        <v>61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9" x14ac:dyDescent="0.3">
      <c r="B834" t="s">
        <v>21</v>
      </c>
      <c r="C834" t="s">
        <v>46</v>
      </c>
      <c r="D834" t="s">
        <v>61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/>
    </row>
    <row r="835" spans="1:19" x14ac:dyDescent="0.3">
      <c r="B835" t="s">
        <v>21</v>
      </c>
      <c r="C835" t="s">
        <v>22</v>
      </c>
      <c r="D835" t="s">
        <v>61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1</v>
      </c>
      <c r="R835">
        <v>0</v>
      </c>
    </row>
    <row r="836" spans="1:19" x14ac:dyDescent="0.3">
      <c r="B836" t="s">
        <v>21</v>
      </c>
      <c r="C836" t="s">
        <v>51</v>
      </c>
      <c r="D836" t="s">
        <v>61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/>
    </row>
    <row r="837" spans="1:19" x14ac:dyDescent="0.3">
      <c r="B837" t="s">
        <v>21</v>
      </c>
      <c r="C837" t="s">
        <v>46</v>
      </c>
      <c r="D837" t="s">
        <v>61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s="50" t="s">
        <v>128</v>
      </c>
    </row>
    <row r="838" spans="1:19" x14ac:dyDescent="0.3">
      <c r="A838"/>
      <c r="B838" t="s">
        <v>21</v>
      </c>
      <c r="C838" t="s">
        <v>22</v>
      </c>
      <c r="D838" t="s">
        <v>61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9" x14ac:dyDescent="0.3">
      <c r="B839" t="s">
        <v>21</v>
      </c>
      <c r="C839" t="s">
        <v>51</v>
      </c>
      <c r="D839" t="s">
        <v>61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9" x14ac:dyDescent="0.3">
      <c r="B840" t="s">
        <v>21</v>
      </c>
      <c r="C840" t="s">
        <v>48</v>
      </c>
      <c r="D840" t="s">
        <v>61</v>
      </c>
      <c r="E840">
        <v>0</v>
      </c>
      <c r="F840">
        <v>0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/>
    </row>
    <row r="841" spans="1:19" x14ac:dyDescent="0.3">
      <c r="B841" t="s">
        <v>21</v>
      </c>
      <c r="C841" t="s">
        <v>41</v>
      </c>
      <c r="D841" t="s">
        <v>61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9" x14ac:dyDescent="0.3">
      <c r="B842" t="s">
        <v>21</v>
      </c>
      <c r="C842" t="s">
        <v>22</v>
      </c>
      <c r="D842" t="s">
        <v>61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50" t="s">
        <v>106</v>
      </c>
    </row>
    <row r="843" spans="1:19" x14ac:dyDescent="0.3">
      <c r="B843" t="s">
        <v>21</v>
      </c>
      <c r="C843" t="s">
        <v>22</v>
      </c>
      <c r="D843" t="s">
        <v>61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/>
    </row>
    <row r="844" spans="1:19" x14ac:dyDescent="0.3">
      <c r="B844" t="s">
        <v>21</v>
      </c>
      <c r="C844" t="s">
        <v>51</v>
      </c>
      <c r="D844" t="s">
        <v>61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t="s">
        <v>53</v>
      </c>
    </row>
    <row r="845" spans="1:19" x14ac:dyDescent="0.3">
      <c r="B845" t="s">
        <v>21</v>
      </c>
      <c r="C845" t="s">
        <v>22</v>
      </c>
      <c r="D845" t="s">
        <v>61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/>
    </row>
    <row r="846" spans="1:19" x14ac:dyDescent="0.3">
      <c r="B846" t="s">
        <v>21</v>
      </c>
      <c r="C846" t="s">
        <v>51</v>
      </c>
      <c r="D846" t="s">
        <v>61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50" t="s">
        <v>50</v>
      </c>
    </row>
    <row r="847" spans="1:19" x14ac:dyDescent="0.3">
      <c r="A847"/>
      <c r="B847" t="s">
        <v>21</v>
      </c>
      <c r="C847" t="s">
        <v>48</v>
      </c>
      <c r="D847" t="s">
        <v>61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9" x14ac:dyDescent="0.3">
      <c r="B848" t="s">
        <v>21</v>
      </c>
      <c r="C848" t="s">
        <v>41</v>
      </c>
      <c r="D848" t="s">
        <v>61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9" x14ac:dyDescent="0.3">
      <c r="B849" t="s">
        <v>21</v>
      </c>
      <c r="C849" t="s">
        <v>41</v>
      </c>
      <c r="D849" t="s">
        <v>61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t="s">
        <v>128</v>
      </c>
    </row>
    <row r="850" spans="1:19" x14ac:dyDescent="0.3">
      <c r="B850" t="s">
        <v>21</v>
      </c>
      <c r="C850" t="s">
        <v>51</v>
      </c>
      <c r="D850" t="s">
        <v>61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t="s">
        <v>50</v>
      </c>
    </row>
    <row r="851" spans="1:19" x14ac:dyDescent="0.3">
      <c r="A851"/>
      <c r="B851" t="s">
        <v>21</v>
      </c>
      <c r="C851" t="s">
        <v>41</v>
      </c>
      <c r="D851" t="s">
        <v>61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50" t="s">
        <v>53</v>
      </c>
    </row>
    <row r="852" spans="1:19" x14ac:dyDescent="0.3">
      <c r="B852" t="s">
        <v>21</v>
      </c>
      <c r="C852" t="s">
        <v>22</v>
      </c>
      <c r="D852" t="s">
        <v>61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/>
    </row>
    <row r="853" spans="1:19" x14ac:dyDescent="0.3">
      <c r="B853" t="s">
        <v>21</v>
      </c>
      <c r="C853" t="s">
        <v>41</v>
      </c>
      <c r="D853" t="s">
        <v>61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t="s">
        <v>133</v>
      </c>
    </row>
    <row r="854" spans="1:19" x14ac:dyDescent="0.3">
      <c r="B854" t="s">
        <v>21</v>
      </c>
      <c r="C854" t="s">
        <v>41</v>
      </c>
      <c r="D854" t="s">
        <v>61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9" x14ac:dyDescent="0.3">
      <c r="B855" t="s">
        <v>21</v>
      </c>
      <c r="C855" t="s">
        <v>51</v>
      </c>
      <c r="D855" t="s">
        <v>61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t="s">
        <v>97</v>
      </c>
    </row>
    <row r="856" spans="1:19" x14ac:dyDescent="0.3">
      <c r="B856" t="s">
        <v>21</v>
      </c>
      <c r="C856" t="s">
        <v>51</v>
      </c>
      <c r="D856" t="s">
        <v>160</v>
      </c>
      <c r="E856">
        <v>1</v>
      </c>
      <c r="F856">
        <v>0</v>
      </c>
      <c r="G856">
        <v>1</v>
      </c>
      <c r="H856">
        <v>0</v>
      </c>
      <c r="I856">
        <v>2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9" x14ac:dyDescent="0.3">
      <c r="B857" t="s">
        <v>21</v>
      </c>
      <c r="C857" t="s">
        <v>48</v>
      </c>
      <c r="D857" t="s">
        <v>49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50</v>
      </c>
    </row>
    <row r="858" spans="1:19" x14ac:dyDescent="0.3">
      <c r="B858" t="s">
        <v>21</v>
      </c>
      <c r="C858" t="s">
        <v>41</v>
      </c>
      <c r="D858" t="s">
        <v>49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9" x14ac:dyDescent="0.3">
      <c r="B859" t="s">
        <v>21</v>
      </c>
      <c r="C859" t="s">
        <v>51</v>
      </c>
      <c r="D859" t="s">
        <v>49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9" x14ac:dyDescent="0.3">
      <c r="B860" t="s">
        <v>21</v>
      </c>
      <c r="C860" t="s">
        <v>22</v>
      </c>
      <c r="D860" t="s">
        <v>49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9" x14ac:dyDescent="0.3">
      <c r="B861" t="s">
        <v>21</v>
      </c>
      <c r="C861" t="s">
        <v>51</v>
      </c>
      <c r="D861" t="s">
        <v>49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/>
    </row>
    <row r="862" spans="1:19" x14ac:dyDescent="0.3">
      <c r="B862" t="s">
        <v>21</v>
      </c>
      <c r="C862" t="s">
        <v>46</v>
      </c>
      <c r="D862" t="s">
        <v>49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9" x14ac:dyDescent="0.3">
      <c r="B863" t="s">
        <v>21</v>
      </c>
      <c r="C863" t="s">
        <v>22</v>
      </c>
      <c r="D863" t="s">
        <v>49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9" x14ac:dyDescent="0.3">
      <c r="B864" t="s">
        <v>21</v>
      </c>
      <c r="C864" t="s">
        <v>41</v>
      </c>
      <c r="D864" t="s">
        <v>49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/>
    </row>
    <row r="865" spans="2:19" x14ac:dyDescent="0.3">
      <c r="B865" t="s">
        <v>21</v>
      </c>
      <c r="C865" t="s">
        <v>51</v>
      </c>
      <c r="D865" t="s">
        <v>49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 t="s">
        <v>50</v>
      </c>
    </row>
    <row r="866" spans="2:19" x14ac:dyDescent="0.3">
      <c r="B866" t="s">
        <v>21</v>
      </c>
      <c r="C866" t="s">
        <v>51</v>
      </c>
      <c r="D866" t="s">
        <v>49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 s="50" t="s">
        <v>97</v>
      </c>
    </row>
    <row r="867" spans="2:19" x14ac:dyDescent="0.3">
      <c r="B867" t="s">
        <v>21</v>
      </c>
      <c r="C867" t="s">
        <v>41</v>
      </c>
      <c r="D867" t="s">
        <v>49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/>
    </row>
    <row r="868" spans="2:19" x14ac:dyDescent="0.3">
      <c r="B868" t="s">
        <v>21</v>
      </c>
      <c r="C868" t="s">
        <v>51</v>
      </c>
      <c r="D868" t="s">
        <v>49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138</v>
      </c>
    </row>
    <row r="869" spans="2:19" x14ac:dyDescent="0.3">
      <c r="B869" t="s">
        <v>21</v>
      </c>
      <c r="C869" t="s">
        <v>41</v>
      </c>
      <c r="D869" t="s">
        <v>49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s="50" t="s">
        <v>64</v>
      </c>
    </row>
    <row r="870" spans="2:19" x14ac:dyDescent="0.3">
      <c r="B870" t="s">
        <v>21</v>
      </c>
      <c r="C870" t="s">
        <v>48</v>
      </c>
      <c r="D870" t="s">
        <v>49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97</v>
      </c>
    </row>
    <row r="871" spans="2:19" x14ac:dyDescent="0.3">
      <c r="B871" t="s">
        <v>21</v>
      </c>
      <c r="C871" t="s">
        <v>22</v>
      </c>
      <c r="D871" t="s">
        <v>49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/>
    </row>
    <row r="872" spans="2:19" x14ac:dyDescent="0.3">
      <c r="B872" t="s">
        <v>21</v>
      </c>
      <c r="C872" t="s">
        <v>22</v>
      </c>
      <c r="D872" t="s">
        <v>49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2:19" x14ac:dyDescent="0.3">
      <c r="B873" t="s">
        <v>21</v>
      </c>
      <c r="C873" t="s">
        <v>46</v>
      </c>
      <c r="D873" t="s">
        <v>49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/>
    </row>
    <row r="874" spans="2:19" x14ac:dyDescent="0.3">
      <c r="B874" t="s">
        <v>21</v>
      </c>
      <c r="C874" t="s">
        <v>41</v>
      </c>
      <c r="D874" t="s">
        <v>49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t="s">
        <v>45</v>
      </c>
    </row>
    <row r="875" spans="2:19" x14ac:dyDescent="0.3">
      <c r="B875" t="s">
        <v>21</v>
      </c>
      <c r="C875" t="s">
        <v>41</v>
      </c>
      <c r="D875" t="s">
        <v>49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 s="50" t="s">
        <v>128</v>
      </c>
    </row>
    <row r="876" spans="2:19" x14ac:dyDescent="0.3">
      <c r="B876" t="s">
        <v>21</v>
      </c>
      <c r="C876" t="s">
        <v>51</v>
      </c>
      <c r="D876" t="s">
        <v>49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50" t="s">
        <v>81</v>
      </c>
    </row>
    <row r="877" spans="2:19" x14ac:dyDescent="0.3">
      <c r="B877" t="s">
        <v>21</v>
      </c>
      <c r="C877" t="s">
        <v>22</v>
      </c>
      <c r="D877" t="s">
        <v>49</v>
      </c>
      <c r="E877">
        <v>0</v>
      </c>
      <c r="F877">
        <v>0</v>
      </c>
      <c r="G877">
        <v>2</v>
      </c>
      <c r="H877">
        <v>0</v>
      </c>
      <c r="I877">
        <v>0</v>
      </c>
      <c r="J877">
        <v>2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2:19" x14ac:dyDescent="0.3">
      <c r="B878" t="s">
        <v>21</v>
      </c>
      <c r="C878" t="s">
        <v>46</v>
      </c>
      <c r="D878" t="s">
        <v>49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2:19" x14ac:dyDescent="0.3">
      <c r="B879" t="s">
        <v>21</v>
      </c>
      <c r="C879" t="s">
        <v>51</v>
      </c>
      <c r="D879" t="s">
        <v>49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t="s">
        <v>53</v>
      </c>
    </row>
    <row r="880" spans="2:19" x14ac:dyDescent="0.3">
      <c r="B880" t="s">
        <v>21</v>
      </c>
      <c r="C880" t="s">
        <v>51</v>
      </c>
      <c r="D880" t="s">
        <v>49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 s="50" t="s">
        <v>106</v>
      </c>
    </row>
    <row r="881" spans="1:19" x14ac:dyDescent="0.3">
      <c r="B881" t="s">
        <v>21</v>
      </c>
      <c r="C881" t="s">
        <v>51</v>
      </c>
      <c r="D881" t="s">
        <v>49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9" x14ac:dyDescent="0.3">
      <c r="B882" t="s">
        <v>21</v>
      </c>
      <c r="C882" t="s">
        <v>51</v>
      </c>
      <c r="D882" t="s">
        <v>49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s="50" t="s">
        <v>103</v>
      </c>
    </row>
    <row r="883" spans="1:19" x14ac:dyDescent="0.3">
      <c r="B883" t="s">
        <v>21</v>
      </c>
      <c r="C883" t="s">
        <v>22</v>
      </c>
      <c r="D883" t="s">
        <v>49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t="s">
        <v>50</v>
      </c>
    </row>
    <row r="884" spans="1:19" x14ac:dyDescent="0.3">
      <c r="B884" t="s">
        <v>21</v>
      </c>
      <c r="C884" t="s">
        <v>51</v>
      </c>
      <c r="D884" t="s">
        <v>49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9" x14ac:dyDescent="0.3">
      <c r="B885" t="s">
        <v>21</v>
      </c>
      <c r="C885" t="s">
        <v>48</v>
      </c>
      <c r="D885" t="s">
        <v>49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9" x14ac:dyDescent="0.3">
      <c r="B886" t="s">
        <v>21</v>
      </c>
      <c r="C886" t="s">
        <v>51</v>
      </c>
      <c r="D886" t="s">
        <v>49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/>
    </row>
    <row r="887" spans="1:19" x14ac:dyDescent="0.3">
      <c r="B887" t="s">
        <v>21</v>
      </c>
      <c r="C887" t="s">
        <v>41</v>
      </c>
      <c r="D887" t="s">
        <v>49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50" t="s">
        <v>50</v>
      </c>
    </row>
    <row r="888" spans="1:19" x14ac:dyDescent="0.3">
      <c r="B888" t="s">
        <v>21</v>
      </c>
      <c r="C888" t="s">
        <v>51</v>
      </c>
      <c r="D888" t="s">
        <v>49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/>
    </row>
    <row r="889" spans="1:19" x14ac:dyDescent="0.3">
      <c r="B889" t="s">
        <v>21</v>
      </c>
      <c r="C889" t="s">
        <v>46</v>
      </c>
      <c r="D889" t="s">
        <v>49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1</v>
      </c>
      <c r="N889">
        <v>0</v>
      </c>
      <c r="O889">
        <v>1</v>
      </c>
      <c r="P889">
        <v>0</v>
      </c>
      <c r="Q889">
        <v>0</v>
      </c>
      <c r="R889">
        <v>0</v>
      </c>
      <c r="S889" t="s">
        <v>67</v>
      </c>
    </row>
    <row r="890" spans="1:19" x14ac:dyDescent="0.3">
      <c r="A890"/>
      <c r="B890" t="s">
        <v>21</v>
      </c>
      <c r="C890" t="s">
        <v>41</v>
      </c>
      <c r="D890" t="s">
        <v>49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9" x14ac:dyDescent="0.3">
      <c r="B891" t="s">
        <v>21</v>
      </c>
      <c r="C891" t="s">
        <v>41</v>
      </c>
      <c r="D891" t="s">
        <v>49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/>
    </row>
    <row r="892" spans="1:19" x14ac:dyDescent="0.3">
      <c r="A892"/>
      <c r="B892" t="s">
        <v>21</v>
      </c>
      <c r="C892" t="s">
        <v>41</v>
      </c>
      <c r="D892" t="s">
        <v>49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9" x14ac:dyDescent="0.3">
      <c r="A893"/>
      <c r="B893" t="s">
        <v>21</v>
      </c>
      <c r="C893" t="s">
        <v>41</v>
      </c>
      <c r="D893" t="s">
        <v>49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s="50" t="s">
        <v>107</v>
      </c>
    </row>
    <row r="894" spans="1:19" x14ac:dyDescent="0.3">
      <c r="B894" t="s">
        <v>21</v>
      </c>
      <c r="C894" t="s">
        <v>51</v>
      </c>
      <c r="D894" t="s">
        <v>49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s="50" t="s">
        <v>97</v>
      </c>
    </row>
    <row r="895" spans="1:19" x14ac:dyDescent="0.3">
      <c r="A895"/>
      <c r="B895" t="s">
        <v>21</v>
      </c>
      <c r="C895" t="s">
        <v>41</v>
      </c>
      <c r="D895" t="s">
        <v>49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/>
    </row>
    <row r="896" spans="1:19" x14ac:dyDescent="0.3">
      <c r="B896" t="s">
        <v>21</v>
      </c>
      <c r="C896" t="s">
        <v>51</v>
      </c>
      <c r="D896" t="s">
        <v>49</v>
      </c>
      <c r="E896">
        <v>1</v>
      </c>
      <c r="F896">
        <v>1</v>
      </c>
      <c r="G896">
        <v>1</v>
      </c>
      <c r="H896">
        <v>0</v>
      </c>
      <c r="I896">
        <v>1</v>
      </c>
      <c r="J896">
        <v>0</v>
      </c>
      <c r="K896">
        <v>1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9" x14ac:dyDescent="0.3">
      <c r="B897" t="s">
        <v>21</v>
      </c>
      <c r="C897" t="s">
        <v>51</v>
      </c>
      <c r="D897" t="s">
        <v>49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9" x14ac:dyDescent="0.3">
      <c r="B898" t="s">
        <v>21</v>
      </c>
      <c r="C898" t="s">
        <v>22</v>
      </c>
      <c r="D898" t="s">
        <v>49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s="50" t="s">
        <v>56</v>
      </c>
    </row>
    <row r="899" spans="1:19" x14ac:dyDescent="0.3">
      <c r="B899" t="s">
        <v>21</v>
      </c>
      <c r="C899" t="s">
        <v>41</v>
      </c>
      <c r="D899" t="s">
        <v>49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/>
    </row>
    <row r="900" spans="1:19" x14ac:dyDescent="0.3">
      <c r="B900" t="s">
        <v>21</v>
      </c>
      <c r="C900" t="s">
        <v>51</v>
      </c>
      <c r="D900" t="s">
        <v>49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t="s">
        <v>64</v>
      </c>
    </row>
    <row r="901" spans="1:19" x14ac:dyDescent="0.3">
      <c r="B901" t="s">
        <v>21</v>
      </c>
      <c r="C901" t="s">
        <v>51</v>
      </c>
      <c r="D901" t="s">
        <v>49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/>
    </row>
    <row r="902" spans="1:19" x14ac:dyDescent="0.3">
      <c r="B902" t="s">
        <v>21</v>
      </c>
      <c r="C902" t="s">
        <v>48</v>
      </c>
      <c r="D902" t="s">
        <v>49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84</v>
      </c>
    </row>
    <row r="903" spans="1:19" x14ac:dyDescent="0.3">
      <c r="A903"/>
      <c r="B903" t="s">
        <v>21</v>
      </c>
      <c r="C903" t="s">
        <v>22</v>
      </c>
      <c r="D903" t="s">
        <v>169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/>
    </row>
    <row r="904" spans="1:19" x14ac:dyDescent="0.3">
      <c r="A904"/>
      <c r="B904" t="s">
        <v>21</v>
      </c>
      <c r="C904" t="s">
        <v>46</v>
      </c>
      <c r="D904" t="s">
        <v>169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s="50" t="s">
        <v>138</v>
      </c>
    </row>
    <row r="905" spans="1:19" x14ac:dyDescent="0.3">
      <c r="B905" t="s">
        <v>21</v>
      </c>
      <c r="C905" t="s">
        <v>51</v>
      </c>
      <c r="D905" t="s">
        <v>169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9" x14ac:dyDescent="0.3">
      <c r="B906" t="s">
        <v>21</v>
      </c>
      <c r="C906" t="s">
        <v>51</v>
      </c>
      <c r="D906" t="s">
        <v>207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s="50" t="s">
        <v>128</v>
      </c>
    </row>
    <row r="907" spans="1:19" x14ac:dyDescent="0.3">
      <c r="B907" t="s">
        <v>21</v>
      </c>
      <c r="C907" t="s">
        <v>51</v>
      </c>
      <c r="D907" t="s">
        <v>172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s="50" t="s">
        <v>67</v>
      </c>
    </row>
    <row r="908" spans="1:19" x14ac:dyDescent="0.3">
      <c r="B908" t="s">
        <v>21</v>
      </c>
      <c r="C908" t="s">
        <v>41</v>
      </c>
      <c r="D908" t="s">
        <v>180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67</v>
      </c>
    </row>
    <row r="909" spans="1:19" x14ac:dyDescent="0.3">
      <c r="B909" t="s">
        <v>21</v>
      </c>
      <c r="C909" t="s">
        <v>41</v>
      </c>
      <c r="D909" t="s">
        <v>180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9" x14ac:dyDescent="0.3">
      <c r="B910" t="s">
        <v>21</v>
      </c>
      <c r="C910" t="s">
        <v>51</v>
      </c>
      <c r="D910" t="s">
        <v>167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9" x14ac:dyDescent="0.3">
      <c r="B911" t="s">
        <v>21</v>
      </c>
      <c r="C911" t="s">
        <v>46</v>
      </c>
      <c r="D911" t="s">
        <v>167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/>
    </row>
    <row r="912" spans="1:19" x14ac:dyDescent="0.3">
      <c r="B912" t="s">
        <v>21</v>
      </c>
      <c r="C912" t="s">
        <v>41</v>
      </c>
      <c r="D912" t="s">
        <v>167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s="50" t="s">
        <v>106</v>
      </c>
    </row>
    <row r="913" spans="1:19" x14ac:dyDescent="0.3">
      <c r="B913" t="s">
        <v>21</v>
      </c>
      <c r="C913" t="s">
        <v>51</v>
      </c>
      <c r="D913" t="s">
        <v>167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9" x14ac:dyDescent="0.3">
      <c r="B914" t="s">
        <v>21</v>
      </c>
      <c r="C914" t="s">
        <v>46</v>
      </c>
      <c r="D914" t="s">
        <v>167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9" x14ac:dyDescent="0.3">
      <c r="B915" t="s">
        <v>21</v>
      </c>
      <c r="C915" t="s">
        <v>51</v>
      </c>
      <c r="D915" t="s">
        <v>167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9" x14ac:dyDescent="0.3">
      <c r="B916" t="s">
        <v>21</v>
      </c>
      <c r="C916" t="s">
        <v>46</v>
      </c>
      <c r="D916" t="s">
        <v>161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s">
        <v>64</v>
      </c>
    </row>
    <row r="917" spans="1:19" x14ac:dyDescent="0.3">
      <c r="B917" t="s">
        <v>21</v>
      </c>
      <c r="C917" t="s">
        <v>41</v>
      </c>
      <c r="D917" t="s">
        <v>161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9" x14ac:dyDescent="0.3">
      <c r="B918" t="s">
        <v>21</v>
      </c>
      <c r="C918" t="s">
        <v>48</v>
      </c>
      <c r="D918" t="s">
        <v>115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/>
    </row>
    <row r="919" spans="1:19" x14ac:dyDescent="0.3">
      <c r="B919" t="s">
        <v>21</v>
      </c>
      <c r="C919" t="s">
        <v>22</v>
      </c>
      <c r="D919" t="s">
        <v>115</v>
      </c>
      <c r="E919">
        <v>0</v>
      </c>
      <c r="F919">
        <v>0</v>
      </c>
      <c r="G919">
        <v>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/>
    </row>
    <row r="920" spans="1:19" x14ac:dyDescent="0.3">
      <c r="B920" t="s">
        <v>21</v>
      </c>
      <c r="C920" t="s">
        <v>41</v>
      </c>
      <c r="D920" t="s">
        <v>115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50" t="s">
        <v>45</v>
      </c>
    </row>
    <row r="921" spans="1:19" x14ac:dyDescent="0.3">
      <c r="B921" t="s">
        <v>21</v>
      </c>
      <c r="C921" t="s">
        <v>51</v>
      </c>
      <c r="D921" t="s">
        <v>115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9" x14ac:dyDescent="0.3">
      <c r="B922" t="s">
        <v>21</v>
      </c>
      <c r="C922" t="s">
        <v>51</v>
      </c>
      <c r="D922" t="s">
        <v>115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106</v>
      </c>
    </row>
    <row r="923" spans="1:19" x14ac:dyDescent="0.3">
      <c r="A923"/>
      <c r="B923" t="s">
        <v>21</v>
      </c>
      <c r="C923" t="s">
        <v>46</v>
      </c>
      <c r="D923" t="s">
        <v>137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">
        <v>138</v>
      </c>
    </row>
    <row r="924" spans="1:19" x14ac:dyDescent="0.3">
      <c r="B924" t="s">
        <v>21</v>
      </c>
      <c r="C924" t="s">
        <v>51</v>
      </c>
      <c r="D924" t="s">
        <v>137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9" x14ac:dyDescent="0.3">
      <c r="B925" t="s">
        <v>21</v>
      </c>
      <c r="C925" t="s">
        <v>22</v>
      </c>
      <c r="D925" t="s">
        <v>171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9" x14ac:dyDescent="0.3">
      <c r="B926" t="s">
        <v>21</v>
      </c>
      <c r="C926" t="s">
        <v>22</v>
      </c>
      <c r="D926" t="s">
        <v>171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9" x14ac:dyDescent="0.3">
      <c r="B927" t="s">
        <v>21</v>
      </c>
      <c r="C927" t="s">
        <v>41</v>
      </c>
      <c r="D927" t="s">
        <v>188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9" x14ac:dyDescent="0.3">
      <c r="B928" t="s">
        <v>21</v>
      </c>
      <c r="C928" t="s">
        <v>22</v>
      </c>
      <c r="D928" t="s">
        <v>89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/>
    </row>
    <row r="929" spans="1:19" x14ac:dyDescent="0.3">
      <c r="B929" t="s">
        <v>21</v>
      </c>
      <c r="C929" t="s">
        <v>41</v>
      </c>
      <c r="D929" t="s">
        <v>121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9" x14ac:dyDescent="0.3">
      <c r="B930" t="s">
        <v>21</v>
      </c>
      <c r="C930" t="s">
        <v>51</v>
      </c>
      <c r="D930" t="s">
        <v>152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/>
    </row>
    <row r="931" spans="1:19" x14ac:dyDescent="0.3">
      <c r="B931" t="s">
        <v>21</v>
      </c>
      <c r="C931" t="s">
        <v>22</v>
      </c>
      <c r="D931" t="s">
        <v>152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9" x14ac:dyDescent="0.3">
      <c r="B932" t="s">
        <v>21</v>
      </c>
      <c r="C932" t="s">
        <v>41</v>
      </c>
      <c r="D932" t="s">
        <v>162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9" x14ac:dyDescent="0.3">
      <c r="B933" t="s">
        <v>21</v>
      </c>
      <c r="C933" t="s">
        <v>41</v>
      </c>
      <c r="D933" t="s">
        <v>155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67</v>
      </c>
    </row>
    <row r="934" spans="1:19" x14ac:dyDescent="0.3">
      <c r="B934" t="s">
        <v>21</v>
      </c>
      <c r="C934" t="s">
        <v>22</v>
      </c>
      <c r="D934" t="s">
        <v>96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0</v>
      </c>
      <c r="O934">
        <v>1</v>
      </c>
      <c r="P934">
        <v>0</v>
      </c>
      <c r="Q934">
        <v>0</v>
      </c>
      <c r="R934">
        <v>0</v>
      </c>
      <c r="S934" s="50" t="s">
        <v>97</v>
      </c>
    </row>
    <row r="935" spans="1:19" x14ac:dyDescent="0.3">
      <c r="B935" t="s">
        <v>21</v>
      </c>
      <c r="C935" t="s">
        <v>22</v>
      </c>
      <c r="D935" t="s">
        <v>96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s="50" t="s">
        <v>106</v>
      </c>
    </row>
    <row r="936" spans="1:19" x14ac:dyDescent="0.3">
      <c r="B936" t="s">
        <v>21</v>
      </c>
      <c r="C936" t="s">
        <v>51</v>
      </c>
      <c r="D936" t="s">
        <v>118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9" x14ac:dyDescent="0.3">
      <c r="A937"/>
      <c r="B937" t="s">
        <v>21</v>
      </c>
      <c r="C937" t="s">
        <v>41</v>
      </c>
      <c r="D937" t="s">
        <v>58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/>
    </row>
    <row r="938" spans="1:19" x14ac:dyDescent="0.3">
      <c r="B938" t="s">
        <v>21</v>
      </c>
      <c r="C938" t="s">
        <v>22</v>
      </c>
      <c r="D938" t="s">
        <v>163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s="50" t="s">
        <v>45</v>
      </c>
    </row>
    <row r="939" spans="1:19" x14ac:dyDescent="0.3">
      <c r="B939" t="s">
        <v>21</v>
      </c>
      <c r="C939" t="s">
        <v>51</v>
      </c>
      <c r="D939" t="s">
        <v>163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9" x14ac:dyDescent="0.3">
      <c r="A940"/>
      <c r="B940" t="s">
        <v>21</v>
      </c>
      <c r="C940" t="s">
        <v>22</v>
      </c>
      <c r="D940" t="s">
        <v>163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9" x14ac:dyDescent="0.3">
      <c r="B941" t="s">
        <v>21</v>
      </c>
      <c r="C941" t="s">
        <v>51</v>
      </c>
      <c r="D941" t="s">
        <v>191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9" x14ac:dyDescent="0.3">
      <c r="B942" t="s">
        <v>21</v>
      </c>
      <c r="C942" t="s">
        <v>22</v>
      </c>
      <c r="D942" t="s">
        <v>140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s">
        <v>128</v>
      </c>
    </row>
    <row r="943" spans="1:19" x14ac:dyDescent="0.3">
      <c r="B943" s="50" t="s">
        <v>21</v>
      </c>
      <c r="C943" s="50" t="s">
        <v>51</v>
      </c>
      <c r="D943" t="s">
        <v>140</v>
      </c>
      <c r="E943" s="50">
        <v>0</v>
      </c>
      <c r="F943" s="50">
        <v>0</v>
      </c>
      <c r="G943" s="50">
        <v>0</v>
      </c>
      <c r="H943" s="50">
        <v>0</v>
      </c>
      <c r="I943" s="50">
        <v>0</v>
      </c>
      <c r="J943" s="50">
        <v>0</v>
      </c>
      <c r="K943" s="50">
        <v>0</v>
      </c>
      <c r="L943" s="50">
        <v>0</v>
      </c>
      <c r="M943" s="50">
        <v>0</v>
      </c>
      <c r="N943" s="50">
        <v>0</v>
      </c>
      <c r="O943" s="50">
        <v>0</v>
      </c>
      <c r="P943" s="50">
        <v>0</v>
      </c>
      <c r="Q943" s="50">
        <v>0</v>
      </c>
      <c r="R943" s="50">
        <v>0</v>
      </c>
    </row>
    <row r="944" spans="1:19" x14ac:dyDescent="0.3">
      <c r="B944" s="50" t="s">
        <v>21</v>
      </c>
      <c r="C944" s="50" t="s">
        <v>51</v>
      </c>
      <c r="D944" t="s">
        <v>140</v>
      </c>
      <c r="E944" s="50">
        <v>0</v>
      </c>
      <c r="F944" s="50">
        <v>0</v>
      </c>
      <c r="G944" s="50">
        <v>0</v>
      </c>
      <c r="H944" s="50">
        <v>0</v>
      </c>
      <c r="I944" s="50">
        <v>0</v>
      </c>
      <c r="J944" s="50">
        <v>0</v>
      </c>
      <c r="K944" s="50">
        <v>0</v>
      </c>
      <c r="L944" s="50">
        <v>0</v>
      </c>
      <c r="M944" s="50">
        <v>0</v>
      </c>
      <c r="N944" s="50">
        <v>0</v>
      </c>
      <c r="O944" s="50">
        <v>0</v>
      </c>
      <c r="P944" s="50">
        <v>0</v>
      </c>
      <c r="Q944" s="50">
        <v>0</v>
      </c>
      <c r="R944" s="50">
        <v>0</v>
      </c>
    </row>
    <row r="945" spans="2:19" x14ac:dyDescent="0.3">
      <c r="B945" s="50" t="s">
        <v>21</v>
      </c>
      <c r="C945" s="50" t="s">
        <v>51</v>
      </c>
      <c r="D945" t="s">
        <v>140</v>
      </c>
      <c r="E945" s="50">
        <v>0</v>
      </c>
      <c r="F945" s="50">
        <v>0</v>
      </c>
      <c r="G945" s="50">
        <v>0</v>
      </c>
      <c r="H945" s="50">
        <v>0</v>
      </c>
      <c r="I945" s="50">
        <v>0</v>
      </c>
      <c r="J945" s="50">
        <v>0</v>
      </c>
      <c r="K945" s="50">
        <v>0</v>
      </c>
      <c r="L945" s="50">
        <v>0</v>
      </c>
      <c r="M945" s="50">
        <v>1</v>
      </c>
      <c r="N945" s="50">
        <v>0</v>
      </c>
      <c r="O945" s="50">
        <v>0</v>
      </c>
      <c r="P945" s="50">
        <v>0</v>
      </c>
      <c r="Q945" s="50">
        <v>1</v>
      </c>
      <c r="R945" s="50">
        <v>0</v>
      </c>
    </row>
    <row r="946" spans="2:19" x14ac:dyDescent="0.3">
      <c r="B946" s="50" t="s">
        <v>21</v>
      </c>
      <c r="C946" s="50" t="s">
        <v>22</v>
      </c>
      <c r="D946" t="s">
        <v>140</v>
      </c>
      <c r="E946" s="50">
        <v>0</v>
      </c>
      <c r="F946" s="50">
        <v>0</v>
      </c>
      <c r="G946" s="50">
        <v>0</v>
      </c>
      <c r="H946" s="50">
        <v>0</v>
      </c>
      <c r="I946" s="50">
        <v>0</v>
      </c>
      <c r="J946" s="50">
        <v>0</v>
      </c>
      <c r="K946" s="50">
        <v>0</v>
      </c>
      <c r="L946" s="50">
        <v>0</v>
      </c>
      <c r="M946" s="50">
        <v>0</v>
      </c>
      <c r="N946" s="50">
        <v>0</v>
      </c>
      <c r="O946" s="50">
        <v>0</v>
      </c>
      <c r="P946" s="50">
        <v>0</v>
      </c>
      <c r="Q946" s="50">
        <v>0</v>
      </c>
      <c r="R946" s="50">
        <v>0</v>
      </c>
      <c r="S946" s="50" t="s">
        <v>50</v>
      </c>
    </row>
    <row r="947" spans="2:19" x14ac:dyDescent="0.3">
      <c r="B947" s="50" t="s">
        <v>21</v>
      </c>
      <c r="C947" s="50" t="s">
        <v>48</v>
      </c>
      <c r="D947" t="s">
        <v>131</v>
      </c>
      <c r="E947" s="50">
        <v>2</v>
      </c>
      <c r="F947" s="50">
        <v>0</v>
      </c>
      <c r="G947" s="50">
        <v>0</v>
      </c>
      <c r="H947" s="50">
        <v>0</v>
      </c>
      <c r="I947" s="50">
        <v>0</v>
      </c>
      <c r="J947" s="50">
        <v>0</v>
      </c>
      <c r="K947" s="50">
        <v>0</v>
      </c>
      <c r="L947" s="50">
        <v>0</v>
      </c>
      <c r="M947" s="50">
        <v>0</v>
      </c>
      <c r="N947" s="50">
        <v>0</v>
      </c>
      <c r="O947" s="50">
        <v>0</v>
      </c>
      <c r="P947" s="50">
        <v>0</v>
      </c>
      <c r="Q947" s="50">
        <v>0</v>
      </c>
      <c r="R947" s="50">
        <v>0</v>
      </c>
    </row>
    <row r="948" spans="2:19" x14ac:dyDescent="0.3">
      <c r="B948" s="50" t="s">
        <v>21</v>
      </c>
      <c r="C948" s="50" t="s">
        <v>22</v>
      </c>
      <c r="D948" t="s">
        <v>131</v>
      </c>
      <c r="E948" s="50">
        <v>0</v>
      </c>
      <c r="F948" s="50">
        <v>0</v>
      </c>
      <c r="G948" s="50">
        <v>0</v>
      </c>
      <c r="H948" s="50">
        <v>0</v>
      </c>
      <c r="I948" s="50">
        <v>0</v>
      </c>
      <c r="J948" s="50">
        <v>0</v>
      </c>
      <c r="K948" s="50">
        <v>0</v>
      </c>
      <c r="L948" s="50">
        <v>0</v>
      </c>
      <c r="M948" s="50">
        <v>0</v>
      </c>
      <c r="N948" s="50">
        <v>0</v>
      </c>
      <c r="O948" s="50">
        <v>0</v>
      </c>
      <c r="P948" s="50">
        <v>0</v>
      </c>
      <c r="Q948" s="50">
        <v>0</v>
      </c>
      <c r="R948" s="50">
        <v>0</v>
      </c>
    </row>
    <row r="949" spans="2:19" x14ac:dyDescent="0.3">
      <c r="B949" s="50" t="s">
        <v>21</v>
      </c>
      <c r="C949" s="50" t="s">
        <v>46</v>
      </c>
      <c r="D949" t="s">
        <v>131</v>
      </c>
      <c r="E949" s="50">
        <v>0</v>
      </c>
      <c r="F949" s="50">
        <v>0</v>
      </c>
      <c r="G949" s="50">
        <v>0</v>
      </c>
      <c r="H949" s="50">
        <v>0</v>
      </c>
      <c r="I949" s="50">
        <v>0</v>
      </c>
      <c r="J949" s="50">
        <v>0</v>
      </c>
      <c r="K949" s="50">
        <v>0</v>
      </c>
      <c r="L949" s="50">
        <v>0</v>
      </c>
      <c r="M949" s="50">
        <v>0</v>
      </c>
      <c r="N949" s="50">
        <v>0</v>
      </c>
      <c r="O949" s="50">
        <v>0</v>
      </c>
      <c r="P949" s="50">
        <v>0</v>
      </c>
      <c r="Q949" s="50">
        <v>0</v>
      </c>
      <c r="R949" s="50">
        <v>0</v>
      </c>
    </row>
    <row r="950" spans="2:19" x14ac:dyDescent="0.3">
      <c r="B950" s="50" t="s">
        <v>21</v>
      </c>
      <c r="C950" s="50" t="s">
        <v>41</v>
      </c>
      <c r="D950" t="s">
        <v>131</v>
      </c>
      <c r="E950" s="50">
        <v>0</v>
      </c>
      <c r="F950" s="50">
        <v>0</v>
      </c>
      <c r="G950" s="50">
        <v>0</v>
      </c>
      <c r="H950" s="50">
        <v>0</v>
      </c>
      <c r="I950" s="50">
        <v>0</v>
      </c>
      <c r="J950" s="50">
        <v>0</v>
      </c>
      <c r="K950" s="50">
        <v>0</v>
      </c>
      <c r="L950" s="50">
        <v>0</v>
      </c>
      <c r="M950" s="50">
        <v>0</v>
      </c>
      <c r="N950" s="50">
        <v>0</v>
      </c>
      <c r="O950" s="50">
        <v>0</v>
      </c>
      <c r="P950" s="50">
        <v>0</v>
      </c>
      <c r="Q950" s="50">
        <v>0</v>
      </c>
      <c r="R950" s="50">
        <v>0</v>
      </c>
    </row>
    <row r="951" spans="2:19" x14ac:dyDescent="0.3">
      <c r="B951" s="50" t="s">
        <v>21</v>
      </c>
      <c r="C951" s="50" t="s">
        <v>51</v>
      </c>
      <c r="D951" t="s">
        <v>66</v>
      </c>
      <c r="E951" s="50">
        <v>0</v>
      </c>
      <c r="F951" s="50">
        <v>0</v>
      </c>
      <c r="G951" s="50">
        <v>0</v>
      </c>
      <c r="H951" s="50">
        <v>0</v>
      </c>
      <c r="I951" s="50">
        <v>0</v>
      </c>
      <c r="J951" s="50">
        <v>0</v>
      </c>
      <c r="K951" s="50">
        <v>0</v>
      </c>
      <c r="L951" s="50">
        <v>0</v>
      </c>
      <c r="M951" s="50">
        <v>0</v>
      </c>
      <c r="N951" s="50">
        <v>0</v>
      </c>
      <c r="O951" s="50">
        <v>0</v>
      </c>
      <c r="P951" s="50">
        <v>0</v>
      </c>
      <c r="Q951" s="50">
        <v>0</v>
      </c>
      <c r="R951" s="50">
        <v>0</v>
      </c>
      <c r="S951" s="50" t="s">
        <v>67</v>
      </c>
    </row>
    <row r="952" spans="2:19" x14ac:dyDescent="0.3">
      <c r="B952" s="50" t="s">
        <v>21</v>
      </c>
      <c r="C952" s="50" t="s">
        <v>51</v>
      </c>
      <c r="D952" t="s">
        <v>66</v>
      </c>
      <c r="E952" s="50">
        <v>0</v>
      </c>
      <c r="F952" s="50">
        <v>0</v>
      </c>
      <c r="G952" s="50">
        <v>0</v>
      </c>
      <c r="H952" s="50">
        <v>0</v>
      </c>
      <c r="I952" s="50">
        <v>0</v>
      </c>
      <c r="J952" s="50">
        <v>0</v>
      </c>
      <c r="K952" s="50">
        <v>0</v>
      </c>
      <c r="L952" s="50">
        <v>0</v>
      </c>
      <c r="M952" s="50">
        <v>0</v>
      </c>
      <c r="N952" s="50">
        <v>0</v>
      </c>
      <c r="O952" s="50">
        <v>0</v>
      </c>
      <c r="P952" s="50">
        <v>0</v>
      </c>
      <c r="Q952" s="50">
        <v>0</v>
      </c>
      <c r="R952" s="50">
        <v>0</v>
      </c>
    </row>
    <row r="953" spans="2:19" x14ac:dyDescent="0.3">
      <c r="B953" s="50" t="s">
        <v>21</v>
      </c>
      <c r="C953" s="50" t="s">
        <v>22</v>
      </c>
      <c r="D953" t="s">
        <v>66</v>
      </c>
      <c r="E953" s="50">
        <v>0</v>
      </c>
      <c r="F953" s="50">
        <v>0</v>
      </c>
      <c r="G953" s="50">
        <v>0</v>
      </c>
      <c r="H953" s="50">
        <v>0</v>
      </c>
      <c r="I953" s="50">
        <v>0</v>
      </c>
      <c r="J953" s="50">
        <v>0</v>
      </c>
      <c r="K953" s="50">
        <v>0</v>
      </c>
      <c r="L953" s="50">
        <v>0</v>
      </c>
      <c r="M953" s="50">
        <v>0</v>
      </c>
      <c r="N953" s="50">
        <v>0</v>
      </c>
      <c r="O953" s="50">
        <v>0</v>
      </c>
      <c r="P953" s="50">
        <v>0</v>
      </c>
      <c r="Q953" s="50">
        <v>0</v>
      </c>
      <c r="R953" s="50">
        <v>0</v>
      </c>
    </row>
    <row r="954" spans="2:19" x14ac:dyDescent="0.3">
      <c r="B954" s="50" t="s">
        <v>21</v>
      </c>
      <c r="C954" s="50" t="s">
        <v>51</v>
      </c>
      <c r="D954" t="s">
        <v>66</v>
      </c>
      <c r="E954" s="50">
        <v>0</v>
      </c>
      <c r="F954" s="50">
        <v>0</v>
      </c>
      <c r="G954" s="50">
        <v>0</v>
      </c>
      <c r="H954" s="50">
        <v>0</v>
      </c>
      <c r="I954" s="50">
        <v>0</v>
      </c>
      <c r="J954" s="50">
        <v>0</v>
      </c>
      <c r="K954" s="50">
        <v>0</v>
      </c>
      <c r="L954" s="50">
        <v>0</v>
      </c>
      <c r="M954" s="50">
        <v>0</v>
      </c>
      <c r="N954" s="50">
        <v>0</v>
      </c>
      <c r="O954" s="50">
        <v>0</v>
      </c>
      <c r="P954" s="50">
        <v>0</v>
      </c>
      <c r="Q954" s="50">
        <v>0</v>
      </c>
      <c r="R954" s="50">
        <v>0</v>
      </c>
    </row>
    <row r="955" spans="2:19" x14ac:dyDescent="0.3">
      <c r="B955" s="50" t="s">
        <v>21</v>
      </c>
      <c r="C955" s="50" t="s">
        <v>51</v>
      </c>
      <c r="D955" t="s">
        <v>66</v>
      </c>
      <c r="E955" s="50">
        <v>0</v>
      </c>
      <c r="F955" s="50">
        <v>0</v>
      </c>
      <c r="G955" s="50">
        <v>0</v>
      </c>
      <c r="H955" s="50">
        <v>0</v>
      </c>
      <c r="I955" s="50">
        <v>0</v>
      </c>
      <c r="J955" s="50">
        <v>0</v>
      </c>
      <c r="K955" s="50">
        <v>0</v>
      </c>
      <c r="L955" s="50">
        <v>0</v>
      </c>
      <c r="M955" s="50">
        <v>0</v>
      </c>
      <c r="N955" s="50">
        <v>0</v>
      </c>
      <c r="O955" s="50">
        <v>0</v>
      </c>
      <c r="P955" s="50">
        <v>0</v>
      </c>
      <c r="Q955" s="50">
        <v>0</v>
      </c>
      <c r="R955" s="50">
        <v>0</v>
      </c>
      <c r="S955" s="50" t="s">
        <v>106</v>
      </c>
    </row>
    <row r="956" spans="2:19" x14ac:dyDescent="0.3">
      <c r="B956" s="50" t="s">
        <v>21</v>
      </c>
      <c r="C956" s="50" t="s">
        <v>41</v>
      </c>
      <c r="D956" t="s">
        <v>66</v>
      </c>
      <c r="E956" s="50">
        <v>0</v>
      </c>
      <c r="F956" s="50">
        <v>0</v>
      </c>
      <c r="G956" s="50">
        <v>0</v>
      </c>
      <c r="H956" s="50">
        <v>0</v>
      </c>
      <c r="I956" s="50">
        <v>0</v>
      </c>
      <c r="J956" s="50">
        <v>0</v>
      </c>
      <c r="K956" s="50">
        <v>0</v>
      </c>
      <c r="L956" s="50">
        <v>0</v>
      </c>
      <c r="M956" s="50">
        <v>0</v>
      </c>
      <c r="N956" s="50">
        <v>0</v>
      </c>
      <c r="O956" s="50">
        <v>0</v>
      </c>
      <c r="P956" s="50">
        <v>0</v>
      </c>
      <c r="Q956" s="50">
        <v>0</v>
      </c>
      <c r="R956" s="50">
        <v>0</v>
      </c>
    </row>
    <row r="957" spans="2:19" x14ac:dyDescent="0.3">
      <c r="B957" s="50" t="s">
        <v>21</v>
      </c>
      <c r="C957" s="50" t="s">
        <v>22</v>
      </c>
      <c r="D957" t="s">
        <v>66</v>
      </c>
      <c r="E957" s="50">
        <v>0</v>
      </c>
      <c r="F957" s="50">
        <v>0</v>
      </c>
      <c r="G957" s="50">
        <v>0</v>
      </c>
      <c r="H957" s="50">
        <v>0</v>
      </c>
      <c r="I957" s="50">
        <v>0</v>
      </c>
      <c r="J957" s="50">
        <v>0</v>
      </c>
      <c r="K957" s="50">
        <v>0</v>
      </c>
      <c r="L957" s="50">
        <v>0</v>
      </c>
      <c r="M957" s="50">
        <v>0</v>
      </c>
      <c r="N957" s="50">
        <v>0</v>
      </c>
      <c r="O957" s="50">
        <v>0</v>
      </c>
      <c r="P957" s="50">
        <v>0</v>
      </c>
      <c r="Q957" s="50">
        <v>0</v>
      </c>
      <c r="R957" s="50">
        <v>0</v>
      </c>
      <c r="S957" s="50" t="s">
        <v>128</v>
      </c>
    </row>
    <row r="958" spans="2:19" x14ac:dyDescent="0.3">
      <c r="B958" s="50" t="s">
        <v>21</v>
      </c>
      <c r="C958" s="50" t="s">
        <v>51</v>
      </c>
      <c r="D958" t="s">
        <v>66</v>
      </c>
      <c r="E958" s="50">
        <v>0</v>
      </c>
      <c r="F958" s="50">
        <v>0</v>
      </c>
      <c r="G958" s="50">
        <v>0</v>
      </c>
      <c r="H958" s="50">
        <v>0</v>
      </c>
      <c r="I958" s="50">
        <v>0</v>
      </c>
      <c r="J958" s="50">
        <v>0</v>
      </c>
      <c r="K958" s="50">
        <v>0</v>
      </c>
      <c r="L958" s="50">
        <v>0</v>
      </c>
      <c r="M958" s="50">
        <v>0</v>
      </c>
      <c r="N958" s="50">
        <v>0</v>
      </c>
      <c r="O958" s="50">
        <v>0</v>
      </c>
      <c r="P958" s="50">
        <v>0</v>
      </c>
      <c r="Q958" s="50">
        <v>0</v>
      </c>
      <c r="R958" s="50">
        <v>0</v>
      </c>
    </row>
    <row r="959" spans="2:19" x14ac:dyDescent="0.3">
      <c r="B959" s="50" t="s">
        <v>21</v>
      </c>
      <c r="C959" s="50" t="s">
        <v>22</v>
      </c>
      <c r="D959" t="s">
        <v>66</v>
      </c>
      <c r="E959" s="50">
        <v>0</v>
      </c>
      <c r="F959" s="50">
        <v>0</v>
      </c>
      <c r="G959" s="50">
        <v>0</v>
      </c>
      <c r="H959" s="50">
        <v>0</v>
      </c>
      <c r="I959" s="50">
        <v>0</v>
      </c>
      <c r="J959" s="50">
        <v>0</v>
      </c>
      <c r="K959" s="50">
        <v>0</v>
      </c>
      <c r="L959" s="50">
        <v>0</v>
      </c>
      <c r="M959" s="50">
        <v>0</v>
      </c>
      <c r="N959" s="50">
        <v>0</v>
      </c>
      <c r="O959" s="50">
        <v>0</v>
      </c>
      <c r="P959" s="50">
        <v>0</v>
      </c>
      <c r="Q959" s="50">
        <v>0</v>
      </c>
      <c r="R959" s="50">
        <v>0</v>
      </c>
    </row>
    <row r="960" spans="2:19" x14ac:dyDescent="0.3">
      <c r="B960" s="50" t="s">
        <v>21</v>
      </c>
      <c r="C960" s="50" t="s">
        <v>22</v>
      </c>
      <c r="D960" t="s">
        <v>66</v>
      </c>
      <c r="E960" s="50">
        <v>0</v>
      </c>
      <c r="F960" s="50">
        <v>0</v>
      </c>
      <c r="G960" s="50">
        <v>0</v>
      </c>
      <c r="H960" s="50">
        <v>0</v>
      </c>
      <c r="I960" s="50">
        <v>1</v>
      </c>
      <c r="J960" s="50">
        <v>0</v>
      </c>
      <c r="K960" s="50">
        <v>0</v>
      </c>
      <c r="L960" s="50">
        <v>0</v>
      </c>
      <c r="M960" s="50">
        <v>0</v>
      </c>
      <c r="N960" s="50">
        <v>1</v>
      </c>
      <c r="O960" s="50">
        <v>0</v>
      </c>
      <c r="P960" s="50">
        <v>0</v>
      </c>
      <c r="Q960" s="50">
        <v>0</v>
      </c>
      <c r="R960" s="50">
        <v>0</v>
      </c>
    </row>
    <row r="961" spans="2:19" x14ac:dyDescent="0.3">
      <c r="B961" s="50" t="s">
        <v>21</v>
      </c>
      <c r="C961" s="50" t="s">
        <v>48</v>
      </c>
      <c r="D961" t="s">
        <v>66</v>
      </c>
      <c r="E961" s="50">
        <v>0</v>
      </c>
      <c r="F961" s="50">
        <v>0</v>
      </c>
      <c r="G961" s="50">
        <v>0</v>
      </c>
      <c r="H961" s="50">
        <v>0</v>
      </c>
      <c r="I961" s="50">
        <v>0</v>
      </c>
      <c r="J961" s="50">
        <v>0</v>
      </c>
      <c r="K961" s="50">
        <v>0</v>
      </c>
      <c r="L961" s="50">
        <v>0</v>
      </c>
      <c r="M961" s="50">
        <v>0</v>
      </c>
      <c r="N961" s="50">
        <v>0</v>
      </c>
      <c r="O961" s="50">
        <v>0</v>
      </c>
      <c r="P961" s="50">
        <v>0</v>
      </c>
      <c r="Q961" s="50">
        <v>0</v>
      </c>
      <c r="R961" s="50">
        <v>0</v>
      </c>
    </row>
    <row r="962" spans="2:19" x14ac:dyDescent="0.3">
      <c r="B962" s="50" t="s">
        <v>21</v>
      </c>
      <c r="C962" s="50" t="s">
        <v>51</v>
      </c>
      <c r="D962" t="s">
        <v>66</v>
      </c>
      <c r="E962" s="50">
        <v>0</v>
      </c>
      <c r="F962" s="50">
        <v>0</v>
      </c>
      <c r="G962" s="50">
        <v>0</v>
      </c>
      <c r="H962" s="50">
        <v>0</v>
      </c>
      <c r="I962" s="50">
        <v>0</v>
      </c>
      <c r="J962" s="50">
        <v>0</v>
      </c>
      <c r="K962" s="50">
        <v>0</v>
      </c>
      <c r="L962" s="50">
        <v>0</v>
      </c>
      <c r="M962" s="50">
        <v>0</v>
      </c>
      <c r="N962" s="50">
        <v>0</v>
      </c>
      <c r="O962" s="50">
        <v>0</v>
      </c>
      <c r="P962" s="50">
        <v>0</v>
      </c>
      <c r="Q962" s="50">
        <v>0</v>
      </c>
      <c r="R962" s="50">
        <v>0</v>
      </c>
    </row>
    <row r="963" spans="2:19" x14ac:dyDescent="0.3">
      <c r="B963" s="50" t="s">
        <v>21</v>
      </c>
      <c r="C963" s="50" t="s">
        <v>51</v>
      </c>
      <c r="D963" t="s">
        <v>66</v>
      </c>
      <c r="E963" s="50">
        <v>1</v>
      </c>
      <c r="F963" s="50">
        <v>0</v>
      </c>
      <c r="G963" s="50">
        <v>0</v>
      </c>
      <c r="H963" s="50">
        <v>0</v>
      </c>
      <c r="I963" s="50">
        <v>1</v>
      </c>
      <c r="J963" s="50">
        <v>0</v>
      </c>
      <c r="K963" s="50">
        <v>1</v>
      </c>
      <c r="L963" s="50">
        <v>0</v>
      </c>
      <c r="M963" s="50">
        <v>1</v>
      </c>
      <c r="N963" s="50">
        <v>0</v>
      </c>
      <c r="O963" s="50">
        <v>0</v>
      </c>
      <c r="P963" s="50">
        <v>0</v>
      </c>
      <c r="Q963" s="50">
        <v>0</v>
      </c>
      <c r="R963" s="50">
        <v>0</v>
      </c>
    </row>
    <row r="964" spans="2:19" x14ac:dyDescent="0.3">
      <c r="B964" s="50" t="s">
        <v>21</v>
      </c>
      <c r="C964" s="50" t="s">
        <v>51</v>
      </c>
      <c r="D964" t="s">
        <v>66</v>
      </c>
      <c r="E964" s="50">
        <v>0</v>
      </c>
      <c r="F964" s="50">
        <v>0</v>
      </c>
      <c r="G964" s="50">
        <v>0</v>
      </c>
      <c r="H964" s="50">
        <v>0</v>
      </c>
      <c r="I964" s="50">
        <v>0</v>
      </c>
      <c r="J964" s="50">
        <v>0</v>
      </c>
      <c r="K964" s="50">
        <v>0</v>
      </c>
      <c r="L964" s="50">
        <v>0</v>
      </c>
      <c r="M964" s="50">
        <v>0</v>
      </c>
      <c r="N964" s="50">
        <v>0</v>
      </c>
      <c r="O964" s="50">
        <v>0</v>
      </c>
      <c r="P964" s="50">
        <v>0</v>
      </c>
      <c r="Q964" s="50">
        <v>0</v>
      </c>
      <c r="R964" s="50">
        <v>0</v>
      </c>
    </row>
    <row r="965" spans="2:19" x14ac:dyDescent="0.3">
      <c r="B965" s="50" t="s">
        <v>21</v>
      </c>
      <c r="C965" s="50" t="s">
        <v>41</v>
      </c>
      <c r="D965" t="s">
        <v>66</v>
      </c>
      <c r="E965" s="50">
        <v>0</v>
      </c>
      <c r="F965" s="50">
        <v>0</v>
      </c>
      <c r="G965" s="50">
        <v>0</v>
      </c>
      <c r="H965" s="50">
        <v>0</v>
      </c>
      <c r="I965" s="50">
        <v>0</v>
      </c>
      <c r="J965" s="50">
        <v>0</v>
      </c>
      <c r="K965" s="50">
        <v>0</v>
      </c>
      <c r="L965" s="50">
        <v>0</v>
      </c>
      <c r="M965" s="50">
        <v>0</v>
      </c>
      <c r="N965" s="50">
        <v>0</v>
      </c>
      <c r="O965" s="50">
        <v>0</v>
      </c>
      <c r="P965" s="50">
        <v>0</v>
      </c>
      <c r="Q965" s="50">
        <v>0</v>
      </c>
      <c r="R965" s="50">
        <v>0</v>
      </c>
      <c r="S965" s="50" t="s">
        <v>128</v>
      </c>
    </row>
    <row r="966" spans="2:19" x14ac:dyDescent="0.3">
      <c r="B966" s="50" t="s">
        <v>21</v>
      </c>
      <c r="C966" s="50" t="s">
        <v>41</v>
      </c>
      <c r="D966" t="s">
        <v>66</v>
      </c>
      <c r="E966" s="50">
        <v>0</v>
      </c>
      <c r="F966" s="50">
        <v>0</v>
      </c>
      <c r="G966" s="50">
        <v>0</v>
      </c>
      <c r="H966" s="50">
        <v>0</v>
      </c>
      <c r="I966" s="50">
        <v>0</v>
      </c>
      <c r="J966" s="50">
        <v>0</v>
      </c>
      <c r="K966" s="50">
        <v>0</v>
      </c>
      <c r="L966" s="50">
        <v>0</v>
      </c>
      <c r="M966" s="50">
        <v>0</v>
      </c>
      <c r="N966" s="50">
        <v>0</v>
      </c>
      <c r="O966" s="50">
        <v>0</v>
      </c>
      <c r="P966" s="50">
        <v>0</v>
      </c>
      <c r="Q966" s="50">
        <v>0</v>
      </c>
      <c r="R966" s="50">
        <v>0</v>
      </c>
    </row>
    <row r="967" spans="2:19" x14ac:dyDescent="0.3">
      <c r="B967" s="50" t="s">
        <v>21</v>
      </c>
      <c r="C967" s="50" t="s">
        <v>22</v>
      </c>
      <c r="D967" t="s">
        <v>66</v>
      </c>
      <c r="E967" s="50">
        <v>1</v>
      </c>
      <c r="F967" s="50">
        <v>0</v>
      </c>
      <c r="G967" s="50">
        <v>0</v>
      </c>
      <c r="H967" s="50">
        <v>0</v>
      </c>
      <c r="I967" s="50">
        <v>0</v>
      </c>
      <c r="J967" s="50">
        <v>0</v>
      </c>
      <c r="K967" s="50">
        <v>0</v>
      </c>
      <c r="L967" s="50">
        <v>0</v>
      </c>
      <c r="M967" s="50">
        <v>0</v>
      </c>
      <c r="N967" s="50">
        <v>0</v>
      </c>
      <c r="O967" s="50">
        <v>0</v>
      </c>
      <c r="P967" s="50">
        <v>0</v>
      </c>
      <c r="Q967" s="50">
        <v>0</v>
      </c>
      <c r="R967" s="50">
        <v>0</v>
      </c>
      <c r="S967" s="50" t="s">
        <v>45</v>
      </c>
    </row>
    <row r="968" spans="2:19" x14ac:dyDescent="0.3">
      <c r="B968" s="50" t="s">
        <v>21</v>
      </c>
      <c r="C968" s="50" t="s">
        <v>46</v>
      </c>
      <c r="D968" t="s">
        <v>66</v>
      </c>
      <c r="E968" s="50">
        <v>0</v>
      </c>
      <c r="F968" s="50">
        <v>0</v>
      </c>
      <c r="G968" s="50">
        <v>0</v>
      </c>
      <c r="H968" s="50">
        <v>0</v>
      </c>
      <c r="I968" s="50">
        <v>0</v>
      </c>
      <c r="J968" s="50">
        <v>0</v>
      </c>
      <c r="K968" s="50">
        <v>0</v>
      </c>
      <c r="L968" s="50">
        <v>0</v>
      </c>
      <c r="M968" s="50">
        <v>0</v>
      </c>
      <c r="N968" s="50">
        <v>0</v>
      </c>
      <c r="O968" s="50">
        <v>0</v>
      </c>
      <c r="P968" s="50">
        <v>0</v>
      </c>
      <c r="Q968" s="50">
        <v>0</v>
      </c>
      <c r="R968" s="50">
        <v>0</v>
      </c>
    </row>
    <row r="969" spans="2:19" x14ac:dyDescent="0.3">
      <c r="B969" s="50" t="s">
        <v>21</v>
      </c>
      <c r="C969" s="50" t="s">
        <v>22</v>
      </c>
      <c r="D969" t="s">
        <v>66</v>
      </c>
      <c r="E969" s="50">
        <v>0</v>
      </c>
      <c r="F969" s="50">
        <v>0</v>
      </c>
      <c r="G969" s="50">
        <v>0</v>
      </c>
      <c r="H969" s="50">
        <v>0</v>
      </c>
      <c r="I969" s="50">
        <v>0</v>
      </c>
      <c r="J969" s="50">
        <v>0</v>
      </c>
      <c r="K969" s="50">
        <v>0</v>
      </c>
      <c r="L969" s="50">
        <v>0</v>
      </c>
      <c r="M969" s="50">
        <v>0</v>
      </c>
      <c r="N969" s="50">
        <v>0</v>
      </c>
      <c r="O969" s="50">
        <v>0</v>
      </c>
      <c r="P969" s="50">
        <v>0</v>
      </c>
      <c r="Q969" s="50">
        <v>0</v>
      </c>
      <c r="R969" s="50">
        <v>0</v>
      </c>
    </row>
    <row r="970" spans="2:19" x14ac:dyDescent="0.3">
      <c r="B970" s="50" t="s">
        <v>21</v>
      </c>
      <c r="C970" s="50" t="s">
        <v>48</v>
      </c>
      <c r="D970" t="s">
        <v>66</v>
      </c>
      <c r="E970" s="50">
        <v>0</v>
      </c>
      <c r="F970" s="50">
        <v>0</v>
      </c>
      <c r="G970" s="50">
        <v>0</v>
      </c>
      <c r="H970" s="50">
        <v>0</v>
      </c>
      <c r="I970" s="50">
        <v>0</v>
      </c>
      <c r="J970" s="50">
        <v>0</v>
      </c>
      <c r="K970" s="50">
        <v>0</v>
      </c>
      <c r="L970" s="50">
        <v>0</v>
      </c>
      <c r="M970" s="50">
        <v>0</v>
      </c>
      <c r="N970" s="50">
        <v>1</v>
      </c>
      <c r="O970" s="50">
        <v>0</v>
      </c>
      <c r="P970" s="50">
        <v>1</v>
      </c>
      <c r="Q970" s="50">
        <v>0</v>
      </c>
      <c r="R970" s="50">
        <v>0</v>
      </c>
    </row>
    <row r="971" spans="2:19" x14ac:dyDescent="0.3">
      <c r="B971" s="50" t="s">
        <v>21</v>
      </c>
      <c r="C971" s="50" t="s">
        <v>41</v>
      </c>
      <c r="D971" t="s">
        <v>66</v>
      </c>
      <c r="E971" s="50">
        <v>0</v>
      </c>
      <c r="F971" s="50">
        <v>0</v>
      </c>
      <c r="G971" s="50">
        <v>0</v>
      </c>
      <c r="H971" s="50">
        <v>0</v>
      </c>
      <c r="I971" s="50">
        <v>0</v>
      </c>
      <c r="J971" s="50">
        <v>0</v>
      </c>
      <c r="K971" s="50">
        <v>0</v>
      </c>
      <c r="L971" s="50">
        <v>0</v>
      </c>
      <c r="M971" s="50">
        <v>0</v>
      </c>
      <c r="N971" s="50">
        <v>0</v>
      </c>
      <c r="O971" s="50">
        <v>0</v>
      </c>
      <c r="P971" s="50">
        <v>0</v>
      </c>
      <c r="Q971" s="50">
        <v>0</v>
      </c>
      <c r="R971" s="50">
        <v>0</v>
      </c>
    </row>
    <row r="972" spans="2:19" x14ac:dyDescent="0.3">
      <c r="B972" s="50" t="s">
        <v>21</v>
      </c>
      <c r="C972" s="50" t="s">
        <v>46</v>
      </c>
      <c r="D972" t="s">
        <v>66</v>
      </c>
      <c r="E972" s="50">
        <v>0</v>
      </c>
      <c r="F972" s="50">
        <v>0</v>
      </c>
      <c r="G972" s="50">
        <v>0</v>
      </c>
      <c r="H972" s="50">
        <v>0</v>
      </c>
      <c r="I972" s="50">
        <v>0</v>
      </c>
      <c r="J972" s="50">
        <v>0</v>
      </c>
      <c r="K972" s="50">
        <v>0</v>
      </c>
      <c r="L972" s="50">
        <v>0</v>
      </c>
      <c r="M972" s="50">
        <v>0</v>
      </c>
      <c r="N972" s="50">
        <v>0</v>
      </c>
      <c r="O972" s="50">
        <v>0</v>
      </c>
      <c r="P972" s="50">
        <v>0</v>
      </c>
      <c r="Q972" s="50">
        <v>0</v>
      </c>
      <c r="R972" s="50">
        <v>0</v>
      </c>
    </row>
    <row r="973" spans="2:19" x14ac:dyDescent="0.3">
      <c r="B973" s="50" t="s">
        <v>21</v>
      </c>
      <c r="C973" s="50" t="s">
        <v>46</v>
      </c>
      <c r="D973" t="s">
        <v>66</v>
      </c>
      <c r="E973" s="50">
        <v>0</v>
      </c>
      <c r="F973" s="50">
        <v>0</v>
      </c>
      <c r="G973" s="50">
        <v>0</v>
      </c>
      <c r="H973" s="50">
        <v>0</v>
      </c>
      <c r="I973" s="50">
        <v>0</v>
      </c>
      <c r="J973" s="50">
        <v>1</v>
      </c>
      <c r="K973" s="50">
        <v>0</v>
      </c>
      <c r="L973" s="50">
        <v>0</v>
      </c>
      <c r="M973" s="50">
        <v>1</v>
      </c>
      <c r="N973" s="50">
        <v>0</v>
      </c>
      <c r="O973" s="50">
        <v>0</v>
      </c>
      <c r="P973" s="50">
        <v>0</v>
      </c>
      <c r="Q973" s="50">
        <v>0</v>
      </c>
      <c r="R973" s="50">
        <v>0</v>
      </c>
    </row>
    <row r="974" spans="2:19" x14ac:dyDescent="0.3">
      <c r="B974" s="50" t="s">
        <v>21</v>
      </c>
      <c r="C974" s="50" t="s">
        <v>51</v>
      </c>
      <c r="D974" t="s">
        <v>66</v>
      </c>
      <c r="E974" s="50">
        <v>0</v>
      </c>
      <c r="F974" s="50">
        <v>0</v>
      </c>
      <c r="G974" s="50">
        <v>0</v>
      </c>
      <c r="H974" s="50">
        <v>0</v>
      </c>
      <c r="I974" s="50">
        <v>0</v>
      </c>
      <c r="J974" s="50">
        <v>0</v>
      </c>
      <c r="K974" s="50">
        <v>0</v>
      </c>
      <c r="L974" s="50">
        <v>0</v>
      </c>
      <c r="M974" s="50">
        <v>0</v>
      </c>
      <c r="N974" s="50">
        <v>0</v>
      </c>
      <c r="O974" s="50">
        <v>0</v>
      </c>
      <c r="P974" s="50">
        <v>0</v>
      </c>
      <c r="Q974" s="50">
        <v>0</v>
      </c>
      <c r="R974" s="50">
        <v>0</v>
      </c>
      <c r="S974" s="50" t="s">
        <v>97</v>
      </c>
    </row>
    <row r="975" spans="2:19" x14ac:dyDescent="0.3">
      <c r="B975" s="50" t="s">
        <v>21</v>
      </c>
      <c r="C975" s="50" t="s">
        <v>41</v>
      </c>
      <c r="D975" t="s">
        <v>66</v>
      </c>
      <c r="E975" s="50">
        <v>1</v>
      </c>
      <c r="F975" s="50">
        <v>0</v>
      </c>
      <c r="G975" s="50">
        <v>0</v>
      </c>
      <c r="H975" s="50">
        <v>0</v>
      </c>
      <c r="I975" s="50">
        <v>0</v>
      </c>
      <c r="J975" s="50">
        <v>0</v>
      </c>
      <c r="K975" s="50">
        <v>1</v>
      </c>
      <c r="L975" s="50">
        <v>0</v>
      </c>
      <c r="M975" s="50">
        <v>0</v>
      </c>
      <c r="N975" s="50">
        <v>0</v>
      </c>
      <c r="O975" s="50">
        <v>0</v>
      </c>
      <c r="P975" s="50">
        <v>0</v>
      </c>
      <c r="Q975" s="50">
        <v>0</v>
      </c>
      <c r="R975" s="50">
        <v>0</v>
      </c>
    </row>
    <row r="976" spans="2:19" x14ac:dyDescent="0.3">
      <c r="B976" s="50" t="s">
        <v>21</v>
      </c>
      <c r="C976" s="50" t="s">
        <v>46</v>
      </c>
      <c r="D976" t="s">
        <v>66</v>
      </c>
      <c r="E976" s="50">
        <v>0</v>
      </c>
      <c r="F976" s="50">
        <v>0</v>
      </c>
      <c r="G976" s="50">
        <v>0</v>
      </c>
      <c r="H976" s="50">
        <v>0</v>
      </c>
      <c r="I976" s="50">
        <v>0</v>
      </c>
      <c r="J976" s="50">
        <v>0</v>
      </c>
      <c r="K976" s="50">
        <v>0</v>
      </c>
      <c r="L976" s="50">
        <v>0</v>
      </c>
      <c r="M976" s="50">
        <v>0</v>
      </c>
      <c r="N976" s="50">
        <v>0</v>
      </c>
      <c r="O976" s="50">
        <v>0</v>
      </c>
      <c r="P976" s="50">
        <v>0</v>
      </c>
      <c r="Q976" s="50">
        <v>0</v>
      </c>
      <c r="R976" s="50">
        <v>0</v>
      </c>
      <c r="S976" s="50" t="s">
        <v>97</v>
      </c>
    </row>
    <row r="977" spans="2:19" x14ac:dyDescent="0.3">
      <c r="B977" s="50" t="s">
        <v>21</v>
      </c>
      <c r="C977" s="50" t="s">
        <v>41</v>
      </c>
      <c r="D977" t="s">
        <v>66</v>
      </c>
      <c r="E977" s="50">
        <v>0</v>
      </c>
      <c r="F977" s="50">
        <v>0</v>
      </c>
      <c r="G977" s="50">
        <v>0</v>
      </c>
      <c r="H977" s="50">
        <v>0</v>
      </c>
      <c r="I977" s="50">
        <v>0</v>
      </c>
      <c r="J977" s="50">
        <v>0</v>
      </c>
      <c r="K977" s="50">
        <v>0</v>
      </c>
      <c r="L977" s="50">
        <v>0</v>
      </c>
      <c r="M977" s="50">
        <v>0</v>
      </c>
      <c r="N977" s="50">
        <v>0</v>
      </c>
      <c r="O977" s="50">
        <v>0</v>
      </c>
      <c r="P977" s="50">
        <v>0</v>
      </c>
      <c r="Q977" s="50">
        <v>0</v>
      </c>
      <c r="R977" s="50">
        <v>0</v>
      </c>
      <c r="S977" s="50" t="s">
        <v>97</v>
      </c>
    </row>
    <row r="978" spans="2:19" x14ac:dyDescent="0.3">
      <c r="B978" s="50" t="s">
        <v>21</v>
      </c>
      <c r="C978" s="50" t="s">
        <v>46</v>
      </c>
      <c r="D978" t="s">
        <v>66</v>
      </c>
      <c r="E978" s="50">
        <v>0</v>
      </c>
      <c r="F978" s="50">
        <v>0</v>
      </c>
      <c r="G978" s="50">
        <v>0</v>
      </c>
      <c r="H978" s="50">
        <v>0</v>
      </c>
      <c r="I978" s="50">
        <v>0</v>
      </c>
      <c r="J978" s="50">
        <v>0</v>
      </c>
      <c r="K978" s="50">
        <v>0</v>
      </c>
      <c r="L978" s="50">
        <v>0</v>
      </c>
      <c r="M978" s="50">
        <v>0</v>
      </c>
      <c r="N978" s="50">
        <v>0</v>
      </c>
      <c r="O978" s="50">
        <v>0</v>
      </c>
      <c r="P978" s="50">
        <v>0</v>
      </c>
      <c r="Q978" s="50">
        <v>0</v>
      </c>
      <c r="R978" s="50">
        <v>0</v>
      </c>
    </row>
    <row r="979" spans="2:19" x14ac:dyDescent="0.3">
      <c r="B979" s="50" t="s">
        <v>21</v>
      </c>
      <c r="C979" s="50" t="s">
        <v>51</v>
      </c>
      <c r="D979" t="s">
        <v>66</v>
      </c>
      <c r="E979" s="50">
        <v>0</v>
      </c>
      <c r="F979" s="50">
        <v>0</v>
      </c>
      <c r="G979" s="50">
        <v>0</v>
      </c>
      <c r="H979" s="50">
        <v>0</v>
      </c>
      <c r="I979" s="50">
        <v>0</v>
      </c>
      <c r="J979" s="50">
        <v>0</v>
      </c>
      <c r="K979" s="50">
        <v>0</v>
      </c>
      <c r="L979" s="50">
        <v>0</v>
      </c>
      <c r="M979" s="50">
        <v>0</v>
      </c>
      <c r="N979" s="50">
        <v>0</v>
      </c>
      <c r="O979" s="50">
        <v>0</v>
      </c>
      <c r="P979" s="50">
        <v>0</v>
      </c>
      <c r="Q979" s="50">
        <v>0</v>
      </c>
      <c r="R979" s="50">
        <v>0</v>
      </c>
      <c r="S979" s="50" t="s">
        <v>138</v>
      </c>
    </row>
    <row r="980" spans="2:19" x14ac:dyDescent="0.3">
      <c r="B980" s="50" t="s">
        <v>21</v>
      </c>
      <c r="C980" s="50" t="s">
        <v>46</v>
      </c>
      <c r="D980" t="s">
        <v>66</v>
      </c>
      <c r="E980" s="50">
        <v>0</v>
      </c>
      <c r="F980" s="50">
        <v>0</v>
      </c>
      <c r="G980" s="50">
        <v>0</v>
      </c>
      <c r="H980" s="50">
        <v>0</v>
      </c>
      <c r="I980" s="50">
        <v>0</v>
      </c>
      <c r="J980" s="50">
        <v>0</v>
      </c>
      <c r="K980" s="50">
        <v>0</v>
      </c>
      <c r="L980" s="50">
        <v>0</v>
      </c>
      <c r="M980" s="50">
        <v>0</v>
      </c>
      <c r="N980" s="50">
        <v>0</v>
      </c>
      <c r="O980" s="50">
        <v>0</v>
      </c>
      <c r="P980" s="50">
        <v>0</v>
      </c>
      <c r="Q980" s="50">
        <v>0</v>
      </c>
      <c r="R980" s="50">
        <v>0</v>
      </c>
    </row>
    <row r="981" spans="2:19" x14ac:dyDescent="0.3">
      <c r="B981" s="50" t="s">
        <v>21</v>
      </c>
      <c r="C981" s="50" t="s">
        <v>51</v>
      </c>
      <c r="D981" t="s">
        <v>66</v>
      </c>
      <c r="E981" s="50">
        <v>0</v>
      </c>
      <c r="F981" s="50">
        <v>0</v>
      </c>
      <c r="G981" s="50">
        <v>0</v>
      </c>
      <c r="H981" s="50">
        <v>0</v>
      </c>
      <c r="I981" s="50">
        <v>0</v>
      </c>
      <c r="J981" s="50">
        <v>0</v>
      </c>
      <c r="K981" s="50">
        <v>0</v>
      </c>
      <c r="L981" s="50">
        <v>0</v>
      </c>
      <c r="M981" s="50">
        <v>0</v>
      </c>
      <c r="N981" s="50">
        <v>0</v>
      </c>
      <c r="O981" s="50">
        <v>0</v>
      </c>
      <c r="P981" s="50">
        <v>0</v>
      </c>
      <c r="Q981" s="50">
        <v>0</v>
      </c>
      <c r="R981" s="50">
        <v>0</v>
      </c>
    </row>
  </sheetData>
  <pageMargins left="0.7" right="0.7" top="0.75" bottom="0.75" header="0.3" footer="0.3"/>
  <pageSetup scale="10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2020-10-15T17:21:56Z</cp:lastPrinted>
  <dcterms:created xsi:type="dcterms:W3CDTF">2020-01-22T21:37:45Z</dcterms:created>
  <dcterms:modified xsi:type="dcterms:W3CDTF">2020-10-15T19:11:09Z</dcterms:modified>
</cp:coreProperties>
</file>