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kinda\PycharmProjects\THURSDAY\venv\"/>
    </mc:Choice>
  </mc:AlternateContent>
  <xr:revisionPtr revIDLastSave="0" documentId="13_ncr:1_{D600C7F6-3717-4E25-90FB-50F54C349540}" xr6:coauthVersionLast="45" xr6:coauthVersionMax="45" xr10:uidLastSave="{00000000-0000-0000-0000-000000000000}"/>
  <bookViews>
    <workbookView xWindow="-120" yWindow="-120" windowWidth="29040" windowHeight="15840" tabRatio="684" activeTab="2" xr2:uid="{00000000-000D-0000-FFFF-FFFF00000000}"/>
  </bookViews>
  <sheets>
    <sheet name="ShipRep_VIP" sheetId="5" r:id="rId1"/>
    <sheet name="ShipRep_GF" sheetId="2" r:id="rId2"/>
    <sheet name="ShipRep_REG" sheetId="1" r:id="rId3"/>
    <sheet name="VIP_LIST" sheetId="6" r:id="rId4"/>
    <sheet name="GF_LIST" sheetId="3" r:id="rId5"/>
    <sheet name="REG_LIST" sheetId="4" r:id="rId6"/>
    <sheet name="VIP.GF_ADDONS" sheetId="8" r:id="rId7"/>
    <sheet name="REG_ADDONS" sheetId="9" r:id="rId8"/>
    <sheet name="TOTAL_NUMBER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4" i="10" l="1"/>
  <c r="AK13" i="10"/>
  <c r="AK12" i="10"/>
  <c r="AK11" i="10"/>
  <c r="AK10" i="10"/>
  <c r="AK7" i="10"/>
  <c r="AK6" i="10"/>
  <c r="AK5" i="10"/>
  <c r="AK4" i="10"/>
  <c r="AK3" i="10"/>
  <c r="AJ14" i="10"/>
  <c r="AJ13" i="10"/>
  <c r="AJ12" i="10"/>
  <c r="AJ11" i="10"/>
  <c r="AJ10" i="10"/>
  <c r="AJ7" i="10"/>
  <c r="AJ6" i="10"/>
  <c r="AJ5" i="10"/>
  <c r="AJ4" i="10"/>
  <c r="AJ3" i="10"/>
  <c r="AI14" i="10"/>
  <c r="AI13" i="10"/>
  <c r="AI12" i="10"/>
  <c r="AI11" i="10"/>
  <c r="AI10" i="10"/>
  <c r="AI7" i="10"/>
  <c r="AI6" i="10"/>
  <c r="AI5" i="10"/>
  <c r="AI4" i="10"/>
  <c r="AI3" i="10"/>
  <c r="AP14" i="10"/>
  <c r="AP13" i="10"/>
  <c r="AP12" i="10"/>
  <c r="AP11" i="10"/>
  <c r="AP10" i="10"/>
  <c r="AP7" i="10"/>
  <c r="AP6" i="10"/>
  <c r="AP5" i="10"/>
  <c r="AP4" i="10"/>
  <c r="AP3" i="10"/>
  <c r="AN14" i="10"/>
  <c r="AN13" i="10"/>
  <c r="AN12" i="10"/>
  <c r="AN11" i="10"/>
  <c r="AN10" i="10"/>
  <c r="AN7" i="10"/>
  <c r="AN6" i="10"/>
  <c r="AN5" i="10"/>
  <c r="AN4" i="10"/>
  <c r="AN3" i="10"/>
  <c r="AM14" i="10"/>
  <c r="AM13" i="10"/>
  <c r="AM12" i="10"/>
  <c r="AM11" i="10"/>
  <c r="AM10" i="10"/>
  <c r="AM7" i="10"/>
  <c r="AM6" i="10"/>
  <c r="AM5" i="10"/>
  <c r="AM4" i="10"/>
  <c r="AM3" i="10"/>
  <c r="AL14" i="10"/>
  <c r="AL13" i="10"/>
  <c r="AL12" i="10"/>
  <c r="AL11" i="10"/>
  <c r="AL10" i="10"/>
  <c r="AL7" i="10"/>
  <c r="AL6" i="10"/>
  <c r="AL5" i="10"/>
  <c r="AL4" i="10"/>
  <c r="AL3" i="10"/>
  <c r="AR14" i="10"/>
  <c r="AR13" i="10"/>
  <c r="AR12" i="10"/>
  <c r="AR11" i="10"/>
  <c r="AR10" i="10"/>
  <c r="AR7" i="10"/>
  <c r="AR6" i="10"/>
  <c r="AR5" i="10"/>
  <c r="AR4" i="10"/>
  <c r="AR3" i="10"/>
  <c r="AR8" i="10" s="1"/>
  <c r="AH3" i="10"/>
  <c r="AP15" i="10"/>
  <c r="AO3" i="10" l="1"/>
  <c r="F26" i="6"/>
  <c r="F2" i="6"/>
  <c r="O52" i="6" l="1"/>
  <c r="O42" i="6"/>
  <c r="AD17" i="10" l="1"/>
  <c r="AH14" i="10" l="1"/>
  <c r="AG14" i="10"/>
  <c r="AF14" i="10"/>
  <c r="AE14" i="10"/>
  <c r="AD14" i="10"/>
  <c r="AH13" i="10"/>
  <c r="AG13" i="10"/>
  <c r="AF13" i="10"/>
  <c r="AE13" i="10"/>
  <c r="AD13" i="10"/>
  <c r="AH12" i="10"/>
  <c r="AG12" i="10"/>
  <c r="AF12" i="10"/>
  <c r="AE12" i="10"/>
  <c r="AD12" i="10"/>
  <c r="AH11" i="10"/>
  <c r="AG11" i="10"/>
  <c r="AF11" i="10"/>
  <c r="AE11" i="10"/>
  <c r="AD11" i="10"/>
  <c r="AH10" i="10"/>
  <c r="AG10" i="10"/>
  <c r="AF10" i="10"/>
  <c r="AE10" i="10"/>
  <c r="AD10" i="10"/>
  <c r="AH7" i="10"/>
  <c r="AG7" i="10"/>
  <c r="AF7" i="10"/>
  <c r="AE7" i="10"/>
  <c r="AD7" i="10"/>
  <c r="AH6" i="10"/>
  <c r="AG6" i="10"/>
  <c r="AF6" i="10"/>
  <c r="AE6" i="10"/>
  <c r="AD6" i="10"/>
  <c r="AH5" i="10"/>
  <c r="AG5" i="10"/>
  <c r="AF5" i="10"/>
  <c r="AE5" i="10"/>
  <c r="AD5" i="10"/>
  <c r="AH4" i="10"/>
  <c r="AG4" i="10"/>
  <c r="AF4" i="10"/>
  <c r="AE4" i="10"/>
  <c r="AG3" i="10"/>
  <c r="AF3" i="10"/>
  <c r="AE3" i="10"/>
  <c r="AD4" i="10"/>
  <c r="AD3" i="10"/>
  <c r="AD29" i="10"/>
  <c r="AD34" i="10"/>
  <c r="AD33" i="10"/>
  <c r="AD32" i="10"/>
  <c r="AD31" i="10"/>
  <c r="AD30" i="10"/>
  <c r="AD28" i="10"/>
  <c r="AD27" i="10"/>
  <c r="AD26" i="10"/>
  <c r="AD25" i="10"/>
  <c r="AD24" i="10"/>
  <c r="AD23" i="10"/>
  <c r="AD22" i="10"/>
  <c r="AD21" i="10"/>
  <c r="AD20" i="10"/>
  <c r="AD19" i="10"/>
  <c r="AI35" i="10"/>
  <c r="AI34" i="10"/>
  <c r="AI33" i="10"/>
  <c r="AI32" i="10"/>
  <c r="AI31" i="10"/>
  <c r="AI30" i="10"/>
  <c r="AI29" i="10"/>
  <c r="AI25" i="10"/>
  <c r="AI24" i="10"/>
  <c r="AI23" i="10"/>
  <c r="AI22" i="10"/>
  <c r="AI21" i="10"/>
  <c r="AI20" i="10"/>
  <c r="AI19" i="10"/>
  <c r="AO10" i="10"/>
  <c r="AO4" i="10" l="1"/>
  <c r="AP20" i="10" s="1"/>
  <c r="AI36" i="10"/>
  <c r="AO6" i="10"/>
  <c r="AP22" i="10" s="1"/>
  <c r="AI26" i="10"/>
  <c r="AD16" i="10"/>
  <c r="AH16" i="10"/>
  <c r="AR16" i="10"/>
  <c r="AN22" i="10"/>
  <c r="AN27" i="10"/>
  <c r="AO28" i="10"/>
  <c r="AD18" i="10"/>
  <c r="AO7" i="10"/>
  <c r="AP23" i="10" s="1"/>
  <c r="AM15" i="10"/>
  <c r="AG15" i="10"/>
  <c r="AK15" i="10"/>
  <c r="AN8" i="10"/>
  <c r="AO19" i="10"/>
  <c r="AO5" i="10"/>
  <c r="AP21" i="10" s="1"/>
  <c r="AO22" i="10"/>
  <c r="AF15" i="10"/>
  <c r="AE16" i="10"/>
  <c r="AI16" i="10"/>
  <c r="AM16" i="10"/>
  <c r="AO20" i="10"/>
  <c r="AN23" i="10"/>
  <c r="AO13" i="10"/>
  <c r="AP29" i="10" s="1"/>
  <c r="AN28" i="10"/>
  <c r="AO14" i="10"/>
  <c r="AP30" i="10" s="1"/>
  <c r="AO12" i="10"/>
  <c r="AP28" i="10" s="1"/>
  <c r="AN30" i="10"/>
  <c r="AJ8" i="10"/>
  <c r="AN20" i="10"/>
  <c r="AO21" i="10"/>
  <c r="AE15" i="10"/>
  <c r="AF8" i="10"/>
  <c r="AG8" i="10"/>
  <c r="AK8" i="10"/>
  <c r="AP16" i="10"/>
  <c r="AN21" i="10"/>
  <c r="AO29" i="10"/>
  <c r="AO23" i="10"/>
  <c r="AJ15" i="10"/>
  <c r="AN15" i="10"/>
  <c r="AD15" i="10"/>
  <c r="AH15" i="10"/>
  <c r="AO27" i="10"/>
  <c r="AO11" i="10"/>
  <c r="AP27" i="10" s="1"/>
  <c r="AN29" i="10"/>
  <c r="AO30" i="10"/>
  <c r="AD8" i="10"/>
  <c r="AH8" i="10"/>
  <c r="AL8" i="10"/>
  <c r="AP8" i="10"/>
  <c r="AL15" i="10"/>
  <c r="AF16" i="10"/>
  <c r="AJ16" i="10"/>
  <c r="AN16" i="10"/>
  <c r="AN26" i="10"/>
  <c r="AE8" i="10"/>
  <c r="AI8" i="10"/>
  <c r="AM8" i="10"/>
  <c r="AI15" i="10"/>
  <c r="AR15" i="10"/>
  <c r="AG16" i="10"/>
  <c r="AK16" i="10"/>
  <c r="AN19" i="10"/>
  <c r="AO26" i="10"/>
  <c r="AL16" i="10"/>
  <c r="AP26" i="10"/>
  <c r="AN31" i="10" l="1"/>
  <c r="AP31" i="10"/>
  <c r="AO24" i="10"/>
  <c r="AO31" i="10"/>
  <c r="AO15" i="10"/>
  <c r="AN24" i="10"/>
  <c r="AN32" i="10"/>
  <c r="AO32" i="10"/>
  <c r="AP19" i="10"/>
  <c r="AO8" i="10"/>
  <c r="AO16" i="10"/>
  <c r="AP32" i="10" l="1"/>
  <c r="AP24" i="10"/>
  <c r="F2" i="4" l="1"/>
  <c r="F2" i="3"/>
</calcChain>
</file>

<file path=xl/sharedStrings.xml><?xml version="1.0" encoding="utf-8"?>
<sst xmlns="http://schemas.openxmlformats.org/spreadsheetml/2006/main" count="6572" uniqueCount="1330">
  <si>
    <t>Name</t>
  </si>
  <si>
    <t>Gluten Free</t>
  </si>
  <si>
    <t>Meal Type</t>
  </si>
  <si>
    <t>Reference</t>
  </si>
  <si>
    <t>Reference2</t>
  </si>
  <si>
    <t>Number of Smoothies</t>
  </si>
  <si>
    <t>Smoothies</t>
  </si>
  <si>
    <t>Number of Cookies</t>
  </si>
  <si>
    <t>Cookies</t>
  </si>
  <si>
    <t>Internal Reference</t>
  </si>
  <si>
    <t>Delivery Route</t>
  </si>
  <si>
    <t>Santa Monica</t>
  </si>
  <si>
    <t>Valley</t>
  </si>
  <si>
    <t>Hollywood</t>
  </si>
  <si>
    <t>Beverly Hills</t>
  </si>
  <si>
    <t>Pasadena</t>
  </si>
  <si>
    <t>Orange County</t>
  </si>
  <si>
    <t>Los Angeles</t>
  </si>
  <si>
    <t>chip_gf</t>
  </si>
  <si>
    <t>Long Beach</t>
  </si>
  <si>
    <t>break_gf</t>
  </si>
  <si>
    <t>Brentwood</t>
  </si>
  <si>
    <t>Green</t>
  </si>
  <si>
    <t>Blue</t>
  </si>
  <si>
    <t>Boost</t>
  </si>
  <si>
    <t>Bigred</t>
  </si>
  <si>
    <t>chip</t>
  </si>
  <si>
    <t>Vitc</t>
  </si>
  <si>
    <t>or</t>
  </si>
  <si>
    <t>PBJ</t>
  </si>
  <si>
    <t>sugar</t>
  </si>
  <si>
    <t>ALPHA</t>
  </si>
  <si>
    <t>Alpha</t>
  </si>
  <si>
    <t>BAG</t>
  </si>
  <si>
    <t>BOX</t>
  </si>
  <si>
    <t>VIP</t>
  </si>
  <si>
    <t>Antiox</t>
  </si>
  <si>
    <t xml:space="preserve">VIP </t>
  </si>
  <si>
    <t>sugar_gf</t>
  </si>
  <si>
    <t>or_gf</t>
  </si>
  <si>
    <t>GLUTEN FREE PACK LIST</t>
  </si>
  <si>
    <t xml:space="preserve">GLUTEN FREE </t>
  </si>
  <si>
    <t>KIDS</t>
  </si>
  <si>
    <t>CONTENTS</t>
  </si>
  <si>
    <t>2 DAY SHIPPING</t>
  </si>
  <si>
    <t xml:space="preserve">SUB PACK LIST </t>
  </si>
  <si>
    <t>SUBs</t>
  </si>
  <si>
    <t>C</t>
  </si>
  <si>
    <t>COOKIES</t>
  </si>
  <si>
    <t>#</t>
  </si>
  <si>
    <t>NAME</t>
  </si>
  <si>
    <t>SMOOTHIE</t>
  </si>
  <si>
    <t>Anti</t>
  </si>
  <si>
    <t>RED</t>
  </si>
  <si>
    <t>COOKIE</t>
  </si>
  <si>
    <t>Break</t>
  </si>
  <si>
    <t>Chip</t>
  </si>
  <si>
    <t>ChipGF</t>
  </si>
  <si>
    <t>Oat</t>
  </si>
  <si>
    <t>oatGF</t>
  </si>
  <si>
    <t>Sugar</t>
  </si>
  <si>
    <t>sugarGF</t>
  </si>
  <si>
    <t>SUB SMOOTHIE PACK LIST</t>
  </si>
  <si>
    <t>SUB SMOOTHIES</t>
  </si>
  <si>
    <t xml:space="preserve"> Size</t>
  </si>
  <si>
    <t>B-Tacos</t>
  </si>
  <si>
    <t>T-Tacos</t>
  </si>
  <si>
    <t>V-Tacos</t>
  </si>
  <si>
    <t>B-Burg</t>
  </si>
  <si>
    <t>T-Burg</t>
  </si>
  <si>
    <t>V-Burg</t>
  </si>
  <si>
    <t>Pizza</t>
  </si>
  <si>
    <t>V-Pizza</t>
  </si>
  <si>
    <t>reg total=</t>
  </si>
  <si>
    <t>GF</t>
  </si>
  <si>
    <t>gf total =</t>
  </si>
  <si>
    <t>TOTAL</t>
  </si>
  <si>
    <t>Taco TOTAL</t>
  </si>
  <si>
    <t>Burg TOTAL</t>
  </si>
  <si>
    <t>Size</t>
  </si>
  <si>
    <t>Smoothie</t>
  </si>
  <si>
    <t># of Orders</t>
  </si>
  <si>
    <t>BIG RED</t>
  </si>
  <si>
    <t>VIT C</t>
  </si>
  <si>
    <t>BAGS</t>
  </si>
  <si>
    <t>Total</t>
  </si>
  <si>
    <t>Manhattan beach</t>
  </si>
  <si>
    <t>woodland hills</t>
  </si>
  <si>
    <t>BREAKGF</t>
  </si>
  <si>
    <t>Studio city</t>
  </si>
  <si>
    <t>CHIP</t>
  </si>
  <si>
    <t>CHIPGF</t>
  </si>
  <si>
    <t>culver city</t>
  </si>
  <si>
    <t>OR</t>
  </si>
  <si>
    <t>ORGF</t>
  </si>
  <si>
    <t>SUGAR</t>
  </si>
  <si>
    <t>SUGARGF</t>
  </si>
  <si>
    <t>Meals</t>
  </si>
  <si>
    <t>Column1</t>
  </si>
  <si>
    <t>Pizza2</t>
  </si>
  <si>
    <t>Studio city 2</t>
  </si>
  <si>
    <t>Valley 2</t>
  </si>
  <si>
    <t xml:space="preserve">ICE </t>
  </si>
  <si>
    <t>PACKLIST NUMBERS:</t>
  </si>
  <si>
    <t>PACK LIST Pt. I</t>
  </si>
  <si>
    <t>2 DAY ICE</t>
  </si>
  <si>
    <t>VIP SMOOTHIES</t>
  </si>
  <si>
    <t>TTL # of</t>
  </si>
  <si>
    <t>V1</t>
  </si>
  <si>
    <t>V2</t>
  </si>
  <si>
    <t>V3</t>
  </si>
  <si>
    <t>V4</t>
  </si>
  <si>
    <t>V5</t>
  </si>
  <si>
    <t>MEAL COUNT</t>
  </si>
  <si>
    <t>SMOOTHIE COUNT</t>
  </si>
  <si>
    <t>ANTIOXIDANT</t>
  </si>
  <si>
    <t>BLUE CHIA</t>
  </si>
  <si>
    <t>IMMUNITY BOOSTER</t>
  </si>
  <si>
    <t>BRIGHT GREEN</t>
  </si>
  <si>
    <t>PB&amp;J</t>
  </si>
  <si>
    <t>B-BURG</t>
  </si>
  <si>
    <t>T-BURG</t>
  </si>
  <si>
    <t>V-BURG</t>
  </si>
  <si>
    <t>B-TACOS</t>
  </si>
  <si>
    <t>COOKIE COUNT</t>
  </si>
  <si>
    <t>T-TACOS</t>
  </si>
  <si>
    <t>BREAKFAST</t>
  </si>
  <si>
    <t>V-TACOS</t>
  </si>
  <si>
    <t>CHOCOLATE CHIP</t>
  </si>
  <si>
    <t>PIZZA</t>
  </si>
  <si>
    <t>CHOCOLATE CHIP - GF</t>
  </si>
  <si>
    <t>V-PIZZA</t>
  </si>
  <si>
    <t>OATMEAL RAISIN</t>
  </si>
  <si>
    <t>TOTAL ORDERS =</t>
  </si>
  <si>
    <t>OATMEAL RAISIN - GF</t>
  </si>
  <si>
    <t xml:space="preserve">BAGS = </t>
  </si>
  <si>
    <t xml:space="preserve">2 Day Ice = </t>
  </si>
  <si>
    <t>SUGAR - GF</t>
  </si>
  <si>
    <t>CA</t>
  </si>
  <si>
    <t>NV</t>
  </si>
  <si>
    <t>TX</t>
  </si>
  <si>
    <t>WA</t>
  </si>
  <si>
    <t>AZ</t>
  </si>
  <si>
    <t>CO</t>
  </si>
  <si>
    <t>UT</t>
  </si>
  <si>
    <t>ID</t>
  </si>
  <si>
    <t>Column2</t>
  </si>
  <si>
    <t>TEAL</t>
  </si>
  <si>
    <t>GREEN</t>
  </si>
  <si>
    <t>YELLOW</t>
  </si>
  <si>
    <t>BLUE</t>
  </si>
  <si>
    <t>Kelly Etter</t>
  </si>
  <si>
    <t>X</t>
  </si>
  <si>
    <t>omni</t>
  </si>
  <si>
    <t>2</t>
  </si>
  <si>
    <t>Pamela Tognoli</t>
  </si>
  <si>
    <t>sub</t>
  </si>
  <si>
    <t>0</t>
  </si>
  <si>
    <t>2 Day</t>
  </si>
  <si>
    <t>Rod Nelson</t>
  </si>
  <si>
    <t>4</t>
  </si>
  <si>
    <t>Patty Joy</t>
  </si>
  <si>
    <t>Mid-City</t>
  </si>
  <si>
    <t>Marisa Couron</t>
  </si>
  <si>
    <t>Catherine McCord</t>
  </si>
  <si>
    <t>Los Angeles 04</t>
  </si>
  <si>
    <t>mary burke</t>
  </si>
  <si>
    <t>JD Cho</t>
  </si>
  <si>
    <t>Gabriel Othman</t>
  </si>
  <si>
    <t>Mitzi Goldman</t>
  </si>
  <si>
    <t>1</t>
  </si>
  <si>
    <t>Meghan Burchard</t>
  </si>
  <si>
    <t>Crystal Ziebarth</t>
  </si>
  <si>
    <t>Will Eskew</t>
  </si>
  <si>
    <t>Leave the box ON THE DOOR MAT Chris Lord</t>
  </si>
  <si>
    <t>veg</t>
  </si>
  <si>
    <t>Sarah Smith</t>
  </si>
  <si>
    <t>BRENDA FREEDMAN</t>
  </si>
  <si>
    <t>PBJ,Blue,Antiox</t>
  </si>
  <si>
    <t>Green,Green</t>
  </si>
  <si>
    <t>Studio City</t>
  </si>
  <si>
    <t>Christine Nitzsche</t>
  </si>
  <si>
    <t>chip,chip</t>
  </si>
  <si>
    <t>A</t>
  </si>
  <si>
    <t>B</t>
  </si>
  <si>
    <t>G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</si>
  <si>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</si>
  <si>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</si>
  <si>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</si>
  <si>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</si>
  <si>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</si>
  <si>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</si>
  <si>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</si>
  <si>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</si>
  <si>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</si>
  <si>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</si>
  <si>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</si>
  <si>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</si>
  <si>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</si>
  <si>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</si>
  <si>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</si>
  <si>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</si>
  <si>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</si>
  <si>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Amy  Zoller</t>
  </si>
  <si>
    <t>1 Day</t>
  </si>
  <si>
    <t>Danielle Barker</t>
  </si>
  <si>
    <t>Sarah Greenlee</t>
  </si>
  <si>
    <t>Rachel Brogie</t>
  </si>
  <si>
    <t>Tracy Sellers</t>
  </si>
  <si>
    <t>chip,break_gf</t>
  </si>
  <si>
    <t>Amy Botts</t>
  </si>
  <si>
    <t>3</t>
  </si>
  <si>
    <t>S McClellan</t>
  </si>
  <si>
    <t>Heather Risinger</t>
  </si>
  <si>
    <t>Kira Haas</t>
  </si>
  <si>
    <t>Carrie Paul</t>
  </si>
  <si>
    <t>Sarah Doyle</t>
  </si>
  <si>
    <t>Shannon LaForge</t>
  </si>
  <si>
    <t>Gina Lindauer</t>
  </si>
  <si>
    <t>Jennifer Pifko</t>
  </si>
  <si>
    <t>Jennifer Gill</t>
  </si>
  <si>
    <t>chip_gf,chip_gf</t>
  </si>
  <si>
    <t>Mindy Munger</t>
  </si>
  <si>
    <t>chip_gf,or_gf,or_gf</t>
  </si>
  <si>
    <t>Katie Hager</t>
  </si>
  <si>
    <t>Zoe Apted</t>
  </si>
  <si>
    <t>Theresa Fry</t>
  </si>
  <si>
    <t>Melissa Kulig</t>
  </si>
  <si>
    <t>Katrina Winborn-Miller</t>
  </si>
  <si>
    <t>Jennifer Sanchez</t>
  </si>
  <si>
    <t>Carol Best</t>
  </si>
  <si>
    <t>Katherine Lewis</t>
  </si>
  <si>
    <t>Brenda Levy</t>
  </si>
  <si>
    <t>Manhattan Beach</t>
  </si>
  <si>
    <t xml:space="preserve">Classic Burger &amp; Fries, Turkey Tacos, </t>
  </si>
  <si>
    <t>Bethany Garrett</t>
  </si>
  <si>
    <t>Rosanne Freer</t>
  </si>
  <si>
    <t>Lori Park</t>
  </si>
  <si>
    <t>Studio City 2</t>
  </si>
  <si>
    <t>Ellena Stiff</t>
  </si>
  <si>
    <t>Celeste Novak</t>
  </si>
  <si>
    <t>Lindsey  Galster</t>
  </si>
  <si>
    <t>Amy Cianci</t>
  </si>
  <si>
    <t>Candice Kislack</t>
  </si>
  <si>
    <t>Alison Molinelli</t>
  </si>
  <si>
    <t>Kerry Mandulak</t>
  </si>
  <si>
    <t>Jacqueline Zuccon</t>
  </si>
  <si>
    <t>Stacey Mecklenburg</t>
  </si>
  <si>
    <t>MEGHAN tucker</t>
  </si>
  <si>
    <t>Jaclyn Lessard</t>
  </si>
  <si>
    <t>Jodi Strock</t>
  </si>
  <si>
    <t>Jenna Payne</t>
  </si>
  <si>
    <t xml:space="preserve">Vegetarian Pizza, Beef Tacos, </t>
  </si>
  <si>
    <t>Kelly Sestero</t>
  </si>
  <si>
    <t>Christine Reilly</t>
  </si>
  <si>
    <t>Katie Larson</t>
  </si>
  <si>
    <t>Green,Green,Green,Blue,Blue,PBJ,PBJ,Bigred,Vitc,Vitc</t>
  </si>
  <si>
    <t>Megan Dubofsky</t>
  </si>
  <si>
    <t>Green,Green,Antiox,Antiox</t>
  </si>
  <si>
    <t>KyAnn Lewis</t>
  </si>
  <si>
    <t>Stacey PoonKinney</t>
  </si>
  <si>
    <t>brooke taylor</t>
  </si>
  <si>
    <t>Woodland Hills</t>
  </si>
  <si>
    <t>Chris Heyman</t>
  </si>
  <si>
    <t>Antiox,Bigred,Bigred</t>
  </si>
  <si>
    <t>Boost,Boost</t>
  </si>
  <si>
    <t>Kelly Peterson</t>
  </si>
  <si>
    <t>Wanching Navarro</t>
  </si>
  <si>
    <t>Enza Olivo</t>
  </si>
  <si>
    <t>Candace Kelman</t>
  </si>
  <si>
    <t>Sarah Attensil-miller</t>
  </si>
  <si>
    <t>Debbie Drumm</t>
  </si>
  <si>
    <t xml:space="preserve">Christina Gonzalez </t>
  </si>
  <si>
    <t>Evangelina Petroni</t>
  </si>
  <si>
    <t>Britni  Estes</t>
  </si>
  <si>
    <t>Melissa Erker</t>
  </si>
  <si>
    <t>Paige Hirsch</t>
  </si>
  <si>
    <t>Kerry Mason</t>
  </si>
  <si>
    <t>Corie Bretting</t>
  </si>
  <si>
    <t>PBJ,PBJ,Green,Green,Blue,Antiox,Antiox,Vitc</t>
  </si>
  <si>
    <t>Heidi Ross</t>
  </si>
  <si>
    <t>Green,Blue,Boost,Antiox,Bigred,Vitc</t>
  </si>
  <si>
    <t>Darcy Kaushagen</t>
  </si>
  <si>
    <t>Green,Antiox,Vitc</t>
  </si>
  <si>
    <t>Britney Harner</t>
  </si>
  <si>
    <t>Athena Balistreri</t>
  </si>
  <si>
    <t>Bigred,Vitc</t>
  </si>
  <si>
    <t>Connie Ittner</t>
  </si>
  <si>
    <t>Nicole Schmidt</t>
  </si>
  <si>
    <t xml:space="preserve">Emily Greenspan </t>
  </si>
  <si>
    <t>Steve steve.g.birnbaum@gmail.com</t>
  </si>
  <si>
    <t>Dassance Raymond</t>
  </si>
  <si>
    <t>Amanda Lovato</t>
  </si>
  <si>
    <t>Scott Clay</t>
  </si>
  <si>
    <t>Boost,Vitc,Blue</t>
  </si>
  <si>
    <t>Heather Baltrush</t>
  </si>
  <si>
    <t>Elizabeth Hanrahan</t>
  </si>
  <si>
    <t>PBJ,Green,Blue</t>
  </si>
  <si>
    <t>chris mathews</t>
  </si>
  <si>
    <t>Siobhan Dolan</t>
  </si>
  <si>
    <t>State</t>
  </si>
  <si>
    <t>Mark Magdaleno</t>
  </si>
  <si>
    <t>Erika Carter</t>
  </si>
  <si>
    <t xml:space="preserve">Hilary McNamara </t>
  </si>
  <si>
    <t>Claudia Kozak</t>
  </si>
  <si>
    <t>Nicole Sperling</t>
  </si>
  <si>
    <t>Shawna Such</t>
  </si>
  <si>
    <t>Rachel Goldberg</t>
  </si>
  <si>
    <t>Cara Hirsch</t>
  </si>
  <si>
    <t>Eve Poteet</t>
  </si>
  <si>
    <t xml:space="preserve">Amna  Khan </t>
  </si>
  <si>
    <t>Rachel Horn</t>
  </si>
  <si>
    <t>Karen Cowan</t>
  </si>
  <si>
    <t>Lorig Kalaydjian</t>
  </si>
  <si>
    <t>Joanna Greenstone</t>
  </si>
  <si>
    <t>Sabina Polnar</t>
  </si>
  <si>
    <t>Ryan Hammond</t>
  </si>
  <si>
    <t>Kimberly Parris</t>
  </si>
  <si>
    <t>Jenelle Kim</t>
  </si>
  <si>
    <t>Nikki Wheeler</t>
  </si>
  <si>
    <t>Ashley Younger</t>
  </si>
  <si>
    <t>Andrea Mueller</t>
  </si>
  <si>
    <t>Alice  Park</t>
  </si>
  <si>
    <t>Crista Maldonado</t>
  </si>
  <si>
    <t>Lauralie Mayhew</t>
  </si>
  <si>
    <t>Callie Griffin</t>
  </si>
  <si>
    <t>Brooke Thorell</t>
  </si>
  <si>
    <t>Brian Bankhead</t>
  </si>
  <si>
    <t>shannon johnson</t>
  </si>
  <si>
    <t>Margaret Montanez</t>
  </si>
  <si>
    <t>Yvonne Ou</t>
  </si>
  <si>
    <t>Wallis Hardie</t>
  </si>
  <si>
    <t>Genevieve Murphy</t>
  </si>
  <si>
    <t>Leslie Goldman</t>
  </si>
  <si>
    <t>Green,Blue,Boost,Antiox,Vitc</t>
  </si>
  <si>
    <t>Katie Buck</t>
  </si>
  <si>
    <t>Green,Green,Blue,Vitc</t>
  </si>
  <si>
    <t>Melissa Brooke</t>
  </si>
  <si>
    <t>PBJ,Green,Blue,Boost,Antiox,Vitc</t>
  </si>
  <si>
    <t>chip,chip,chip,break_gf</t>
  </si>
  <si>
    <t>Ellen Picataggio</t>
  </si>
  <si>
    <t xml:space="preserve">Classic Burger &amp; Fries, Vegetarian Pizza, Turkey Tacos, </t>
  </si>
  <si>
    <t>Briana Scherer</t>
  </si>
  <si>
    <t>christy glass lowe</t>
  </si>
  <si>
    <t>kate levering</t>
  </si>
  <si>
    <t>PBJ,PBJ,Green,Green,Green,Blue,Blue,Vitc,Vitc,Antiox</t>
  </si>
  <si>
    <t>break_gf,break_gf</t>
  </si>
  <si>
    <t>Carly LeVine</t>
  </si>
  <si>
    <t>rachel gerken</t>
  </si>
  <si>
    <t>Laura Cheek</t>
  </si>
  <si>
    <t>PBJ,Green,Blue,Boost,Antiox,Bigred,Vitc</t>
  </si>
  <si>
    <t>Kassie Maddin</t>
  </si>
  <si>
    <t>Sarah Moudry</t>
  </si>
  <si>
    <t>Lauren Burke</t>
  </si>
  <si>
    <t>Jenny Deakyne</t>
  </si>
  <si>
    <t>chip_gf,or_gf</t>
  </si>
  <si>
    <t>Melinda Chou</t>
  </si>
  <si>
    <t>Diana  Rayzman</t>
  </si>
  <si>
    <t>Valley2</t>
  </si>
  <si>
    <t>Robin Burkhardt</t>
  </si>
  <si>
    <t>Anna Wolfe</t>
  </si>
  <si>
    <t>Jehni Robinson, MD</t>
  </si>
  <si>
    <t>Krista Thorrington</t>
  </si>
  <si>
    <t>Shireen Motivala</t>
  </si>
  <si>
    <t>Youngsook You</t>
  </si>
  <si>
    <t>Maura  Dougherty</t>
  </si>
  <si>
    <t>Christine Grand</t>
  </si>
  <si>
    <t>April Booker</t>
  </si>
  <si>
    <t>Chantel Polcyn</t>
  </si>
  <si>
    <t>sabrina shell</t>
  </si>
  <si>
    <t>Deanna  Lee</t>
  </si>
  <si>
    <t>Olivia Moore</t>
  </si>
  <si>
    <t>Nina Wang</t>
  </si>
  <si>
    <t>Courtney Brooks</t>
  </si>
  <si>
    <t>Tamar Sekayan</t>
  </si>
  <si>
    <t>Jean Nelson</t>
  </si>
  <si>
    <t>Janine Gottheiner</t>
  </si>
  <si>
    <t>Lyndsey Gallagher</t>
  </si>
  <si>
    <t>Breann Joanou</t>
  </si>
  <si>
    <t>Amanda  Chance</t>
  </si>
  <si>
    <t>Elizabeth Svatek</t>
  </si>
  <si>
    <t>Suzanne Jensen</t>
  </si>
  <si>
    <t>Jessie Mobley</t>
  </si>
  <si>
    <t>Nina Mehigan</t>
  </si>
  <si>
    <t>Marcy Ryan</t>
  </si>
  <si>
    <t>Betsy Tucci</t>
  </si>
  <si>
    <t>MaryEllen Udovich</t>
  </si>
  <si>
    <t>Tabitha Nenninger</t>
  </si>
  <si>
    <t>Shelley O'Donnell</t>
  </si>
  <si>
    <t>Melissa Holloway</t>
  </si>
  <si>
    <t>Lauren Biggs</t>
  </si>
  <si>
    <t>Vanessa Gatewood-Riggs</t>
  </si>
  <si>
    <t>Shara Hancock</t>
  </si>
  <si>
    <t>Sarah Braid</t>
  </si>
  <si>
    <t>Lucy Blythe</t>
  </si>
  <si>
    <t>Lois Blackwell</t>
  </si>
  <si>
    <t>Cinthia Simon</t>
  </si>
  <si>
    <t>Christine Chase</t>
  </si>
  <si>
    <t>Emily Rayburn</t>
  </si>
  <si>
    <t>Ann Davis</t>
  </si>
  <si>
    <t>Stephanie Duchene</t>
  </si>
  <si>
    <t>Monika monika.odeegan@gmail.com</t>
  </si>
  <si>
    <t>Janicee Forchini</t>
  </si>
  <si>
    <t>Susan Brabant</t>
  </si>
  <si>
    <t>Jordyn Bianca</t>
  </si>
  <si>
    <t>Erin Faragalla</t>
  </si>
  <si>
    <t>Jackie Tait</t>
  </si>
  <si>
    <t>Mikaila McKeon</t>
  </si>
  <si>
    <t>Amy Stoneham</t>
  </si>
  <si>
    <t>Gena Gullette</t>
  </si>
  <si>
    <t>Melissa Greenhouse</t>
  </si>
  <si>
    <t>patti ni</t>
  </si>
  <si>
    <t>Alyse Manglik</t>
  </si>
  <si>
    <t>Shawna Baskin</t>
  </si>
  <si>
    <t>April Alvarez</t>
  </si>
  <si>
    <t>Jocelyn  Becerril</t>
  </si>
  <si>
    <t>Gabriela Gerst</t>
  </si>
  <si>
    <t>Meridith Jaffe</t>
  </si>
  <si>
    <t>Anna Fricke</t>
  </si>
  <si>
    <t>Karen Tumlin</t>
  </si>
  <si>
    <t>Green,Blue</t>
  </si>
  <si>
    <t>Pamela Brose</t>
  </si>
  <si>
    <t>Brianne McMurtry</t>
  </si>
  <si>
    <t>Boost,Boost,Boost</t>
  </si>
  <si>
    <t>Erin Lane</t>
  </si>
  <si>
    <t>Kelli Grisham</t>
  </si>
  <si>
    <t>Erin Dudley-Krizek</t>
  </si>
  <si>
    <t>Green,Antiox</t>
  </si>
  <si>
    <t>Cailen Conroy</t>
  </si>
  <si>
    <t>Green,Bigred,Vitc</t>
  </si>
  <si>
    <t>Heather Makiharju</t>
  </si>
  <si>
    <t>Green,Blue,Boost</t>
  </si>
  <si>
    <t>Jessica Perrin</t>
  </si>
  <si>
    <t>anthony batt</t>
  </si>
  <si>
    <t>Lauren Black</t>
  </si>
  <si>
    <t>Blue,Blue</t>
  </si>
  <si>
    <t>Robin Jacobson</t>
  </si>
  <si>
    <t>brandy ley</t>
  </si>
  <si>
    <t xml:space="preserve"> Megan Rustad</t>
  </si>
  <si>
    <t>Heather Goren</t>
  </si>
  <si>
    <t>Erica Norgaard</t>
  </si>
  <si>
    <t>Claire Jessen</t>
  </si>
  <si>
    <t>Amy cardiff</t>
  </si>
  <si>
    <t>Aaron Cowan</t>
  </si>
  <si>
    <t>Kathy Kelley</t>
  </si>
  <si>
    <t>Carolina Rojas</t>
  </si>
  <si>
    <t>Kate Nulty</t>
  </si>
  <si>
    <t>Amy Thomas</t>
  </si>
  <si>
    <t>Megan Lovoi</t>
  </si>
  <si>
    <t>Laura Grabow</t>
  </si>
  <si>
    <t>Kristina Reeder</t>
  </si>
  <si>
    <t xml:space="preserve">Whitney Peyser </t>
  </si>
  <si>
    <t>Tracy Patel</t>
  </si>
  <si>
    <t>Tatianna Ashurst</t>
  </si>
  <si>
    <t>Shalynn Taylor</t>
  </si>
  <si>
    <t>Sabha Khan</t>
  </si>
  <si>
    <t>Regan Scovic</t>
  </si>
  <si>
    <t>Raven Sarnoff</t>
  </si>
  <si>
    <t>Rachel Falk</t>
  </si>
  <si>
    <t>Kelly Reirdon</t>
  </si>
  <si>
    <t>Katherine Quigley</t>
  </si>
  <si>
    <t>Julie Kurian</t>
  </si>
  <si>
    <t>JACQUELINE OKIMOTO</t>
  </si>
  <si>
    <t>Ann-Marie DeRosa</t>
  </si>
  <si>
    <t xml:space="preserve">Patricia  Goldenberg </t>
  </si>
  <si>
    <t>Angela Shepherd</t>
  </si>
  <si>
    <t>Jamie Baxter</t>
  </si>
  <si>
    <t>Anne Lowinger</t>
  </si>
  <si>
    <t>Chanel Getty</t>
  </si>
  <si>
    <t>Sescie Antin</t>
  </si>
  <si>
    <t>Jennifer Harber</t>
  </si>
  <si>
    <t>Helen Struck</t>
  </si>
  <si>
    <t>Kristin Dillingham</t>
  </si>
  <si>
    <t>Jennifer Schaefer</t>
  </si>
  <si>
    <t>Eric  Nelson</t>
  </si>
  <si>
    <t>Marc Berkman</t>
  </si>
  <si>
    <t>Lisa Eddy</t>
  </si>
  <si>
    <t>Ingrid Milkes</t>
  </si>
  <si>
    <t>Leah Wessenberg</t>
  </si>
  <si>
    <t>Heather Spadaccini</t>
  </si>
  <si>
    <t>Kellie Forester</t>
  </si>
  <si>
    <t>Erin Matzkin</t>
  </si>
  <si>
    <t xml:space="preserve">Classic Turkey Burger &amp; Fries, Turkey Tacos, </t>
  </si>
  <si>
    <t>Jon Bellizia</t>
  </si>
  <si>
    <t>Christie Beck</t>
  </si>
  <si>
    <t>Janet Gavitt</t>
  </si>
  <si>
    <t>Wesley Larmore</t>
  </si>
  <si>
    <t>Anne Elward</t>
  </si>
  <si>
    <t>Melanie Rosenthal</t>
  </si>
  <si>
    <t>Kiley Moyer</t>
  </si>
  <si>
    <t>cara sands</t>
  </si>
  <si>
    <t>Laura Pendleton</t>
  </si>
  <si>
    <t>Cauley Snoddy</t>
  </si>
  <si>
    <t>dana reynolds</t>
  </si>
  <si>
    <t>Caitlin McShane</t>
  </si>
  <si>
    <t>Rick Alexander</t>
  </si>
  <si>
    <t>Marissa Thompson</t>
  </si>
  <si>
    <t>Amy Rardin</t>
  </si>
  <si>
    <t>Margie Mintz</t>
  </si>
  <si>
    <t>Mia Novack</t>
  </si>
  <si>
    <t>Lindsey Hansen</t>
  </si>
  <si>
    <t>ILSA SETZIOL</t>
  </si>
  <si>
    <t>Anntim Vulchev</t>
  </si>
  <si>
    <t>Kim Guigley</t>
  </si>
  <si>
    <t>Marcie G Ulin</t>
  </si>
  <si>
    <t>Kelly Rowe</t>
  </si>
  <si>
    <t>Tina Brescini</t>
  </si>
  <si>
    <t>lisa lauriano</t>
  </si>
  <si>
    <t>Tara Trevino</t>
  </si>
  <si>
    <t xml:space="preserve">Shalla Prichard </t>
  </si>
  <si>
    <t>Kelli Manning</t>
  </si>
  <si>
    <t>Katherine Lenci</t>
  </si>
  <si>
    <t>Jaimie Skalecki</t>
  </si>
  <si>
    <t>Tanja Champagne</t>
  </si>
  <si>
    <t>Melanie Niles</t>
  </si>
  <si>
    <t>Laura Malone</t>
  </si>
  <si>
    <t>Jenna Borrelli</t>
  </si>
  <si>
    <t>Gabrielle Gaetani</t>
  </si>
  <si>
    <t>Fouzia Abidi</t>
  </si>
  <si>
    <t>Elaine Pitpit</t>
  </si>
  <si>
    <t>Carla Harrower</t>
  </si>
  <si>
    <t>Brenden Shaw</t>
  </si>
  <si>
    <t>Bill Ling</t>
  </si>
  <si>
    <t>Rachel Levy</t>
  </si>
  <si>
    <t>Jenny Marlin</t>
  </si>
  <si>
    <t>Caitlin McCabe</t>
  </si>
  <si>
    <t>Lauren Heim</t>
  </si>
  <si>
    <t>Amy Prouty</t>
  </si>
  <si>
    <t>Kimberly Hutchinson</t>
  </si>
  <si>
    <t>Kelley Bonsall</t>
  </si>
  <si>
    <t>Emily Seifert</t>
  </si>
  <si>
    <t>Mark Dervaes</t>
  </si>
  <si>
    <t>Jennifer Medlin</t>
  </si>
  <si>
    <t>Amanda  Ohanian</t>
  </si>
  <si>
    <t>Monique Jones</t>
  </si>
  <si>
    <t>Leila Forouzan</t>
  </si>
  <si>
    <t>Kristen Toumajian</t>
  </si>
  <si>
    <t>Lindsay Bukata</t>
  </si>
  <si>
    <t>Cindy Eaton</t>
  </si>
  <si>
    <t>Nicole Maheu</t>
  </si>
  <si>
    <t>Jamie Pierce</t>
  </si>
  <si>
    <t>Kim Ruffer</t>
  </si>
  <si>
    <t xml:space="preserve">Pizza, Beef Tacos, </t>
  </si>
  <si>
    <t>Ivy Krysiak</t>
  </si>
  <si>
    <t>Sabina von Munk</t>
  </si>
  <si>
    <t>Kim Spak</t>
  </si>
  <si>
    <t>Karl Keating</t>
  </si>
  <si>
    <t>Courtney Seim</t>
  </si>
  <si>
    <t>Tracey Matsui</t>
  </si>
  <si>
    <t>Emily Current</t>
  </si>
  <si>
    <t>Elizabeth Zwerin</t>
  </si>
  <si>
    <t>Cassandra Breitkreutz</t>
  </si>
  <si>
    <t>Laura Johnson</t>
  </si>
  <si>
    <t>Breanna Rutherford</t>
  </si>
  <si>
    <t>Jessica Jackson</t>
  </si>
  <si>
    <t xml:space="preserve">Pizza, Turkey Tacos, </t>
  </si>
  <si>
    <t>Amanda Stephens</t>
  </si>
  <si>
    <t>Rebecca Jensen</t>
  </si>
  <si>
    <t>Lauren Johnson</t>
  </si>
  <si>
    <t>Audrey Watson</t>
  </si>
  <si>
    <t>Erin Sinnokrak</t>
  </si>
  <si>
    <t>Sarah Loumena</t>
  </si>
  <si>
    <t>JULIA SANDERS</t>
  </si>
  <si>
    <t>Amelia Winslow</t>
  </si>
  <si>
    <t>Amy Giffin</t>
  </si>
  <si>
    <t>Lisa Smelkinson</t>
  </si>
  <si>
    <t>Sierra Neill</t>
  </si>
  <si>
    <t>Nicole Sibert-Faaborg</t>
  </si>
  <si>
    <t>Lauren Wiley</t>
  </si>
  <si>
    <t>Eric Balcom</t>
  </si>
  <si>
    <t>Milena Meyers</t>
  </si>
  <si>
    <t>Katherine Williams</t>
  </si>
  <si>
    <t>Jennifer Press</t>
  </si>
  <si>
    <t>andi brown</t>
  </si>
  <si>
    <t>Jennifer Alley</t>
  </si>
  <si>
    <t>Thomas Cronley</t>
  </si>
  <si>
    <t>Whitney Kazemipour</t>
  </si>
  <si>
    <t>Aubrey Tighe-Marion</t>
  </si>
  <si>
    <t>Alana Schuster</t>
  </si>
  <si>
    <t>Amanda Claremon</t>
  </si>
  <si>
    <t>Michael Shin</t>
  </si>
  <si>
    <t>Silvia Gramuglia</t>
  </si>
  <si>
    <t>Allison Grinsdale</t>
  </si>
  <si>
    <t>Molly McAllister</t>
  </si>
  <si>
    <t>Karen Deutsch</t>
  </si>
  <si>
    <t>Keri Ross</t>
  </si>
  <si>
    <t>Nicole Anderson</t>
  </si>
  <si>
    <t>Cat Brackey</t>
  </si>
  <si>
    <t>Erin Holford</t>
  </si>
  <si>
    <t>Mollie Ewing</t>
  </si>
  <si>
    <t>Ahna Proctor</t>
  </si>
  <si>
    <t>Leah Solivan</t>
  </si>
  <si>
    <t>Joanna Saracino</t>
  </si>
  <si>
    <t>Lauren Seaton</t>
  </si>
  <si>
    <t>Raymona Chin</t>
  </si>
  <si>
    <t>Audrey Juranek</t>
  </si>
  <si>
    <t>chip_gf,sugar_gf</t>
  </si>
  <si>
    <t>Wendy Prowell</t>
  </si>
  <si>
    <t>Anjannette anjannette@gmail.com</t>
  </si>
  <si>
    <t>chip_gf,break_gf</t>
  </si>
  <si>
    <t>Allie Song</t>
  </si>
  <si>
    <t>Green,Green,Green,Vitc,Antiox</t>
  </si>
  <si>
    <t>Jill Burrows</t>
  </si>
  <si>
    <t>heidi swaim</t>
  </si>
  <si>
    <t>Green,Blue,Bigred,Vitc</t>
  </si>
  <si>
    <t>Rebecca Meier</t>
  </si>
  <si>
    <t>Sarah Walter</t>
  </si>
  <si>
    <t>Blue,Blue,Boost,Boost</t>
  </si>
  <si>
    <t>or,sugar</t>
  </si>
  <si>
    <t>Stephanie Craig</t>
  </si>
  <si>
    <t>Esther Mizser</t>
  </si>
  <si>
    <t>Boost,Vitc</t>
  </si>
  <si>
    <t>Kelly Betz</t>
  </si>
  <si>
    <t>break_gf,break_gf,break_gf</t>
  </si>
  <si>
    <t>May Foote</t>
  </si>
  <si>
    <t>chip,sugar</t>
  </si>
  <si>
    <t>Sahar Ravine</t>
  </si>
  <si>
    <t>Megan Gilbert</t>
  </si>
  <si>
    <t>Green,Green,Blue,Antiox</t>
  </si>
  <si>
    <t>Layli Conway</t>
  </si>
  <si>
    <t>Green,Bigred</t>
  </si>
  <si>
    <t>Lauren Harvey</t>
  </si>
  <si>
    <t>Alisha Hanson-Glatzel</t>
  </si>
  <si>
    <t>Christopher Meindl</t>
  </si>
  <si>
    <t>Madeline Baer</t>
  </si>
  <si>
    <t>amanda smith</t>
  </si>
  <si>
    <t>Jessica  Duthie</t>
  </si>
  <si>
    <t>Heather Papp</t>
  </si>
  <si>
    <t>Shannon Gerardin</t>
  </si>
  <si>
    <t>Laurel Imhoff</t>
  </si>
  <si>
    <t>Kathryn Bassett</t>
  </si>
  <si>
    <t>Julia Dugan</t>
  </si>
  <si>
    <t>Andrea Wong</t>
  </si>
  <si>
    <t>Anna Stein</t>
  </si>
  <si>
    <t>JACOB RICHARD</t>
  </si>
  <si>
    <t>Allison Jones</t>
  </si>
  <si>
    <t>Liz Carmichael</t>
  </si>
  <si>
    <t>Denise Ritzmann</t>
  </si>
  <si>
    <t>Lindsey Schiff-Abrams</t>
  </si>
  <si>
    <t>Alissa Mafrice</t>
  </si>
  <si>
    <t>Heather Schafnitz</t>
  </si>
  <si>
    <t>John Cade</t>
  </si>
  <si>
    <t>Gail Cornelius</t>
  </si>
  <si>
    <t>Cheri March</t>
  </si>
  <si>
    <t>Marnie Schwartz</t>
  </si>
  <si>
    <t>Morgan Gilman</t>
  </si>
  <si>
    <t>Alison Morgan</t>
  </si>
  <si>
    <t>Kristen Little</t>
  </si>
  <si>
    <t>Cher Aguilar</t>
  </si>
  <si>
    <t>Shannon Henley</t>
  </si>
  <si>
    <t>Linda Graybill</t>
  </si>
  <si>
    <t>Cecily Rhett</t>
  </si>
  <si>
    <t>Lisa Shafrin</t>
  </si>
  <si>
    <t>Devon Dentler</t>
  </si>
  <si>
    <t>Elizabeth  Bangs</t>
  </si>
  <si>
    <t>Amy Tappen</t>
  </si>
  <si>
    <t>Ally Watson</t>
  </si>
  <si>
    <t>Lindsey Caillier</t>
  </si>
  <si>
    <t>Kristen Perry</t>
  </si>
  <si>
    <t>Katharina Probst</t>
  </si>
  <si>
    <t>Jennifer Donohue</t>
  </si>
  <si>
    <t>Melissa Ruwhiu</t>
  </si>
  <si>
    <t>Sabrina Gaudreau</t>
  </si>
  <si>
    <t>Nirosha Ruwan</t>
  </si>
  <si>
    <t xml:space="preserve">Michelle  Nathan </t>
  </si>
  <si>
    <t>Alexa Amin</t>
  </si>
  <si>
    <t>Pat  Asher</t>
  </si>
  <si>
    <t>Lara Paronyan</t>
  </si>
  <si>
    <t>Nicole DeCando</t>
  </si>
  <si>
    <t>Katy Owens Hubler</t>
  </si>
  <si>
    <t>Suzy McLaughlin</t>
  </si>
  <si>
    <t>Sari Will</t>
  </si>
  <si>
    <t>Dominique Enriquez</t>
  </si>
  <si>
    <t xml:space="preserve">Cara  Goldsworthy </t>
  </si>
  <si>
    <t>Brandy Wilson</t>
  </si>
  <si>
    <t>Mindy Iwanaka</t>
  </si>
  <si>
    <t>Carolyn Parker</t>
  </si>
  <si>
    <t>Kika Castro</t>
  </si>
  <si>
    <t>Caolionn O'Connell</t>
  </si>
  <si>
    <t>KRISTEN RILLING</t>
  </si>
  <si>
    <t>Colleen Kanownik</t>
  </si>
  <si>
    <t>Katie Pincus</t>
  </si>
  <si>
    <t>April Moses</t>
  </si>
  <si>
    <t>Kristina Stybel</t>
  </si>
  <si>
    <t>Sydney Shedd</t>
  </si>
  <si>
    <t>Kazia Cumbler</t>
  </si>
  <si>
    <t>Chawntelle  Mock</t>
  </si>
  <si>
    <t>Kelly French</t>
  </si>
  <si>
    <t>KATIE SIFFERMAN</t>
  </si>
  <si>
    <t>Tanya Newbould-Del Pozzo</t>
  </si>
  <si>
    <t>Courtney Massie</t>
  </si>
  <si>
    <t>Tracey Bielefeld</t>
  </si>
  <si>
    <t>Briana  Stone</t>
  </si>
  <si>
    <t>Ann Rohlin</t>
  </si>
  <si>
    <t>Candice Watson</t>
  </si>
  <si>
    <t>Cara Putman</t>
  </si>
  <si>
    <t>Dawn Boyce</t>
  </si>
  <si>
    <t>Sara Moll</t>
  </si>
  <si>
    <t>Michelle Humphrey</t>
  </si>
  <si>
    <t>rose jung</t>
  </si>
  <si>
    <t>Rocio Bonsall</t>
  </si>
  <si>
    <t>Erika Stephens</t>
  </si>
  <si>
    <t>Rachel Mancuso</t>
  </si>
  <si>
    <t>Eli Aghassi</t>
  </si>
  <si>
    <t>Asli Bali</t>
  </si>
  <si>
    <t>Nacisse Demeksa</t>
  </si>
  <si>
    <t>Angie Kahler</t>
  </si>
  <si>
    <t>Meredith Isordia</t>
  </si>
  <si>
    <t>Jill Baker</t>
  </si>
  <si>
    <t xml:space="preserve">Gabrielle  Zybelman </t>
  </si>
  <si>
    <t>Aruna Krishnamachari</t>
  </si>
  <si>
    <t>Darlene Hunt</t>
  </si>
  <si>
    <t>Angela Doniger</t>
  </si>
  <si>
    <t>Nichole Vidheecharoen</t>
  </si>
  <si>
    <t>Alexis Griffin</t>
  </si>
  <si>
    <t>Eileen Vlasak</t>
  </si>
  <si>
    <t>Leslie Blomquist</t>
  </si>
  <si>
    <t>Elizabeth Warnke</t>
  </si>
  <si>
    <t>Melanie Derynck</t>
  </si>
  <si>
    <t>Liz Sweet</t>
  </si>
  <si>
    <t>Amanda Wainwright</t>
  </si>
  <si>
    <t>Jillian Weaver</t>
  </si>
  <si>
    <t>Tom Murphy</t>
  </si>
  <si>
    <t>PBJ,PBJ,Blue,Boost</t>
  </si>
  <si>
    <t>Jennifer Quintanilla</t>
  </si>
  <si>
    <t>Green,Boost</t>
  </si>
  <si>
    <t>Kristina C. Gharabally</t>
  </si>
  <si>
    <t xml:space="preserve">Heidi  Miller </t>
  </si>
  <si>
    <t>Tonya Rado</t>
  </si>
  <si>
    <t>Jeff Bowman</t>
  </si>
  <si>
    <t>Eric Schwartz</t>
  </si>
  <si>
    <t>megan edmonds</t>
  </si>
  <si>
    <t>Mike Fox</t>
  </si>
  <si>
    <t xml:space="preserve">Hilary  Gallwey </t>
  </si>
  <si>
    <t>Elizabeth Eschenbach</t>
  </si>
  <si>
    <t>Claire Sue</t>
  </si>
  <si>
    <t>Amanda Greene</t>
  </si>
  <si>
    <t>PBJ,PBJ,Green,Green</t>
  </si>
  <si>
    <t>Michelle Cirigliano</t>
  </si>
  <si>
    <t>Jordan Monsanto</t>
  </si>
  <si>
    <t>Christie Leigh</t>
  </si>
  <si>
    <t>David Benson</t>
  </si>
  <si>
    <t>Green,Blue,Antiox,Bigred,Vitc</t>
  </si>
  <si>
    <t>Linda Carter</t>
  </si>
  <si>
    <t>Brooke Atherton</t>
  </si>
  <si>
    <t>Sandra Fox</t>
  </si>
  <si>
    <t>Gina Girolamo</t>
  </si>
  <si>
    <t>Christine Gleim</t>
  </si>
  <si>
    <t>Quimby Pierce</t>
  </si>
  <si>
    <t>William Song</t>
  </si>
  <si>
    <t>Shea Curry</t>
  </si>
  <si>
    <t>Kasey Edwards</t>
  </si>
  <si>
    <t>Jane Middlebrooks</t>
  </si>
  <si>
    <t>Cristina Rockov</t>
  </si>
  <si>
    <t>Teresa Aramini</t>
  </si>
  <si>
    <t>Sara Butorac</t>
  </si>
  <si>
    <t xml:space="preserve">Lynn Cassidy </t>
  </si>
  <si>
    <t>Joshua Rapport</t>
  </si>
  <si>
    <t xml:space="preserve">April  Bosworth </t>
  </si>
  <si>
    <t>Sarah Kobrinsky</t>
  </si>
  <si>
    <t>Emily Choi</t>
  </si>
  <si>
    <t>rebecca dane</t>
  </si>
  <si>
    <t>Tiffany Lotz</t>
  </si>
  <si>
    <t>Holly Hines</t>
  </si>
  <si>
    <t>Eric Wasserman</t>
  </si>
  <si>
    <t>Andrew Oswald</t>
  </si>
  <si>
    <t>Patricia Yang</t>
  </si>
  <si>
    <t>Samara Hayes</t>
  </si>
  <si>
    <t>Ashley Depp</t>
  </si>
  <si>
    <t>Mary Hughes</t>
  </si>
  <si>
    <t>katherine levine</t>
  </si>
  <si>
    <t>Parisa Chidi</t>
  </si>
  <si>
    <t>Leslie Morgan</t>
  </si>
  <si>
    <t>Andrea Yocam</t>
  </si>
  <si>
    <t>Nazanein Vazira-Bhullar</t>
  </si>
  <si>
    <t>Lindsay Pincus</t>
  </si>
  <si>
    <t>Melinda Douglass</t>
  </si>
  <si>
    <t>Carolina Haddad</t>
  </si>
  <si>
    <t>Camellia Racu-Keefer</t>
  </si>
  <si>
    <t>Amy McAuliffe</t>
  </si>
  <si>
    <t>Stephanie Davidson</t>
  </si>
  <si>
    <t>Thomas Brighton</t>
  </si>
  <si>
    <t>Jenine Leigh</t>
  </si>
  <si>
    <t>Katie Kokenge</t>
  </si>
  <si>
    <t>Brad Hines</t>
  </si>
  <si>
    <t>Susan Fox</t>
  </si>
  <si>
    <t>Wilma Williams</t>
  </si>
  <si>
    <t>Trina Mastro</t>
  </si>
  <si>
    <t>Susan Doyle</t>
  </si>
  <si>
    <t>Sara Krichbaum</t>
  </si>
  <si>
    <t>Monica Shevchuck</t>
  </si>
  <si>
    <t>Kris Bozzini</t>
  </si>
  <si>
    <t>Kenna Cottrill</t>
  </si>
  <si>
    <t>Jennifer Haremza</t>
  </si>
  <si>
    <t>Priscilla Vega</t>
  </si>
  <si>
    <t>Dan Cox</t>
  </si>
  <si>
    <t>Allison Schuchart</t>
  </si>
  <si>
    <t>Rojon Hasker</t>
  </si>
  <si>
    <t>Felicia Kruger</t>
  </si>
  <si>
    <t>Cheryl Klein</t>
  </si>
  <si>
    <t>Bridget Moloney-Sinclair</t>
  </si>
  <si>
    <t>Chelsea chelsearlowe@gmail.com</t>
  </si>
  <si>
    <t>Sean Kundu</t>
  </si>
  <si>
    <t>jennifer costello</t>
  </si>
  <si>
    <t>Douglas Taylor</t>
  </si>
  <si>
    <t>Sergio  Luna</t>
  </si>
  <si>
    <t>Laury Glasgow</t>
  </si>
  <si>
    <t>Amanda Schrier</t>
  </si>
  <si>
    <t xml:space="preserve">Shannon  Smith </t>
  </si>
  <si>
    <t>Melissa Teigue</t>
  </si>
  <si>
    <t>Meredith  Huetter</t>
  </si>
  <si>
    <t>Laura LaPorte</t>
  </si>
  <si>
    <t>Katherine Wenzel</t>
  </si>
  <si>
    <t>Kate Good</t>
  </si>
  <si>
    <t>Sam Ruckman</t>
  </si>
  <si>
    <t>Andria King</t>
  </si>
  <si>
    <t>Liz Mason</t>
  </si>
  <si>
    <t>Robin Sinnott</t>
  </si>
  <si>
    <t>Kristina  Watkins</t>
  </si>
  <si>
    <t>Joe Martinez</t>
  </si>
  <si>
    <t>Elaine Mills</t>
  </si>
  <si>
    <t>Allyn Fernandez</t>
  </si>
  <si>
    <t>Abha Chandra</t>
  </si>
  <si>
    <t>Colleen McCluskey</t>
  </si>
  <si>
    <t>Janelle Peck</t>
  </si>
  <si>
    <t>Caitlin McCracken</t>
  </si>
  <si>
    <t>Yvette Zuniga</t>
  </si>
  <si>
    <t>Fabrizio Guzman</t>
  </si>
  <si>
    <t>Cara Silva</t>
  </si>
  <si>
    <t>alison farmwald</t>
  </si>
  <si>
    <t>Alexis Martin</t>
  </si>
  <si>
    <t>Ria DAversa</t>
  </si>
  <si>
    <t>Christina Morgan</t>
  </si>
  <si>
    <t>Kimberly Lawrence</t>
  </si>
  <si>
    <t>Sheena Parks</t>
  </si>
  <si>
    <t>Molly Pinera</t>
  </si>
  <si>
    <t>kathryn higgins</t>
  </si>
  <si>
    <t>Alexis Doucette</t>
  </si>
  <si>
    <t>Diane Bobbitt</t>
  </si>
  <si>
    <t>Lucy Schuessler</t>
  </si>
  <si>
    <t>Joyelle Finn</t>
  </si>
  <si>
    <t>Kayley Miles</t>
  </si>
  <si>
    <t>Susanne Volk</t>
  </si>
  <si>
    <t>Elizabeth Smith</t>
  </si>
  <si>
    <t>chip_gf,or</t>
  </si>
  <si>
    <t>Rita Bertha</t>
  </si>
  <si>
    <t>Michelle Parent</t>
  </si>
  <si>
    <t>Katie Riester</t>
  </si>
  <si>
    <t>VIP would like to receive NON gluten free cookie dough</t>
  </si>
  <si>
    <t>Richard Daniels</t>
  </si>
  <si>
    <t>Green,Boost,Boost</t>
  </si>
  <si>
    <t xml:space="preserve">Anne Underwood </t>
  </si>
  <si>
    <t>Elizabeth elizabethdavis1299@gmail.com</t>
  </si>
  <si>
    <t>PBJ,Green,Boost,Antiox,Bigred,Vitc,Blue,Blue</t>
  </si>
  <si>
    <t>Jenna Harms</t>
  </si>
  <si>
    <t>LAUREN GRASSICK</t>
  </si>
  <si>
    <t>Brooke Raffetto</t>
  </si>
  <si>
    <t>Jacqueline Seitz</t>
  </si>
  <si>
    <t>Jennifer Farley</t>
  </si>
  <si>
    <t>Kimberly Muller</t>
  </si>
  <si>
    <t>Mary McHugh</t>
  </si>
  <si>
    <t>Rachel Rosales</t>
  </si>
  <si>
    <t>Adam Martin</t>
  </si>
  <si>
    <t>Michele Sanchez</t>
  </si>
  <si>
    <t>Rena Seico</t>
  </si>
  <si>
    <t>Anna Zapata</t>
  </si>
  <si>
    <t xml:space="preserve">Tonya Patel </t>
  </si>
  <si>
    <t>Elizabeth Fain-LaBombard</t>
  </si>
  <si>
    <t>Rena Holman</t>
  </si>
  <si>
    <t>Becky  Nguyen</t>
  </si>
  <si>
    <t>Krystal Souza</t>
  </si>
  <si>
    <t>Amanda Hennessey</t>
  </si>
  <si>
    <t>brooke klein</t>
  </si>
  <si>
    <t>stacey lubliner</t>
  </si>
  <si>
    <t>Jill Bone</t>
  </si>
  <si>
    <t>Jennifer Hafner</t>
  </si>
  <si>
    <t>Ely Santos</t>
  </si>
  <si>
    <t>Maria Piken</t>
  </si>
  <si>
    <t>Sally Au-Yeung</t>
  </si>
  <si>
    <t>Linda Galkowski</t>
  </si>
  <si>
    <t>Colleen Espenschied</t>
  </si>
  <si>
    <t>McKenzie Mitchell</t>
  </si>
  <si>
    <t>Katie Mills</t>
  </si>
  <si>
    <t>Jessica Stewart</t>
  </si>
  <si>
    <t>Blanca Sofia Terry-Lloyd</t>
  </si>
  <si>
    <t>Chantell Dennis</t>
  </si>
  <si>
    <t>Liz Biege</t>
  </si>
  <si>
    <t>Kylee Newman</t>
  </si>
  <si>
    <t>Antiox,Antiox</t>
  </si>
  <si>
    <t>Leslie Baucom</t>
  </si>
  <si>
    <t>Green,Boost,Antiox,Bigred,Vitc</t>
  </si>
  <si>
    <t>Alison Miller</t>
  </si>
  <si>
    <t>Katrina Marzorati</t>
  </si>
  <si>
    <t>Lauren Mack</t>
  </si>
  <si>
    <t>Emily Perez</t>
  </si>
  <si>
    <t>Lisa Regelman</t>
  </si>
  <si>
    <t>Jen Haro</t>
  </si>
  <si>
    <t>Jen Polenzani</t>
  </si>
  <si>
    <t>Katherine Desmond</t>
  </si>
  <si>
    <t>Veronica Abshire</t>
  </si>
  <si>
    <t>Mariska Cirera-Probst</t>
  </si>
  <si>
    <t>Manijeh AtashSobh</t>
  </si>
  <si>
    <t>Laura Clark</t>
  </si>
  <si>
    <t>Cobi Newton</t>
  </si>
  <si>
    <t>Joseph Cancilla</t>
  </si>
  <si>
    <t>Sonia Tandon</t>
  </si>
  <si>
    <t>Windus Brinkkord</t>
  </si>
  <si>
    <t>joey stoller</t>
  </si>
  <si>
    <t>Diana Kline</t>
  </si>
  <si>
    <t>Michelle  Short</t>
  </si>
  <si>
    <t>Holly Langston</t>
  </si>
  <si>
    <t>James Price</t>
  </si>
  <si>
    <t>holly Mchale larsen</t>
  </si>
  <si>
    <t>Jillian Sheppard</t>
  </si>
  <si>
    <t>PBJ,PBJ,PBJ,Blue,Blue,Blue</t>
  </si>
  <si>
    <t>Green,Green,Boost,Antiox,Antiox</t>
  </si>
  <si>
    <t>Brittany Walker</t>
  </si>
  <si>
    <t>Blue,Antiox,Green,Bigred,Vitc</t>
  </si>
  <si>
    <t>Green,Blue,Bigred</t>
  </si>
  <si>
    <t>Kimberly Williams</t>
  </si>
  <si>
    <t>judith pagnam</t>
  </si>
  <si>
    <t>Averill Conn</t>
  </si>
  <si>
    <t>Allison Gebauer</t>
  </si>
  <si>
    <t>PBJ,Antiox</t>
  </si>
  <si>
    <t>Blue,Boost</t>
  </si>
  <si>
    <t>Nancy Larson</t>
  </si>
  <si>
    <t xml:space="preserve">Joyce  Chen </t>
  </si>
  <si>
    <t>Gulten Karaoglan-Bebek</t>
  </si>
  <si>
    <t xml:space="preserve">Nesia Moradian </t>
  </si>
  <si>
    <t>Cheryl Price</t>
  </si>
  <si>
    <t>Emily Rose</t>
  </si>
  <si>
    <t>Maggie Blades</t>
  </si>
  <si>
    <t>Cynthia Dunetz</t>
  </si>
  <si>
    <t>Catherine Owen</t>
  </si>
  <si>
    <t>Amy Stookey</t>
  </si>
  <si>
    <t>Lynn Cole</t>
  </si>
  <si>
    <t>Laura Giuliani</t>
  </si>
  <si>
    <t>Stephanie Nicholson</t>
  </si>
  <si>
    <t>Dana Mahony</t>
  </si>
  <si>
    <t>Christina White</t>
  </si>
  <si>
    <t xml:space="preserve">Gwen Cracknell </t>
  </si>
  <si>
    <t>Anabel Gibbs</t>
  </si>
  <si>
    <t>chris thurman</t>
  </si>
  <si>
    <t>Kelly Hinojosa</t>
  </si>
  <si>
    <t>Jen Pena</t>
  </si>
  <si>
    <t>Danika Voorhees</t>
  </si>
  <si>
    <t>ANDREA AZUMA</t>
  </si>
  <si>
    <t>Sonya Kolowrat</t>
  </si>
  <si>
    <t>Alma Brand</t>
  </si>
  <si>
    <t>Lauren Friedman</t>
  </si>
  <si>
    <t>Lena Anderson</t>
  </si>
  <si>
    <t>Taryn Theriot</t>
  </si>
  <si>
    <t>Katherine  Hunt</t>
  </si>
  <si>
    <t>WEISHI GU</t>
  </si>
  <si>
    <t>Ashleigh  Louer</t>
  </si>
  <si>
    <t>Heather Alfaro</t>
  </si>
  <si>
    <t>Monica Fowler</t>
  </si>
  <si>
    <t>Gaia Catalano</t>
  </si>
  <si>
    <t xml:space="preserve">Erin Marlin </t>
  </si>
  <si>
    <t>Jen Finger</t>
  </si>
  <si>
    <t>Dione Pinckert-Carlson</t>
  </si>
  <si>
    <t>Carolyn Nielsen</t>
  </si>
  <si>
    <t>Lindsey Herrera</t>
  </si>
  <si>
    <t>denise johnson</t>
  </si>
  <si>
    <t>Rebecca Rogers</t>
  </si>
  <si>
    <t>Jamila Kalmbach</t>
  </si>
  <si>
    <t>Kristin Ely</t>
  </si>
  <si>
    <t>Logan Sinclair</t>
  </si>
  <si>
    <t>Christine Abadilla</t>
  </si>
  <si>
    <t>Amy Bottoms</t>
  </si>
  <si>
    <t>Kristen Richards</t>
  </si>
  <si>
    <t>Ann Henderson</t>
  </si>
  <si>
    <t>Kascia  Tognoli</t>
  </si>
  <si>
    <t>Nicole Afek</t>
  </si>
  <si>
    <t>Jasdeep Jammu</t>
  </si>
  <si>
    <t>PBJ,Blue</t>
  </si>
  <si>
    <t>Megan Holmes</t>
  </si>
  <si>
    <t>Juliane Dunn</t>
  </si>
  <si>
    <t>Mandie Campbell</t>
  </si>
  <si>
    <t>Emily Valenzano</t>
  </si>
  <si>
    <t>Rochelle Heringer</t>
  </si>
  <si>
    <t>Rosa Medina</t>
  </si>
  <si>
    <t xml:space="preserve">Italian Braised Beef, Pea-lafel , Sweet and Sour Pineapple Chicken, </t>
  </si>
  <si>
    <t xml:space="preserve">Italian Braised Beef, Pea-lafel , Autumn Veggie Pot Pie, </t>
  </si>
  <si>
    <t xml:space="preserve">Italian Braised Beef, Autumn Veggie Pot Pie, Sweet and Sour Pineapple Chicken, </t>
  </si>
  <si>
    <t xml:space="preserve">Beef Tacos, Autumn Veggie Pot Pie, </t>
  </si>
  <si>
    <t xml:space="preserve">Italian Braised Beef, Autumn Veggie Pot Pie, </t>
  </si>
  <si>
    <t xml:space="preserve">Autumn Veggie Pot Pie, Sweet and Sour Pineapple Chicken, </t>
  </si>
  <si>
    <t xml:space="preserve">Classic Veggie Burger &amp; Fries, Pea-lafel , Autumn Veggie Pot Pie, </t>
  </si>
  <si>
    <t xml:space="preserve">Vegetarian Pizza, Autumn Veggie Pot Pie, Sweet and Sour Pineapple Chicken, </t>
  </si>
  <si>
    <t xml:space="preserve">Italian Braised Beef, Sweet and Sour Pineapple Chicken, </t>
  </si>
  <si>
    <t xml:space="preserve">Italian Braised Beef, Pea-lafel , </t>
  </si>
  <si>
    <t xml:space="preserve">Italian Braised Beef, Pea-lafel , Vegetarian Sweet &amp; Sour Pineapple Chicken, </t>
  </si>
  <si>
    <t>Sharon Cunningham</t>
  </si>
  <si>
    <t xml:space="preserve">Pea-lafel , Sweet and Sour Pineapple Chicken, </t>
  </si>
  <si>
    <t xml:space="preserve">Pea-lafel , Autumn Veggie Pot Pie, Sweet and Sour Pineapple Chicken, </t>
  </si>
  <si>
    <t xml:space="preserve">Pea-lafel , Autumn Veggie Pot Pie, Vegetarian Sweet &amp; Sour Pineapple Chicken, </t>
  </si>
  <si>
    <t xml:space="preserve">Italian Braised Beef, Turkey Tacos, </t>
  </si>
  <si>
    <t>Brooke Shay</t>
  </si>
  <si>
    <t xml:space="preserve">Beef Tacos, Autumn Veggie Pot Pie, Sweet and Sour Pineapple Chicken, </t>
  </si>
  <si>
    <t>tiffany elkin</t>
  </si>
  <si>
    <t xml:space="preserve">Italian Braised Beef, Classic Burger &amp; Fries, Autumn Veggie Pot Pie, </t>
  </si>
  <si>
    <t>Shannon Currie</t>
  </si>
  <si>
    <t>Jessica Mueller</t>
  </si>
  <si>
    <t>sugar_gf,or_gf</t>
  </si>
  <si>
    <t xml:space="preserve">Danielle Simon </t>
  </si>
  <si>
    <t>Harriet Johnson</t>
  </si>
  <si>
    <t xml:space="preserve">Pizza, Italian Braised Beef, Classic Burger &amp; Fries, </t>
  </si>
  <si>
    <t>chip_gf,sugar_gf,break_gf</t>
  </si>
  <si>
    <t xml:space="preserve">Classic Burger &amp; Fries, Turkey Tacos, Autumn Veggie Pot Pie, </t>
  </si>
  <si>
    <t xml:space="preserve">Italian Braised Beef, Classic Burger &amp; Fries, </t>
  </si>
  <si>
    <t>Laura Desautels</t>
  </si>
  <si>
    <t>Melinda Brown</t>
  </si>
  <si>
    <t>Lara Porter</t>
  </si>
  <si>
    <t xml:space="preserve">Pizza, Italian Braised Beef, </t>
  </si>
  <si>
    <t xml:space="preserve">Turkey Tacos, Pea-lafel , </t>
  </si>
  <si>
    <t>Leigh Casamento</t>
  </si>
  <si>
    <t>Melissa Stewart</t>
  </si>
  <si>
    <t>Blue,Blue,Blue,Boost,Boost,Antiox,Antiox,PBJ,PBJ</t>
  </si>
  <si>
    <t xml:space="preserve">Pizza, Italian Braised Beef, Beef Tacos, </t>
  </si>
  <si>
    <t xml:space="preserve">Turkey Tacos, Autumn Veggie Pot Pie, </t>
  </si>
  <si>
    <t>PBJ,Green,Boost,Vitc</t>
  </si>
  <si>
    <t>Arianna  Sandefur</t>
  </si>
  <si>
    <t xml:space="preserve">Classic Burger &amp; Fries, Sweet and Sour Pineapple Chicken, </t>
  </si>
  <si>
    <t xml:space="preserve">Classic Burger &amp; Fries, Turkey Tacos, Sweet and Sour Pineapple Chicken, </t>
  </si>
  <si>
    <t>Natalie Dyer</t>
  </si>
  <si>
    <t xml:space="preserve">Italian Braised Beef, Beef Tacos, </t>
  </si>
  <si>
    <t>Jenni Kaloger</t>
  </si>
  <si>
    <t>amanda reed</t>
  </si>
  <si>
    <t>michelle karamesic</t>
  </si>
  <si>
    <t>lisa braidech</t>
  </si>
  <si>
    <t xml:space="preserve">Italian Braised Beef, Turkey Tacos, Sweet and Sour Pineapple Chicken, </t>
  </si>
  <si>
    <t xml:space="preserve">Pea-lafel , Autumn Veggie Pot Pie, </t>
  </si>
  <si>
    <t>Bethany Smith</t>
  </si>
  <si>
    <t xml:space="preserve">Pizza, Italian Braised Beef, Sweet and Sour Pineapple Chicken, </t>
  </si>
  <si>
    <t>kristi bender</t>
  </si>
  <si>
    <t>Eunice Dunham</t>
  </si>
  <si>
    <t>dana wasdin</t>
  </si>
  <si>
    <t xml:space="preserve">Italian Braised Beef, Classic Turkey Burger &amp; Fries, </t>
  </si>
  <si>
    <t xml:space="preserve">Italian Braised Beef, Classic Veggie Burger &amp; Fries, Turkey Tacos, </t>
  </si>
  <si>
    <t>aida garcia-toledo</t>
  </si>
  <si>
    <t>Celeste Coller</t>
  </si>
  <si>
    <t>Lisa Doliner</t>
  </si>
  <si>
    <t>Melissa Decker</t>
  </si>
  <si>
    <t>Melissa Pollastrini</t>
  </si>
  <si>
    <t xml:space="preserve">Pizza, Autumn Veggie Pot Pie, </t>
  </si>
  <si>
    <t xml:space="preserve">Pizza, Turkey Tacos, Autumn Veggie Pot Pie, </t>
  </si>
  <si>
    <t xml:space="preserve">Pizza, Turkey Tacos, Sweet and Sour Pineapple Chicken, </t>
  </si>
  <si>
    <t xml:space="preserve">Turkey Tacos, Pea-lafel , Sweet and Sour Pineapple Chicken, </t>
  </si>
  <si>
    <t xml:space="preserve">Veggie Tacos, Pea-lafel , Autumn Veggie Pot Pie, </t>
  </si>
  <si>
    <t>Calypso Fugit</t>
  </si>
  <si>
    <t xml:space="preserve">Classic Turkey Burger &amp; Fries, Autumn Veggie Pot Pie, Sweet and Sour Pineapple Chicken, </t>
  </si>
  <si>
    <t>Valerie Strozek</t>
  </si>
  <si>
    <t xml:space="preserve">Classic Turkey Burger &amp; Fries, Pea-lafel , Vegetarian Sweet &amp; Sour Pineapple Chicken, </t>
  </si>
  <si>
    <t>Autumn Beam</t>
  </si>
  <si>
    <t>Laurie Webber</t>
  </si>
  <si>
    <t>Kelly Bruns</t>
  </si>
  <si>
    <t>Green,Blue,Boost,Antiox</t>
  </si>
  <si>
    <t xml:space="preserve">Autumn Veggie Pot Pie, Vegetarian Sweet &amp; Sour Pineapple Chicken, </t>
  </si>
  <si>
    <t xml:space="preserve">Classic Burger &amp; Fries, Autumn Veggie Pot Pie, Sweet and Sour Pineapple Chicken, </t>
  </si>
  <si>
    <t>Erika Cash</t>
  </si>
  <si>
    <t>Paul Power</t>
  </si>
  <si>
    <t>Jennifer  Wallace</t>
  </si>
  <si>
    <t xml:space="preserve">Turkey Tacos, Pea-lafel , Autumn Veggie Pot Pie, </t>
  </si>
  <si>
    <t>Christine Fischer</t>
  </si>
  <si>
    <t xml:space="preserve">Vegetarian Sweet &amp; Sour Pineapple Chicken, Sweet and Sour Pineapple Chicken, </t>
  </si>
  <si>
    <t>Starlene Reyes</t>
  </si>
  <si>
    <t xml:space="preserve">Classic Veggie Burger &amp; Fries, Vegetarian Pizza, Autumn Veggie Pot Pie, </t>
  </si>
  <si>
    <t>PBJ,PBJ,Blue,Blue,Boost,Boost,Antiox,Antiox,Vitc,Vitc</t>
  </si>
  <si>
    <t>Trinity Miller</t>
  </si>
  <si>
    <t xml:space="preserve">Bonnie  Lin </t>
  </si>
  <si>
    <t>Kathy Ducharme</t>
  </si>
  <si>
    <t xml:space="preserve">Classic Burger &amp; Fries, Pea-lafel , Sweet and Sour Pineapple Chicken, </t>
  </si>
  <si>
    <t xml:space="preserve">Classic Turkey Burger &amp; Fries, Turkey Tacos, Sweet and Sour Pineapple Chicken, </t>
  </si>
  <si>
    <t xml:space="preserve">Classic Veggie Burger &amp; Fries, Autumn Veggie Pot Pie, Vegetarian Sweet &amp; Sour Pineapple Chicken, </t>
  </si>
  <si>
    <t xml:space="preserve">Classic Veggie Burger &amp; Fries, Pea-lafel , </t>
  </si>
  <si>
    <t>Carly Olsen</t>
  </si>
  <si>
    <t>Ryan Maas</t>
  </si>
  <si>
    <t>Rosie Wei</t>
  </si>
  <si>
    <t>Danielle Lipking</t>
  </si>
  <si>
    <t>Carla Philbrick</t>
  </si>
  <si>
    <t>Diane Salcedo</t>
  </si>
  <si>
    <t xml:space="preserve">Turkey Tacos, Autumn Veggie Pot Pie, Sweet and Sour Pineapple Chicken, </t>
  </si>
  <si>
    <t>Cori Stahl</t>
  </si>
  <si>
    <t>Green,Green,Boost</t>
  </si>
  <si>
    <t>Elizabeth Shier</t>
  </si>
  <si>
    <t>Gennifer Hass</t>
  </si>
  <si>
    <t>Audra Gott</t>
  </si>
  <si>
    <t xml:space="preserve">Beef Tacos, Sweet and Sour Pineapple Chicken, </t>
  </si>
  <si>
    <t xml:space="preserve">Beef Tacos, Vegetarian Sweet &amp; Sour Pineapple Chicken, </t>
  </si>
  <si>
    <t>Nicole Mohr</t>
  </si>
  <si>
    <t xml:space="preserve">Classic Veggie Burger &amp; Fries, Autumn Veggie Pot Pie, </t>
  </si>
  <si>
    <t>Elspeth Bevan</t>
  </si>
  <si>
    <t xml:space="preserve">Classic Veggie Burger &amp; Fries, Turkey Tacos, </t>
  </si>
  <si>
    <t>Eli Wagner</t>
  </si>
  <si>
    <t>Jen Weimer</t>
  </si>
  <si>
    <t>Hanting Chao</t>
  </si>
  <si>
    <t>Hayden Ellison</t>
  </si>
  <si>
    <t xml:space="preserve">Italian Braised Beef, Beef Tacos, Pea-lafel , </t>
  </si>
  <si>
    <t>Victoria Henson-Apollonio</t>
  </si>
  <si>
    <t xml:space="preserve">Italian Braised Beef, Beef Tacos, Sweet and Sour Pineapple Chicken, </t>
  </si>
  <si>
    <t xml:space="preserve">Italian Braised Beef, Classic Burger &amp; Fries, Beef Tacos, </t>
  </si>
  <si>
    <t xml:space="preserve">Italian Braised Beef, Classic Burger &amp; Fries, Pea-lafel , </t>
  </si>
  <si>
    <t xml:space="preserve">Italian Braised Beef, Classic Burger &amp; Fries, Sweet and Sour Pineapple Chicken, </t>
  </si>
  <si>
    <t>Krys Montgomery</t>
  </si>
  <si>
    <t>Ashley Burnett</t>
  </si>
  <si>
    <t>Sarah Bolka</t>
  </si>
  <si>
    <t>Kristy  Little</t>
  </si>
  <si>
    <t>Chelsea Bond</t>
  </si>
  <si>
    <t>Lisa Pensick</t>
  </si>
  <si>
    <t xml:space="preserve">Italian Braised Beef, Vegetarian Pizza, </t>
  </si>
  <si>
    <t xml:space="preserve">Italian Braised Beef, Vegetarian Pizza, Autumn Veggie Pot Pie, </t>
  </si>
  <si>
    <t xml:space="preserve">Kyle Biebesheimer </t>
  </si>
  <si>
    <t>Julie Carey</t>
  </si>
  <si>
    <t xml:space="preserve">Pea-lafel , Vegetarian Sweet &amp; Sour Pineapple Chicken, </t>
  </si>
  <si>
    <t xml:space="preserve">Pizza, Italian Braised Beef, Autumn Veggie Pot Pie, </t>
  </si>
  <si>
    <t xml:space="preserve">Pizza, Pea-lafel , Autumn Veggie Pot Pie, </t>
  </si>
  <si>
    <t>Gina Higbie</t>
  </si>
  <si>
    <t xml:space="preserve">Pizza, Sweet and Sour Pineapple Chicken, </t>
  </si>
  <si>
    <t xml:space="preserve">Turkey Tacos, Sweet and Sour Pineapple Chicken, </t>
  </si>
  <si>
    <t>Simone Johnston</t>
  </si>
  <si>
    <t xml:space="preserve">Classic Turkey Burger &amp; Fries, Pea-lafel , </t>
  </si>
  <si>
    <t>chip,or,break_gf</t>
  </si>
  <si>
    <t xml:space="preserve">Italian Braised Beef, Beef Tacos, Autumn Veggie Pot Pie, </t>
  </si>
  <si>
    <t>VISRIN VICHIT-VADAKAN</t>
  </si>
  <si>
    <t>Pilar Bernard</t>
  </si>
  <si>
    <t>Jeni Child</t>
  </si>
  <si>
    <t>Gina Lenz</t>
  </si>
  <si>
    <t>Blue,Blue,Blue,Boost,Boost,Boost,Antiox,Antiox,Antiox</t>
  </si>
  <si>
    <t>PBJ,PBJ,Boost,Boost,Antiox,Antiox</t>
  </si>
  <si>
    <t>Tanya Gradet</t>
  </si>
  <si>
    <t>Debbi Stern</t>
  </si>
  <si>
    <t>Aisha Barbeau</t>
  </si>
  <si>
    <t>Andrew Eddy</t>
  </si>
  <si>
    <t>Kristine Narens</t>
  </si>
  <si>
    <t xml:space="preserve">Beef Tacos, Pea-lafel , Sweet and Sour Pineapple Chicken, </t>
  </si>
  <si>
    <t>Natasja Wulff Pedersen</t>
  </si>
  <si>
    <t xml:space="preserve">Classic Burger &amp; Fries, Autumn Veggie Pot Pie, </t>
  </si>
  <si>
    <t>Camiella Esaklul</t>
  </si>
  <si>
    <t xml:space="preserve">Classic Turkey Burger &amp; Fries, Autumn Veggie Pot Pie, </t>
  </si>
  <si>
    <t xml:space="preserve">Classic Turkey Burger &amp; Fries, Beef Tacos, </t>
  </si>
  <si>
    <t>natalie Porter</t>
  </si>
  <si>
    <t xml:space="preserve">Classic Turkey Burger &amp; Fries, Pea-lafel , Sweet and Sour Pineapple Chicken, </t>
  </si>
  <si>
    <t xml:space="preserve">Classic Turkey Burger &amp; Fries, Sweet and Sour Pineapple Chicken, </t>
  </si>
  <si>
    <t>Leah Sultan</t>
  </si>
  <si>
    <t>Carol Reid</t>
  </si>
  <si>
    <t>Angela Sheldon</t>
  </si>
  <si>
    <t>Sara ONeill</t>
  </si>
  <si>
    <t>Kristin Gullo</t>
  </si>
  <si>
    <t>Raluca Muggridge</t>
  </si>
  <si>
    <t xml:space="preserve">   Charleene  Fernandez </t>
  </si>
  <si>
    <t>Leandra Wills</t>
  </si>
  <si>
    <t>Katie Somers</t>
  </si>
  <si>
    <t>Jennifer Mulligan</t>
  </si>
  <si>
    <t>Emily Sullivan</t>
  </si>
  <si>
    <t>brittany baker</t>
  </si>
  <si>
    <t>Beverly Cheung</t>
  </si>
  <si>
    <t>Kate Quinn</t>
  </si>
  <si>
    <t>THERESA TRAHAN-HALME</t>
  </si>
  <si>
    <t xml:space="preserve">Italian Braised Beef, Classic Burger &amp; Fries, Turkey Tacos, </t>
  </si>
  <si>
    <t xml:space="preserve">Italian Braised Beef, Classic Burger &amp; Fries, Vegetarian Pizza, </t>
  </si>
  <si>
    <t xml:space="preserve">Italian Braised Beef, Classic Turkey Burger &amp; Fries, Sweet and Sour Pineapple Chicken, </t>
  </si>
  <si>
    <t xml:space="preserve">Italian Braised Beef, Classic Veggie Burger &amp; Fries, </t>
  </si>
  <si>
    <t>Sarah Martini</t>
  </si>
  <si>
    <t>Maggie Torsney-Weir</t>
  </si>
  <si>
    <t>Heather Lancelot</t>
  </si>
  <si>
    <t>Melissa Karz</t>
  </si>
  <si>
    <t xml:space="preserve">Sarah  Cieto </t>
  </si>
  <si>
    <t>Amy  Newcomer</t>
  </si>
  <si>
    <t>Christine Smyth</t>
  </si>
  <si>
    <t>Cherry St Herman</t>
  </si>
  <si>
    <t>Nicole Arlook</t>
  </si>
  <si>
    <t>Jennifer Cops</t>
  </si>
  <si>
    <t>Tiffany Kundmueller</t>
  </si>
  <si>
    <t>Stacey Noland</t>
  </si>
  <si>
    <t>Erin Goodpasture</t>
  </si>
  <si>
    <t>Debbie Flores</t>
  </si>
  <si>
    <t>Bianca Smith</t>
  </si>
  <si>
    <t>Robyn Arthur</t>
  </si>
  <si>
    <t>Greg Ludke</t>
  </si>
  <si>
    <t xml:space="preserve">Italian Braised Beef, Turkey Tacos, Autumn Veggie Pot Pie, </t>
  </si>
  <si>
    <t xml:space="preserve">Italian Braised Beef, Vegetarian Sweet &amp; Sour Pineapple Chicken, </t>
  </si>
  <si>
    <t>Sarah Kane</t>
  </si>
  <si>
    <t>Elisheia Pala</t>
  </si>
  <si>
    <t>Laura Mizner</t>
  </si>
  <si>
    <t>DANIELLE NIELSEN</t>
  </si>
  <si>
    <t>Anne Gips</t>
  </si>
  <si>
    <t xml:space="preserve">Pizza, Autumn Veggie Pot Pie, Sweet and Sour Pineapple Chicken, </t>
  </si>
  <si>
    <t xml:space="preserve">Pizza, Autumn Veggie Pot Pie, Vegetarian Sweet &amp; Sour Pineapple Chicken, </t>
  </si>
  <si>
    <t>Christine Kelso</t>
  </si>
  <si>
    <t>Katie Minor</t>
  </si>
  <si>
    <t>Adriana Strawn</t>
  </si>
  <si>
    <t xml:space="preserve">Turkey Tacos, Pea-lafel , Vegetarian Sweet &amp; Sour Pineapple Chicken, </t>
  </si>
  <si>
    <t xml:space="preserve">Vegetarian Pizza, Autumn Veggie Pot Pie, Vegetarian Sweet &amp; Sour Pineapple Chicken, </t>
  </si>
  <si>
    <t xml:space="preserve">Veggie Tacos, Autumn Veggie Pot Pie, </t>
  </si>
  <si>
    <t>Neha Narang</t>
  </si>
  <si>
    <t xml:space="preserve">Veggie Tacos, Pea-lafel , </t>
  </si>
  <si>
    <t>Green,Boost,Vitc</t>
  </si>
  <si>
    <t xml:space="preserve">Classic Veggie Burger &amp; Fries, Beef Tacos, Sweet and Sour Pineapple Chicken, </t>
  </si>
  <si>
    <t>Green,Vitc</t>
  </si>
  <si>
    <t xml:space="preserve">Italian Braised Beef, Autumn Veggie Pot Pie, Vegetarian Sweet &amp; Sour Pineapple Chicken, </t>
  </si>
  <si>
    <t>Nicole Van Doren</t>
  </si>
  <si>
    <t xml:space="preserve">Italian Braised Beef, Classic Turkey Burger &amp; Fries, Turkey Tacos, </t>
  </si>
  <si>
    <t>Stacey Lee</t>
  </si>
  <si>
    <t>Boost,Green</t>
  </si>
  <si>
    <t xml:space="preserve">Sarah  Stevenson </t>
  </si>
  <si>
    <t>Elizabeth  Henry</t>
  </si>
  <si>
    <t>PBJ,PBJ,Vitc,Vitc</t>
  </si>
  <si>
    <t xml:space="preserve">Rebecca Raskin </t>
  </si>
  <si>
    <t>PBJ,PBJ</t>
  </si>
  <si>
    <t>PBJ,Blue,Bigred,Vitc</t>
  </si>
  <si>
    <t xml:space="preserve">Pizza, Pea-lafel , Sweet and Sour Pineapple Chicken, </t>
  </si>
  <si>
    <t>Stacie Stokes</t>
  </si>
  <si>
    <t>Angela McCoy</t>
  </si>
  <si>
    <t xml:space="preserve">Vegetarian Pizza, Pea-lafel , Autumn Veggie Pot Pie, </t>
  </si>
  <si>
    <t>Jacqui Liss</t>
  </si>
  <si>
    <t>Shelley Burnett</t>
  </si>
  <si>
    <t>Kristi Haslam</t>
  </si>
  <si>
    <t>Christine Garcia</t>
  </si>
  <si>
    <t xml:space="preserve">Classic Veggie Burger &amp; Fries, Beef Tacos, </t>
  </si>
  <si>
    <t>Sachi Price</t>
  </si>
  <si>
    <t>Riddhi Shah</t>
  </si>
  <si>
    <t xml:space="preserve">Classic Veggie Burger &amp; Fries, Vegetarian Sweet &amp; Sour Pineapple Chicken, </t>
  </si>
  <si>
    <t>Annie Lefton</t>
  </si>
  <si>
    <t>Becky Bodonyi</t>
  </si>
  <si>
    <t>KATE WALTERS</t>
  </si>
  <si>
    <t>Raquel Cruz</t>
  </si>
  <si>
    <t>Victoria Marsee</t>
  </si>
  <si>
    <t>Stacey Said</t>
  </si>
  <si>
    <t>Jason Lowe</t>
  </si>
  <si>
    <t xml:space="preserve">Camille Bartolomei </t>
  </si>
  <si>
    <t>Amy Pley</t>
  </si>
  <si>
    <t xml:space="preserve">Italian Braised Beef, Classic Turkey Burger &amp; Fries, Autumn Veggie Pot Pie, </t>
  </si>
  <si>
    <t xml:space="preserve">Italian Braised Beef, Classic Turkey Burger &amp; Fries, Pea-lafel , </t>
  </si>
  <si>
    <t>Angela Young</t>
  </si>
  <si>
    <t xml:space="preserve">Italian Braised Beef, Classic Veggie Burger &amp; Fries, Autumn Veggie Pot Pie, </t>
  </si>
  <si>
    <t>Yun Lingner</t>
  </si>
  <si>
    <t>Leah Smith</t>
  </si>
  <si>
    <t>Kris Garrett</t>
  </si>
  <si>
    <t>Caroline Chiles</t>
  </si>
  <si>
    <t>Summer Redmon</t>
  </si>
  <si>
    <t>Paul Nilsson</t>
  </si>
  <si>
    <t>Nicole Ramos</t>
  </si>
  <si>
    <t>Kimberly Velo</t>
  </si>
  <si>
    <t>Noe Steadly</t>
  </si>
  <si>
    <t>Camilla Beste</t>
  </si>
  <si>
    <t>Jessica Berlin</t>
  </si>
  <si>
    <t>Jamie Mayer</t>
  </si>
  <si>
    <t>Anand Parthasarathy</t>
  </si>
  <si>
    <t>Kara Bethea</t>
  </si>
  <si>
    <t>Tish Kelly-Mick</t>
  </si>
  <si>
    <t>Sara Gray</t>
  </si>
  <si>
    <t>Hadia Ahmed</t>
  </si>
  <si>
    <t xml:space="preserve">Pizza, Beef Tacos, Sweet and Sour Pineapple Chicken, </t>
  </si>
  <si>
    <t>Alison Young</t>
  </si>
  <si>
    <t xml:space="preserve">Pizza, Classic Turkey Burger &amp; Fries, </t>
  </si>
  <si>
    <t>Alison Woods</t>
  </si>
  <si>
    <t xml:space="preserve">Pizza, Italian Braised Beef, Pea-lafel , </t>
  </si>
  <si>
    <t>Megan Lynn</t>
  </si>
  <si>
    <t xml:space="preserve">Pizza, Pea-lafel , </t>
  </si>
  <si>
    <t>Kari Worthington</t>
  </si>
  <si>
    <t>Debbie Haslem</t>
  </si>
  <si>
    <t>Audrey Schena</t>
  </si>
  <si>
    <t>Elissa Windisch</t>
  </si>
  <si>
    <t xml:space="preserve">Vegetarian Pizza, Pea-lafel , </t>
  </si>
  <si>
    <t xml:space="preserve">Vegetarian Pizza, Sweet and Sour Pineapple Chicken, </t>
  </si>
  <si>
    <t>Mia Hays</t>
  </si>
  <si>
    <t xml:space="preserve">Vegetarian Pizza, Turkey Tacos, </t>
  </si>
  <si>
    <t>Antiox,Vitc</t>
  </si>
  <si>
    <t xml:space="preserve">Beef Tacos, Pea-lafel , </t>
  </si>
  <si>
    <t>Vitc,Vitc</t>
  </si>
  <si>
    <t>Emily Kosuge</t>
  </si>
  <si>
    <t>Nicole Hamilton</t>
  </si>
  <si>
    <t>Green,Green,Bigred,Bigred</t>
  </si>
  <si>
    <t>Jessica Hart</t>
  </si>
  <si>
    <t>RICK SPAELTI</t>
  </si>
  <si>
    <t>Liz Westbrook</t>
  </si>
  <si>
    <t>Alison Doucette</t>
  </si>
  <si>
    <t>Alena Dudzinskaya</t>
  </si>
  <si>
    <t>Christina Guevara</t>
  </si>
  <si>
    <t>Green,Blue,Boost,Vitc</t>
  </si>
  <si>
    <t xml:space="preserve">Vegetarian Pizza, Pea-lafel , Sweet and Sour Pineapple Chicken, </t>
  </si>
  <si>
    <t>Nathalie Sautner</t>
  </si>
  <si>
    <t>Lisa Schafer</t>
  </si>
  <si>
    <t xml:space="preserve">Classic Veggie Burger &amp; Fries, Vegetarian Pizza, </t>
  </si>
  <si>
    <t xml:space="preserve">Classic Veggie Burger &amp; Fries, Vegetarian Pizza, Pea-lafel , </t>
  </si>
  <si>
    <t>Keri Tran</t>
  </si>
  <si>
    <t>Tera Estes</t>
  </si>
  <si>
    <t>Hallie Ingram</t>
  </si>
  <si>
    <t>Heather McKenney</t>
  </si>
  <si>
    <t>Jodie Gerdes</t>
  </si>
  <si>
    <t xml:space="preserve">Elizabeth  Runevitch </t>
  </si>
  <si>
    <t>Katie Knoche</t>
  </si>
  <si>
    <t>Jenny Koplin</t>
  </si>
  <si>
    <t>Sarah Karimzadeh</t>
  </si>
  <si>
    <t>Amy Cotteleer</t>
  </si>
  <si>
    <t>Natalie Moreland</t>
  </si>
  <si>
    <t>Lena Adishian</t>
  </si>
  <si>
    <t>Shannon  Westmore</t>
  </si>
  <si>
    <t>Lisa Bowen</t>
  </si>
  <si>
    <t>LILLI Casillas</t>
  </si>
  <si>
    <t>Ann Fisher</t>
  </si>
  <si>
    <t>Carly Tiernan</t>
  </si>
  <si>
    <t>Amy OMalley</t>
  </si>
  <si>
    <t>Sonia Sauer</t>
  </si>
  <si>
    <t>Jessica Schilling</t>
  </si>
  <si>
    <t>Christiane Langer</t>
  </si>
  <si>
    <t>Annette Romios</t>
  </si>
  <si>
    <t>Alexis Clarke</t>
  </si>
  <si>
    <t>Gregory Sharron</t>
  </si>
  <si>
    <t xml:space="preserve">Pizza, Classic Burger &amp; Fries, Autumn Veggie Pot Pie, </t>
  </si>
  <si>
    <t>Valerie Kelly</t>
  </si>
  <si>
    <t>Linda le</t>
  </si>
  <si>
    <t>Anna Marvin</t>
  </si>
  <si>
    <t xml:space="preserve">Vegetarian Pizza, Autumn Veggie Pot Pie, </t>
  </si>
  <si>
    <t>Kerry Cochran</t>
  </si>
  <si>
    <t xml:space="preserve">Vegetarian Pizza, Beef Tacos, Autumn Veggie Pot Pie, </t>
  </si>
  <si>
    <t xml:space="preserve">Vegetarian Pizza, Pea-lafel , Vegetarian Sweet &amp; Sour Pineapple Chicken, </t>
  </si>
  <si>
    <t>Christina Vaughan</t>
  </si>
  <si>
    <t xml:space="preserve">Kaci Geller </t>
  </si>
  <si>
    <t>Ginie Brown</t>
  </si>
  <si>
    <t>Erica Leif</t>
  </si>
  <si>
    <t>PBJ,PBJ,Blue,Blue</t>
  </si>
  <si>
    <t>PBJ,Vitc,Vitc</t>
  </si>
  <si>
    <t>Green,Green,Green,Green,Green,Green,Green,Green</t>
  </si>
  <si>
    <t>Blue,Antiox</t>
  </si>
  <si>
    <t>Amy Wells</t>
  </si>
  <si>
    <t>Blue,Blue,Blue</t>
  </si>
  <si>
    <t>Lolade Akinwande</t>
  </si>
  <si>
    <t xml:space="preserve">Pea-lafel , Autumn Veggie Pot Pie, Veggie Tacos,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</si>
</sst>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rgb="FF0099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5"/>
      <color theme="9" tint="0.59999389629810485"/>
      <name val="Calibri"/>
      <family val="2"/>
      <scheme val="minor"/>
    </font>
    <font>
      <sz val="15"/>
      <color theme="5" tint="-0.499984740745262"/>
      <name val="Calibri"/>
      <family val="2"/>
      <scheme val="minor"/>
    </font>
    <font>
      <sz val="15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rgb="FF002060"/>
      <name val="Calibri"/>
      <family val="2"/>
      <scheme val="minor"/>
    </font>
    <font>
      <sz val="11"/>
      <color rgb="FFFF9933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99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3"/>
      <color rgb="FFFF9933"/>
      <name val="Calibri"/>
      <family val="2"/>
      <scheme val="minor"/>
    </font>
    <font>
      <sz val="15"/>
      <color rgb="FFFF993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9900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name val="Calibri"/>
      <family val="2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5"/>
      <color rgb="FFFF9933"/>
      <name val="Calibri"/>
      <family val="2"/>
      <scheme val="minor"/>
    </font>
    <font>
      <sz val="13"/>
      <color theme="5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99FF"/>
      <name val="Calibri"/>
      <family val="2"/>
      <scheme val="minor"/>
    </font>
    <font>
      <sz val="12"/>
      <color rgb="FFFF99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rgb="FFBCBC04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0000"/>
      <name val="Calibri"/>
      <family val="2"/>
    </font>
  </fonts>
  <fills count="7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0FFA1"/>
        <bgColor indexed="64"/>
      </patternFill>
    </fill>
    <fill>
      <patternFill patternType="solid">
        <fgColor rgb="FF33CC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9C9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A0B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93961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thin">
        <color theme="0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5">
    <xf numFmtId="0" fontId="0" fillId="0" borderId="0" xfId="0"/>
    <xf numFmtId="0" fontId="19" fillId="0" borderId="12" xfId="0" applyFont="1" applyBorder="1" applyAlignment="1" applyProtection="1">
      <alignment vertical="center" wrapText="1"/>
      <protection locked="0"/>
    </xf>
    <xf numFmtId="0" fontId="19" fillId="0" borderId="12" xfId="0" applyFont="1" applyBorder="1" applyAlignment="1" applyProtection="1">
      <alignment vertical="center"/>
      <protection locked="0"/>
    </xf>
    <xf numFmtId="0" fontId="20" fillId="33" borderId="13" xfId="0" applyFon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horizontal="center" vertical="center"/>
    </xf>
    <xf numFmtId="0" fontId="19" fillId="0" borderId="12" xfId="0" applyFont="1" applyBorder="1" applyAlignment="1" applyProtection="1">
      <alignment horizontal="center" vertical="center"/>
      <protection locked="0"/>
    </xf>
    <xf numFmtId="0" fontId="24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/>
    <xf numFmtId="0" fontId="23" fillId="34" borderId="12" xfId="0" applyFont="1" applyFill="1" applyBorder="1" applyAlignment="1">
      <alignment vertical="center" wrapText="1"/>
    </xf>
    <xf numFmtId="0" fontId="23" fillId="34" borderId="12" xfId="0" applyFont="1" applyFill="1" applyBorder="1" applyAlignment="1">
      <alignment horizontal="center" vertical="center" wrapText="1"/>
    </xf>
    <xf numFmtId="0" fontId="23" fillId="34" borderId="12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5" fillId="4" borderId="12" xfId="8" applyFont="1" applyBorder="1" applyAlignment="1">
      <alignment horizontal="center"/>
    </xf>
    <xf numFmtId="0" fontId="25" fillId="35" borderId="12" xfId="8" applyFont="1" applyFill="1" applyBorder="1" applyAlignment="1">
      <alignment horizontal="center"/>
    </xf>
    <xf numFmtId="0" fontId="25" fillId="36" borderId="12" xfId="6" applyFont="1" applyFill="1" applyBorder="1" applyAlignment="1">
      <alignment horizontal="center" vertical="center"/>
    </xf>
    <xf numFmtId="0" fontId="25" fillId="37" borderId="12" xfId="6" applyFont="1" applyFill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center" vertical="center"/>
    </xf>
    <xf numFmtId="0" fontId="26" fillId="40" borderId="12" xfId="0" applyFont="1" applyFill="1" applyBorder="1" applyAlignment="1">
      <alignment horizontal="center" vertical="center"/>
    </xf>
    <xf numFmtId="0" fontId="26" fillId="41" borderId="12" xfId="0" applyFont="1" applyFill="1" applyBorder="1" applyAlignment="1">
      <alignment horizontal="center" vertical="center"/>
    </xf>
    <xf numFmtId="0" fontId="27" fillId="42" borderId="12" xfId="0" applyFont="1" applyFill="1" applyBorder="1" applyAlignment="1">
      <alignment horizontal="center" vertical="center"/>
    </xf>
    <xf numFmtId="0" fontId="27" fillId="43" borderId="13" xfId="0" applyFont="1" applyFill="1" applyBorder="1" applyAlignment="1">
      <alignment horizontal="center" vertical="center"/>
    </xf>
    <xf numFmtId="0" fontId="25" fillId="44" borderId="12" xfId="8" applyFont="1" applyFill="1" applyBorder="1" applyAlignment="1">
      <alignment horizontal="center"/>
    </xf>
    <xf numFmtId="0" fontId="0" fillId="44" borderId="0" xfId="0" applyFill="1"/>
    <xf numFmtId="0" fontId="28" fillId="34" borderId="16" xfId="0" applyFont="1" applyFill="1" applyBorder="1" applyAlignment="1">
      <alignment horizontal="center" vertical="center"/>
    </xf>
    <xf numFmtId="0" fontId="28" fillId="45" borderId="16" xfId="0" applyFont="1" applyFill="1" applyBorder="1" applyAlignment="1">
      <alignment horizontal="center" vertical="center"/>
    </xf>
    <xf numFmtId="0" fontId="28" fillId="46" borderId="16" xfId="0" applyFont="1" applyFill="1" applyBorder="1" applyAlignment="1">
      <alignment horizontal="center" vertical="center"/>
    </xf>
    <xf numFmtId="0" fontId="28" fillId="47" borderId="16" xfId="0" applyFont="1" applyFill="1" applyBorder="1" applyAlignment="1">
      <alignment horizontal="center" vertical="center"/>
    </xf>
    <xf numFmtId="0" fontId="28" fillId="48" borderId="16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/>
    </xf>
    <xf numFmtId="0" fontId="29" fillId="49" borderId="16" xfId="0" applyFont="1" applyFill="1" applyBorder="1" applyAlignment="1">
      <alignment horizontal="center" vertical="center"/>
    </xf>
    <xf numFmtId="0" fontId="17" fillId="50" borderId="16" xfId="0" applyFont="1" applyFill="1" applyBorder="1" applyAlignment="1">
      <alignment horizontal="center" vertical="center"/>
    </xf>
    <xf numFmtId="0" fontId="17" fillId="45" borderId="17" xfId="0" applyFont="1" applyFill="1" applyBorder="1" applyAlignment="1">
      <alignment horizontal="center" vertical="center"/>
    </xf>
    <xf numFmtId="0" fontId="17" fillId="51" borderId="16" xfId="0" applyFont="1" applyFill="1" applyBorder="1" applyAlignment="1">
      <alignment horizontal="center" vertical="center"/>
    </xf>
    <xf numFmtId="0" fontId="17" fillId="52" borderId="16" xfId="0" applyFont="1" applyFill="1" applyBorder="1" applyAlignment="1">
      <alignment horizontal="center" vertical="center"/>
    </xf>
    <xf numFmtId="0" fontId="17" fillId="53" borderId="16" xfId="0" applyFont="1" applyFill="1" applyBorder="1" applyAlignment="1">
      <alignment horizontal="center" vertical="center"/>
    </xf>
    <xf numFmtId="0" fontId="17" fillId="48" borderId="16" xfId="0" applyFont="1" applyFill="1" applyBorder="1" applyAlignment="1">
      <alignment horizontal="center" vertical="center"/>
    </xf>
    <xf numFmtId="0" fontId="17" fillId="47" borderId="16" xfId="0" applyFont="1" applyFill="1" applyBorder="1" applyAlignment="1">
      <alignment horizontal="center" vertical="center"/>
    </xf>
    <xf numFmtId="0" fontId="31" fillId="33" borderId="15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34" fillId="34" borderId="16" xfId="0" applyFont="1" applyFill="1" applyBorder="1" applyAlignment="1">
      <alignment horizontal="center" vertical="center"/>
    </xf>
    <xf numFmtId="0" fontId="34" fillId="45" borderId="16" xfId="0" applyFont="1" applyFill="1" applyBorder="1" applyAlignment="1">
      <alignment horizontal="center" vertical="center"/>
    </xf>
    <xf numFmtId="0" fontId="34" fillId="46" borderId="16" xfId="0" applyFont="1" applyFill="1" applyBorder="1" applyAlignment="1">
      <alignment horizontal="center" vertical="center"/>
    </xf>
    <xf numFmtId="0" fontId="34" fillId="47" borderId="16" xfId="0" applyFont="1" applyFill="1" applyBorder="1" applyAlignment="1">
      <alignment horizontal="center" vertical="center"/>
    </xf>
    <xf numFmtId="0" fontId="34" fillId="48" borderId="16" xfId="0" applyFont="1" applyFill="1" applyBorder="1" applyAlignment="1">
      <alignment horizontal="center" vertical="center"/>
    </xf>
    <xf numFmtId="0" fontId="25" fillId="43" borderId="16" xfId="0" applyFont="1" applyFill="1" applyBorder="1" applyAlignment="1">
      <alignment horizontal="center" vertical="center"/>
    </xf>
    <xf numFmtId="0" fontId="25" fillId="49" borderId="16" xfId="0" applyFont="1" applyFill="1" applyBorder="1" applyAlignment="1">
      <alignment horizontal="center" vertical="center"/>
    </xf>
    <xf numFmtId="0" fontId="35" fillId="50" borderId="16" xfId="0" applyFont="1" applyFill="1" applyBorder="1" applyAlignment="1">
      <alignment horizontal="center" vertical="center"/>
    </xf>
    <xf numFmtId="0" fontId="35" fillId="45" borderId="17" xfId="0" applyFont="1" applyFill="1" applyBorder="1" applyAlignment="1">
      <alignment horizontal="center" vertical="center"/>
    </xf>
    <xf numFmtId="0" fontId="35" fillId="51" borderId="16" xfId="0" applyFont="1" applyFill="1" applyBorder="1" applyAlignment="1">
      <alignment horizontal="center" vertical="center"/>
    </xf>
    <xf numFmtId="0" fontId="35" fillId="52" borderId="16" xfId="0" applyFont="1" applyFill="1" applyBorder="1" applyAlignment="1">
      <alignment horizontal="center" vertical="center"/>
    </xf>
    <xf numFmtId="0" fontId="35" fillId="53" borderId="16" xfId="0" applyFont="1" applyFill="1" applyBorder="1" applyAlignment="1">
      <alignment horizontal="center" vertical="center"/>
    </xf>
    <xf numFmtId="0" fontId="35" fillId="48" borderId="16" xfId="0" applyFont="1" applyFill="1" applyBorder="1" applyAlignment="1">
      <alignment horizontal="center" vertical="center"/>
    </xf>
    <xf numFmtId="0" fontId="35" fillId="47" borderId="16" xfId="0" applyFont="1" applyFill="1" applyBorder="1" applyAlignment="1">
      <alignment horizontal="center" vertical="center"/>
    </xf>
    <xf numFmtId="0" fontId="25" fillId="55" borderId="12" xfId="0" applyFont="1" applyFill="1" applyBorder="1" applyAlignment="1">
      <alignment horizontal="center" vertical="center"/>
    </xf>
    <xf numFmtId="0" fontId="25" fillId="56" borderId="12" xfId="0" applyFont="1" applyFill="1" applyBorder="1" applyAlignment="1">
      <alignment horizontal="center" vertical="center"/>
    </xf>
    <xf numFmtId="0" fontId="25" fillId="57" borderId="12" xfId="0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0" fontId="25" fillId="42" borderId="12" xfId="0" applyFont="1" applyFill="1" applyBorder="1" applyAlignment="1">
      <alignment horizontal="center" vertical="center"/>
    </xf>
    <xf numFmtId="0" fontId="25" fillId="58" borderId="19" xfId="0" applyFont="1" applyFill="1" applyBorder="1" applyAlignment="1">
      <alignment horizontal="center" vertical="center"/>
    </xf>
    <xf numFmtId="0" fontId="25" fillId="59" borderId="12" xfId="0" applyFont="1" applyFill="1" applyBorder="1" applyAlignment="1">
      <alignment horizontal="center" vertical="center"/>
    </xf>
    <xf numFmtId="0" fontId="25" fillId="60" borderId="12" xfId="0" applyFont="1" applyFill="1" applyBorder="1" applyAlignment="1">
      <alignment horizontal="center" vertical="center"/>
    </xf>
    <xf numFmtId="0" fontId="25" fillId="61" borderId="12" xfId="0" applyFont="1" applyFill="1" applyBorder="1" applyAlignment="1">
      <alignment horizontal="center" vertical="center"/>
    </xf>
    <xf numFmtId="0" fontId="25" fillId="2" borderId="12" xfId="6" applyFont="1" applyBorder="1" applyAlignment="1">
      <alignment horizontal="center" vertical="center"/>
    </xf>
    <xf numFmtId="0" fontId="21" fillId="62" borderId="12" xfId="0" applyFont="1" applyFill="1" applyBorder="1" applyAlignment="1">
      <alignment horizontal="center" vertical="center"/>
    </xf>
    <xf numFmtId="0" fontId="27" fillId="42" borderId="13" xfId="0" applyFont="1" applyFill="1" applyBorder="1" applyAlignment="1">
      <alignment horizontal="center" vertical="center"/>
    </xf>
    <xf numFmtId="0" fontId="39" fillId="42" borderId="13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vertical="center"/>
    </xf>
    <xf numFmtId="0" fontId="21" fillId="33" borderId="14" xfId="0" applyFont="1" applyFill="1" applyBorder="1" applyAlignment="1">
      <alignment vertical="center"/>
    </xf>
    <xf numFmtId="0" fontId="21" fillId="33" borderId="15" xfId="0" applyFont="1" applyFill="1" applyBorder="1" applyAlignment="1">
      <alignment vertical="center"/>
    </xf>
    <xf numFmtId="0" fontId="21" fillId="33" borderId="0" xfId="0" applyFont="1" applyFill="1" applyAlignment="1">
      <alignment vertical="center"/>
    </xf>
    <xf numFmtId="0" fontId="21" fillId="33" borderId="12" xfId="0" applyFont="1" applyFill="1" applyBorder="1" applyAlignment="1">
      <alignment vertical="center"/>
    </xf>
    <xf numFmtId="0" fontId="30" fillId="0" borderId="23" xfId="0" applyFont="1" applyBorder="1" applyAlignment="1" applyProtection="1">
      <alignment horizontal="center" vertical="center"/>
      <protection locked="0"/>
    </xf>
    <xf numFmtId="0" fontId="40" fillId="33" borderId="15" xfId="0" applyFont="1" applyFill="1" applyBorder="1" applyAlignment="1">
      <alignment horizontal="center" vertical="center"/>
    </xf>
    <xf numFmtId="0" fontId="41" fillId="0" borderId="12" xfId="0" applyFont="1" applyBorder="1" applyAlignment="1" applyProtection="1">
      <alignment horizontal="center" vertical="center"/>
      <protection locked="0"/>
    </xf>
    <xf numFmtId="0" fontId="45" fillId="42" borderId="13" xfId="0" applyFont="1" applyFill="1" applyBorder="1" applyAlignment="1">
      <alignment horizontal="center" vertical="center"/>
    </xf>
    <xf numFmtId="0" fontId="25" fillId="63" borderId="18" xfId="0" applyFont="1" applyFill="1" applyBorder="1" applyAlignment="1">
      <alignment horizontal="center" vertical="center"/>
    </xf>
    <xf numFmtId="0" fontId="46" fillId="0" borderId="0" xfId="0" applyFont="1"/>
    <xf numFmtId="14" fontId="46" fillId="0" borderId="0" xfId="0" applyNumberFormat="1" applyFont="1"/>
    <xf numFmtId="0" fontId="1" fillId="32" borderId="0" xfId="41"/>
    <xf numFmtId="0" fontId="7" fillId="3" borderId="0" xfId="7" applyBorder="1"/>
    <xf numFmtId="0" fontId="1" fillId="28" borderId="0" xfId="37" quotePrefix="1" applyBorder="1"/>
    <xf numFmtId="0" fontId="6" fillId="2" borderId="0" xfId="6" applyBorder="1"/>
    <xf numFmtId="0" fontId="8" fillId="4" borderId="0" xfId="8" applyBorder="1"/>
    <xf numFmtId="0" fontId="17" fillId="9" borderId="0" xfId="18" applyBorder="1"/>
    <xf numFmtId="0" fontId="1" fillId="26" borderId="0" xfId="35" applyBorder="1"/>
    <xf numFmtId="0" fontId="9" fillId="5" borderId="4" xfId="9"/>
    <xf numFmtId="0" fontId="13" fillId="7" borderId="7" xfId="13"/>
    <xf numFmtId="0" fontId="1" fillId="64" borderId="0" xfId="41" applyFill="1"/>
    <xf numFmtId="0" fontId="7" fillId="3" borderId="0" xfId="7" applyNumberFormat="1" applyBorder="1"/>
    <xf numFmtId="0" fontId="1" fillId="48" borderId="0" xfId="41" applyFill="1"/>
    <xf numFmtId="0" fontId="1" fillId="65" borderId="0" xfId="41" applyFill="1"/>
    <xf numFmtId="0" fontId="1" fillId="47" borderId="0" xfId="41" applyFill="1"/>
    <xf numFmtId="0" fontId="1" fillId="66" borderId="0" xfId="41" applyFill="1"/>
    <xf numFmtId="0" fontId="9" fillId="5" borderId="26" xfId="9" applyBorder="1"/>
    <xf numFmtId="0" fontId="16" fillId="32" borderId="27" xfId="41" applyFont="1" applyBorder="1"/>
    <xf numFmtId="0" fontId="47" fillId="3" borderId="28" xfId="7" applyNumberFormat="1" applyFont="1" applyBorder="1"/>
    <xf numFmtId="0" fontId="16" fillId="28" borderId="28" xfId="37" quotePrefix="1" applyFont="1" applyBorder="1"/>
    <xf numFmtId="0" fontId="48" fillId="2" borderId="28" xfId="6" applyFont="1" applyBorder="1"/>
    <xf numFmtId="0" fontId="49" fillId="4" borderId="28" xfId="8" applyFont="1" applyBorder="1"/>
    <xf numFmtId="0" fontId="13" fillId="9" borderId="28" xfId="18" applyFont="1" applyBorder="1"/>
    <xf numFmtId="0" fontId="16" fillId="26" borderId="28" xfId="35" applyFont="1" applyBorder="1"/>
    <xf numFmtId="0" fontId="50" fillId="5" borderId="29" xfId="9" applyFont="1" applyBorder="1"/>
    <xf numFmtId="0" fontId="13" fillId="7" borderId="30" xfId="13" applyBorder="1"/>
    <xf numFmtId="0" fontId="1" fillId="44" borderId="0" xfId="41" applyFill="1"/>
    <xf numFmtId="0" fontId="1" fillId="44" borderId="0" xfId="31" applyFill="1" applyBorder="1"/>
    <xf numFmtId="0" fontId="1" fillId="44" borderId="31" xfId="31" applyFill="1" applyBorder="1"/>
    <xf numFmtId="0" fontId="16" fillId="48" borderId="0" xfId="41" applyFont="1" applyFill="1" applyBorder="1"/>
    <xf numFmtId="0" fontId="47" fillId="48" borderId="0" xfId="7" applyNumberFormat="1" applyFont="1" applyFill="1" applyBorder="1"/>
    <xf numFmtId="0" fontId="16" fillId="48" borderId="0" xfId="37" applyFont="1" applyFill="1" applyBorder="1"/>
    <xf numFmtId="0" fontId="48" fillId="48" borderId="0" xfId="6" applyFont="1" applyFill="1" applyBorder="1"/>
    <xf numFmtId="0" fontId="49" fillId="48" borderId="0" xfId="8" applyFont="1" applyFill="1" applyBorder="1"/>
    <xf numFmtId="0" fontId="13" fillId="48" borderId="0" xfId="18" applyFont="1" applyFill="1" applyBorder="1"/>
    <xf numFmtId="0" fontId="16" fillId="48" borderId="0" xfId="35" applyFont="1" applyFill="1" applyBorder="1"/>
    <xf numFmtId="0" fontId="50" fillId="48" borderId="32" xfId="9" applyFont="1" applyFill="1" applyBorder="1"/>
    <xf numFmtId="0" fontId="13" fillId="48" borderId="33" xfId="13" applyFill="1" applyBorder="1"/>
    <xf numFmtId="0" fontId="16" fillId="32" borderId="34" xfId="41" applyFont="1" applyBorder="1"/>
    <xf numFmtId="0" fontId="16" fillId="26" borderId="35" xfId="35" applyFont="1" applyBorder="1"/>
    <xf numFmtId="0" fontId="50" fillId="5" borderId="4" xfId="9" applyFont="1"/>
    <xf numFmtId="0" fontId="1" fillId="64" borderId="36" xfId="41" applyFill="1" applyBorder="1"/>
    <xf numFmtId="0" fontId="1" fillId="26" borderId="10" xfId="35" applyBorder="1"/>
    <xf numFmtId="0" fontId="0" fillId="34" borderId="0" xfId="0" applyFill="1"/>
    <xf numFmtId="0" fontId="1" fillId="48" borderId="36" xfId="41" applyFill="1" applyBorder="1"/>
    <xf numFmtId="0" fontId="0" fillId="52" borderId="0" xfId="0" applyFill="1"/>
    <xf numFmtId="0" fontId="1" fillId="65" borderId="36" xfId="41" applyFill="1" applyBorder="1"/>
    <xf numFmtId="0" fontId="0" fillId="50" borderId="0" xfId="0" applyFill="1"/>
    <xf numFmtId="0" fontId="1" fillId="47" borderId="36" xfId="41" applyFill="1" applyBorder="1"/>
    <xf numFmtId="0" fontId="0" fillId="47" borderId="0" xfId="0" applyFill="1"/>
    <xf numFmtId="0" fontId="1" fillId="66" borderId="36" xfId="41" applyFill="1" applyBorder="1"/>
    <xf numFmtId="0" fontId="13" fillId="7" borderId="37" xfId="13" applyBorder="1"/>
    <xf numFmtId="0" fontId="0" fillId="48" borderId="0" xfId="0" applyFill="1"/>
    <xf numFmtId="0" fontId="16" fillId="32" borderId="38" xfId="41" applyFont="1" applyBorder="1"/>
    <xf numFmtId="0" fontId="16" fillId="26" borderId="39" xfId="35" applyFont="1" applyBorder="1"/>
    <xf numFmtId="0" fontId="0" fillId="66" borderId="0" xfId="0" applyFill="1"/>
    <xf numFmtId="0" fontId="1" fillId="44" borderId="36" xfId="41" applyFill="1" applyBorder="1"/>
    <xf numFmtId="0" fontId="1" fillId="44" borderId="10" xfId="31" applyFill="1" applyBorder="1"/>
    <xf numFmtId="0" fontId="1" fillId="44" borderId="40" xfId="31" applyFill="1" applyBorder="1"/>
    <xf numFmtId="0" fontId="1" fillId="44" borderId="41" xfId="31" applyFill="1" applyBorder="1"/>
    <xf numFmtId="0" fontId="0" fillId="49" borderId="0" xfId="0" applyFill="1"/>
    <xf numFmtId="0" fontId="51" fillId="0" borderId="0" xfId="0" applyFont="1"/>
    <xf numFmtId="0" fontId="52" fillId="0" borderId="0" xfId="0" applyFont="1"/>
    <xf numFmtId="0" fontId="46" fillId="0" borderId="42" xfId="0" applyFont="1" applyBorder="1" applyAlignment="1">
      <alignment horizontal="left" vertical="center"/>
    </xf>
    <xf numFmtId="0" fontId="46" fillId="50" borderId="0" xfId="0" applyFont="1" applyFill="1"/>
    <xf numFmtId="0" fontId="53" fillId="67" borderId="0" xfId="0" applyFont="1" applyFill="1"/>
    <xf numFmtId="0" fontId="46" fillId="68" borderId="0" xfId="0" applyFont="1" applyFill="1"/>
    <xf numFmtId="0" fontId="16" fillId="48" borderId="43" xfId="41" applyFont="1" applyFill="1" applyBorder="1"/>
    <xf numFmtId="0" fontId="16" fillId="48" borderId="11" xfId="35" applyFont="1" applyFill="1" applyBorder="1"/>
    <xf numFmtId="0" fontId="50" fillId="48" borderId="44" xfId="9" applyFont="1" applyFill="1" applyBorder="1"/>
    <xf numFmtId="0" fontId="13" fillId="48" borderId="45" xfId="13" applyFill="1" applyBorder="1"/>
    <xf numFmtId="0" fontId="46" fillId="52" borderId="0" xfId="0" applyFont="1" applyFill="1"/>
    <xf numFmtId="0" fontId="46" fillId="0" borderId="42" xfId="0" applyFont="1" applyBorder="1" applyAlignment="1">
      <alignment horizontal="left" wrapText="1"/>
    </xf>
    <xf numFmtId="0" fontId="46" fillId="47" borderId="0" xfId="0" applyFont="1" applyFill="1"/>
    <xf numFmtId="0" fontId="46" fillId="48" borderId="0" xfId="0" applyFont="1" applyFill="1"/>
    <xf numFmtId="0" fontId="46" fillId="69" borderId="0" xfId="0" applyFont="1" applyFill="1"/>
    <xf numFmtId="0" fontId="46" fillId="0" borderId="46" xfId="0" applyFont="1" applyBorder="1" applyAlignment="1">
      <alignment horizontal="left" vertical="center"/>
    </xf>
    <xf numFmtId="1" fontId="0" fillId="0" borderId="0" xfId="0" applyNumberFormat="1"/>
    <xf numFmtId="0" fontId="46" fillId="0" borderId="47" xfId="0" applyFont="1" applyBorder="1" applyAlignment="1">
      <alignment horizontal="left" vertical="center"/>
    </xf>
    <xf numFmtId="0" fontId="16" fillId="47" borderId="48" xfId="0" applyFont="1" applyFill="1" applyBorder="1"/>
    <xf numFmtId="0" fontId="46" fillId="0" borderId="49" xfId="0" applyFont="1" applyBorder="1"/>
    <xf numFmtId="0" fontId="52" fillId="47" borderId="50" xfId="0" applyFont="1" applyFill="1" applyBorder="1"/>
    <xf numFmtId="0" fontId="0" fillId="0" borderId="51" xfId="0" applyBorder="1"/>
    <xf numFmtId="0" fontId="32" fillId="0" borderId="13" xfId="0" applyFont="1" applyBorder="1" applyAlignment="1" applyProtection="1">
      <alignment horizontal="center" vertical="center"/>
      <protection locked="0"/>
    </xf>
    <xf numFmtId="0" fontId="36" fillId="4" borderId="13" xfId="8" applyFont="1" applyBorder="1" applyAlignment="1">
      <alignment horizontal="center"/>
    </xf>
    <xf numFmtId="0" fontId="36" fillId="2" borderId="13" xfId="6" applyFont="1" applyBorder="1" applyAlignment="1">
      <alignment horizontal="center" vertical="center"/>
    </xf>
    <xf numFmtId="0" fontId="37" fillId="62" borderId="13" xfId="0" applyFont="1" applyFill="1" applyBorder="1" applyAlignment="1">
      <alignment horizontal="center" vertical="center"/>
    </xf>
    <xf numFmtId="0" fontId="38" fillId="40" borderId="13" xfId="0" applyFont="1" applyFill="1" applyBorder="1" applyAlignment="1">
      <alignment horizontal="center" vertical="center"/>
    </xf>
    <xf numFmtId="0" fontId="34" fillId="34" borderId="17" xfId="0" applyFont="1" applyFill="1" applyBorder="1" applyAlignment="1">
      <alignment horizontal="center" vertical="center"/>
    </xf>
    <xf numFmtId="0" fontId="25" fillId="63" borderId="15" xfId="0" applyFont="1" applyFill="1" applyBorder="1" applyAlignment="1">
      <alignment horizontal="center" vertical="center"/>
    </xf>
    <xf numFmtId="0" fontId="33" fillId="54" borderId="52" xfId="0" applyFont="1" applyFill="1" applyBorder="1" applyAlignment="1">
      <alignment horizontal="center" vertical="center"/>
    </xf>
    <xf numFmtId="0" fontId="25" fillId="41" borderId="53" xfId="8" applyFont="1" applyFill="1" applyBorder="1" applyAlignment="1">
      <alignment horizontal="center"/>
    </xf>
    <xf numFmtId="0" fontId="25" fillId="41" borderId="54" xfId="8" applyFont="1" applyFill="1" applyBorder="1" applyAlignment="1">
      <alignment horizontal="center"/>
    </xf>
    <xf numFmtId="0" fontId="25" fillId="49" borderId="55" xfId="0" applyFont="1" applyFill="1" applyBorder="1" applyAlignment="1">
      <alignment horizontal="center" vertical="center"/>
    </xf>
    <xf numFmtId="0" fontId="25" fillId="58" borderId="13" xfId="0" applyFont="1" applyFill="1" applyBorder="1" applyAlignment="1">
      <alignment horizontal="center" vertical="center"/>
    </xf>
    <xf numFmtId="0" fontId="35" fillId="50" borderId="17" xfId="0" applyFont="1" applyFill="1" applyBorder="1" applyAlignment="1">
      <alignment horizontal="center" vertical="center"/>
    </xf>
    <xf numFmtId="0" fontId="25" fillId="56" borderId="15" xfId="0" applyFont="1" applyFill="1" applyBorder="1" applyAlignment="1">
      <alignment horizontal="center" vertical="center"/>
    </xf>
    <xf numFmtId="0" fontId="25" fillId="4" borderId="13" xfId="8" applyFont="1" applyBorder="1" applyAlignment="1">
      <alignment horizontal="center"/>
    </xf>
    <xf numFmtId="0" fontId="25" fillId="2" borderId="13" xfId="6" applyFont="1" applyBorder="1" applyAlignment="1">
      <alignment horizontal="center" vertical="center"/>
    </xf>
    <xf numFmtId="0" fontId="21" fillId="62" borderId="13" xfId="0" applyFont="1" applyFill="1" applyBorder="1" applyAlignment="1">
      <alignment horizontal="center" vertical="center"/>
    </xf>
    <xf numFmtId="0" fontId="26" fillId="40" borderId="13" xfId="0" applyFont="1" applyFill="1" applyBorder="1" applyAlignment="1">
      <alignment horizontal="center" vertical="center"/>
    </xf>
    <xf numFmtId="0" fontId="21" fillId="33" borderId="56" xfId="0" applyFont="1" applyFill="1" applyBorder="1" applyAlignment="1">
      <alignment horizontal="center" vertical="center"/>
    </xf>
    <xf numFmtId="0" fontId="25" fillId="41" borderId="52" xfId="8" applyFont="1" applyFill="1" applyBorder="1" applyAlignment="1">
      <alignment horizontal="center"/>
    </xf>
    <xf numFmtId="0" fontId="42" fillId="4" borderId="13" xfId="8" applyFont="1" applyBorder="1" applyAlignment="1">
      <alignment horizontal="center"/>
    </xf>
    <xf numFmtId="0" fontId="42" fillId="2" borderId="13" xfId="6" applyFont="1" applyBorder="1" applyAlignment="1">
      <alignment horizontal="center" vertical="center"/>
    </xf>
    <xf numFmtId="0" fontId="43" fillId="62" borderId="13" xfId="0" applyFont="1" applyFill="1" applyBorder="1" applyAlignment="1">
      <alignment horizontal="center" vertical="center"/>
    </xf>
    <xf numFmtId="0" fontId="44" fillId="40" borderId="13" xfId="0" applyFont="1" applyFill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54" borderId="16" xfId="0" applyFont="1" applyFill="1" applyBorder="1" applyAlignment="1">
      <alignment horizontal="center" vertical="center"/>
    </xf>
    <xf numFmtId="0" fontId="34" fillId="54" borderId="55" xfId="0" applyFont="1" applyFill="1" applyBorder="1" applyAlignment="1">
      <alignment horizontal="center" vertical="center"/>
    </xf>
    <xf numFmtId="0" fontId="34" fillId="54" borderId="61" xfId="0" applyFont="1" applyFill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54" borderId="16" xfId="0" applyFont="1" applyFill="1" applyBorder="1" applyAlignment="1">
      <alignment horizontal="center" vertical="center"/>
    </xf>
    <xf numFmtId="0" fontId="33" fillId="54" borderId="6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6" fillId="0" borderId="56" xfId="0" applyFont="1" applyBorder="1" applyAlignment="1">
      <alignment horizontal="center" vertical="center"/>
    </xf>
    <xf numFmtId="0" fontId="56" fillId="52" borderId="12" xfId="0" applyFont="1" applyFill="1" applyBorder="1" applyAlignment="1">
      <alignment horizontal="center" vertical="center"/>
    </xf>
    <xf numFmtId="0" fontId="56" fillId="0" borderId="12" xfId="0" applyFont="1" applyBorder="1" applyAlignment="1">
      <alignment horizontal="center" vertical="center"/>
    </xf>
    <xf numFmtId="0" fontId="56" fillId="47" borderId="12" xfId="0" applyFont="1" applyFill="1" applyBorder="1" applyAlignment="1">
      <alignment horizontal="center" vertical="center"/>
    </xf>
    <xf numFmtId="0" fontId="56" fillId="48" borderId="12" xfId="0" applyFont="1" applyFill="1" applyBorder="1" applyAlignment="1">
      <alignment horizontal="center" vertical="center"/>
    </xf>
    <xf numFmtId="0" fontId="56" fillId="44" borderId="12" xfId="0" applyFont="1" applyFill="1" applyBorder="1" applyAlignment="1">
      <alignment horizontal="center" vertical="center"/>
    </xf>
    <xf numFmtId="0" fontId="56" fillId="46" borderId="12" xfId="0" applyFont="1" applyFill="1" applyBorder="1" applyAlignment="1">
      <alignment horizontal="center" vertical="center"/>
    </xf>
    <xf numFmtId="0" fontId="56" fillId="35" borderId="12" xfId="0" applyFont="1" applyFill="1" applyBorder="1" applyAlignment="1">
      <alignment horizontal="center" vertical="center"/>
    </xf>
    <xf numFmtId="0" fontId="56" fillId="0" borderId="67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6" fillId="61" borderId="12" xfId="0" applyFont="1" applyFill="1" applyBorder="1" applyAlignment="1">
      <alignment horizontal="center" vertical="center"/>
    </xf>
    <xf numFmtId="0" fontId="56" fillId="70" borderId="12" xfId="0" applyFont="1" applyFill="1" applyBorder="1" applyAlignment="1">
      <alignment horizontal="center" vertical="center"/>
    </xf>
    <xf numFmtId="49" fontId="56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55" fillId="0" borderId="68" xfId="0" applyFont="1" applyBorder="1" applyAlignment="1">
      <alignment horizontal="center" vertical="center"/>
    </xf>
    <xf numFmtId="0" fontId="22" fillId="65" borderId="56" xfId="0" applyFont="1" applyFill="1" applyBorder="1" applyAlignment="1">
      <alignment horizontal="center" vertical="center"/>
    </xf>
    <xf numFmtId="0" fontId="27" fillId="42" borderId="64" xfId="0" applyFont="1" applyFill="1" applyBorder="1" applyAlignment="1">
      <alignment horizontal="center" vertical="center"/>
    </xf>
    <xf numFmtId="0" fontId="27" fillId="42" borderId="69" xfId="0" applyFont="1" applyFill="1" applyBorder="1" applyAlignment="1">
      <alignment horizontal="center" vertical="center"/>
    </xf>
    <xf numFmtId="0" fontId="25" fillId="4" borderId="16" xfId="8" applyFont="1" applyBorder="1" applyAlignment="1">
      <alignment horizontal="center"/>
    </xf>
    <xf numFmtId="0" fontId="27" fillId="44" borderId="13" xfId="0" applyFont="1" applyFill="1" applyBorder="1" applyAlignment="1">
      <alignment horizontal="center" vertical="center"/>
    </xf>
    <xf numFmtId="0" fontId="25" fillId="44" borderId="16" xfId="8" applyFont="1" applyFill="1" applyBorder="1" applyAlignment="1">
      <alignment horizontal="center"/>
    </xf>
    <xf numFmtId="0" fontId="21" fillId="44" borderId="12" xfId="0" applyFont="1" applyFill="1" applyBorder="1" applyAlignment="1">
      <alignment horizontal="center" vertical="center"/>
    </xf>
    <xf numFmtId="0" fontId="26" fillId="44" borderId="12" xfId="0" applyFont="1" applyFill="1" applyBorder="1" applyAlignment="1">
      <alignment horizontal="center" vertical="center"/>
    </xf>
    <xf numFmtId="0" fontId="66" fillId="0" borderId="0" xfId="0" applyFont="1"/>
    <xf numFmtId="0" fontId="66" fillId="44" borderId="0" xfId="0" applyFont="1" applyFill="1"/>
    <xf numFmtId="0" fontId="26" fillId="44" borderId="22" xfId="6" applyFont="1" applyFill="1" applyBorder="1" applyAlignment="1">
      <alignment horizontal="center" vertical="center"/>
    </xf>
    <xf numFmtId="0" fontId="26" fillId="44" borderId="70" xfId="0" applyFont="1" applyFill="1" applyBorder="1" applyAlignment="1">
      <alignment horizontal="center" vertical="center"/>
    </xf>
    <xf numFmtId="0" fontId="27" fillId="44" borderId="69" xfId="0" applyFont="1" applyFill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65" fillId="44" borderId="71" xfId="0" applyFont="1" applyFill="1" applyBorder="1" applyAlignment="1">
      <alignment horizontal="center" vertical="center"/>
    </xf>
    <xf numFmtId="0" fontId="66" fillId="48" borderId="0" xfId="0" applyFont="1" applyFill="1"/>
    <xf numFmtId="0" fontId="0" fillId="0" borderId="0" xfId="0" applyAlignment="1">
      <alignment horizontal="center" vertical="center"/>
    </xf>
    <xf numFmtId="0" fontId="21" fillId="62" borderId="20" xfId="0" applyFont="1" applyFill="1" applyBorder="1" applyAlignment="1">
      <alignment horizontal="center" vertical="center"/>
    </xf>
    <xf numFmtId="0" fontId="21" fillId="62" borderId="2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1" fillId="44" borderId="21" xfId="0" applyFont="1" applyFill="1" applyBorder="1" applyAlignment="1">
      <alignment horizontal="center" vertical="center"/>
    </xf>
    <xf numFmtId="0" fontId="34" fillId="54" borderId="68" xfId="0" applyFont="1" applyFill="1" applyBorder="1" applyAlignment="1">
      <alignment horizontal="center" vertical="center"/>
    </xf>
    <xf numFmtId="0" fontId="34" fillId="54" borderId="0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62" fillId="45" borderId="14" xfId="0" applyFont="1" applyFill="1" applyBorder="1" applyAlignment="1">
      <alignment horizontal="center" vertical="center"/>
    </xf>
    <xf numFmtId="0" fontId="62" fillId="45" borderId="15" xfId="0" applyFont="1" applyFill="1" applyBorder="1" applyAlignment="1">
      <alignment horizontal="center" vertical="center"/>
    </xf>
    <xf numFmtId="0" fontId="62" fillId="51" borderId="13" xfId="0" applyFont="1" applyFill="1" applyBorder="1" applyAlignment="1">
      <alignment horizontal="center" vertical="center"/>
    </xf>
    <xf numFmtId="0" fontId="62" fillId="51" borderId="14" xfId="0" applyFont="1" applyFill="1" applyBorder="1" applyAlignment="1">
      <alignment horizontal="center" vertical="center"/>
    </xf>
    <xf numFmtId="0" fontId="62" fillId="51" borderId="15" xfId="0" applyFont="1" applyFill="1" applyBorder="1" applyAlignment="1">
      <alignment horizontal="center" vertical="center"/>
    </xf>
    <xf numFmtId="0" fontId="62" fillId="52" borderId="13" xfId="0" applyFont="1" applyFill="1" applyBorder="1" applyAlignment="1">
      <alignment horizontal="center" vertical="center"/>
    </xf>
    <xf numFmtId="0" fontId="62" fillId="52" borderId="14" xfId="0" applyFont="1" applyFill="1" applyBorder="1" applyAlignment="1">
      <alignment horizontal="center" vertical="center"/>
    </xf>
    <xf numFmtId="0" fontId="62" fillId="52" borderId="15" xfId="0" applyFont="1" applyFill="1" applyBorder="1" applyAlignment="1">
      <alignment horizontal="center" vertical="center"/>
    </xf>
    <xf numFmtId="0" fontId="62" fillId="53" borderId="13" xfId="0" applyFont="1" applyFill="1" applyBorder="1" applyAlignment="1">
      <alignment horizontal="center" vertical="center"/>
    </xf>
    <xf numFmtId="0" fontId="62" fillId="53" borderId="14" xfId="0" applyFont="1" applyFill="1" applyBorder="1" applyAlignment="1">
      <alignment horizontal="center" vertical="center"/>
    </xf>
    <xf numFmtId="0" fontId="62" fillId="53" borderId="15" xfId="0" applyFont="1" applyFill="1" applyBorder="1" applyAlignment="1">
      <alignment horizontal="center" vertical="center"/>
    </xf>
    <xf numFmtId="0" fontId="62" fillId="48" borderId="13" xfId="0" applyFont="1" applyFill="1" applyBorder="1" applyAlignment="1">
      <alignment horizontal="center" vertical="center"/>
    </xf>
    <xf numFmtId="0" fontId="62" fillId="48" borderId="14" xfId="0" applyFont="1" applyFill="1" applyBorder="1" applyAlignment="1">
      <alignment horizontal="center" vertical="center"/>
    </xf>
    <xf numFmtId="0" fontId="62" fillId="48" borderId="15" xfId="0" applyFont="1" applyFill="1" applyBorder="1" applyAlignment="1">
      <alignment horizontal="center" vertical="center"/>
    </xf>
    <xf numFmtId="0" fontId="62" fillId="47" borderId="13" xfId="0" applyFont="1" applyFill="1" applyBorder="1" applyAlignment="1">
      <alignment horizontal="center" vertical="center"/>
    </xf>
    <xf numFmtId="0" fontId="62" fillId="47" borderId="14" xfId="0" applyFont="1" applyFill="1" applyBorder="1" applyAlignment="1">
      <alignment horizontal="center" vertical="center"/>
    </xf>
    <xf numFmtId="0" fontId="62" fillId="47" borderId="15" xfId="0" applyFont="1" applyFill="1" applyBorder="1" applyAlignment="1">
      <alignment horizontal="center" vertical="center"/>
    </xf>
    <xf numFmtId="0" fontId="62" fillId="50" borderId="13" xfId="0" applyFont="1" applyFill="1" applyBorder="1" applyAlignment="1">
      <alignment horizontal="center" vertical="center"/>
    </xf>
    <xf numFmtId="0" fontId="62" fillId="50" borderId="14" xfId="0" applyFont="1" applyFill="1" applyBorder="1" applyAlignment="1">
      <alignment horizontal="center" vertical="center"/>
    </xf>
    <xf numFmtId="0" fontId="62" fillId="50" borderId="15" xfId="0" applyFont="1" applyFill="1" applyBorder="1" applyAlignment="1">
      <alignment horizontal="center" vertical="center"/>
    </xf>
    <xf numFmtId="0" fontId="60" fillId="34" borderId="13" xfId="0" applyFont="1" applyFill="1" applyBorder="1" applyAlignment="1">
      <alignment horizontal="center" vertical="center"/>
    </xf>
    <xf numFmtId="0" fontId="60" fillId="34" borderId="14" xfId="0" applyFont="1" applyFill="1" applyBorder="1" applyAlignment="1">
      <alignment horizontal="center" vertical="center"/>
    </xf>
    <xf numFmtId="0" fontId="60" fillId="34" borderId="15" xfId="0" applyFont="1" applyFill="1" applyBorder="1" applyAlignment="1">
      <alignment horizontal="center" vertical="center"/>
    </xf>
    <xf numFmtId="0" fontId="60" fillId="45" borderId="13" xfId="0" applyFont="1" applyFill="1" applyBorder="1" applyAlignment="1">
      <alignment horizontal="center" vertical="center"/>
    </xf>
    <xf numFmtId="0" fontId="60" fillId="45" borderId="14" xfId="0" applyFont="1" applyFill="1" applyBorder="1" applyAlignment="1">
      <alignment horizontal="center" vertical="center"/>
    </xf>
    <xf numFmtId="0" fontId="60" fillId="45" borderId="15" xfId="0" applyFont="1" applyFill="1" applyBorder="1" applyAlignment="1">
      <alignment horizontal="center" vertical="center"/>
    </xf>
    <xf numFmtId="0" fontId="60" fillId="46" borderId="13" xfId="0" applyFont="1" applyFill="1" applyBorder="1" applyAlignment="1">
      <alignment horizontal="center" vertical="center"/>
    </xf>
    <xf numFmtId="0" fontId="60" fillId="46" borderId="14" xfId="0" applyFont="1" applyFill="1" applyBorder="1" applyAlignment="1">
      <alignment horizontal="center" vertical="center"/>
    </xf>
    <xf numFmtId="0" fontId="60" fillId="46" borderId="15" xfId="0" applyFont="1" applyFill="1" applyBorder="1" applyAlignment="1">
      <alignment horizontal="center" vertical="center"/>
    </xf>
    <xf numFmtId="0" fontId="60" fillId="47" borderId="13" xfId="0" applyFont="1" applyFill="1" applyBorder="1" applyAlignment="1">
      <alignment horizontal="center" vertical="center"/>
    </xf>
    <xf numFmtId="0" fontId="60" fillId="47" borderId="14" xfId="0" applyFont="1" applyFill="1" applyBorder="1" applyAlignment="1">
      <alignment horizontal="center" vertical="center"/>
    </xf>
    <xf numFmtId="0" fontId="60" fillId="47" borderId="15" xfId="0" applyFont="1" applyFill="1" applyBorder="1" applyAlignment="1">
      <alignment horizontal="center" vertical="center"/>
    </xf>
    <xf numFmtId="0" fontId="60" fillId="48" borderId="13" xfId="0" applyFont="1" applyFill="1" applyBorder="1" applyAlignment="1">
      <alignment horizontal="center" vertical="center"/>
    </xf>
    <xf numFmtId="0" fontId="60" fillId="48" borderId="14" xfId="0" applyFont="1" applyFill="1" applyBorder="1" applyAlignment="1">
      <alignment horizontal="center" vertical="center"/>
    </xf>
    <xf numFmtId="0" fontId="60" fillId="48" borderId="15" xfId="0" applyFont="1" applyFill="1" applyBorder="1" applyAlignment="1">
      <alignment horizontal="center" vertical="center"/>
    </xf>
    <xf numFmtId="0" fontId="60" fillId="59" borderId="13" xfId="0" applyFont="1" applyFill="1" applyBorder="1" applyAlignment="1">
      <alignment horizontal="center" vertical="center"/>
    </xf>
    <xf numFmtId="0" fontId="60" fillId="59" borderId="14" xfId="0" applyFont="1" applyFill="1" applyBorder="1" applyAlignment="1">
      <alignment horizontal="center" vertical="center"/>
    </xf>
    <xf numFmtId="0" fontId="60" fillId="59" borderId="15" xfId="0" applyFont="1" applyFill="1" applyBorder="1" applyAlignment="1">
      <alignment horizontal="center" vertical="center"/>
    </xf>
    <xf numFmtId="0" fontId="60" fillId="49" borderId="13" xfId="0" applyFont="1" applyFill="1" applyBorder="1" applyAlignment="1">
      <alignment horizontal="center" vertical="center"/>
    </xf>
    <xf numFmtId="0" fontId="60" fillId="49" borderId="14" xfId="0" applyFont="1" applyFill="1" applyBorder="1" applyAlignment="1">
      <alignment horizontal="center" vertical="center"/>
    </xf>
    <xf numFmtId="0" fontId="60" fillId="49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9" fillId="0" borderId="63" xfId="0" applyFont="1" applyBorder="1" applyAlignment="1">
      <alignment horizontal="center" vertical="center"/>
    </xf>
    <xf numFmtId="0" fontId="59" fillId="0" borderId="62" xfId="0" applyFont="1" applyBorder="1" applyAlignment="1">
      <alignment horizontal="center" vertical="center"/>
    </xf>
    <xf numFmtId="0" fontId="59" fillId="0" borderId="23" xfId="0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19" fillId="0" borderId="27" xfId="0" applyFont="1" applyBorder="1" applyAlignment="1" applyProtection="1">
      <alignment horizontal="center" vertical="center" wrapText="1"/>
      <protection locked="0"/>
    </xf>
    <xf numFmtId="0" fontId="19" fillId="0" borderId="28" xfId="0" applyFont="1" applyBorder="1" applyAlignment="1" applyProtection="1">
      <alignment horizontal="center" vertical="center" wrapText="1"/>
      <protection locked="0"/>
    </xf>
    <xf numFmtId="0" fontId="19" fillId="0" borderId="59" xfId="0" applyFont="1" applyBorder="1" applyAlignment="1" applyProtection="1">
      <alignment horizontal="center" vertical="center" wrapText="1"/>
      <protection locked="0"/>
    </xf>
    <xf numFmtId="0" fontId="54" fillId="54" borderId="55" xfId="0" applyFont="1" applyFill="1" applyBorder="1" applyAlignment="1" applyProtection="1">
      <alignment horizontal="center" vertical="center"/>
      <protection locked="0"/>
    </xf>
    <xf numFmtId="0" fontId="54" fillId="54" borderId="60" xfId="0" applyFont="1" applyFill="1" applyBorder="1" applyAlignment="1" applyProtection="1">
      <alignment horizontal="center" vertical="center"/>
      <protection locked="0"/>
    </xf>
    <xf numFmtId="0" fontId="54" fillId="54" borderId="17" xfId="0" applyFont="1" applyFill="1" applyBorder="1" applyAlignment="1" applyProtection="1">
      <alignment horizontal="center" vertical="center"/>
      <protection locked="0"/>
    </xf>
    <xf numFmtId="0" fontId="34" fillId="54" borderId="61" xfId="0" applyFont="1" applyFill="1" applyBorder="1" applyAlignment="1">
      <alignment horizontal="center" vertical="center"/>
    </xf>
    <xf numFmtId="0" fontId="34" fillId="54" borderId="62" xfId="0" applyFont="1" applyFill="1" applyBorder="1" applyAlignment="1">
      <alignment horizontal="center" vertical="center"/>
    </xf>
    <xf numFmtId="0" fontId="34" fillId="54" borderId="23" xfId="0" applyFont="1" applyFill="1" applyBorder="1" applyAlignment="1">
      <alignment horizontal="center" vertical="center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30" fillId="0" borderId="20" xfId="0" applyFont="1" applyBorder="1" applyAlignment="1" applyProtection="1">
      <alignment horizontal="center" vertical="center" wrapText="1"/>
      <protection locked="0"/>
    </xf>
    <xf numFmtId="0" fontId="30" fillId="0" borderId="21" xfId="0" applyFont="1" applyBorder="1" applyAlignment="1" applyProtection="1">
      <alignment horizontal="center" vertical="center" wrapText="1"/>
      <protection locked="0"/>
    </xf>
    <xf numFmtId="0" fontId="30" fillId="0" borderId="21" xfId="0" applyFont="1" applyBorder="1" applyAlignment="1" applyProtection="1">
      <alignment horizontal="center" vertical="center"/>
      <protection locked="0"/>
    </xf>
    <xf numFmtId="0" fontId="30" fillId="0" borderId="22" xfId="0" applyFont="1" applyBorder="1" applyAlignment="1" applyProtection="1">
      <alignment horizontal="center" vertical="center"/>
      <protection locked="0"/>
    </xf>
    <xf numFmtId="0" fontId="21" fillId="33" borderId="24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25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E0144-DA28-4383-AC3E-6B9FE250BE1D}" name="Table14" displayName="Table14" ref="A1:AB24" totalsRowShown="0">
  <autoFilter ref="A1:AB24" xr:uid="{8275F2DF-9591-42E4-BE9A-E57D0F69EDFD}"/>
  <tableColumns count="28">
    <tableColumn id="1" xr3:uid="{A5D2174E-3B81-47C3-A844-76ECA15ECE45}" name="VIP"/>
    <tableColumn id="4" xr3:uid="{07E329A8-0236-4BA3-833C-BD25E00C1202}" name="Name" dataDxfId="48"/>
    <tableColumn id="6" xr3:uid="{C40CDADD-9906-49DF-95FB-46CA6CFFABB4}" name="Gluten Free"/>
    <tableColumn id="8" xr3:uid="{3EECE698-C596-4150-8AD5-86947B1FA5FB}" name="Meal Type" dataDxfId="47"/>
    <tableColumn id="21" xr3:uid="{960E3A4C-0703-4078-ADE9-9894E233082A}" name="Reference"/>
    <tableColumn id="22" xr3:uid="{84FF88A3-1978-435D-A532-9A4B0796EEAB}" name="Reference2" dataDxfId="46"/>
    <tableColumn id="23" xr3:uid="{E15EA8AF-2888-4B2E-8937-4BCE474C7C2A}" name="Number of Smoothies"/>
    <tableColumn id="24" xr3:uid="{5970FD9D-E6D7-4A43-81BA-B57A6D8C57A8}" name="Smoothies"/>
    <tableColumn id="25" xr3:uid="{E8E60039-F919-4D1D-97E8-E5A67D3D3728}" name="Antiox"/>
    <tableColumn id="26" xr3:uid="{A7FE82F0-534F-4314-9609-622B604881DF}" name="Bigred"/>
    <tableColumn id="27" xr3:uid="{DE1E9784-E8BB-4C86-83F4-2E1010C5F599}" name="Blue"/>
    <tableColumn id="28" xr3:uid="{FD4E9314-94B9-43A6-B21A-A7830DD90CC8}" name="Boost"/>
    <tableColumn id="29" xr3:uid="{2F2E5ABD-5F37-410D-B2FD-29525A95B108}" name="Green"/>
    <tableColumn id="30" xr3:uid="{A50E3D60-9972-4EF4-A2D3-98ED1F60C65E}" name="PBJ"/>
    <tableColumn id="31" xr3:uid="{8C1D3A6D-1C45-4FEA-9165-2824FC55AB4C}" name="Vitc"/>
    <tableColumn id="32" xr3:uid="{534D5253-8DB2-4C34-879C-06D1AB199BC5}" name="Number of Cookies"/>
    <tableColumn id="33" xr3:uid="{3CE8679D-5963-493F-A00C-52F482671BAF}" name="Cookies"/>
    <tableColumn id="34" xr3:uid="{8F27A8DA-9860-4240-81F2-F6BC47BADBDF}" name="break_gf"/>
    <tableColumn id="35" xr3:uid="{91B307CD-B67C-4E1F-A5A2-CC8842891AC7}" name="chip"/>
    <tableColumn id="36" xr3:uid="{651E22EC-875D-4A93-AAB1-FEB1DD6ABB87}" name="chip_gf"/>
    <tableColumn id="37" xr3:uid="{F799543E-B425-4761-9367-CD9968ACF0A9}" name="or"/>
    <tableColumn id="38" xr3:uid="{E0E1F1E1-D019-43AE-9EE5-7C78BD3F4FF4}" name="or_gf"/>
    <tableColumn id="39" xr3:uid="{B93A5006-A1A6-487D-88CF-12276190FEC1}" name="sugar"/>
    <tableColumn id="40" xr3:uid="{27BF9A23-C373-4EED-84E8-C4AE2D612671}" name="sugar_gf"/>
    <tableColumn id="41" xr3:uid="{6744D65E-F6E1-439B-8407-38931A38603B}" name="Internal Reference" dataDxfId="45"/>
    <tableColumn id="42" xr3:uid="{F5C62D6B-B82E-4E8C-9CB9-7B7A2D8408CF}" name="Delivery Route"/>
    <tableColumn id="43" xr3:uid="{702A3886-943C-478C-A9E9-68DF147243B7}" name="Alpha"/>
    <tableColumn id="2" xr3:uid="{78DB71CF-38D0-4099-B2B5-0E77497394CD}" name="Column1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F4BA4-30DB-4363-B187-A28AB1674A26}" name="Table25" displayName="Table25" ref="A1:AB129" totalsRowShown="0">
  <autoFilter ref="A1:AB129" xr:uid="{A0A4BAA4-0BDE-4712-8546-3AD35721FCFC}"/>
  <tableColumns count="28">
    <tableColumn id="1" xr3:uid="{6F8229A5-5DB2-4E1C-B4AA-F2AD19E04A11}" name="Name"/>
    <tableColumn id="2" xr3:uid="{314102B7-580C-41B3-8C3C-9DFF665E1EB5}" name="Gluten Free"/>
    <tableColumn id="3" xr3:uid="{DBE757BC-85AD-4C16-A1E9-1B9A513CBA36}" name="Meal Type"/>
    <tableColumn id="4" xr3:uid="{E0CB5663-747B-4B15-8C12-397057A7BEF4}" name="Reference"/>
    <tableColumn id="5" xr3:uid="{B2D689C0-B377-4F86-AE2A-0F658A5214A3}" name="Reference2"/>
    <tableColumn id="6" xr3:uid="{5F8669C5-0BF9-4C28-A838-812EC3D14C1F}" name="Number of Smoothies"/>
    <tableColumn id="7" xr3:uid="{B10C14F0-6DE2-4260-A5AF-E9B824A26238}" name="Smoothies"/>
    <tableColumn id="21" xr3:uid="{94F18483-0D69-4CEC-AEED-E0F23770D7AA}" name="Antiox"/>
    <tableColumn id="22" xr3:uid="{63C8828F-B79E-4472-AA0F-442A1B3952E8}" name="Bigred"/>
    <tableColumn id="23" xr3:uid="{71FB1C9F-211C-44DD-BB56-6C171EF73FCF}" name="Blue"/>
    <tableColumn id="24" xr3:uid="{B2AA3A00-B687-44A9-8621-9B19A9C93EA3}" name="Boost"/>
    <tableColumn id="25" xr3:uid="{49E48A0E-5104-4F2E-B2AA-F294A42C5D5B}" name="Green"/>
    <tableColumn id="26" xr3:uid="{FA379728-C161-4EC7-A22A-2CE631041319}" name="PBJ"/>
    <tableColumn id="27" xr3:uid="{48BE323A-17AD-4564-86F5-8CE891E5F995}" name="Vitc"/>
    <tableColumn id="8" xr3:uid="{34C9BFD0-20B5-463E-ABF6-446ABE312E9B}" name="Number of Cookies"/>
    <tableColumn id="9" xr3:uid="{6FA96E81-838A-42AE-BC3D-045CAB5FC4FA}" name="Cookies"/>
    <tableColumn id="28" xr3:uid="{0C5BFD04-DFFA-4CC8-A04F-F3849BECF06A}" name="break_gf"/>
    <tableColumn id="29" xr3:uid="{2DB77F2E-EABB-4661-B83E-188981682924}" name="chip"/>
    <tableColumn id="30" xr3:uid="{312DC8B8-C46F-42BF-B103-174829A3BD35}" name="chip_gf"/>
    <tableColumn id="31" xr3:uid="{513C7CA7-8982-49B6-937D-8F123276444C}" name="or"/>
    <tableColumn id="32" xr3:uid="{7863A69C-2C6F-487B-B0BC-8BC7BE1CB3AD}" name="or_gf"/>
    <tableColumn id="33" xr3:uid="{68B01FE1-F191-4AEC-A102-D1234EBD5051}" name="sugar"/>
    <tableColumn id="34" xr3:uid="{E925BCB5-14BC-441D-BAF6-2A7FA8466E63}" name="sugar_gf"/>
    <tableColumn id="10" xr3:uid="{7C95D071-547C-4FEE-A320-E2184C749E49}" name="Internal Reference"/>
    <tableColumn id="11" xr3:uid="{0E2B8068-C788-425D-B4F1-3A7797B57B42}" name="Delivery Route"/>
    <tableColumn id="12" xr3:uid="{9035EFDE-CC38-4A0A-9608-85BCF4DA8E41}" name="Alpha"/>
    <tableColumn id="13" xr3:uid="{96C5EE0B-12BF-4D94-9422-50068E415CE5}" name="Column1"/>
    <tableColumn id="14" xr3:uid="{0573D0FE-F01B-4C76-87FA-9FDC23649A6E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6AB1C-0536-4070-8F40-CAA6C4D80532}" name="Table16" displayName="Table16" ref="A1:Z792" totalsRowShown="0">
  <autoFilter ref="A1:Z792" xr:uid="{C9A1BCB1-AF56-4573-A40D-7303774357D8}"/>
  <tableColumns count="26">
    <tableColumn id="1" xr3:uid="{96AAABF8-1A21-4754-BA72-567B5A72CC94}" name="Name"/>
    <tableColumn id="2" xr3:uid="{AC85A62D-9CB4-459E-B819-4157040AE5A3}" name="Gluten Free"/>
    <tableColumn id="3" xr3:uid="{987B4A29-28D3-4E80-8D15-506FECB18F61}" name="Meal Type"/>
    <tableColumn id="4" xr3:uid="{88A67C54-33BA-4A58-9CAF-D4D0B73FAE1E}" name="Reference"/>
    <tableColumn id="5" xr3:uid="{5D6C9C51-614E-4EB0-B43E-1DF4CC3D3B8E}" name="Reference2"/>
    <tableColumn id="6" xr3:uid="{5C15A55C-0844-458B-A2BB-F66D9A0F4B89}" name="Number of Smoothies"/>
    <tableColumn id="7" xr3:uid="{442411A8-6D71-4BB9-8BC5-20EF02F3F97D}" name="Smoothies"/>
    <tableColumn id="13" xr3:uid="{E3FB6C1E-C891-4750-BF27-3F993A59F559}" name="Antiox"/>
    <tableColumn id="14" xr3:uid="{40E559D6-18BA-43AA-8780-0367ABFA4B65}" name="Bigred"/>
    <tableColumn id="15" xr3:uid="{6BE102BB-EEFF-4DB7-B1FF-85864F2F288D}" name="Blue"/>
    <tableColumn id="16" xr3:uid="{254E17FF-C4FD-4E32-A9F9-B38776DBD9E6}" name="Boost"/>
    <tableColumn id="17" xr3:uid="{B2B57750-B629-4AB1-A695-E61F811DDF34}" name="Green"/>
    <tableColumn id="18" xr3:uid="{012FFC34-DB92-4852-B622-AE1A8F9A7860}" name="PBJ"/>
    <tableColumn id="19" xr3:uid="{82E70038-2AEA-4449-B789-5A18148BB2FB}" name="Vitc"/>
    <tableColumn id="8" xr3:uid="{AAF7E8EE-C4E4-4D43-B3FE-0FFE9D211379}" name="Number of Cookies"/>
    <tableColumn id="9" xr3:uid="{9E097CA3-8BC1-4277-863C-0FDE3D34CF34}" name="Cookies"/>
    <tableColumn id="21" xr3:uid="{ECE6F7D0-A3F1-4D56-922F-2E7F5823785B}" name="break_gf"/>
    <tableColumn id="22" xr3:uid="{D80D8C73-611F-4B59-BBF9-E6B0193ECEA0}" name="chip"/>
    <tableColumn id="23" xr3:uid="{F38D52BC-5A38-4135-A66D-35D7D527E457}" name="chip_gf"/>
    <tableColumn id="24" xr3:uid="{3F1ABBF4-28A9-48D1-86A9-3593EA48D3D0}" name="or"/>
    <tableColumn id="25" xr3:uid="{8A7BA18A-C581-4E76-B77E-EC10EDB9DE61}" name="or_gf"/>
    <tableColumn id="26" xr3:uid="{36C98D36-E935-497D-81B8-35C7B18E5541}" name="sugar"/>
    <tableColumn id="27" xr3:uid="{56E749BC-B50E-4A93-809E-5AC969724111}" name="sugar_gf"/>
    <tableColumn id="10" xr3:uid="{865559AB-2D30-4B60-94B2-8D137FDADBCA}" name="Internal Reference"/>
    <tableColumn id="11" xr3:uid="{8CF72A98-ACB3-46EC-A1E2-EE5EC294A2FF}" name="Delivery Route"/>
    <tableColumn id="12" xr3:uid="{53C5B067-00BE-42F3-AFA4-FBFE085B5566}" name="ALPH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546F53-A74F-4131-B671-1651E301F519}" name="Table1" displayName="Table1" ref="A1:AA986" totalsRowShown="0" headerRowDxfId="43">
  <autoFilter ref="A1:AA986" xr:uid="{010C2B57-1C66-4611-8BCE-CB54846366FA}"/>
  <sortState xmlns:xlrd2="http://schemas.microsoft.com/office/spreadsheetml/2017/richdata2" ref="A2:AA544">
    <sortCondition ref="F2:F544"/>
  </sortState>
  <tableColumns count="27">
    <tableColumn id="1" xr3:uid="{345406B3-CCAF-47AA-BF47-04114F74CC91}" name="VIP"/>
    <tableColumn id="21" xr3:uid="{C69081D6-ADC7-46A3-B0E1-89DCA79B8399}" name="Name"/>
    <tableColumn id="19" xr3:uid="{BCDD3E1B-59AE-4F2C-A202-DFD91C89D0B5}" name="Gluten Free"/>
    <tableColumn id="4" xr3:uid="{6AFE0758-B815-4A33-93B7-3584A2523BAE}" name="Meal Type"/>
    <tableColumn id="5" xr3:uid="{A6D99BD5-0C48-4F73-81C3-FF8CC16A978D}" name="Size" dataDxfId="42"/>
    <tableColumn id="6" xr3:uid="{E6FE5BE4-0E60-4D64-9BD1-8768FFA7ED5B}" name="Meals"/>
    <tableColumn id="2" xr3:uid="{B4E2F39A-C60E-4FA4-871F-5B3B243238AC}" name="Number of Smoothies" dataDxfId="41"/>
    <tableColumn id="3" xr3:uid="{49D727D2-5078-4F35-8A6A-4EF375F705B5}" name="Smoothies" dataDxfId="40"/>
    <tableColumn id="8" xr3:uid="{D94B6DBE-2D25-48FF-94F4-AD98CC6F5594}" name="Antiox" dataDxfId="39"/>
    <tableColumn id="9" xr3:uid="{9D3B177B-420F-40C7-AF5C-EC46F0F41988}" name="Bigred" dataDxfId="38"/>
    <tableColumn id="10" xr3:uid="{93F10886-67AC-4CCA-A757-923F78BDC5BB}" name="Blue" dataDxfId="37"/>
    <tableColumn id="11" xr3:uid="{AB334925-82BC-478B-81DA-7801A549B184}" name="Boost" dataDxfId="36"/>
    <tableColumn id="12" xr3:uid="{4F5EC9ED-1E3A-4273-AA05-65C561A65AA2}" name="Green" dataDxfId="35"/>
    <tableColumn id="20" xr3:uid="{81BDD5EB-BD8D-441A-B2B3-EF29E28E6983}" name="PBJ" dataDxfId="34"/>
    <tableColumn id="16" xr3:uid="{F4C44423-9B20-455C-9683-5ADE4C672929}" name="Vitc" dataDxfId="33"/>
    <tableColumn id="17" xr3:uid="{3B6AC60D-750B-4679-890D-731DAA89350A}" name="Number of Cookies" dataDxfId="32"/>
    <tableColumn id="18" xr3:uid="{C99D3B0B-0DC2-4B0F-BF30-DFB024ABCEC8}" name="Cookies" dataDxfId="31"/>
    <tableColumn id="14" xr3:uid="{6BD23062-42CA-411A-AC2D-4B617031DBBE}" name="break_gf" dataDxfId="30"/>
    <tableColumn id="23" xr3:uid="{88AF2659-F8D1-4303-A0E8-494E47E97489}" name="chip" dataDxfId="29"/>
    <tableColumn id="24" xr3:uid="{31C05DF5-2F87-4D1E-9221-70C1617C4C47}" name="chip_gf" dataDxfId="28"/>
    <tableColumn id="25" xr3:uid="{079CFFC5-3176-4A50-8B5F-90990D11E3EF}" name="or" dataDxfId="27"/>
    <tableColumn id="15" xr3:uid="{8D4ED51E-41CB-47FE-AC51-022BE4E117BD}" name="or_gf" dataDxfId="26"/>
    <tableColumn id="13" xr3:uid="{240F634C-A5C8-436C-8F9D-099D7E4643DE}" name="sugar" dataDxfId="25"/>
    <tableColumn id="26" xr3:uid="{11CC264B-0A6B-410A-8AD1-BD879E4A661D}" name="sugar_gf" dataDxfId="24"/>
    <tableColumn id="27" xr3:uid="{566A806B-8D2D-44AB-A404-30D8341D8A75}" name="Internal Reference" dataDxfId="23"/>
    <tableColumn id="22" xr3:uid="{708F2FA1-FD7E-4312-87A0-6DD99CF63279}" name="Delivery Route" dataDxfId="22"/>
    <tableColumn id="7" xr3:uid="{576B9D2B-F141-4848-84F7-B4E499F702E7}" name="Alph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E108A1-24BC-4D25-A022-EB0C4B2D5C03}" name="Table2" displayName="Table2" ref="AC2:AR16" totalsRowShown="0">
  <autoFilter ref="AC2:AR16" xr:uid="{41B82294-7CF1-414B-A402-23D1C64FB9B0}"/>
  <tableColumns count="16">
    <tableColumn id="1" xr3:uid="{EA307B3A-D68B-49DE-B7AA-54DD49BC1E66}" name=" Size" dataCellStyle="60% - Accent6"/>
    <tableColumn id="2" xr3:uid="{833B831E-94D2-4413-B59F-978F2A7D41EC}" name="RED" dataDxfId="21" dataCellStyle="Bad">
      <calculatedColumnFormula>COUNTIF(F2:F11, "*Beef &amp; Potato Pierogi*")</calculatedColumnFormula>
    </tableColumn>
    <tableColumn id="3" xr3:uid="{9191BC2F-079C-4E79-8D92-C384537840E4}" name="TEAL" dataCellStyle="60% - Accent5"/>
    <tableColumn id="4" xr3:uid="{0A9451D0-7141-4E9F-9A76-849244E6CEF5}" name="GREEN" dataCellStyle="Good"/>
    <tableColumn id="5" xr3:uid="{E32BDCC8-9850-463C-904C-9F7C52367698}" name="YELLOW" dataCellStyle="Neutral"/>
    <tableColumn id="6" xr3:uid="{32407EDF-4688-41B2-9D9E-1318A38174BD}" name="BLUE" dataCellStyle="Accent1"/>
    <tableColumn id="7" xr3:uid="{A76E9D3B-4554-4450-8BD7-71DD8F955BC7}" name="B-Tacos" dataCellStyle="20% - Accent5"/>
    <tableColumn id="8" xr3:uid="{7DAEF47F-C10E-4AB8-A7D8-E6498DA35CC6}" name="T-Tacos" dataCellStyle="20% - Accent5"/>
    <tableColumn id="9" xr3:uid="{1914FDE3-705F-4C6A-8954-43486E179BBD}" name="V-Tacos" dataCellStyle="20% - Accent5"/>
    <tableColumn id="10" xr3:uid="{FA82EAE6-333D-48EC-936D-F4B4BFDEF451}" name="B-Burg" dataCellStyle="Input"/>
    <tableColumn id="11" xr3:uid="{7B1E5538-414D-456C-9902-D5A20DE1B146}" name="T-Burg" dataCellStyle="Input"/>
    <tableColumn id="12" xr3:uid="{93A777FD-6F02-4551-B438-A80E41835F5D}" name="V-Burg" dataCellStyle="Input"/>
    <tableColumn id="13" xr3:uid="{28BB0BD7-1BE9-45B5-AF25-2F7994BC36A0}" name="Pizza" dataCellStyle="Check Cell"/>
    <tableColumn id="14" xr3:uid="{D6290F3E-8DC3-457C-B7E6-EEBE746C5B53}" name="V-Pizza" dataCellStyle="Input"/>
    <tableColumn id="15" xr3:uid="{D59126CB-77B5-4AEE-AAF8-80EC61A185F7}" name="Column1" dataCellStyle="Input"/>
    <tableColumn id="16" xr3:uid="{5FC9BAA9-3DD4-4E39-B949-1DCBD7EAF450}" name="Pizza2" dataCellStyle="Inpu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91AB5E-A23F-4E44-B5CF-DC81BE5C25AC}" name="Table4" displayName="Table4" ref="AH18:AI26" totalsRowShown="0">
  <autoFilter ref="AH18:AI26" xr:uid="{F6B464CE-44CC-4A91-A47D-081DAA1CD0F2}"/>
  <tableColumns count="2">
    <tableColumn id="1" xr3:uid="{B15C6548-B8C8-413E-9620-36A66A7093E4}" name="Smoothie"/>
    <tableColumn id="2" xr3:uid="{BD353466-48D7-4895-AE01-CFCA164C86FE}" name="# of Orders" dataDxfId="20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BFF0A44-F1D9-45B8-8860-9BABDFD24AA1}" name="Table46" displayName="Table46" ref="AH28:AI36" totalsRowShown="0">
  <autoFilter ref="AH28:AI36" xr:uid="{8181CB77-1E7D-4EC5-B41F-1F802B678EFB}"/>
  <tableColumns count="2">
    <tableColumn id="1" xr3:uid="{ED8F7381-3BFC-4FC4-9E4B-51C686C9B9CD}" name="COOKIES"/>
    <tableColumn id="2" xr3:uid="{B8C7972D-891B-4662-92B9-A1497E2CBA92}" name="# of Orders" dataDxfId="19">
      <calculatedColumnFormula>SUM(G:G)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5BEB-F6B1-4034-8016-F7E9F3DE1C6B}">
  <dimension ref="A1:AB24"/>
  <sheetViews>
    <sheetView workbookViewId="0">
      <selection activeCell="B2" sqref="B2:B20"/>
    </sheetView>
  </sheetViews>
  <sheetFormatPr defaultRowHeight="14.4" x14ac:dyDescent="0.3"/>
  <cols>
    <col min="1" max="1" width="31.109375" customWidth="1"/>
    <col min="2" max="2" width="22.109375" customWidth="1"/>
    <col min="3" max="3" width="14.109375" customWidth="1"/>
    <col min="4" max="4" width="12.109375" customWidth="1"/>
    <col min="5" max="5" width="6.109375" customWidth="1"/>
    <col min="6" max="6" width="43" customWidth="1"/>
    <col min="9" max="15" width="5.88671875" customWidth="1"/>
    <col min="18" max="24" width="6.6640625" customWidth="1"/>
  </cols>
  <sheetData>
    <row r="1" spans="1:28" x14ac:dyDescent="0.3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9" t="s">
        <v>36</v>
      </c>
      <c r="J1" s="30" t="s">
        <v>25</v>
      </c>
      <c r="K1" s="31" t="s">
        <v>23</v>
      </c>
      <c r="L1" s="32" t="s">
        <v>24</v>
      </c>
      <c r="M1" s="33" t="s">
        <v>22</v>
      </c>
      <c r="N1" s="34" t="s">
        <v>29</v>
      </c>
      <c r="O1" s="35" t="s">
        <v>27</v>
      </c>
      <c r="P1" t="s">
        <v>7</v>
      </c>
      <c r="Q1" t="s">
        <v>8</v>
      </c>
      <c r="R1" s="36" t="s">
        <v>20</v>
      </c>
      <c r="S1" s="37" t="s">
        <v>26</v>
      </c>
      <c r="T1" s="38" t="s">
        <v>18</v>
      </c>
      <c r="U1" s="39" t="s">
        <v>28</v>
      </c>
      <c r="V1" s="40" t="s">
        <v>39</v>
      </c>
      <c r="W1" s="41" t="s">
        <v>30</v>
      </c>
      <c r="X1" s="42" t="s">
        <v>38</v>
      </c>
      <c r="Y1" t="s">
        <v>9</v>
      </c>
      <c r="Z1" t="s">
        <v>10</v>
      </c>
      <c r="AA1" t="s">
        <v>32</v>
      </c>
      <c r="AB1" t="s">
        <v>98</v>
      </c>
    </row>
    <row r="2" spans="1:28" s="28" customFormat="1" x14ac:dyDescent="0.3">
      <c r="A2"/>
      <c r="B2" t="s">
        <v>981</v>
      </c>
      <c r="C2" t="s">
        <v>152</v>
      </c>
      <c r="D2" t="s">
        <v>156</v>
      </c>
      <c r="E2" t="s">
        <v>211</v>
      </c>
      <c r="F2" t="s">
        <v>982</v>
      </c>
      <c r="G2">
        <v>0</v>
      </c>
      <c r="H2"/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/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230" t="s">
        <v>158</v>
      </c>
      <c r="Z2" t="s">
        <v>262</v>
      </c>
      <c r="AA2"/>
      <c r="AB2"/>
    </row>
    <row r="3" spans="1:28" s="28" customFormat="1" x14ac:dyDescent="0.3">
      <c r="A3" t="s">
        <v>848</v>
      </c>
      <c r="B3" t="s">
        <v>151</v>
      </c>
      <c r="C3" t="s">
        <v>152</v>
      </c>
      <c r="D3" t="s">
        <v>156</v>
      </c>
      <c r="E3" t="s">
        <v>154</v>
      </c>
      <c r="F3" t="s">
        <v>982</v>
      </c>
      <c r="G3">
        <v>0</v>
      </c>
      <c r="H3"/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/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/>
      <c r="Z3"/>
      <c r="AA3"/>
      <c r="AB3"/>
    </row>
    <row r="4" spans="1:28" s="28" customFormat="1" x14ac:dyDescent="0.3">
      <c r="A4"/>
      <c r="B4" t="s">
        <v>155</v>
      </c>
      <c r="C4" t="s">
        <v>152</v>
      </c>
      <c r="D4" t="s">
        <v>156</v>
      </c>
      <c r="E4" t="s">
        <v>157</v>
      </c>
      <c r="F4" t="s">
        <v>983</v>
      </c>
      <c r="G4">
        <v>0</v>
      </c>
      <c r="H4"/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/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230" t="s">
        <v>158</v>
      </c>
      <c r="Z4"/>
      <c r="AA4"/>
      <c r="AB4"/>
    </row>
    <row r="5" spans="1:28" s="28" customFormat="1" x14ac:dyDescent="0.3">
      <c r="A5"/>
      <c r="B5" t="s">
        <v>159</v>
      </c>
      <c r="C5"/>
      <c r="D5" t="s">
        <v>156</v>
      </c>
      <c r="E5" t="s">
        <v>160</v>
      </c>
      <c r="F5" t="s">
        <v>984</v>
      </c>
      <c r="G5">
        <v>0</v>
      </c>
      <c r="H5"/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/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/>
      <c r="Z5" s="230" t="s">
        <v>34</v>
      </c>
      <c r="AA5"/>
      <c r="AB5"/>
    </row>
    <row r="6" spans="1:28" x14ac:dyDescent="0.3">
      <c r="B6" t="s">
        <v>161</v>
      </c>
      <c r="D6" t="s">
        <v>156</v>
      </c>
      <c r="E6" t="s">
        <v>160</v>
      </c>
      <c r="F6" t="s">
        <v>985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s="230" t="s">
        <v>34</v>
      </c>
    </row>
    <row r="7" spans="1:28" x14ac:dyDescent="0.3">
      <c r="B7" t="s">
        <v>163</v>
      </c>
      <c r="D7" t="s">
        <v>156</v>
      </c>
      <c r="E7" t="s">
        <v>160</v>
      </c>
      <c r="F7" t="s">
        <v>986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8" x14ac:dyDescent="0.3">
      <c r="B8" t="s">
        <v>164</v>
      </c>
      <c r="D8" t="s">
        <v>156</v>
      </c>
      <c r="E8" t="s">
        <v>160</v>
      </c>
      <c r="F8" t="s">
        <v>982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165</v>
      </c>
    </row>
    <row r="9" spans="1:28" x14ac:dyDescent="0.3">
      <c r="B9" t="s">
        <v>166</v>
      </c>
      <c r="D9" t="s">
        <v>156</v>
      </c>
      <c r="E9">
        <v>3</v>
      </c>
      <c r="F9" t="s">
        <v>986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8" x14ac:dyDescent="0.3">
      <c r="B10" t="s">
        <v>849</v>
      </c>
      <c r="D10" t="s">
        <v>156</v>
      </c>
      <c r="E10" t="s">
        <v>154</v>
      </c>
      <c r="F10" t="s">
        <v>983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11</v>
      </c>
    </row>
    <row r="11" spans="1:28" x14ac:dyDescent="0.3">
      <c r="B11" t="s">
        <v>167</v>
      </c>
      <c r="D11" t="s">
        <v>156</v>
      </c>
      <c r="E11" t="s">
        <v>154</v>
      </c>
      <c r="F11" t="s">
        <v>987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17</v>
      </c>
    </row>
    <row r="12" spans="1:28" x14ac:dyDescent="0.3">
      <c r="B12" t="s">
        <v>168</v>
      </c>
      <c r="D12" t="s">
        <v>156</v>
      </c>
      <c r="E12" t="s">
        <v>154</v>
      </c>
      <c r="F12" t="s">
        <v>982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158</v>
      </c>
    </row>
    <row r="13" spans="1:28" x14ac:dyDescent="0.3">
      <c r="B13" t="s">
        <v>518</v>
      </c>
      <c r="D13" t="s">
        <v>156</v>
      </c>
      <c r="E13" t="s">
        <v>154</v>
      </c>
      <c r="F13" t="s">
        <v>982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8" x14ac:dyDescent="0.3">
      <c r="B14" t="s">
        <v>649</v>
      </c>
      <c r="D14" t="s">
        <v>156</v>
      </c>
      <c r="E14" t="s">
        <v>170</v>
      </c>
      <c r="F14" t="s">
        <v>988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8" x14ac:dyDescent="0.3">
      <c r="B15" t="s">
        <v>169</v>
      </c>
      <c r="D15" t="s">
        <v>156</v>
      </c>
      <c r="E15" t="s">
        <v>170</v>
      </c>
      <c r="F15" t="s">
        <v>989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230" t="s">
        <v>158</v>
      </c>
    </row>
    <row r="16" spans="1:28" x14ac:dyDescent="0.3">
      <c r="B16" t="s">
        <v>171</v>
      </c>
      <c r="D16" t="s">
        <v>153</v>
      </c>
      <c r="E16" t="s">
        <v>170</v>
      </c>
      <c r="F16" t="s">
        <v>990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158</v>
      </c>
    </row>
    <row r="17" spans="1:28" x14ac:dyDescent="0.3">
      <c r="B17" t="s">
        <v>172</v>
      </c>
      <c r="D17" t="s">
        <v>156</v>
      </c>
      <c r="E17" t="s">
        <v>170</v>
      </c>
      <c r="F17" t="s">
        <v>984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8" x14ac:dyDescent="0.3">
      <c r="B18" t="s">
        <v>643</v>
      </c>
      <c r="D18" t="s">
        <v>156</v>
      </c>
      <c r="E18" t="s">
        <v>170</v>
      </c>
      <c r="F18" t="s">
        <v>991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230" t="s">
        <v>158</v>
      </c>
    </row>
    <row r="19" spans="1:28" x14ac:dyDescent="0.3">
      <c r="B19" t="s">
        <v>173</v>
      </c>
      <c r="D19" t="s">
        <v>156</v>
      </c>
      <c r="E19" t="s">
        <v>157</v>
      </c>
      <c r="F19" t="s">
        <v>992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158</v>
      </c>
    </row>
    <row r="20" spans="1:28" x14ac:dyDescent="0.3">
      <c r="B20" t="s">
        <v>993</v>
      </c>
      <c r="D20" t="s">
        <v>156</v>
      </c>
      <c r="E20" t="s">
        <v>157</v>
      </c>
      <c r="F20" t="s">
        <v>994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t="s">
        <v>158</v>
      </c>
    </row>
    <row r="21" spans="1:28" x14ac:dyDescent="0.3">
      <c r="B21" t="s">
        <v>174</v>
      </c>
      <c r="D21" t="s">
        <v>156</v>
      </c>
      <c r="E21" t="s">
        <v>157</v>
      </c>
      <c r="F21" t="s">
        <v>995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s="230" t="s">
        <v>17</v>
      </c>
    </row>
    <row r="22" spans="1:28" x14ac:dyDescent="0.3">
      <c r="A22" s="28"/>
      <c r="B22" s="28" t="s">
        <v>176</v>
      </c>
      <c r="C22" s="28" t="s">
        <v>152</v>
      </c>
      <c r="D22" s="28" t="s">
        <v>175</v>
      </c>
      <c r="E22" s="28" t="s">
        <v>170</v>
      </c>
      <c r="F22" s="28" t="s">
        <v>996</v>
      </c>
      <c r="G22" s="28">
        <v>3</v>
      </c>
      <c r="H22" s="28" t="s">
        <v>850</v>
      </c>
      <c r="I22" s="28">
        <v>0</v>
      </c>
      <c r="J22" s="28">
        <v>0</v>
      </c>
      <c r="K22" s="28">
        <v>0</v>
      </c>
      <c r="L22" s="28">
        <v>2</v>
      </c>
      <c r="M22" s="28">
        <v>1</v>
      </c>
      <c r="N22" s="28">
        <v>0</v>
      </c>
      <c r="O22" s="28">
        <v>0</v>
      </c>
      <c r="P22" s="28">
        <v>0</v>
      </c>
      <c r="Q22" s="28"/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/>
      <c r="Z22" s="231" t="s">
        <v>34</v>
      </c>
      <c r="AA22" s="28"/>
      <c r="AB22" s="28"/>
    </row>
    <row r="23" spans="1:28" x14ac:dyDescent="0.3">
      <c r="A23" s="28"/>
      <c r="B23" s="28" t="s">
        <v>386</v>
      </c>
      <c r="C23" s="28"/>
      <c r="D23" s="28" t="s">
        <v>156</v>
      </c>
      <c r="E23" s="28">
        <v>4</v>
      </c>
      <c r="F23" s="28" t="s">
        <v>982</v>
      </c>
      <c r="G23" s="28">
        <v>5</v>
      </c>
      <c r="H23" s="28" t="s">
        <v>334</v>
      </c>
      <c r="I23" s="28">
        <v>1</v>
      </c>
      <c r="J23" s="28">
        <v>0</v>
      </c>
      <c r="K23" s="28">
        <v>1</v>
      </c>
      <c r="L23" s="28">
        <v>1</v>
      </c>
      <c r="M23" s="28">
        <v>1</v>
      </c>
      <c r="N23" s="28">
        <v>0</v>
      </c>
      <c r="O23" s="28">
        <v>1</v>
      </c>
      <c r="P23" s="28">
        <v>0</v>
      </c>
      <c r="Q23" s="28"/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/>
      <c r="Z23" s="28" t="s">
        <v>233</v>
      </c>
      <c r="AA23" s="28"/>
      <c r="AB23" s="28"/>
    </row>
    <row r="24" spans="1:28" x14ac:dyDescent="0.3">
      <c r="A24" s="28"/>
      <c r="B24" s="28" t="s">
        <v>177</v>
      </c>
      <c r="C24" s="28"/>
      <c r="D24" s="28" t="s">
        <v>156</v>
      </c>
      <c r="E24" s="28" t="s">
        <v>154</v>
      </c>
      <c r="F24" s="28" t="s">
        <v>997</v>
      </c>
      <c r="G24" s="28">
        <v>3</v>
      </c>
      <c r="H24" s="28" t="s">
        <v>178</v>
      </c>
      <c r="I24" s="28">
        <v>1</v>
      </c>
      <c r="J24" s="28">
        <v>0</v>
      </c>
      <c r="K24" s="28">
        <v>1</v>
      </c>
      <c r="L24" s="28">
        <v>0</v>
      </c>
      <c r="M24" s="28">
        <v>0</v>
      </c>
      <c r="N24" s="28">
        <v>1</v>
      </c>
      <c r="O24" s="28">
        <v>0</v>
      </c>
      <c r="P24" s="28">
        <v>0</v>
      </c>
      <c r="Q24" s="28"/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/>
      <c r="Z24" s="231" t="s">
        <v>34</v>
      </c>
      <c r="AA24" s="28"/>
      <c r="AB24" s="2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F316-A948-462F-8A74-D1BB2EA19DB2}">
  <dimension ref="A1:AD129"/>
  <sheetViews>
    <sheetView workbookViewId="0">
      <selection activeCell="E21" sqref="E21"/>
    </sheetView>
  </sheetViews>
  <sheetFormatPr defaultRowHeight="14.4" x14ac:dyDescent="0.3"/>
  <cols>
    <col min="1" max="1" width="16.109375" customWidth="1"/>
    <col min="2" max="2" width="8.5546875" customWidth="1"/>
    <col min="3" max="3" width="12.109375" customWidth="1"/>
    <col min="4" max="4" width="5.88671875" customWidth="1"/>
    <col min="5" max="5" width="57.5546875" customWidth="1"/>
    <col min="6" max="6" width="7" customWidth="1"/>
    <col min="7" max="7" width="9.33203125" customWidth="1"/>
    <col min="8" max="14" width="5.44140625" customWidth="1"/>
    <col min="17" max="23" width="6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9" t="s">
        <v>36</v>
      </c>
      <c r="I1" s="30" t="s">
        <v>25</v>
      </c>
      <c r="J1" s="31" t="s">
        <v>23</v>
      </c>
      <c r="K1" s="32" t="s">
        <v>24</v>
      </c>
      <c r="L1" s="33" t="s">
        <v>22</v>
      </c>
      <c r="M1" s="34" t="s">
        <v>29</v>
      </c>
      <c r="N1" s="35" t="s">
        <v>27</v>
      </c>
      <c r="O1" t="s">
        <v>7</v>
      </c>
      <c r="P1" t="s">
        <v>8</v>
      </c>
      <c r="Q1" s="36" t="s">
        <v>20</v>
      </c>
      <c r="R1" s="37" t="s">
        <v>26</v>
      </c>
      <c r="S1" s="38" t="s">
        <v>18</v>
      </c>
      <c r="T1" s="39" t="s">
        <v>28</v>
      </c>
      <c r="U1" s="40" t="s">
        <v>39</v>
      </c>
      <c r="V1" s="41" t="s">
        <v>30</v>
      </c>
      <c r="W1" s="42" t="s">
        <v>38</v>
      </c>
      <c r="X1" t="s">
        <v>9</v>
      </c>
      <c r="Y1" t="s">
        <v>10</v>
      </c>
      <c r="Z1" t="s">
        <v>32</v>
      </c>
      <c r="AA1" t="s">
        <v>98</v>
      </c>
      <c r="AB1" t="s">
        <v>146</v>
      </c>
    </row>
    <row r="2" spans="1:30" x14ac:dyDescent="0.3">
      <c r="A2" t="s">
        <v>203</v>
      </c>
      <c r="B2" t="s">
        <v>152</v>
      </c>
      <c r="C2" t="s">
        <v>156</v>
      </c>
      <c r="D2" t="s">
        <v>160</v>
      </c>
      <c r="E2" t="s">
        <v>987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204</v>
      </c>
      <c r="Y2" t="s">
        <v>14</v>
      </c>
      <c r="AD2" t="s">
        <v>138</v>
      </c>
    </row>
    <row r="3" spans="1:30" x14ac:dyDescent="0.3">
      <c r="A3" t="s">
        <v>998</v>
      </c>
      <c r="B3" t="s">
        <v>152</v>
      </c>
      <c r="C3" t="s">
        <v>156</v>
      </c>
      <c r="D3" t="s">
        <v>160</v>
      </c>
      <c r="E3" t="s">
        <v>987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204</v>
      </c>
      <c r="AD3" t="s">
        <v>138</v>
      </c>
    </row>
    <row r="4" spans="1:30" x14ac:dyDescent="0.3">
      <c r="A4" t="s">
        <v>207</v>
      </c>
      <c r="B4" t="s">
        <v>152</v>
      </c>
      <c r="C4" t="s">
        <v>156</v>
      </c>
      <c r="D4" t="s">
        <v>160</v>
      </c>
      <c r="E4" t="s">
        <v>999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204</v>
      </c>
      <c r="AD4" t="s">
        <v>140</v>
      </c>
    </row>
    <row r="5" spans="1:30" x14ac:dyDescent="0.3">
      <c r="A5" t="s">
        <v>1000</v>
      </c>
      <c r="B5" t="s">
        <v>152</v>
      </c>
      <c r="C5" t="s">
        <v>156</v>
      </c>
      <c r="D5" t="s">
        <v>160</v>
      </c>
      <c r="E5" t="s">
        <v>986</v>
      </c>
      <c r="F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204</v>
      </c>
      <c r="AD5" t="s">
        <v>140</v>
      </c>
    </row>
    <row r="6" spans="1:30" x14ac:dyDescent="0.3">
      <c r="A6" t="s">
        <v>206</v>
      </c>
      <c r="B6" t="s">
        <v>152</v>
      </c>
      <c r="C6" t="s">
        <v>156</v>
      </c>
      <c r="D6" t="s">
        <v>160</v>
      </c>
      <c r="E6" t="s">
        <v>1001</v>
      </c>
      <c r="F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204</v>
      </c>
      <c r="AD6" t="s">
        <v>140</v>
      </c>
    </row>
    <row r="7" spans="1:30" x14ac:dyDescent="0.3">
      <c r="A7" t="s">
        <v>852</v>
      </c>
      <c r="B7" t="s">
        <v>152</v>
      </c>
      <c r="C7" t="s">
        <v>156</v>
      </c>
      <c r="D7" t="s">
        <v>160</v>
      </c>
      <c r="E7" t="s">
        <v>982</v>
      </c>
      <c r="F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204</v>
      </c>
      <c r="AD7" t="s">
        <v>138</v>
      </c>
    </row>
    <row r="8" spans="1:30" x14ac:dyDescent="0.3">
      <c r="A8" t="s">
        <v>1002</v>
      </c>
      <c r="B8" t="s">
        <v>152</v>
      </c>
      <c r="C8" t="s">
        <v>153</v>
      </c>
      <c r="D8" t="s">
        <v>160</v>
      </c>
      <c r="E8" t="s">
        <v>990</v>
      </c>
      <c r="F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158</v>
      </c>
      <c r="AD8" t="s">
        <v>138</v>
      </c>
    </row>
    <row r="9" spans="1:30" x14ac:dyDescent="0.3">
      <c r="A9" t="s">
        <v>1003</v>
      </c>
      <c r="B9" t="s">
        <v>152</v>
      </c>
      <c r="C9" t="s">
        <v>153</v>
      </c>
      <c r="D9" t="s">
        <v>160</v>
      </c>
      <c r="E9" t="s">
        <v>990</v>
      </c>
      <c r="F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204</v>
      </c>
      <c r="AD9" t="s">
        <v>138</v>
      </c>
    </row>
    <row r="10" spans="1:30" x14ac:dyDescent="0.3">
      <c r="A10" t="s">
        <v>205</v>
      </c>
      <c r="B10" t="s">
        <v>152</v>
      </c>
      <c r="C10" t="s">
        <v>156</v>
      </c>
      <c r="D10" t="s">
        <v>160</v>
      </c>
      <c r="E10" t="s">
        <v>982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 t="s">
        <v>1004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 t="s">
        <v>158</v>
      </c>
      <c r="AD10" t="s">
        <v>140</v>
      </c>
    </row>
    <row r="11" spans="1:30" x14ac:dyDescent="0.3">
      <c r="A11" t="s">
        <v>208</v>
      </c>
      <c r="B11" t="s">
        <v>152</v>
      </c>
      <c r="C11" t="s">
        <v>153</v>
      </c>
      <c r="D11" t="s">
        <v>160</v>
      </c>
      <c r="E11" t="s">
        <v>990</v>
      </c>
      <c r="F11">
        <v>8</v>
      </c>
      <c r="G11" t="s">
        <v>853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2</v>
      </c>
      <c r="P11" t="s">
        <v>209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158</v>
      </c>
      <c r="AD11" t="s">
        <v>138</v>
      </c>
    </row>
    <row r="12" spans="1:30" x14ac:dyDescent="0.3">
      <c r="A12" t="s">
        <v>1005</v>
      </c>
      <c r="B12" t="s">
        <v>152</v>
      </c>
      <c r="C12" t="s">
        <v>153</v>
      </c>
      <c r="D12" t="s">
        <v>160</v>
      </c>
      <c r="E12" t="s">
        <v>990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20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204</v>
      </c>
      <c r="AD12" t="s">
        <v>138</v>
      </c>
    </row>
    <row r="13" spans="1:30" x14ac:dyDescent="0.3">
      <c r="A13" t="s">
        <v>1006</v>
      </c>
      <c r="B13" t="s">
        <v>152</v>
      </c>
      <c r="C13" t="s">
        <v>156</v>
      </c>
      <c r="D13" t="s">
        <v>160</v>
      </c>
      <c r="E13" t="s">
        <v>994</v>
      </c>
      <c r="F13">
        <v>2</v>
      </c>
      <c r="G13" t="s">
        <v>420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204</v>
      </c>
      <c r="AD13" t="s">
        <v>138</v>
      </c>
    </row>
    <row r="14" spans="1:30" x14ac:dyDescent="0.3">
      <c r="A14" t="s">
        <v>851</v>
      </c>
      <c r="B14" t="s">
        <v>152</v>
      </c>
      <c r="C14" t="s">
        <v>156</v>
      </c>
      <c r="D14" t="s">
        <v>160</v>
      </c>
      <c r="E14" t="s">
        <v>1007</v>
      </c>
      <c r="F14">
        <v>3</v>
      </c>
      <c r="G14" t="s">
        <v>431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3</v>
      </c>
      <c r="P14" t="s">
        <v>1008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 t="s">
        <v>158</v>
      </c>
      <c r="AD14" t="s">
        <v>138</v>
      </c>
    </row>
    <row r="15" spans="1:30" x14ac:dyDescent="0.3">
      <c r="A15" t="s">
        <v>217</v>
      </c>
      <c r="B15" t="s">
        <v>152</v>
      </c>
      <c r="C15" t="s">
        <v>156</v>
      </c>
      <c r="D15" t="s">
        <v>211</v>
      </c>
      <c r="E15" t="s">
        <v>1009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204</v>
      </c>
      <c r="Y15" t="s">
        <v>11</v>
      </c>
      <c r="AD15" t="s">
        <v>93</v>
      </c>
    </row>
    <row r="16" spans="1:30" x14ac:dyDescent="0.3">
      <c r="A16" t="s">
        <v>469</v>
      </c>
      <c r="B16" t="s">
        <v>152</v>
      </c>
      <c r="C16" t="s">
        <v>156</v>
      </c>
      <c r="D16" t="s">
        <v>211</v>
      </c>
      <c r="E16" t="s">
        <v>986</v>
      </c>
      <c r="F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204</v>
      </c>
      <c r="Y16" t="s">
        <v>12</v>
      </c>
      <c r="AD16" t="s">
        <v>140</v>
      </c>
    </row>
    <row r="17" spans="1:30" x14ac:dyDescent="0.3">
      <c r="A17" t="s">
        <v>216</v>
      </c>
      <c r="B17" t="s">
        <v>152</v>
      </c>
      <c r="C17" t="s">
        <v>156</v>
      </c>
      <c r="D17" t="s">
        <v>211</v>
      </c>
      <c r="E17" t="s">
        <v>1010</v>
      </c>
      <c r="F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204</v>
      </c>
      <c r="Y17" t="s">
        <v>16</v>
      </c>
      <c r="AD17" t="s">
        <v>138</v>
      </c>
    </row>
    <row r="18" spans="1:30" x14ac:dyDescent="0.3">
      <c r="A18" t="s">
        <v>1011</v>
      </c>
      <c r="B18" t="s">
        <v>152</v>
      </c>
      <c r="C18" t="s">
        <v>156</v>
      </c>
      <c r="D18" t="s">
        <v>211</v>
      </c>
      <c r="E18" t="s">
        <v>983</v>
      </c>
      <c r="F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204</v>
      </c>
      <c r="AD18" t="s">
        <v>138</v>
      </c>
    </row>
    <row r="19" spans="1:30" x14ac:dyDescent="0.3">
      <c r="A19" t="s">
        <v>210</v>
      </c>
      <c r="B19" t="s">
        <v>152</v>
      </c>
      <c r="C19" t="s">
        <v>156</v>
      </c>
      <c r="D19" t="s">
        <v>211</v>
      </c>
      <c r="E19" t="s">
        <v>982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158</v>
      </c>
      <c r="AD19" t="s">
        <v>138</v>
      </c>
    </row>
    <row r="20" spans="1:30" x14ac:dyDescent="0.3">
      <c r="A20" t="s">
        <v>1328</v>
      </c>
      <c r="B20" t="s">
        <v>152</v>
      </c>
      <c r="C20" t="s">
        <v>156</v>
      </c>
      <c r="D20" t="s">
        <v>211</v>
      </c>
      <c r="E20" t="s">
        <v>982</v>
      </c>
      <c r="F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158</v>
      </c>
      <c r="AD20" t="s">
        <v>138</v>
      </c>
    </row>
    <row r="21" spans="1:30" x14ac:dyDescent="0.3">
      <c r="A21" t="s">
        <v>1012</v>
      </c>
      <c r="B21" t="s">
        <v>152</v>
      </c>
      <c r="C21" t="s">
        <v>156</v>
      </c>
      <c r="D21" t="s">
        <v>211</v>
      </c>
      <c r="E21" t="s">
        <v>982</v>
      </c>
      <c r="F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204</v>
      </c>
      <c r="AD21" t="s">
        <v>140</v>
      </c>
    </row>
    <row r="22" spans="1:30" x14ac:dyDescent="0.3">
      <c r="A22" t="s">
        <v>213</v>
      </c>
      <c r="B22" t="s">
        <v>152</v>
      </c>
      <c r="C22" t="s">
        <v>153</v>
      </c>
      <c r="D22" t="s">
        <v>211</v>
      </c>
      <c r="E22" t="s">
        <v>990</v>
      </c>
      <c r="F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204</v>
      </c>
      <c r="Y22" t="s">
        <v>13</v>
      </c>
      <c r="AD22" t="s">
        <v>138</v>
      </c>
    </row>
    <row r="23" spans="1:30" x14ac:dyDescent="0.3">
      <c r="A23" t="s">
        <v>1013</v>
      </c>
      <c r="B23" t="s">
        <v>152</v>
      </c>
      <c r="C23" t="s">
        <v>153</v>
      </c>
      <c r="D23" t="s">
        <v>211</v>
      </c>
      <c r="E23" t="s">
        <v>990</v>
      </c>
      <c r="F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204</v>
      </c>
      <c r="AD23" t="s">
        <v>141</v>
      </c>
    </row>
    <row r="24" spans="1:30" x14ac:dyDescent="0.3">
      <c r="A24" t="s">
        <v>214</v>
      </c>
      <c r="B24" t="s">
        <v>152</v>
      </c>
      <c r="C24" t="s">
        <v>153</v>
      </c>
      <c r="D24" t="s">
        <v>211</v>
      </c>
      <c r="E24" t="s">
        <v>990</v>
      </c>
      <c r="F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204</v>
      </c>
      <c r="AD24" t="s">
        <v>93</v>
      </c>
    </row>
    <row r="25" spans="1:30" x14ac:dyDescent="0.3">
      <c r="A25" t="s">
        <v>219</v>
      </c>
      <c r="B25" t="s">
        <v>152</v>
      </c>
      <c r="C25" t="s">
        <v>153</v>
      </c>
      <c r="D25" t="s">
        <v>211</v>
      </c>
      <c r="E25" t="s">
        <v>990</v>
      </c>
      <c r="F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204</v>
      </c>
      <c r="AD25" t="s">
        <v>138</v>
      </c>
    </row>
    <row r="26" spans="1:30" x14ac:dyDescent="0.3">
      <c r="A26" t="s">
        <v>212</v>
      </c>
      <c r="B26" t="s">
        <v>152</v>
      </c>
      <c r="C26" t="s">
        <v>156</v>
      </c>
      <c r="D26" t="s">
        <v>211</v>
      </c>
      <c r="E26" t="s">
        <v>995</v>
      </c>
      <c r="F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158</v>
      </c>
      <c r="AD26" t="s">
        <v>138</v>
      </c>
    </row>
    <row r="27" spans="1:30" x14ac:dyDescent="0.3">
      <c r="A27" t="s">
        <v>218</v>
      </c>
      <c r="B27" t="s">
        <v>152</v>
      </c>
      <c r="C27" t="s">
        <v>156</v>
      </c>
      <c r="D27" t="s">
        <v>211</v>
      </c>
      <c r="E27" t="s">
        <v>1014</v>
      </c>
      <c r="F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204</v>
      </c>
      <c r="AD27" t="s">
        <v>143</v>
      </c>
    </row>
    <row r="28" spans="1:30" x14ac:dyDescent="0.3">
      <c r="A28" t="s">
        <v>215</v>
      </c>
      <c r="B28" t="s">
        <v>152</v>
      </c>
      <c r="C28" t="s">
        <v>156</v>
      </c>
      <c r="D28" t="s">
        <v>211</v>
      </c>
      <c r="E28" t="s">
        <v>1015</v>
      </c>
      <c r="F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204</v>
      </c>
      <c r="AD28" t="s">
        <v>142</v>
      </c>
    </row>
    <row r="29" spans="1:30" x14ac:dyDescent="0.3">
      <c r="A29" t="s">
        <v>1016</v>
      </c>
      <c r="B29" t="s">
        <v>152</v>
      </c>
      <c r="C29" t="s">
        <v>156</v>
      </c>
      <c r="D29" t="s">
        <v>211</v>
      </c>
      <c r="E29" t="s">
        <v>984</v>
      </c>
      <c r="F29">
        <v>1</v>
      </c>
      <c r="G29" t="s">
        <v>24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3</v>
      </c>
      <c r="P29" t="s">
        <v>1008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 t="s">
        <v>204</v>
      </c>
      <c r="AD29" t="s">
        <v>140</v>
      </c>
    </row>
    <row r="30" spans="1:30" x14ac:dyDescent="0.3">
      <c r="A30" t="s">
        <v>1017</v>
      </c>
      <c r="B30" t="s">
        <v>152</v>
      </c>
      <c r="C30" t="s">
        <v>153</v>
      </c>
      <c r="D30" t="s">
        <v>211</v>
      </c>
      <c r="E30" t="s">
        <v>990</v>
      </c>
      <c r="F30">
        <v>9</v>
      </c>
      <c r="G30" t="s">
        <v>1018</v>
      </c>
      <c r="H30">
        <v>2</v>
      </c>
      <c r="I30">
        <v>0</v>
      </c>
      <c r="J30">
        <v>3</v>
      </c>
      <c r="K30">
        <v>2</v>
      </c>
      <c r="L30">
        <v>0</v>
      </c>
      <c r="M30">
        <v>2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204</v>
      </c>
      <c r="AD30" t="s">
        <v>138</v>
      </c>
    </row>
    <row r="31" spans="1:30" x14ac:dyDescent="0.3">
      <c r="A31" t="s">
        <v>220</v>
      </c>
      <c r="B31" t="s">
        <v>152</v>
      </c>
      <c r="C31" t="s">
        <v>153</v>
      </c>
      <c r="D31" t="s">
        <v>211</v>
      </c>
      <c r="E31" t="s">
        <v>990</v>
      </c>
      <c r="F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 t="s">
        <v>221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 t="s">
        <v>204</v>
      </c>
      <c r="AD31" t="s">
        <v>93</v>
      </c>
    </row>
    <row r="32" spans="1:30" x14ac:dyDescent="0.3">
      <c r="A32" t="s">
        <v>222</v>
      </c>
      <c r="B32" t="s">
        <v>152</v>
      </c>
      <c r="C32" t="s">
        <v>156</v>
      </c>
      <c r="D32" t="s">
        <v>211</v>
      </c>
      <c r="E32" t="s">
        <v>1019</v>
      </c>
      <c r="F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 t="s">
        <v>223</v>
      </c>
      <c r="Q32">
        <v>0</v>
      </c>
      <c r="R32">
        <v>0</v>
      </c>
      <c r="S32">
        <v>1</v>
      </c>
      <c r="T32">
        <v>0</v>
      </c>
      <c r="U32">
        <v>2</v>
      </c>
      <c r="V32">
        <v>0</v>
      </c>
      <c r="W32">
        <v>0</v>
      </c>
      <c r="X32" t="s">
        <v>158</v>
      </c>
      <c r="AD32" t="s">
        <v>138</v>
      </c>
    </row>
    <row r="33" spans="1:30" x14ac:dyDescent="0.3">
      <c r="A33" t="s">
        <v>210</v>
      </c>
      <c r="B33" t="s">
        <v>152</v>
      </c>
      <c r="C33" t="s">
        <v>156</v>
      </c>
      <c r="D33" t="s">
        <v>211</v>
      </c>
      <c r="E33" t="s">
        <v>1020</v>
      </c>
      <c r="F33">
        <v>4</v>
      </c>
      <c r="G33" t="s">
        <v>1021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 t="s">
        <v>20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158</v>
      </c>
      <c r="AD33" t="s">
        <v>140</v>
      </c>
    </row>
    <row r="34" spans="1:30" x14ac:dyDescent="0.3">
      <c r="A34" t="s">
        <v>249</v>
      </c>
      <c r="B34" t="s">
        <v>152</v>
      </c>
      <c r="C34" t="s">
        <v>156</v>
      </c>
      <c r="D34" t="s">
        <v>154</v>
      </c>
      <c r="E34" t="s">
        <v>987</v>
      </c>
      <c r="F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204</v>
      </c>
      <c r="Y34" t="s">
        <v>16</v>
      </c>
      <c r="AD34" t="s">
        <v>145</v>
      </c>
    </row>
    <row r="35" spans="1:30" x14ac:dyDescent="0.3">
      <c r="A35" t="s">
        <v>236</v>
      </c>
      <c r="B35" t="s">
        <v>152</v>
      </c>
      <c r="C35" t="s">
        <v>156</v>
      </c>
      <c r="D35" t="s">
        <v>154</v>
      </c>
      <c r="E35" t="s">
        <v>987</v>
      </c>
      <c r="F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158</v>
      </c>
      <c r="AD35" t="s">
        <v>141</v>
      </c>
    </row>
    <row r="36" spans="1:30" x14ac:dyDescent="0.3">
      <c r="A36" t="s">
        <v>251</v>
      </c>
      <c r="B36" t="s">
        <v>152</v>
      </c>
      <c r="C36" t="s">
        <v>156</v>
      </c>
      <c r="D36" t="s">
        <v>154</v>
      </c>
      <c r="E36" t="s">
        <v>987</v>
      </c>
      <c r="F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204</v>
      </c>
      <c r="AD36" t="s">
        <v>138</v>
      </c>
    </row>
    <row r="37" spans="1:30" x14ac:dyDescent="0.3">
      <c r="A37" t="s">
        <v>243</v>
      </c>
      <c r="B37" t="s">
        <v>152</v>
      </c>
      <c r="C37" t="s">
        <v>156</v>
      </c>
      <c r="D37" t="s">
        <v>154</v>
      </c>
      <c r="E37" t="s">
        <v>987</v>
      </c>
      <c r="F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204</v>
      </c>
      <c r="AD37" t="s">
        <v>141</v>
      </c>
    </row>
    <row r="38" spans="1:30" x14ac:dyDescent="0.3">
      <c r="A38" t="s">
        <v>1022</v>
      </c>
      <c r="B38" t="s">
        <v>152</v>
      </c>
      <c r="C38" t="s">
        <v>156</v>
      </c>
      <c r="D38" t="s">
        <v>154</v>
      </c>
      <c r="E38" t="s">
        <v>987</v>
      </c>
      <c r="F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204</v>
      </c>
      <c r="AD38" t="s">
        <v>138</v>
      </c>
    </row>
    <row r="39" spans="1:30" x14ac:dyDescent="0.3">
      <c r="A39" t="s">
        <v>231</v>
      </c>
      <c r="B39" t="s">
        <v>152</v>
      </c>
      <c r="C39" t="s">
        <v>156</v>
      </c>
      <c r="D39" t="s">
        <v>154</v>
      </c>
      <c r="E39" t="s">
        <v>1023</v>
      </c>
      <c r="F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158</v>
      </c>
      <c r="AD39" t="s">
        <v>93</v>
      </c>
    </row>
    <row r="40" spans="1:30" x14ac:dyDescent="0.3">
      <c r="A40" t="s">
        <v>245</v>
      </c>
      <c r="B40" t="s">
        <v>152</v>
      </c>
      <c r="C40" t="s">
        <v>156</v>
      </c>
      <c r="D40" t="s">
        <v>154</v>
      </c>
      <c r="E40" t="s">
        <v>1024</v>
      </c>
      <c r="F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158</v>
      </c>
      <c r="AD40" t="s">
        <v>140</v>
      </c>
    </row>
    <row r="41" spans="1:30" x14ac:dyDescent="0.3">
      <c r="A41" t="s">
        <v>1025</v>
      </c>
      <c r="B41" t="s">
        <v>152</v>
      </c>
      <c r="C41" t="s">
        <v>156</v>
      </c>
      <c r="D41" t="s">
        <v>154</v>
      </c>
      <c r="E41" t="s">
        <v>986</v>
      </c>
      <c r="F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204</v>
      </c>
      <c r="AD41" t="s">
        <v>143</v>
      </c>
    </row>
    <row r="42" spans="1:30" x14ac:dyDescent="0.3">
      <c r="A42" t="s">
        <v>246</v>
      </c>
      <c r="B42" t="s">
        <v>152</v>
      </c>
      <c r="C42" t="s">
        <v>156</v>
      </c>
      <c r="D42" t="s">
        <v>154</v>
      </c>
      <c r="E42" t="s">
        <v>984</v>
      </c>
      <c r="F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204</v>
      </c>
      <c r="Y42" t="s">
        <v>233</v>
      </c>
      <c r="AD42" t="s">
        <v>138</v>
      </c>
    </row>
    <row r="43" spans="1:30" x14ac:dyDescent="0.3">
      <c r="A43" t="s">
        <v>855</v>
      </c>
      <c r="B43" t="s">
        <v>152</v>
      </c>
      <c r="C43" t="s">
        <v>156</v>
      </c>
      <c r="D43" t="s">
        <v>154</v>
      </c>
      <c r="E43" t="s">
        <v>984</v>
      </c>
      <c r="F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158</v>
      </c>
      <c r="AD43" t="s">
        <v>138</v>
      </c>
    </row>
    <row r="44" spans="1:30" x14ac:dyDescent="0.3">
      <c r="A44" t="s">
        <v>241</v>
      </c>
      <c r="B44" t="s">
        <v>152</v>
      </c>
      <c r="C44" t="s">
        <v>156</v>
      </c>
      <c r="D44" t="s">
        <v>154</v>
      </c>
      <c r="E44" t="s">
        <v>984</v>
      </c>
      <c r="F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204</v>
      </c>
      <c r="AD44" t="s">
        <v>138</v>
      </c>
    </row>
    <row r="45" spans="1:30" x14ac:dyDescent="0.3">
      <c r="A45" t="s">
        <v>260</v>
      </c>
      <c r="B45" t="s">
        <v>152</v>
      </c>
      <c r="C45" t="s">
        <v>156</v>
      </c>
      <c r="D45" t="s">
        <v>154</v>
      </c>
      <c r="E45" t="s">
        <v>1026</v>
      </c>
      <c r="F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204</v>
      </c>
      <c r="AD45" t="s">
        <v>138</v>
      </c>
    </row>
    <row r="46" spans="1:30" x14ac:dyDescent="0.3">
      <c r="A46" t="s">
        <v>1027</v>
      </c>
      <c r="B46" t="s">
        <v>152</v>
      </c>
      <c r="C46" t="s">
        <v>156</v>
      </c>
      <c r="D46" t="s">
        <v>154</v>
      </c>
      <c r="E46" t="s">
        <v>983</v>
      </c>
      <c r="F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158</v>
      </c>
      <c r="AD46" t="s">
        <v>138</v>
      </c>
    </row>
    <row r="47" spans="1:30" x14ac:dyDescent="0.3">
      <c r="A47" t="s">
        <v>242</v>
      </c>
      <c r="B47" t="s">
        <v>152</v>
      </c>
      <c r="C47" t="s">
        <v>156</v>
      </c>
      <c r="D47" t="s">
        <v>154</v>
      </c>
      <c r="E47" t="s">
        <v>983</v>
      </c>
      <c r="F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204</v>
      </c>
      <c r="AD47" t="s">
        <v>140</v>
      </c>
    </row>
    <row r="48" spans="1:30" x14ac:dyDescent="0.3">
      <c r="A48" t="s">
        <v>237</v>
      </c>
      <c r="B48" t="s">
        <v>152</v>
      </c>
      <c r="C48" t="s">
        <v>156</v>
      </c>
      <c r="D48" t="s">
        <v>154</v>
      </c>
      <c r="E48" t="s">
        <v>982</v>
      </c>
      <c r="F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204</v>
      </c>
      <c r="Y48" t="s">
        <v>238</v>
      </c>
      <c r="AD48" t="s">
        <v>143</v>
      </c>
    </row>
    <row r="49" spans="1:30" x14ac:dyDescent="0.3">
      <c r="A49" t="s">
        <v>247</v>
      </c>
      <c r="B49" t="s">
        <v>152</v>
      </c>
      <c r="C49" t="s">
        <v>156</v>
      </c>
      <c r="D49" t="s">
        <v>154</v>
      </c>
      <c r="E49" t="s">
        <v>982</v>
      </c>
      <c r="F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158</v>
      </c>
      <c r="AD49" t="s">
        <v>138</v>
      </c>
    </row>
    <row r="50" spans="1:30" x14ac:dyDescent="0.3">
      <c r="A50" t="s">
        <v>257</v>
      </c>
      <c r="B50" t="s">
        <v>152</v>
      </c>
      <c r="C50" t="s">
        <v>156</v>
      </c>
      <c r="D50" t="s">
        <v>154</v>
      </c>
      <c r="E50" t="s">
        <v>982</v>
      </c>
      <c r="F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158</v>
      </c>
      <c r="AD50" t="s">
        <v>138</v>
      </c>
    </row>
    <row r="51" spans="1:30" x14ac:dyDescent="0.3">
      <c r="A51" t="s">
        <v>856</v>
      </c>
      <c r="B51" t="s">
        <v>152</v>
      </c>
      <c r="C51" t="s">
        <v>156</v>
      </c>
      <c r="D51" t="s">
        <v>154</v>
      </c>
      <c r="E51" t="s">
        <v>982</v>
      </c>
      <c r="F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204</v>
      </c>
      <c r="AD51" t="s">
        <v>141</v>
      </c>
    </row>
    <row r="52" spans="1:30" x14ac:dyDescent="0.3">
      <c r="A52" t="s">
        <v>1028</v>
      </c>
      <c r="B52" t="s">
        <v>152</v>
      </c>
      <c r="C52" t="s">
        <v>153</v>
      </c>
      <c r="D52" t="s">
        <v>154</v>
      </c>
      <c r="E52" t="s">
        <v>990</v>
      </c>
      <c r="F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204</v>
      </c>
      <c r="Y52" t="s">
        <v>180</v>
      </c>
      <c r="AD52" t="s">
        <v>93</v>
      </c>
    </row>
    <row r="53" spans="1:30" x14ac:dyDescent="0.3">
      <c r="A53" t="s">
        <v>244</v>
      </c>
      <c r="B53" t="s">
        <v>152</v>
      </c>
      <c r="C53" t="s">
        <v>153</v>
      </c>
      <c r="D53" t="s">
        <v>154</v>
      </c>
      <c r="E53" t="s">
        <v>990</v>
      </c>
      <c r="F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204</v>
      </c>
      <c r="Y53" t="s">
        <v>15</v>
      </c>
      <c r="AD53" t="s">
        <v>138</v>
      </c>
    </row>
    <row r="54" spans="1:30" x14ac:dyDescent="0.3">
      <c r="A54" t="s">
        <v>232</v>
      </c>
      <c r="B54" t="s">
        <v>152</v>
      </c>
      <c r="C54" t="s">
        <v>153</v>
      </c>
      <c r="D54" t="s">
        <v>154</v>
      </c>
      <c r="E54" t="s">
        <v>990</v>
      </c>
      <c r="F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204</v>
      </c>
      <c r="Y54" t="s">
        <v>233</v>
      </c>
      <c r="AD54" t="s">
        <v>138</v>
      </c>
    </row>
    <row r="55" spans="1:30" x14ac:dyDescent="0.3">
      <c r="A55" t="s">
        <v>225</v>
      </c>
      <c r="B55" t="s">
        <v>152</v>
      </c>
      <c r="C55" t="s">
        <v>153</v>
      </c>
      <c r="D55" t="s">
        <v>154</v>
      </c>
      <c r="E55" t="s">
        <v>990</v>
      </c>
      <c r="F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158</v>
      </c>
      <c r="AD55" t="s">
        <v>143</v>
      </c>
    </row>
    <row r="56" spans="1:30" x14ac:dyDescent="0.3">
      <c r="A56" t="s">
        <v>227</v>
      </c>
      <c r="B56" t="s">
        <v>152</v>
      </c>
      <c r="C56" t="s">
        <v>153</v>
      </c>
      <c r="D56" t="s">
        <v>154</v>
      </c>
      <c r="E56" t="s">
        <v>990</v>
      </c>
      <c r="F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158</v>
      </c>
      <c r="AD56" t="s">
        <v>138</v>
      </c>
    </row>
    <row r="57" spans="1:30" x14ac:dyDescent="0.3">
      <c r="A57" t="s">
        <v>254</v>
      </c>
      <c r="B57" t="s">
        <v>152</v>
      </c>
      <c r="C57" t="s">
        <v>153</v>
      </c>
      <c r="D57" t="s">
        <v>154</v>
      </c>
      <c r="E57" t="s">
        <v>990</v>
      </c>
      <c r="F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158</v>
      </c>
      <c r="AD57" t="s">
        <v>138</v>
      </c>
    </row>
    <row r="58" spans="1:30" x14ac:dyDescent="0.3">
      <c r="A58" t="s">
        <v>1029</v>
      </c>
      <c r="B58" t="s">
        <v>152</v>
      </c>
      <c r="C58" t="s">
        <v>153</v>
      </c>
      <c r="D58" t="s">
        <v>154</v>
      </c>
      <c r="E58" t="s">
        <v>990</v>
      </c>
      <c r="F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204</v>
      </c>
      <c r="AD58" t="s">
        <v>138</v>
      </c>
    </row>
    <row r="59" spans="1:30" x14ac:dyDescent="0.3">
      <c r="A59" t="s">
        <v>229</v>
      </c>
      <c r="B59" t="s">
        <v>152</v>
      </c>
      <c r="C59" t="s">
        <v>153</v>
      </c>
      <c r="D59" t="s">
        <v>154</v>
      </c>
      <c r="E59" t="s">
        <v>990</v>
      </c>
      <c r="F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204</v>
      </c>
      <c r="AD59" t="s">
        <v>138</v>
      </c>
    </row>
    <row r="60" spans="1:30" x14ac:dyDescent="0.3">
      <c r="A60" t="s">
        <v>230</v>
      </c>
      <c r="B60" t="s">
        <v>152</v>
      </c>
      <c r="C60" t="s">
        <v>153</v>
      </c>
      <c r="D60" t="s">
        <v>154</v>
      </c>
      <c r="E60" t="s">
        <v>990</v>
      </c>
      <c r="F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204</v>
      </c>
      <c r="AD60" t="s">
        <v>138</v>
      </c>
    </row>
    <row r="61" spans="1:30" x14ac:dyDescent="0.3">
      <c r="A61" t="s">
        <v>1030</v>
      </c>
      <c r="B61" t="s">
        <v>152</v>
      </c>
      <c r="C61" t="s">
        <v>156</v>
      </c>
      <c r="D61" t="s">
        <v>154</v>
      </c>
      <c r="E61" t="s">
        <v>1031</v>
      </c>
      <c r="F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204</v>
      </c>
      <c r="AD61" t="s">
        <v>138</v>
      </c>
    </row>
    <row r="62" spans="1:30" x14ac:dyDescent="0.3">
      <c r="A62" t="s">
        <v>250</v>
      </c>
      <c r="B62" t="s">
        <v>152</v>
      </c>
      <c r="C62" t="s">
        <v>156</v>
      </c>
      <c r="D62" t="s">
        <v>154</v>
      </c>
      <c r="E62" t="s">
        <v>1032</v>
      </c>
      <c r="F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204</v>
      </c>
      <c r="Y62" t="s">
        <v>11</v>
      </c>
      <c r="AD62" t="s">
        <v>140</v>
      </c>
    </row>
    <row r="63" spans="1:30" x14ac:dyDescent="0.3">
      <c r="A63" t="s">
        <v>253</v>
      </c>
      <c r="B63" t="s">
        <v>152</v>
      </c>
      <c r="C63" t="s">
        <v>156</v>
      </c>
      <c r="D63" t="s">
        <v>154</v>
      </c>
      <c r="E63" t="s">
        <v>1032</v>
      </c>
      <c r="F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158</v>
      </c>
      <c r="AD63" t="s">
        <v>93</v>
      </c>
    </row>
    <row r="64" spans="1:30" x14ac:dyDescent="0.3">
      <c r="A64" t="s">
        <v>235</v>
      </c>
      <c r="B64" t="s">
        <v>152</v>
      </c>
      <c r="C64" t="s">
        <v>156</v>
      </c>
      <c r="D64" t="s">
        <v>154</v>
      </c>
      <c r="E64" t="s">
        <v>995</v>
      </c>
      <c r="F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204</v>
      </c>
      <c r="Y64" t="s">
        <v>19</v>
      </c>
      <c r="AD64" t="s">
        <v>138</v>
      </c>
    </row>
    <row r="65" spans="1:30" x14ac:dyDescent="0.3">
      <c r="A65" t="s">
        <v>239</v>
      </c>
      <c r="B65" t="s">
        <v>152</v>
      </c>
      <c r="C65" t="s">
        <v>156</v>
      </c>
      <c r="D65" t="s">
        <v>154</v>
      </c>
      <c r="E65" t="s">
        <v>995</v>
      </c>
      <c r="F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158</v>
      </c>
      <c r="AD65" t="s">
        <v>143</v>
      </c>
    </row>
    <row r="66" spans="1:30" x14ac:dyDescent="0.3">
      <c r="A66" t="s">
        <v>240</v>
      </c>
      <c r="B66" t="s">
        <v>152</v>
      </c>
      <c r="C66" t="s">
        <v>156</v>
      </c>
      <c r="D66" t="s">
        <v>154</v>
      </c>
      <c r="E66" t="s">
        <v>995</v>
      </c>
      <c r="F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158</v>
      </c>
      <c r="AD66" t="s">
        <v>141</v>
      </c>
    </row>
    <row r="67" spans="1:30" x14ac:dyDescent="0.3">
      <c r="A67" t="s">
        <v>859</v>
      </c>
      <c r="B67" t="s">
        <v>152</v>
      </c>
      <c r="C67" t="s">
        <v>175</v>
      </c>
      <c r="D67" t="s">
        <v>154</v>
      </c>
      <c r="E67" t="s">
        <v>996</v>
      </c>
      <c r="F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204</v>
      </c>
      <c r="Y67" t="s">
        <v>238</v>
      </c>
      <c r="AD67" t="s">
        <v>138</v>
      </c>
    </row>
    <row r="68" spans="1:30" x14ac:dyDescent="0.3">
      <c r="A68" t="s">
        <v>1033</v>
      </c>
      <c r="B68" t="s">
        <v>152</v>
      </c>
      <c r="C68" t="s">
        <v>156</v>
      </c>
      <c r="D68" t="s">
        <v>154</v>
      </c>
      <c r="E68" t="s">
        <v>1019</v>
      </c>
      <c r="F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158</v>
      </c>
      <c r="AD68" t="s">
        <v>138</v>
      </c>
    </row>
    <row r="69" spans="1:30" x14ac:dyDescent="0.3">
      <c r="A69" t="s">
        <v>857</v>
      </c>
      <c r="B69" t="s">
        <v>152</v>
      </c>
      <c r="C69" t="s">
        <v>156</v>
      </c>
      <c r="D69" t="s">
        <v>154</v>
      </c>
      <c r="E69" t="s">
        <v>1034</v>
      </c>
      <c r="F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204</v>
      </c>
      <c r="Y69" t="s">
        <v>16</v>
      </c>
      <c r="AD69" t="s">
        <v>138</v>
      </c>
    </row>
    <row r="70" spans="1:30" x14ac:dyDescent="0.3">
      <c r="A70" t="s">
        <v>248</v>
      </c>
      <c r="B70" t="s">
        <v>152</v>
      </c>
      <c r="C70" t="s">
        <v>156</v>
      </c>
      <c r="D70" t="s">
        <v>154</v>
      </c>
      <c r="E70" t="s">
        <v>1034</v>
      </c>
      <c r="F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204</v>
      </c>
      <c r="AD70" t="s">
        <v>141</v>
      </c>
    </row>
    <row r="71" spans="1:30" x14ac:dyDescent="0.3">
      <c r="A71" t="s">
        <v>259</v>
      </c>
      <c r="B71" t="s">
        <v>152</v>
      </c>
      <c r="C71" t="s">
        <v>156</v>
      </c>
      <c r="D71" t="s">
        <v>154</v>
      </c>
      <c r="E71" t="s">
        <v>984</v>
      </c>
      <c r="F71">
        <v>2</v>
      </c>
      <c r="G71" t="s">
        <v>620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158</v>
      </c>
      <c r="AD71" t="s">
        <v>138</v>
      </c>
    </row>
    <row r="72" spans="1:30" x14ac:dyDescent="0.3">
      <c r="A72" t="s">
        <v>255</v>
      </c>
      <c r="B72" t="s">
        <v>152</v>
      </c>
      <c r="C72" t="s">
        <v>156</v>
      </c>
      <c r="D72" t="s">
        <v>154</v>
      </c>
      <c r="E72" t="s">
        <v>984</v>
      </c>
      <c r="F72">
        <v>10</v>
      </c>
      <c r="G72" t="s">
        <v>256</v>
      </c>
      <c r="H72">
        <v>0</v>
      </c>
      <c r="I72">
        <v>1</v>
      </c>
      <c r="J72">
        <v>2</v>
      </c>
      <c r="K72">
        <v>0</v>
      </c>
      <c r="L72">
        <v>3</v>
      </c>
      <c r="M72">
        <v>2</v>
      </c>
      <c r="N72">
        <v>2</v>
      </c>
      <c r="O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158</v>
      </c>
      <c r="AD72" t="s">
        <v>138</v>
      </c>
    </row>
    <row r="73" spans="1:30" x14ac:dyDescent="0.3">
      <c r="A73" t="s">
        <v>1035</v>
      </c>
      <c r="B73" t="s">
        <v>152</v>
      </c>
      <c r="C73" t="s">
        <v>156</v>
      </c>
      <c r="D73" t="s">
        <v>154</v>
      </c>
      <c r="E73" t="s">
        <v>991</v>
      </c>
      <c r="F73">
        <v>2</v>
      </c>
      <c r="G73" t="s">
        <v>265</v>
      </c>
      <c r="H73">
        <v>0</v>
      </c>
      <c r="I73">
        <v>0</v>
      </c>
      <c r="J73">
        <v>0</v>
      </c>
      <c r="K73">
        <v>2</v>
      </c>
      <c r="L73">
        <v>0</v>
      </c>
      <c r="M73">
        <v>0</v>
      </c>
      <c r="N73">
        <v>0</v>
      </c>
      <c r="O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204</v>
      </c>
      <c r="Y73" t="s">
        <v>17</v>
      </c>
      <c r="AD73" t="s">
        <v>138</v>
      </c>
    </row>
    <row r="74" spans="1:30" x14ac:dyDescent="0.3">
      <c r="A74" t="s">
        <v>263</v>
      </c>
      <c r="B74" t="s">
        <v>152</v>
      </c>
      <c r="C74" t="s">
        <v>156</v>
      </c>
      <c r="D74" t="s">
        <v>154</v>
      </c>
      <c r="E74" t="s">
        <v>982</v>
      </c>
      <c r="F74">
        <v>3</v>
      </c>
      <c r="G74" t="s">
        <v>264</v>
      </c>
      <c r="H74">
        <v>1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204</v>
      </c>
      <c r="Y74" t="s">
        <v>165</v>
      </c>
      <c r="AD74" t="s">
        <v>138</v>
      </c>
    </row>
    <row r="75" spans="1:30" x14ac:dyDescent="0.3">
      <c r="A75" t="s">
        <v>858</v>
      </c>
      <c r="B75" t="s">
        <v>152</v>
      </c>
      <c r="C75" t="s">
        <v>156</v>
      </c>
      <c r="D75" t="s">
        <v>154</v>
      </c>
      <c r="E75" t="s">
        <v>982</v>
      </c>
      <c r="F75">
        <v>3</v>
      </c>
      <c r="G75" t="s">
        <v>918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 t="s">
        <v>18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 t="s">
        <v>204</v>
      </c>
      <c r="AD75" t="s">
        <v>138</v>
      </c>
    </row>
    <row r="76" spans="1:30" x14ac:dyDescent="0.3">
      <c r="A76" t="s">
        <v>261</v>
      </c>
      <c r="B76" t="s">
        <v>152</v>
      </c>
      <c r="C76" t="s">
        <v>153</v>
      </c>
      <c r="D76" t="s">
        <v>154</v>
      </c>
      <c r="E76" t="s">
        <v>990</v>
      </c>
      <c r="F76">
        <v>1</v>
      </c>
      <c r="G76" t="s">
        <v>27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204</v>
      </c>
      <c r="Y76" t="s">
        <v>262</v>
      </c>
      <c r="AD76" t="s">
        <v>138</v>
      </c>
    </row>
    <row r="77" spans="1:30" x14ac:dyDescent="0.3">
      <c r="A77" t="s">
        <v>228</v>
      </c>
      <c r="B77" t="s">
        <v>152</v>
      </c>
      <c r="C77" t="s">
        <v>153</v>
      </c>
      <c r="D77" t="s">
        <v>154</v>
      </c>
      <c r="E77" t="s">
        <v>990</v>
      </c>
      <c r="F77">
        <v>1</v>
      </c>
      <c r="G77" t="s">
        <v>24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 t="s">
        <v>39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 t="s">
        <v>158</v>
      </c>
      <c r="AD77" t="s">
        <v>138</v>
      </c>
    </row>
    <row r="78" spans="1:30" x14ac:dyDescent="0.3">
      <c r="A78" t="s">
        <v>1036</v>
      </c>
      <c r="B78" t="s">
        <v>152</v>
      </c>
      <c r="C78" t="s">
        <v>156</v>
      </c>
      <c r="D78" t="s">
        <v>170</v>
      </c>
      <c r="E78" t="s">
        <v>986</v>
      </c>
      <c r="F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204</v>
      </c>
      <c r="AD78" t="s">
        <v>138</v>
      </c>
    </row>
    <row r="79" spans="1:30" x14ac:dyDescent="0.3">
      <c r="A79" t="s">
        <v>280</v>
      </c>
      <c r="B79" t="s">
        <v>152</v>
      </c>
      <c r="C79" t="s">
        <v>156</v>
      </c>
      <c r="D79" t="s">
        <v>170</v>
      </c>
      <c r="E79" t="s">
        <v>984</v>
      </c>
      <c r="F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204</v>
      </c>
      <c r="Y79" t="s">
        <v>16</v>
      </c>
      <c r="AD79" t="s">
        <v>138</v>
      </c>
    </row>
    <row r="80" spans="1:30" x14ac:dyDescent="0.3">
      <c r="A80" t="s">
        <v>1037</v>
      </c>
      <c r="B80" t="s">
        <v>152</v>
      </c>
      <c r="C80" t="s">
        <v>156</v>
      </c>
      <c r="D80" t="s">
        <v>170</v>
      </c>
      <c r="E80" t="s">
        <v>1026</v>
      </c>
      <c r="F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204</v>
      </c>
      <c r="Y80" t="s">
        <v>238</v>
      </c>
      <c r="AD80" t="s">
        <v>139</v>
      </c>
    </row>
    <row r="81" spans="1:30" x14ac:dyDescent="0.3">
      <c r="A81" t="s">
        <v>272</v>
      </c>
      <c r="B81" t="s">
        <v>152</v>
      </c>
      <c r="C81" t="s">
        <v>156</v>
      </c>
      <c r="D81" t="s">
        <v>170</v>
      </c>
      <c r="E81" t="s">
        <v>1038</v>
      </c>
      <c r="F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204</v>
      </c>
      <c r="AD81" t="s">
        <v>138</v>
      </c>
    </row>
    <row r="82" spans="1:30" x14ac:dyDescent="0.3">
      <c r="A82" t="s">
        <v>268</v>
      </c>
      <c r="B82" t="s">
        <v>152</v>
      </c>
      <c r="C82" t="s">
        <v>156</v>
      </c>
      <c r="D82" t="s">
        <v>170</v>
      </c>
      <c r="E82" t="s">
        <v>1039</v>
      </c>
      <c r="F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204</v>
      </c>
      <c r="Y82" t="s">
        <v>262</v>
      </c>
      <c r="AD82" t="s">
        <v>138</v>
      </c>
    </row>
    <row r="83" spans="1:30" x14ac:dyDescent="0.3">
      <c r="A83" t="s">
        <v>1040</v>
      </c>
      <c r="B83" t="s">
        <v>152</v>
      </c>
      <c r="C83" t="s">
        <v>156</v>
      </c>
      <c r="D83" t="s">
        <v>170</v>
      </c>
      <c r="E83" t="s">
        <v>991</v>
      </c>
      <c r="F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204</v>
      </c>
      <c r="Y83" t="s">
        <v>21</v>
      </c>
      <c r="AD83" t="s">
        <v>138</v>
      </c>
    </row>
    <row r="84" spans="1:30" x14ac:dyDescent="0.3">
      <c r="A84" t="s">
        <v>269</v>
      </c>
      <c r="B84" t="s">
        <v>152</v>
      </c>
      <c r="C84" t="s">
        <v>156</v>
      </c>
      <c r="D84" t="s">
        <v>170</v>
      </c>
      <c r="E84" t="s">
        <v>982</v>
      </c>
      <c r="F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204</v>
      </c>
      <c r="Y84" t="s">
        <v>262</v>
      </c>
      <c r="AD84" t="s">
        <v>93</v>
      </c>
    </row>
    <row r="85" spans="1:30" x14ac:dyDescent="0.3">
      <c r="A85" t="s">
        <v>1041</v>
      </c>
      <c r="B85" t="s">
        <v>152</v>
      </c>
      <c r="C85" t="s">
        <v>156</v>
      </c>
      <c r="D85" t="s">
        <v>170</v>
      </c>
      <c r="E85" t="s">
        <v>982</v>
      </c>
      <c r="F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204</v>
      </c>
      <c r="Y85" t="s">
        <v>15</v>
      </c>
      <c r="AD85" t="s">
        <v>138</v>
      </c>
    </row>
    <row r="86" spans="1:30" x14ac:dyDescent="0.3">
      <c r="A86" t="s">
        <v>270</v>
      </c>
      <c r="B86" t="s">
        <v>152</v>
      </c>
      <c r="C86" t="s">
        <v>156</v>
      </c>
      <c r="D86" t="s">
        <v>170</v>
      </c>
      <c r="E86" t="s">
        <v>982</v>
      </c>
      <c r="F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204</v>
      </c>
      <c r="Y86" t="s">
        <v>21</v>
      </c>
      <c r="AD86" t="s">
        <v>140</v>
      </c>
    </row>
    <row r="87" spans="1:30" x14ac:dyDescent="0.3">
      <c r="A87" t="s">
        <v>1042</v>
      </c>
      <c r="B87" t="s">
        <v>152</v>
      </c>
      <c r="C87" t="s">
        <v>156</v>
      </c>
      <c r="D87" t="s">
        <v>170</v>
      </c>
      <c r="E87" t="s">
        <v>982</v>
      </c>
      <c r="F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204</v>
      </c>
      <c r="AD87" t="s">
        <v>138</v>
      </c>
    </row>
    <row r="88" spans="1:30" x14ac:dyDescent="0.3">
      <c r="A88" t="s">
        <v>271</v>
      </c>
      <c r="B88" t="s">
        <v>152</v>
      </c>
      <c r="C88" t="s">
        <v>156</v>
      </c>
      <c r="D88" t="s">
        <v>170</v>
      </c>
      <c r="E88" t="s">
        <v>982</v>
      </c>
      <c r="F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204</v>
      </c>
      <c r="AD88" t="s">
        <v>138</v>
      </c>
    </row>
    <row r="89" spans="1:30" x14ac:dyDescent="0.3">
      <c r="A89" t="s">
        <v>267</v>
      </c>
      <c r="B89" t="s">
        <v>152</v>
      </c>
      <c r="C89" t="s">
        <v>156</v>
      </c>
      <c r="D89" t="s">
        <v>170</v>
      </c>
      <c r="E89" t="s">
        <v>997</v>
      </c>
      <c r="F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204</v>
      </c>
      <c r="Y89" t="s">
        <v>15</v>
      </c>
      <c r="AD89" t="s">
        <v>138</v>
      </c>
    </row>
    <row r="90" spans="1:30" x14ac:dyDescent="0.3">
      <c r="A90" t="s">
        <v>860</v>
      </c>
      <c r="B90" t="s">
        <v>152</v>
      </c>
      <c r="C90" t="s">
        <v>156</v>
      </c>
      <c r="D90" t="s">
        <v>170</v>
      </c>
      <c r="E90" t="s">
        <v>1032</v>
      </c>
      <c r="F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158</v>
      </c>
      <c r="AD90" t="s">
        <v>138</v>
      </c>
    </row>
    <row r="91" spans="1:30" x14ac:dyDescent="0.3">
      <c r="A91" t="s">
        <v>1043</v>
      </c>
      <c r="B91" t="s">
        <v>152</v>
      </c>
      <c r="C91" t="s">
        <v>156</v>
      </c>
      <c r="D91" t="s">
        <v>170</v>
      </c>
      <c r="E91" t="s">
        <v>995</v>
      </c>
      <c r="F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158</v>
      </c>
      <c r="AD91" t="s">
        <v>138</v>
      </c>
    </row>
    <row r="92" spans="1:30" x14ac:dyDescent="0.3">
      <c r="A92" t="s">
        <v>276</v>
      </c>
      <c r="B92" t="s">
        <v>152</v>
      </c>
      <c r="C92" t="s">
        <v>175</v>
      </c>
      <c r="D92" t="s">
        <v>170</v>
      </c>
      <c r="E92" t="s">
        <v>996</v>
      </c>
      <c r="F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204</v>
      </c>
      <c r="AD92" t="s">
        <v>138</v>
      </c>
    </row>
    <row r="93" spans="1:30" x14ac:dyDescent="0.3">
      <c r="A93" t="s">
        <v>266</v>
      </c>
      <c r="B93" t="s">
        <v>152</v>
      </c>
      <c r="C93" t="s">
        <v>156</v>
      </c>
      <c r="D93" t="s">
        <v>170</v>
      </c>
      <c r="E93" t="s">
        <v>994</v>
      </c>
      <c r="F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204</v>
      </c>
      <c r="Y93" t="s">
        <v>11</v>
      </c>
      <c r="AD93" t="s">
        <v>93</v>
      </c>
    </row>
    <row r="94" spans="1:30" x14ac:dyDescent="0.3">
      <c r="A94" t="s">
        <v>1044</v>
      </c>
      <c r="B94" t="s">
        <v>152</v>
      </c>
      <c r="C94" t="s">
        <v>156</v>
      </c>
      <c r="D94" t="s">
        <v>170</v>
      </c>
      <c r="E94" t="s">
        <v>1045</v>
      </c>
      <c r="F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204</v>
      </c>
      <c r="AD94" t="s">
        <v>138</v>
      </c>
    </row>
    <row r="95" spans="1:30" x14ac:dyDescent="0.3">
      <c r="A95" t="s">
        <v>275</v>
      </c>
      <c r="B95" t="s">
        <v>152</v>
      </c>
      <c r="C95" t="s">
        <v>156</v>
      </c>
      <c r="D95" t="s">
        <v>170</v>
      </c>
      <c r="E95" t="s">
        <v>1046</v>
      </c>
      <c r="F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204</v>
      </c>
      <c r="Y95" t="s">
        <v>19</v>
      </c>
      <c r="AD95" t="s">
        <v>140</v>
      </c>
    </row>
    <row r="96" spans="1:30" x14ac:dyDescent="0.3">
      <c r="A96" t="s">
        <v>274</v>
      </c>
      <c r="B96" t="s">
        <v>152</v>
      </c>
      <c r="C96" t="s">
        <v>156</v>
      </c>
      <c r="D96" t="s">
        <v>170</v>
      </c>
      <c r="E96" t="s">
        <v>1047</v>
      </c>
      <c r="F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204</v>
      </c>
      <c r="AD96" t="s">
        <v>138</v>
      </c>
    </row>
    <row r="97" spans="1:30" x14ac:dyDescent="0.3">
      <c r="A97" t="s">
        <v>273</v>
      </c>
      <c r="B97" t="s">
        <v>152</v>
      </c>
      <c r="C97" t="s">
        <v>156</v>
      </c>
      <c r="D97" t="s">
        <v>170</v>
      </c>
      <c r="E97" t="s">
        <v>1048</v>
      </c>
      <c r="F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204</v>
      </c>
      <c r="AD97" t="s">
        <v>138</v>
      </c>
    </row>
    <row r="98" spans="1:30" x14ac:dyDescent="0.3">
      <c r="A98" t="s">
        <v>285</v>
      </c>
      <c r="B98" t="s">
        <v>152</v>
      </c>
      <c r="C98" t="s">
        <v>156</v>
      </c>
      <c r="D98" t="s">
        <v>170</v>
      </c>
      <c r="E98" t="s">
        <v>1049</v>
      </c>
      <c r="F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204</v>
      </c>
      <c r="Y98" t="s">
        <v>16</v>
      </c>
      <c r="AD98" t="s">
        <v>138</v>
      </c>
    </row>
    <row r="99" spans="1:30" x14ac:dyDescent="0.3">
      <c r="A99" t="s">
        <v>1050</v>
      </c>
      <c r="B99" t="s">
        <v>152</v>
      </c>
      <c r="C99" t="s">
        <v>156</v>
      </c>
      <c r="D99" t="s">
        <v>170</v>
      </c>
      <c r="E99" t="s">
        <v>1051</v>
      </c>
      <c r="F99">
        <v>3</v>
      </c>
      <c r="G99" t="s">
        <v>429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204</v>
      </c>
      <c r="AD99" t="s">
        <v>138</v>
      </c>
    </row>
    <row r="100" spans="1:30" x14ac:dyDescent="0.3">
      <c r="A100" t="s">
        <v>1052</v>
      </c>
      <c r="B100" t="s">
        <v>152</v>
      </c>
      <c r="C100" t="s">
        <v>156</v>
      </c>
      <c r="D100" t="s">
        <v>170</v>
      </c>
      <c r="E100" t="s">
        <v>1053</v>
      </c>
      <c r="F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 t="s">
        <v>20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204</v>
      </c>
      <c r="AD100" t="s">
        <v>138</v>
      </c>
    </row>
    <row r="101" spans="1:30" x14ac:dyDescent="0.3">
      <c r="A101" t="s">
        <v>1054</v>
      </c>
      <c r="B101" t="s">
        <v>152</v>
      </c>
      <c r="C101" t="s">
        <v>156</v>
      </c>
      <c r="D101" t="s">
        <v>170</v>
      </c>
      <c r="E101" t="s">
        <v>984</v>
      </c>
      <c r="F101">
        <v>2</v>
      </c>
      <c r="G101" t="s">
        <v>611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2</v>
      </c>
      <c r="P101" t="s">
        <v>599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 t="s">
        <v>204</v>
      </c>
      <c r="Y101" t="s">
        <v>15</v>
      </c>
      <c r="AD101" t="s">
        <v>138</v>
      </c>
    </row>
    <row r="102" spans="1:30" x14ac:dyDescent="0.3">
      <c r="A102" t="s">
        <v>1055</v>
      </c>
      <c r="B102" t="s">
        <v>152</v>
      </c>
      <c r="C102" t="s">
        <v>153</v>
      </c>
      <c r="D102" t="s">
        <v>170</v>
      </c>
      <c r="E102" t="s">
        <v>990</v>
      </c>
      <c r="F102">
        <v>1</v>
      </c>
      <c r="G102" t="s">
        <v>22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158</v>
      </c>
      <c r="AD102" t="s">
        <v>138</v>
      </c>
    </row>
    <row r="103" spans="1:30" x14ac:dyDescent="0.3">
      <c r="A103" t="s">
        <v>278</v>
      </c>
      <c r="B103" t="s">
        <v>152</v>
      </c>
      <c r="C103" t="s">
        <v>156</v>
      </c>
      <c r="D103" t="s">
        <v>170</v>
      </c>
      <c r="E103" t="s">
        <v>1032</v>
      </c>
      <c r="F103">
        <v>8</v>
      </c>
      <c r="G103" t="s">
        <v>279</v>
      </c>
      <c r="H103">
        <v>2</v>
      </c>
      <c r="I103">
        <v>0</v>
      </c>
      <c r="J103">
        <v>1</v>
      </c>
      <c r="K103">
        <v>0</v>
      </c>
      <c r="L103">
        <v>2</v>
      </c>
      <c r="M103">
        <v>2</v>
      </c>
      <c r="N103">
        <v>1</v>
      </c>
      <c r="O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204</v>
      </c>
      <c r="AD103" t="s">
        <v>138</v>
      </c>
    </row>
    <row r="104" spans="1:30" x14ac:dyDescent="0.3">
      <c r="A104" t="s">
        <v>284</v>
      </c>
      <c r="B104" t="s">
        <v>152</v>
      </c>
      <c r="C104" t="s">
        <v>175</v>
      </c>
      <c r="D104" t="s">
        <v>170</v>
      </c>
      <c r="E104" t="s">
        <v>996</v>
      </c>
      <c r="F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 t="s">
        <v>20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204</v>
      </c>
      <c r="Y104" t="s">
        <v>180</v>
      </c>
      <c r="AD104" t="s">
        <v>138</v>
      </c>
    </row>
    <row r="105" spans="1:30" x14ac:dyDescent="0.3">
      <c r="A105" t="s">
        <v>1056</v>
      </c>
      <c r="B105" t="s">
        <v>152</v>
      </c>
      <c r="C105" t="s">
        <v>156</v>
      </c>
      <c r="D105" t="s">
        <v>170</v>
      </c>
      <c r="E105" t="s">
        <v>994</v>
      </c>
      <c r="F105">
        <v>4</v>
      </c>
      <c r="G105" t="s">
        <v>1057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158</v>
      </c>
      <c r="AD105" t="s">
        <v>138</v>
      </c>
    </row>
    <row r="106" spans="1:30" x14ac:dyDescent="0.3">
      <c r="A106" t="s">
        <v>862</v>
      </c>
      <c r="B106" t="s">
        <v>152</v>
      </c>
      <c r="C106" t="s">
        <v>156</v>
      </c>
      <c r="D106" t="s">
        <v>157</v>
      </c>
      <c r="E106" t="s">
        <v>1058</v>
      </c>
      <c r="F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204</v>
      </c>
      <c r="AD106" t="s">
        <v>143</v>
      </c>
    </row>
    <row r="107" spans="1:30" x14ac:dyDescent="0.3">
      <c r="A107" t="s">
        <v>290</v>
      </c>
      <c r="B107" t="s">
        <v>152</v>
      </c>
      <c r="C107" t="s">
        <v>156</v>
      </c>
      <c r="D107" t="s">
        <v>157</v>
      </c>
      <c r="E107" t="s">
        <v>985</v>
      </c>
      <c r="F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204</v>
      </c>
      <c r="Y107" t="s">
        <v>11</v>
      </c>
      <c r="AD107" t="s">
        <v>138</v>
      </c>
    </row>
    <row r="108" spans="1:30" x14ac:dyDescent="0.3">
      <c r="A108" t="s">
        <v>289</v>
      </c>
      <c r="B108" t="s">
        <v>152</v>
      </c>
      <c r="C108" t="s">
        <v>156</v>
      </c>
      <c r="D108" t="s">
        <v>157</v>
      </c>
      <c r="E108" t="s">
        <v>1059</v>
      </c>
      <c r="F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204</v>
      </c>
      <c r="Y108" t="s">
        <v>14</v>
      </c>
      <c r="AD108" t="s">
        <v>142</v>
      </c>
    </row>
    <row r="109" spans="1:30" x14ac:dyDescent="0.3">
      <c r="A109" t="s">
        <v>292</v>
      </c>
      <c r="B109" t="s">
        <v>152</v>
      </c>
      <c r="C109" t="s">
        <v>156</v>
      </c>
      <c r="D109" t="s">
        <v>157</v>
      </c>
      <c r="E109" t="s">
        <v>986</v>
      </c>
      <c r="F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158</v>
      </c>
      <c r="AD109" t="s">
        <v>141</v>
      </c>
    </row>
    <row r="110" spans="1:30" x14ac:dyDescent="0.3">
      <c r="A110" t="s">
        <v>861</v>
      </c>
      <c r="B110" t="s">
        <v>152</v>
      </c>
      <c r="C110" t="s">
        <v>156</v>
      </c>
      <c r="D110" t="s">
        <v>157</v>
      </c>
      <c r="E110" t="s">
        <v>984</v>
      </c>
      <c r="F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204</v>
      </c>
      <c r="AD110" t="s">
        <v>141</v>
      </c>
    </row>
    <row r="111" spans="1:30" x14ac:dyDescent="0.3">
      <c r="A111" t="s">
        <v>291</v>
      </c>
      <c r="B111" t="s">
        <v>152</v>
      </c>
      <c r="C111" t="s">
        <v>156</v>
      </c>
      <c r="D111" t="s">
        <v>157</v>
      </c>
      <c r="E111" t="s">
        <v>991</v>
      </c>
      <c r="F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158</v>
      </c>
      <c r="AD111" t="s">
        <v>138</v>
      </c>
    </row>
    <row r="112" spans="1:30" x14ac:dyDescent="0.3">
      <c r="A112" t="s">
        <v>226</v>
      </c>
      <c r="B112" t="s">
        <v>152</v>
      </c>
      <c r="C112" t="s">
        <v>156</v>
      </c>
      <c r="D112" t="s">
        <v>157</v>
      </c>
      <c r="E112" t="s">
        <v>982</v>
      </c>
      <c r="F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158</v>
      </c>
      <c r="AD112" t="s">
        <v>138</v>
      </c>
    </row>
    <row r="113" spans="1:30" x14ac:dyDescent="0.3">
      <c r="A113" t="s">
        <v>288</v>
      </c>
      <c r="B113" t="s">
        <v>152</v>
      </c>
      <c r="C113" t="s">
        <v>156</v>
      </c>
      <c r="D113" t="s">
        <v>157</v>
      </c>
      <c r="E113" t="s">
        <v>982</v>
      </c>
      <c r="F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204</v>
      </c>
      <c r="AD113" t="s">
        <v>140</v>
      </c>
    </row>
    <row r="114" spans="1:30" x14ac:dyDescent="0.3">
      <c r="A114" t="s">
        <v>1060</v>
      </c>
      <c r="B114" t="s">
        <v>152</v>
      </c>
      <c r="C114" t="s">
        <v>153</v>
      </c>
      <c r="D114" t="s">
        <v>157</v>
      </c>
      <c r="E114" t="s">
        <v>990</v>
      </c>
      <c r="F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204</v>
      </c>
      <c r="Y114" t="s">
        <v>16</v>
      </c>
      <c r="AD114" t="s">
        <v>143</v>
      </c>
    </row>
    <row r="115" spans="1:30" x14ac:dyDescent="0.3">
      <c r="A115" t="s">
        <v>863</v>
      </c>
      <c r="B115" t="s">
        <v>152</v>
      </c>
      <c r="C115" t="s">
        <v>153</v>
      </c>
      <c r="D115" t="s">
        <v>157</v>
      </c>
      <c r="E115" t="s">
        <v>990</v>
      </c>
      <c r="F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158</v>
      </c>
      <c r="AD115" t="s">
        <v>138</v>
      </c>
    </row>
    <row r="116" spans="1:30" x14ac:dyDescent="0.3">
      <c r="A116" t="s">
        <v>1061</v>
      </c>
      <c r="B116" t="s">
        <v>152</v>
      </c>
      <c r="C116" t="s">
        <v>153</v>
      </c>
      <c r="D116" t="s">
        <v>157</v>
      </c>
      <c r="E116" t="s">
        <v>990</v>
      </c>
      <c r="F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204</v>
      </c>
      <c r="AD116" t="s">
        <v>138</v>
      </c>
    </row>
    <row r="117" spans="1:30" x14ac:dyDescent="0.3">
      <c r="A117" t="s">
        <v>1062</v>
      </c>
      <c r="B117" t="s">
        <v>152</v>
      </c>
      <c r="C117" t="s">
        <v>156</v>
      </c>
      <c r="D117" t="s">
        <v>157</v>
      </c>
      <c r="E117" t="s">
        <v>1063</v>
      </c>
      <c r="F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204</v>
      </c>
      <c r="Y117" t="s">
        <v>162</v>
      </c>
      <c r="AD117" t="s">
        <v>143</v>
      </c>
    </row>
    <row r="118" spans="1:30" x14ac:dyDescent="0.3">
      <c r="A118" t="s">
        <v>1064</v>
      </c>
      <c r="B118" t="s">
        <v>152</v>
      </c>
      <c r="C118" t="s">
        <v>156</v>
      </c>
      <c r="D118" t="s">
        <v>157</v>
      </c>
      <c r="E118" t="s">
        <v>1065</v>
      </c>
      <c r="F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204</v>
      </c>
      <c r="AD118" t="s">
        <v>138</v>
      </c>
    </row>
    <row r="119" spans="1:30" x14ac:dyDescent="0.3">
      <c r="A119" t="s">
        <v>1066</v>
      </c>
      <c r="B119" t="s">
        <v>152</v>
      </c>
      <c r="C119" t="s">
        <v>156</v>
      </c>
      <c r="D119" t="s">
        <v>157</v>
      </c>
      <c r="E119" t="s">
        <v>1067</v>
      </c>
      <c r="F119">
        <v>10</v>
      </c>
      <c r="G119" t="s">
        <v>1068</v>
      </c>
      <c r="H119">
        <v>2</v>
      </c>
      <c r="I119">
        <v>0</v>
      </c>
      <c r="J119">
        <v>2</v>
      </c>
      <c r="K119">
        <v>2</v>
      </c>
      <c r="L119">
        <v>0</v>
      </c>
      <c r="M119">
        <v>2</v>
      </c>
      <c r="N119">
        <v>2</v>
      </c>
      <c r="O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204</v>
      </c>
      <c r="AD119" t="s">
        <v>143</v>
      </c>
    </row>
    <row r="120" spans="1:30" x14ac:dyDescent="0.3">
      <c r="A120" t="s">
        <v>1069</v>
      </c>
      <c r="B120" t="s">
        <v>152</v>
      </c>
      <c r="C120" t="s">
        <v>156</v>
      </c>
      <c r="D120" t="s">
        <v>157</v>
      </c>
      <c r="E120" t="s">
        <v>986</v>
      </c>
      <c r="F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 t="s">
        <v>355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0</v>
      </c>
      <c r="X120" t="s">
        <v>204</v>
      </c>
      <c r="Y120" t="s">
        <v>16</v>
      </c>
    </row>
    <row r="121" spans="1:30" x14ac:dyDescent="0.3">
      <c r="A121" t="s">
        <v>295</v>
      </c>
      <c r="B121" t="s">
        <v>152</v>
      </c>
      <c r="C121" t="s">
        <v>156</v>
      </c>
      <c r="D121" t="s">
        <v>157</v>
      </c>
      <c r="E121" t="s">
        <v>986</v>
      </c>
      <c r="F121">
        <v>1</v>
      </c>
      <c r="G121" t="s">
        <v>22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158</v>
      </c>
    </row>
    <row r="122" spans="1:30" x14ac:dyDescent="0.3">
      <c r="A122" t="s">
        <v>298</v>
      </c>
      <c r="B122" t="s">
        <v>152</v>
      </c>
      <c r="C122" t="s">
        <v>156</v>
      </c>
      <c r="D122" t="s">
        <v>157</v>
      </c>
      <c r="E122" t="s">
        <v>986</v>
      </c>
      <c r="F122">
        <v>1</v>
      </c>
      <c r="G122" t="s">
        <v>22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158</v>
      </c>
    </row>
    <row r="123" spans="1:30" x14ac:dyDescent="0.3">
      <c r="A123" t="s">
        <v>865</v>
      </c>
      <c r="B123" t="s">
        <v>152</v>
      </c>
      <c r="C123" t="s">
        <v>156</v>
      </c>
      <c r="D123" t="s">
        <v>157</v>
      </c>
      <c r="E123" t="s">
        <v>986</v>
      </c>
      <c r="F123">
        <v>3</v>
      </c>
      <c r="G123" t="s">
        <v>423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158</v>
      </c>
    </row>
    <row r="124" spans="1:30" x14ac:dyDescent="0.3">
      <c r="A124" t="s">
        <v>299</v>
      </c>
      <c r="B124" t="s">
        <v>152</v>
      </c>
      <c r="C124" t="s">
        <v>153</v>
      </c>
      <c r="D124" t="s">
        <v>157</v>
      </c>
      <c r="E124" t="s">
        <v>990</v>
      </c>
      <c r="F124">
        <v>1</v>
      </c>
      <c r="G124" t="s">
        <v>25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204</v>
      </c>
      <c r="Y124" t="s">
        <v>17</v>
      </c>
    </row>
    <row r="125" spans="1:30" x14ac:dyDescent="0.3">
      <c r="A125" t="s">
        <v>287</v>
      </c>
      <c r="B125" t="s">
        <v>152</v>
      </c>
      <c r="C125" t="s">
        <v>153</v>
      </c>
      <c r="D125" t="s">
        <v>157</v>
      </c>
      <c r="E125" t="s">
        <v>990</v>
      </c>
      <c r="F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</v>
      </c>
      <c r="P125" t="s">
        <v>596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</v>
      </c>
      <c r="X125" t="s">
        <v>158</v>
      </c>
    </row>
    <row r="126" spans="1:30" x14ac:dyDescent="0.3">
      <c r="A126" t="s">
        <v>296</v>
      </c>
      <c r="B126" t="s">
        <v>152</v>
      </c>
      <c r="C126" t="s">
        <v>156</v>
      </c>
      <c r="D126" t="s">
        <v>157</v>
      </c>
      <c r="E126" t="s">
        <v>1032</v>
      </c>
      <c r="F126">
        <v>3</v>
      </c>
      <c r="G126" t="s">
        <v>297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204</v>
      </c>
      <c r="Y126" t="s">
        <v>11</v>
      </c>
    </row>
    <row r="127" spans="1:30" x14ac:dyDescent="0.3">
      <c r="A127" t="s">
        <v>1070</v>
      </c>
      <c r="B127" t="s">
        <v>152</v>
      </c>
      <c r="C127" t="s">
        <v>156</v>
      </c>
      <c r="D127" t="s">
        <v>157</v>
      </c>
      <c r="E127" t="s">
        <v>995</v>
      </c>
      <c r="F127">
        <v>3</v>
      </c>
      <c r="G127" t="s">
        <v>423</v>
      </c>
      <c r="H127">
        <v>0</v>
      </c>
      <c r="I127">
        <v>0</v>
      </c>
      <c r="J127">
        <v>0</v>
      </c>
      <c r="K127">
        <v>3</v>
      </c>
      <c r="L127">
        <v>0</v>
      </c>
      <c r="M127">
        <v>0</v>
      </c>
      <c r="N127">
        <v>0</v>
      </c>
      <c r="O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204</v>
      </c>
    </row>
    <row r="128" spans="1:30" x14ac:dyDescent="0.3">
      <c r="A128" t="s">
        <v>293</v>
      </c>
      <c r="B128" t="s">
        <v>152</v>
      </c>
      <c r="C128" t="s">
        <v>156</v>
      </c>
      <c r="D128" t="s">
        <v>157</v>
      </c>
      <c r="E128" t="s">
        <v>994</v>
      </c>
      <c r="F128">
        <v>3</v>
      </c>
      <c r="G128" t="s">
        <v>294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204</v>
      </c>
      <c r="Y128" t="s">
        <v>17</v>
      </c>
    </row>
    <row r="129" spans="1:24" x14ac:dyDescent="0.3">
      <c r="A129" t="s">
        <v>864</v>
      </c>
      <c r="B129" t="s">
        <v>152</v>
      </c>
      <c r="C129" t="s">
        <v>156</v>
      </c>
      <c r="D129" t="s">
        <v>157</v>
      </c>
      <c r="E129" t="s">
        <v>994</v>
      </c>
      <c r="F129">
        <v>1</v>
      </c>
      <c r="G129" t="s">
        <v>27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204</v>
      </c>
    </row>
  </sheetData>
  <phoneticPr fontId="18" type="noConversion"/>
  <conditionalFormatting sqref="A65">
    <cfRule type="duplicateValues" dxfId="18" priority="3"/>
  </conditionalFormatting>
  <conditionalFormatting sqref="A66:A102 A2:A19 A62:A64 A21:A60">
    <cfRule type="duplicateValues" dxfId="17" priority="5"/>
  </conditionalFormatting>
  <conditionalFormatting sqref="A61">
    <cfRule type="duplicateValues" dxfId="16" priority="2"/>
  </conditionalFormatting>
  <conditionalFormatting sqref="A2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92"/>
  <sheetViews>
    <sheetView tabSelected="1" topLeftCell="A341" workbookViewId="0">
      <selection activeCell="E349" sqref="E349"/>
    </sheetView>
  </sheetViews>
  <sheetFormatPr defaultRowHeight="14.4" x14ac:dyDescent="0.3"/>
  <cols>
    <col min="1" max="1" width="17.33203125" customWidth="1"/>
    <col min="2" max="2" width="13.6640625" customWidth="1"/>
    <col min="3" max="3" width="9.33203125" customWidth="1"/>
    <col min="4" max="4" width="7.33203125" customWidth="1"/>
    <col min="5" max="5" width="72.5546875" customWidth="1"/>
    <col min="6" max="6" width="7.44140625" customWidth="1"/>
    <col min="7" max="7" width="7" customWidth="1"/>
    <col min="8" max="14" width="5.5546875" customWidth="1"/>
    <col min="17" max="23" width="6.33203125" customWidth="1"/>
    <col min="28" max="28" width="7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9" t="s">
        <v>36</v>
      </c>
      <c r="I1" s="30" t="s">
        <v>25</v>
      </c>
      <c r="J1" s="31" t="s">
        <v>23</v>
      </c>
      <c r="K1" s="32" t="s">
        <v>24</v>
      </c>
      <c r="L1" s="33" t="s">
        <v>22</v>
      </c>
      <c r="M1" s="34" t="s">
        <v>29</v>
      </c>
      <c r="N1" s="35" t="s">
        <v>27</v>
      </c>
      <c r="O1" t="s">
        <v>7</v>
      </c>
      <c r="P1" t="s">
        <v>8</v>
      </c>
      <c r="Q1" s="36" t="s">
        <v>20</v>
      </c>
      <c r="R1" s="37" t="s">
        <v>26</v>
      </c>
      <c r="S1" s="38" t="s">
        <v>18</v>
      </c>
      <c r="T1" s="39" t="s">
        <v>28</v>
      </c>
      <c r="U1" s="40" t="s">
        <v>39</v>
      </c>
      <c r="V1" s="41" t="s">
        <v>30</v>
      </c>
      <c r="W1" s="42" t="s">
        <v>38</v>
      </c>
      <c r="X1" t="s">
        <v>9</v>
      </c>
      <c r="Y1" t="s">
        <v>10</v>
      </c>
      <c r="Z1" t="s">
        <v>31</v>
      </c>
      <c r="AB1" t="s">
        <v>300</v>
      </c>
    </row>
    <row r="2" spans="1:28" x14ac:dyDescent="0.3">
      <c r="A2" t="s">
        <v>301</v>
      </c>
      <c r="C2" t="s">
        <v>156</v>
      </c>
      <c r="D2" t="s">
        <v>160</v>
      </c>
      <c r="E2" t="s">
        <v>987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158</v>
      </c>
      <c r="AB2" t="s">
        <v>138</v>
      </c>
    </row>
    <row r="3" spans="1:28" x14ac:dyDescent="0.3">
      <c r="A3" t="s">
        <v>1071</v>
      </c>
      <c r="C3" t="s">
        <v>156</v>
      </c>
      <c r="D3" t="s">
        <v>160</v>
      </c>
      <c r="E3" t="s">
        <v>1072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158</v>
      </c>
      <c r="AB3" t="s">
        <v>138</v>
      </c>
    </row>
    <row r="4" spans="1:28" x14ac:dyDescent="0.3">
      <c r="A4" t="s">
        <v>307</v>
      </c>
      <c r="C4" t="s">
        <v>156</v>
      </c>
      <c r="D4" t="s">
        <v>160</v>
      </c>
      <c r="E4" t="s">
        <v>1073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204</v>
      </c>
      <c r="Y4" t="s">
        <v>14</v>
      </c>
      <c r="AB4" t="s">
        <v>138</v>
      </c>
    </row>
    <row r="5" spans="1:28" x14ac:dyDescent="0.3">
      <c r="A5" t="s">
        <v>331</v>
      </c>
      <c r="C5" t="s">
        <v>156</v>
      </c>
      <c r="D5" t="s">
        <v>160</v>
      </c>
      <c r="E5" t="s">
        <v>1074</v>
      </c>
      <c r="F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204</v>
      </c>
      <c r="AB5" t="s">
        <v>138</v>
      </c>
    </row>
    <row r="6" spans="1:28" x14ac:dyDescent="0.3">
      <c r="A6" t="s">
        <v>308</v>
      </c>
      <c r="C6" t="s">
        <v>156</v>
      </c>
      <c r="D6" t="s">
        <v>160</v>
      </c>
      <c r="E6" t="s">
        <v>1075</v>
      </c>
      <c r="F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204</v>
      </c>
      <c r="Y6" t="s">
        <v>17</v>
      </c>
      <c r="AB6" t="s">
        <v>138</v>
      </c>
    </row>
    <row r="7" spans="1:28" x14ac:dyDescent="0.3">
      <c r="A7" t="s">
        <v>303</v>
      </c>
      <c r="C7" t="s">
        <v>156</v>
      </c>
      <c r="D7" t="s">
        <v>160</v>
      </c>
      <c r="E7" t="s">
        <v>986</v>
      </c>
      <c r="F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158</v>
      </c>
      <c r="AB7" t="s">
        <v>138</v>
      </c>
    </row>
    <row r="8" spans="1:28" x14ac:dyDescent="0.3">
      <c r="A8" t="s">
        <v>1076</v>
      </c>
      <c r="C8" t="s">
        <v>156</v>
      </c>
      <c r="D8" t="s">
        <v>160</v>
      </c>
      <c r="E8" t="s">
        <v>986</v>
      </c>
      <c r="F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158</v>
      </c>
      <c r="AB8" t="s">
        <v>140</v>
      </c>
    </row>
    <row r="9" spans="1:28" x14ac:dyDescent="0.3">
      <c r="A9" t="s">
        <v>319</v>
      </c>
      <c r="C9" t="s">
        <v>156</v>
      </c>
      <c r="D9" t="s">
        <v>160</v>
      </c>
      <c r="E9" t="s">
        <v>984</v>
      </c>
      <c r="F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204</v>
      </c>
      <c r="Y9" t="s">
        <v>16</v>
      </c>
      <c r="AB9" t="s">
        <v>138</v>
      </c>
    </row>
    <row r="10" spans="1:28" x14ac:dyDescent="0.3">
      <c r="A10" t="s">
        <v>322</v>
      </c>
      <c r="C10" t="s">
        <v>156</v>
      </c>
      <c r="D10" t="s">
        <v>160</v>
      </c>
      <c r="E10" t="s">
        <v>984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204</v>
      </c>
      <c r="Y10" t="s">
        <v>14</v>
      </c>
      <c r="AB10" t="s">
        <v>138</v>
      </c>
    </row>
    <row r="11" spans="1:28" x14ac:dyDescent="0.3">
      <c r="A11" t="s">
        <v>328</v>
      </c>
      <c r="C11" t="s">
        <v>156</v>
      </c>
      <c r="D11" t="s">
        <v>160</v>
      </c>
      <c r="E11" t="s">
        <v>991</v>
      </c>
      <c r="F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204</v>
      </c>
      <c r="AB11" t="s">
        <v>138</v>
      </c>
    </row>
    <row r="12" spans="1:28" x14ac:dyDescent="0.3">
      <c r="A12" t="s">
        <v>323</v>
      </c>
      <c r="C12" t="s">
        <v>156</v>
      </c>
      <c r="D12" t="s">
        <v>160</v>
      </c>
      <c r="E12" t="s">
        <v>983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204</v>
      </c>
      <c r="Y12" t="s">
        <v>162</v>
      </c>
      <c r="AB12" t="s">
        <v>140</v>
      </c>
    </row>
    <row r="13" spans="1:28" x14ac:dyDescent="0.3">
      <c r="A13" t="s">
        <v>347</v>
      </c>
      <c r="C13" t="s">
        <v>156</v>
      </c>
      <c r="D13" t="s">
        <v>160</v>
      </c>
      <c r="E13" t="s">
        <v>982</v>
      </c>
      <c r="F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204</v>
      </c>
      <c r="Y13" t="s">
        <v>180</v>
      </c>
      <c r="AB13" t="s">
        <v>140</v>
      </c>
    </row>
    <row r="14" spans="1:28" x14ac:dyDescent="0.3">
      <c r="A14" t="s">
        <v>326</v>
      </c>
      <c r="C14" t="s">
        <v>156</v>
      </c>
      <c r="D14" t="s">
        <v>160</v>
      </c>
      <c r="E14" t="s">
        <v>982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204</v>
      </c>
      <c r="Y14" t="s">
        <v>15</v>
      </c>
      <c r="AB14" t="s">
        <v>138</v>
      </c>
    </row>
    <row r="15" spans="1:28" x14ac:dyDescent="0.3">
      <c r="A15" t="s">
        <v>311</v>
      </c>
      <c r="C15" t="s">
        <v>156</v>
      </c>
      <c r="D15" t="s">
        <v>160</v>
      </c>
      <c r="E15" t="s">
        <v>982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204</v>
      </c>
      <c r="Y15" t="s">
        <v>16</v>
      </c>
      <c r="AB15" t="s">
        <v>93</v>
      </c>
    </row>
    <row r="16" spans="1:28" x14ac:dyDescent="0.3">
      <c r="A16" t="s">
        <v>312</v>
      </c>
      <c r="C16" t="s">
        <v>156</v>
      </c>
      <c r="D16" t="s">
        <v>160</v>
      </c>
      <c r="E16" t="s">
        <v>982</v>
      </c>
      <c r="F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204</v>
      </c>
      <c r="Y16" t="s">
        <v>233</v>
      </c>
      <c r="AB16" t="s">
        <v>138</v>
      </c>
    </row>
    <row r="17" spans="1:28" x14ac:dyDescent="0.3">
      <c r="A17" t="s">
        <v>313</v>
      </c>
      <c r="C17" t="s">
        <v>156</v>
      </c>
      <c r="D17" t="s">
        <v>160</v>
      </c>
      <c r="E17" t="s">
        <v>982</v>
      </c>
      <c r="F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204</v>
      </c>
      <c r="Y17" t="s">
        <v>165</v>
      </c>
      <c r="AB17" t="s">
        <v>138</v>
      </c>
    </row>
    <row r="18" spans="1:28" x14ac:dyDescent="0.3">
      <c r="A18" t="s">
        <v>1077</v>
      </c>
      <c r="C18" t="s">
        <v>156</v>
      </c>
      <c r="D18" t="s">
        <v>160</v>
      </c>
      <c r="E18" t="s">
        <v>982</v>
      </c>
      <c r="F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158</v>
      </c>
      <c r="AB18" t="s">
        <v>138</v>
      </c>
    </row>
    <row r="19" spans="1:28" x14ac:dyDescent="0.3">
      <c r="A19" t="s">
        <v>315</v>
      </c>
      <c r="C19" t="s">
        <v>156</v>
      </c>
      <c r="D19" t="s">
        <v>160</v>
      </c>
      <c r="E19" t="s">
        <v>982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204</v>
      </c>
      <c r="AB19" t="s">
        <v>138</v>
      </c>
    </row>
    <row r="20" spans="1:28" x14ac:dyDescent="0.3">
      <c r="A20" t="s">
        <v>316</v>
      </c>
      <c r="C20" t="s">
        <v>156</v>
      </c>
      <c r="D20" t="s">
        <v>160</v>
      </c>
      <c r="E20" t="s">
        <v>982</v>
      </c>
      <c r="F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204</v>
      </c>
      <c r="AB20" t="s">
        <v>138</v>
      </c>
    </row>
    <row r="21" spans="1:28" x14ac:dyDescent="0.3">
      <c r="A21" t="s">
        <v>514</v>
      </c>
      <c r="C21" t="s">
        <v>156</v>
      </c>
      <c r="D21" t="s">
        <v>160</v>
      </c>
      <c r="E21" t="s">
        <v>982</v>
      </c>
      <c r="F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204</v>
      </c>
      <c r="AB21" t="s">
        <v>141</v>
      </c>
    </row>
    <row r="22" spans="1:28" x14ac:dyDescent="0.3">
      <c r="A22" t="s">
        <v>870</v>
      </c>
      <c r="C22" t="s">
        <v>156</v>
      </c>
      <c r="D22" t="s">
        <v>160</v>
      </c>
      <c r="E22" t="s">
        <v>982</v>
      </c>
      <c r="F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204</v>
      </c>
      <c r="AB22" t="s">
        <v>140</v>
      </c>
    </row>
    <row r="23" spans="1:28" x14ac:dyDescent="0.3">
      <c r="A23" t="s">
        <v>317</v>
      </c>
      <c r="C23" t="s">
        <v>156</v>
      </c>
      <c r="D23" t="s">
        <v>160</v>
      </c>
      <c r="E23" t="s">
        <v>982</v>
      </c>
      <c r="F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204</v>
      </c>
      <c r="AB23" t="s">
        <v>140</v>
      </c>
    </row>
    <row r="24" spans="1:28" x14ac:dyDescent="0.3">
      <c r="A24" t="s">
        <v>318</v>
      </c>
      <c r="C24" t="s">
        <v>156</v>
      </c>
      <c r="D24" t="s">
        <v>160</v>
      </c>
      <c r="E24" t="s">
        <v>982</v>
      </c>
      <c r="F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204</v>
      </c>
      <c r="AB24" t="s">
        <v>138</v>
      </c>
    </row>
    <row r="25" spans="1:28" x14ac:dyDescent="0.3">
      <c r="A25" t="s">
        <v>872</v>
      </c>
      <c r="C25" t="s">
        <v>153</v>
      </c>
      <c r="D25" t="s">
        <v>160</v>
      </c>
      <c r="E25" t="s">
        <v>990</v>
      </c>
      <c r="F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204</v>
      </c>
      <c r="Y25" t="s">
        <v>11</v>
      </c>
      <c r="AB25" t="s">
        <v>138</v>
      </c>
    </row>
    <row r="26" spans="1:28" x14ac:dyDescent="0.3">
      <c r="A26" t="s">
        <v>1078</v>
      </c>
      <c r="C26" t="s">
        <v>153</v>
      </c>
      <c r="D26" t="s">
        <v>160</v>
      </c>
      <c r="E26" t="s">
        <v>990</v>
      </c>
      <c r="F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158</v>
      </c>
      <c r="AB26" t="s">
        <v>138</v>
      </c>
    </row>
    <row r="27" spans="1:28" x14ac:dyDescent="0.3">
      <c r="A27" t="s">
        <v>325</v>
      </c>
      <c r="C27" t="s">
        <v>153</v>
      </c>
      <c r="D27" t="s">
        <v>160</v>
      </c>
      <c r="E27" t="s">
        <v>990</v>
      </c>
      <c r="F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158</v>
      </c>
      <c r="AB27" t="s">
        <v>138</v>
      </c>
    </row>
    <row r="28" spans="1:28" x14ac:dyDescent="0.3">
      <c r="A28" t="s">
        <v>327</v>
      </c>
      <c r="C28" t="s">
        <v>153</v>
      </c>
      <c r="D28" t="s">
        <v>160</v>
      </c>
      <c r="E28" t="s">
        <v>990</v>
      </c>
      <c r="F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158</v>
      </c>
      <c r="AB28" t="s">
        <v>138</v>
      </c>
    </row>
    <row r="29" spans="1:28" x14ac:dyDescent="0.3">
      <c r="A29" t="s">
        <v>309</v>
      </c>
      <c r="C29" t="s">
        <v>153</v>
      </c>
      <c r="D29" t="s">
        <v>160</v>
      </c>
      <c r="E29" t="s">
        <v>990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204</v>
      </c>
      <c r="AB29" t="s">
        <v>138</v>
      </c>
    </row>
    <row r="30" spans="1:28" x14ac:dyDescent="0.3">
      <c r="A30" t="s">
        <v>302</v>
      </c>
      <c r="C30" t="s">
        <v>153</v>
      </c>
      <c r="D30" t="s">
        <v>160</v>
      </c>
      <c r="E30" t="s">
        <v>990</v>
      </c>
      <c r="F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204</v>
      </c>
      <c r="AB30" t="s">
        <v>93</v>
      </c>
    </row>
    <row r="31" spans="1:28" x14ac:dyDescent="0.3">
      <c r="A31" t="s">
        <v>1079</v>
      </c>
      <c r="C31" t="s">
        <v>153</v>
      </c>
      <c r="D31" t="s">
        <v>160</v>
      </c>
      <c r="E31" t="s">
        <v>990</v>
      </c>
      <c r="F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204</v>
      </c>
      <c r="AB31" t="s">
        <v>144</v>
      </c>
    </row>
    <row r="32" spans="1:28" x14ac:dyDescent="0.3">
      <c r="A32" t="s">
        <v>310</v>
      </c>
      <c r="C32" t="s">
        <v>153</v>
      </c>
      <c r="D32" t="s">
        <v>160</v>
      </c>
      <c r="E32" t="s">
        <v>990</v>
      </c>
      <c r="F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204</v>
      </c>
      <c r="AB32" t="s">
        <v>138</v>
      </c>
    </row>
    <row r="33" spans="1:28" x14ac:dyDescent="0.3">
      <c r="A33" t="s">
        <v>329</v>
      </c>
      <c r="C33" t="s">
        <v>156</v>
      </c>
      <c r="D33" t="s">
        <v>160</v>
      </c>
      <c r="E33" t="s">
        <v>1032</v>
      </c>
      <c r="F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158</v>
      </c>
      <c r="AB33" t="s">
        <v>138</v>
      </c>
    </row>
    <row r="34" spans="1:28" x14ac:dyDescent="0.3">
      <c r="A34" t="s">
        <v>1080</v>
      </c>
      <c r="C34" t="s">
        <v>156</v>
      </c>
      <c r="D34" t="s">
        <v>160</v>
      </c>
      <c r="E34" t="s">
        <v>1032</v>
      </c>
      <c r="F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204</v>
      </c>
      <c r="AB34" t="s">
        <v>138</v>
      </c>
    </row>
    <row r="35" spans="1:28" x14ac:dyDescent="0.3">
      <c r="A35" t="s">
        <v>320</v>
      </c>
      <c r="C35" t="s">
        <v>156</v>
      </c>
      <c r="D35" t="s">
        <v>160</v>
      </c>
      <c r="E35" t="s">
        <v>1032</v>
      </c>
      <c r="F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204</v>
      </c>
      <c r="AB35" t="s">
        <v>93</v>
      </c>
    </row>
    <row r="36" spans="1:28" x14ac:dyDescent="0.3">
      <c r="A36" t="s">
        <v>871</v>
      </c>
      <c r="C36" t="s">
        <v>175</v>
      </c>
      <c r="D36" t="s">
        <v>160</v>
      </c>
      <c r="E36" t="s">
        <v>996</v>
      </c>
      <c r="F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158</v>
      </c>
      <c r="AB36" t="s">
        <v>138</v>
      </c>
    </row>
    <row r="37" spans="1:28" x14ac:dyDescent="0.3">
      <c r="A37" t="s">
        <v>324</v>
      </c>
      <c r="C37" t="s">
        <v>175</v>
      </c>
      <c r="D37" t="s">
        <v>160</v>
      </c>
      <c r="E37" t="s">
        <v>996</v>
      </c>
      <c r="F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204</v>
      </c>
      <c r="AB37" t="s">
        <v>138</v>
      </c>
    </row>
    <row r="38" spans="1:28" x14ac:dyDescent="0.3">
      <c r="A38" t="s">
        <v>1081</v>
      </c>
      <c r="C38" t="s">
        <v>175</v>
      </c>
      <c r="D38" t="s">
        <v>160</v>
      </c>
      <c r="E38" t="s">
        <v>996</v>
      </c>
      <c r="F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204</v>
      </c>
      <c r="AB38" t="s">
        <v>140</v>
      </c>
    </row>
    <row r="39" spans="1:28" x14ac:dyDescent="0.3">
      <c r="A39" t="s">
        <v>305</v>
      </c>
      <c r="C39" t="s">
        <v>156</v>
      </c>
      <c r="D39" t="s">
        <v>160</v>
      </c>
      <c r="E39" t="s">
        <v>994</v>
      </c>
      <c r="F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204</v>
      </c>
      <c r="Y39" t="s">
        <v>12</v>
      </c>
      <c r="AB39" t="s">
        <v>143</v>
      </c>
    </row>
    <row r="40" spans="1:28" x14ac:dyDescent="0.3">
      <c r="A40" t="s">
        <v>869</v>
      </c>
      <c r="C40" t="s">
        <v>156</v>
      </c>
      <c r="D40" t="s">
        <v>160</v>
      </c>
      <c r="E40" t="s">
        <v>994</v>
      </c>
      <c r="F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158</v>
      </c>
      <c r="AB40" t="s">
        <v>142</v>
      </c>
    </row>
    <row r="41" spans="1:28" x14ac:dyDescent="0.3">
      <c r="A41" t="s">
        <v>304</v>
      </c>
      <c r="C41" t="s">
        <v>156</v>
      </c>
      <c r="D41" t="s">
        <v>160</v>
      </c>
      <c r="E41" t="s">
        <v>1014</v>
      </c>
      <c r="F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158</v>
      </c>
      <c r="AB41" t="s">
        <v>138</v>
      </c>
    </row>
    <row r="42" spans="1:28" x14ac:dyDescent="0.3">
      <c r="A42" t="s">
        <v>867</v>
      </c>
      <c r="C42" t="s">
        <v>156</v>
      </c>
      <c r="D42" t="s">
        <v>160</v>
      </c>
      <c r="E42" t="s">
        <v>1019</v>
      </c>
      <c r="F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204</v>
      </c>
      <c r="Y42" t="s">
        <v>14</v>
      </c>
      <c r="AB42" t="s">
        <v>141</v>
      </c>
    </row>
    <row r="43" spans="1:28" x14ac:dyDescent="0.3">
      <c r="A43" t="s">
        <v>321</v>
      </c>
      <c r="C43" t="s">
        <v>156</v>
      </c>
      <c r="D43" t="s">
        <v>160</v>
      </c>
      <c r="E43" t="s">
        <v>1034</v>
      </c>
      <c r="F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204</v>
      </c>
      <c r="Y43" t="s">
        <v>16</v>
      </c>
      <c r="AB43" t="s">
        <v>140</v>
      </c>
    </row>
    <row r="44" spans="1:28" x14ac:dyDescent="0.3">
      <c r="A44" t="s">
        <v>306</v>
      </c>
      <c r="C44" t="s">
        <v>156</v>
      </c>
      <c r="D44" t="s">
        <v>160</v>
      </c>
      <c r="E44" t="s">
        <v>1046</v>
      </c>
      <c r="F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204</v>
      </c>
      <c r="AB44" t="s">
        <v>138</v>
      </c>
    </row>
    <row r="45" spans="1:28" x14ac:dyDescent="0.3">
      <c r="A45" t="s">
        <v>866</v>
      </c>
      <c r="C45" t="s">
        <v>156</v>
      </c>
      <c r="D45" t="s">
        <v>160</v>
      </c>
      <c r="E45" t="s">
        <v>1082</v>
      </c>
      <c r="F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158</v>
      </c>
      <c r="AB45" t="s">
        <v>138</v>
      </c>
    </row>
    <row r="46" spans="1:28" x14ac:dyDescent="0.3">
      <c r="A46" t="s">
        <v>354</v>
      </c>
      <c r="C46" t="s">
        <v>156</v>
      </c>
      <c r="D46" t="s">
        <v>160</v>
      </c>
      <c r="E46" t="s">
        <v>987</v>
      </c>
      <c r="F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 t="s">
        <v>355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0</v>
      </c>
      <c r="X46" t="s">
        <v>204</v>
      </c>
      <c r="AB46" t="s">
        <v>138</v>
      </c>
    </row>
    <row r="47" spans="1:28" x14ac:dyDescent="0.3">
      <c r="A47" t="s">
        <v>352</v>
      </c>
      <c r="C47" t="s">
        <v>156</v>
      </c>
      <c r="D47" t="s">
        <v>160</v>
      </c>
      <c r="E47" t="s">
        <v>1058</v>
      </c>
      <c r="F47">
        <v>2</v>
      </c>
      <c r="G47" t="s">
        <v>888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158</v>
      </c>
      <c r="AB47" t="s">
        <v>138</v>
      </c>
    </row>
    <row r="48" spans="1:28" x14ac:dyDescent="0.3">
      <c r="A48" t="s">
        <v>342</v>
      </c>
      <c r="C48" t="s">
        <v>156</v>
      </c>
      <c r="D48" t="s">
        <v>160</v>
      </c>
      <c r="E48" t="s">
        <v>341</v>
      </c>
      <c r="F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26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204</v>
      </c>
      <c r="AB48" t="s">
        <v>138</v>
      </c>
    </row>
    <row r="49" spans="1:28" x14ac:dyDescent="0.3">
      <c r="A49" t="s">
        <v>1083</v>
      </c>
      <c r="C49" t="s">
        <v>156</v>
      </c>
      <c r="D49" t="s">
        <v>160</v>
      </c>
      <c r="E49" t="s">
        <v>986</v>
      </c>
      <c r="F49">
        <v>3</v>
      </c>
      <c r="G49" t="s">
        <v>1084</v>
      </c>
      <c r="H49">
        <v>0</v>
      </c>
      <c r="I49">
        <v>0</v>
      </c>
      <c r="J49">
        <v>0</v>
      </c>
      <c r="K49">
        <v>1</v>
      </c>
      <c r="L49">
        <v>2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158</v>
      </c>
      <c r="AB49" t="s">
        <v>138</v>
      </c>
    </row>
    <row r="50" spans="1:28" x14ac:dyDescent="0.3">
      <c r="A50" t="s">
        <v>351</v>
      </c>
      <c r="C50" t="s">
        <v>156</v>
      </c>
      <c r="D50" t="s">
        <v>160</v>
      </c>
      <c r="E50" t="s">
        <v>984</v>
      </c>
      <c r="F50">
        <v>6</v>
      </c>
      <c r="G50" t="s">
        <v>281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158</v>
      </c>
      <c r="AB50" t="s">
        <v>138</v>
      </c>
    </row>
    <row r="51" spans="1:28" x14ac:dyDescent="0.3">
      <c r="A51" t="s">
        <v>873</v>
      </c>
      <c r="C51" t="s">
        <v>156</v>
      </c>
      <c r="D51" t="s">
        <v>160</v>
      </c>
      <c r="E51" t="s">
        <v>983</v>
      </c>
      <c r="F51">
        <v>2</v>
      </c>
      <c r="G51" t="s">
        <v>179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204</v>
      </c>
      <c r="Y51" t="s">
        <v>21</v>
      </c>
      <c r="AB51" t="s">
        <v>138</v>
      </c>
    </row>
    <row r="52" spans="1:28" x14ac:dyDescent="0.3">
      <c r="A52" t="s">
        <v>349</v>
      </c>
      <c r="C52" t="s">
        <v>156</v>
      </c>
      <c r="D52" t="s">
        <v>160</v>
      </c>
      <c r="E52" t="s">
        <v>983</v>
      </c>
      <c r="F52">
        <v>7</v>
      </c>
      <c r="G52" t="s">
        <v>350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204</v>
      </c>
      <c r="AB52" t="s">
        <v>138</v>
      </c>
    </row>
    <row r="53" spans="1:28" x14ac:dyDescent="0.3">
      <c r="A53" t="s">
        <v>1085</v>
      </c>
      <c r="C53" t="s">
        <v>156</v>
      </c>
      <c r="D53" t="s">
        <v>160</v>
      </c>
      <c r="E53" t="s">
        <v>982</v>
      </c>
      <c r="F53">
        <v>5</v>
      </c>
      <c r="G53" t="s">
        <v>890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1</v>
      </c>
      <c r="P53" t="s">
        <v>26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204</v>
      </c>
      <c r="Y53" t="s">
        <v>16</v>
      </c>
      <c r="AB53" t="s">
        <v>138</v>
      </c>
    </row>
    <row r="54" spans="1:28" x14ac:dyDescent="0.3">
      <c r="A54" t="s">
        <v>348</v>
      </c>
      <c r="C54" t="s">
        <v>156</v>
      </c>
      <c r="D54" t="s">
        <v>160</v>
      </c>
      <c r="E54" t="s">
        <v>982</v>
      </c>
      <c r="F54">
        <v>2</v>
      </c>
      <c r="G54" t="s">
        <v>179</v>
      </c>
      <c r="H54">
        <v>0</v>
      </c>
      <c r="I54">
        <v>0</v>
      </c>
      <c r="J54">
        <v>0</v>
      </c>
      <c r="K54">
        <v>0</v>
      </c>
      <c r="L54">
        <v>2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158</v>
      </c>
      <c r="AB54" t="s">
        <v>93</v>
      </c>
    </row>
    <row r="55" spans="1:28" x14ac:dyDescent="0.3">
      <c r="A55" t="s">
        <v>343</v>
      </c>
      <c r="C55" t="s">
        <v>153</v>
      </c>
      <c r="D55" t="s">
        <v>160</v>
      </c>
      <c r="E55" t="s">
        <v>990</v>
      </c>
      <c r="F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18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 t="s">
        <v>204</v>
      </c>
      <c r="Y55" t="s">
        <v>11</v>
      </c>
      <c r="AB55" t="s">
        <v>138</v>
      </c>
    </row>
    <row r="56" spans="1:28" x14ac:dyDescent="0.3">
      <c r="A56" t="s">
        <v>332</v>
      </c>
      <c r="C56" t="s">
        <v>153</v>
      </c>
      <c r="D56" t="s">
        <v>160</v>
      </c>
      <c r="E56" t="s">
        <v>990</v>
      </c>
      <c r="F56">
        <v>1</v>
      </c>
      <c r="G56" t="s">
        <v>23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204</v>
      </c>
      <c r="Y56" t="s">
        <v>16</v>
      </c>
      <c r="AB56" t="s">
        <v>138</v>
      </c>
    </row>
    <row r="57" spans="1:28" x14ac:dyDescent="0.3">
      <c r="A57" t="s">
        <v>337</v>
      </c>
      <c r="C57" t="s">
        <v>153</v>
      </c>
      <c r="D57" t="s">
        <v>160</v>
      </c>
      <c r="E57" t="s">
        <v>990</v>
      </c>
      <c r="F57">
        <v>6</v>
      </c>
      <c r="G57" t="s">
        <v>338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4</v>
      </c>
      <c r="P57" t="s">
        <v>339</v>
      </c>
      <c r="Q57">
        <v>1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158</v>
      </c>
      <c r="AB57" t="s">
        <v>144</v>
      </c>
    </row>
    <row r="58" spans="1:28" x14ac:dyDescent="0.3">
      <c r="A58" t="s">
        <v>353</v>
      </c>
      <c r="C58" t="s">
        <v>156</v>
      </c>
      <c r="D58" t="s">
        <v>160</v>
      </c>
      <c r="E58" t="s">
        <v>1032</v>
      </c>
      <c r="F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26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204</v>
      </c>
      <c r="AB58" t="s">
        <v>144</v>
      </c>
    </row>
    <row r="59" spans="1:28" x14ac:dyDescent="0.3">
      <c r="A59" t="s">
        <v>344</v>
      </c>
      <c r="C59" t="s">
        <v>156</v>
      </c>
      <c r="D59" t="s">
        <v>160</v>
      </c>
      <c r="E59" t="s">
        <v>995</v>
      </c>
      <c r="F59">
        <v>10</v>
      </c>
      <c r="G59" t="s">
        <v>345</v>
      </c>
      <c r="H59">
        <v>1</v>
      </c>
      <c r="I59">
        <v>0</v>
      </c>
      <c r="J59">
        <v>2</v>
      </c>
      <c r="K59">
        <v>0</v>
      </c>
      <c r="L59">
        <v>3</v>
      </c>
      <c r="M59">
        <v>2</v>
      </c>
      <c r="N59">
        <v>2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204</v>
      </c>
      <c r="Y59" t="s">
        <v>16</v>
      </c>
      <c r="AB59" t="s">
        <v>138</v>
      </c>
    </row>
    <row r="60" spans="1:28" x14ac:dyDescent="0.3">
      <c r="A60" t="s">
        <v>335</v>
      </c>
      <c r="C60" t="s">
        <v>156</v>
      </c>
      <c r="D60" t="s">
        <v>160</v>
      </c>
      <c r="E60" t="s">
        <v>994</v>
      </c>
      <c r="F60">
        <v>4</v>
      </c>
      <c r="G60" t="s">
        <v>336</v>
      </c>
      <c r="H60">
        <v>0</v>
      </c>
      <c r="I60">
        <v>0</v>
      </c>
      <c r="J60">
        <v>1</v>
      </c>
      <c r="K60">
        <v>0</v>
      </c>
      <c r="L60">
        <v>2</v>
      </c>
      <c r="M60">
        <v>0</v>
      </c>
      <c r="N60">
        <v>1</v>
      </c>
      <c r="O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204</v>
      </c>
      <c r="AB60" t="s">
        <v>138</v>
      </c>
    </row>
    <row r="61" spans="1:28" x14ac:dyDescent="0.3">
      <c r="A61" t="s">
        <v>441</v>
      </c>
      <c r="C61" t="s">
        <v>156</v>
      </c>
      <c r="D61" t="s">
        <v>211</v>
      </c>
      <c r="E61" t="s">
        <v>987</v>
      </c>
      <c r="F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204</v>
      </c>
      <c r="Y61" t="s">
        <v>16</v>
      </c>
      <c r="AB61" t="s">
        <v>138</v>
      </c>
    </row>
    <row r="62" spans="1:28" x14ac:dyDescent="0.3">
      <c r="A62" t="s">
        <v>404</v>
      </c>
      <c r="C62" t="s">
        <v>156</v>
      </c>
      <c r="D62" t="s">
        <v>211</v>
      </c>
      <c r="E62" t="s">
        <v>987</v>
      </c>
      <c r="F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158</v>
      </c>
      <c r="AB62" t="s">
        <v>140</v>
      </c>
    </row>
    <row r="63" spans="1:28" x14ac:dyDescent="0.3">
      <c r="A63" t="s">
        <v>1086</v>
      </c>
      <c r="C63" t="s">
        <v>156</v>
      </c>
      <c r="D63" t="s">
        <v>211</v>
      </c>
      <c r="E63" t="s">
        <v>987</v>
      </c>
      <c r="F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204</v>
      </c>
      <c r="AB63" t="s">
        <v>138</v>
      </c>
    </row>
    <row r="64" spans="1:28" x14ac:dyDescent="0.3">
      <c r="A64" t="s">
        <v>368</v>
      </c>
      <c r="C64" t="s">
        <v>156</v>
      </c>
      <c r="D64" t="s">
        <v>211</v>
      </c>
      <c r="E64" t="s">
        <v>987</v>
      </c>
      <c r="F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204</v>
      </c>
      <c r="AB64" t="s">
        <v>138</v>
      </c>
    </row>
    <row r="65" spans="1:28" x14ac:dyDescent="0.3">
      <c r="A65" t="s">
        <v>1087</v>
      </c>
      <c r="C65" t="s">
        <v>156</v>
      </c>
      <c r="D65" t="s">
        <v>211</v>
      </c>
      <c r="E65" t="s">
        <v>987</v>
      </c>
      <c r="F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204</v>
      </c>
      <c r="AB65" t="s">
        <v>138</v>
      </c>
    </row>
    <row r="66" spans="1:28" x14ac:dyDescent="0.3">
      <c r="A66" t="s">
        <v>417</v>
      </c>
      <c r="C66" t="s">
        <v>156</v>
      </c>
      <c r="D66" t="s">
        <v>211</v>
      </c>
      <c r="E66" t="s">
        <v>1058</v>
      </c>
      <c r="F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158</v>
      </c>
      <c r="AB66" t="s">
        <v>138</v>
      </c>
    </row>
    <row r="67" spans="1:28" x14ac:dyDescent="0.3">
      <c r="A67" t="s">
        <v>379</v>
      </c>
      <c r="C67" t="s">
        <v>156</v>
      </c>
      <c r="D67" t="s">
        <v>211</v>
      </c>
      <c r="E67" t="s">
        <v>1088</v>
      </c>
      <c r="F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158</v>
      </c>
      <c r="AB67" t="s">
        <v>140</v>
      </c>
    </row>
    <row r="68" spans="1:28" x14ac:dyDescent="0.3">
      <c r="A68" t="s">
        <v>367</v>
      </c>
      <c r="C68" t="s">
        <v>156</v>
      </c>
      <c r="D68" t="s">
        <v>211</v>
      </c>
      <c r="E68" t="s">
        <v>1089</v>
      </c>
      <c r="F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204</v>
      </c>
      <c r="Y68" t="s">
        <v>16</v>
      </c>
      <c r="AB68" t="s">
        <v>142</v>
      </c>
    </row>
    <row r="69" spans="1:28" x14ac:dyDescent="0.3">
      <c r="A69" t="s">
        <v>378</v>
      </c>
      <c r="C69" t="s">
        <v>156</v>
      </c>
      <c r="D69" t="s">
        <v>211</v>
      </c>
      <c r="E69" t="s">
        <v>1023</v>
      </c>
      <c r="F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204</v>
      </c>
      <c r="Y69" t="s">
        <v>15</v>
      </c>
      <c r="AB69" t="s">
        <v>138</v>
      </c>
    </row>
    <row r="70" spans="1:28" x14ac:dyDescent="0.3">
      <c r="A70" t="s">
        <v>1090</v>
      </c>
      <c r="C70" t="s">
        <v>156</v>
      </c>
      <c r="D70" t="s">
        <v>211</v>
      </c>
      <c r="E70" t="s">
        <v>1091</v>
      </c>
      <c r="F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204</v>
      </c>
      <c r="AB70" t="s">
        <v>138</v>
      </c>
    </row>
    <row r="71" spans="1:28" x14ac:dyDescent="0.3">
      <c r="A71" t="s">
        <v>1092</v>
      </c>
      <c r="C71" t="s">
        <v>156</v>
      </c>
      <c r="D71" t="s">
        <v>211</v>
      </c>
      <c r="E71" t="s">
        <v>1093</v>
      </c>
      <c r="F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204</v>
      </c>
      <c r="Y71" t="s">
        <v>17</v>
      </c>
      <c r="AB71" t="s">
        <v>142</v>
      </c>
    </row>
    <row r="72" spans="1:28" x14ac:dyDescent="0.3">
      <c r="A72" t="s">
        <v>381</v>
      </c>
      <c r="C72" t="s">
        <v>156</v>
      </c>
      <c r="D72" t="s">
        <v>211</v>
      </c>
      <c r="E72" t="s">
        <v>986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204</v>
      </c>
      <c r="Y72" t="s">
        <v>15</v>
      </c>
      <c r="AB72" t="s">
        <v>138</v>
      </c>
    </row>
    <row r="73" spans="1:28" x14ac:dyDescent="0.3">
      <c r="A73" t="s">
        <v>1094</v>
      </c>
      <c r="C73" t="s">
        <v>156</v>
      </c>
      <c r="D73" t="s">
        <v>211</v>
      </c>
      <c r="E73" t="s">
        <v>986</v>
      </c>
      <c r="F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204</v>
      </c>
      <c r="Y73" t="s">
        <v>162</v>
      </c>
      <c r="AB73" t="s">
        <v>138</v>
      </c>
    </row>
    <row r="74" spans="1:28" x14ac:dyDescent="0.3">
      <c r="A74" t="s">
        <v>401</v>
      </c>
      <c r="C74" t="s">
        <v>156</v>
      </c>
      <c r="D74" t="s">
        <v>211</v>
      </c>
      <c r="E74" t="s">
        <v>986</v>
      </c>
      <c r="F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204</v>
      </c>
      <c r="Y74" t="s">
        <v>233</v>
      </c>
      <c r="AB74" t="s">
        <v>138</v>
      </c>
    </row>
    <row r="75" spans="1:28" x14ac:dyDescent="0.3">
      <c r="A75" t="s">
        <v>411</v>
      </c>
      <c r="C75" t="s">
        <v>156</v>
      </c>
      <c r="D75" t="s">
        <v>211</v>
      </c>
      <c r="E75" t="s">
        <v>986</v>
      </c>
      <c r="F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204</v>
      </c>
      <c r="Y75" t="s">
        <v>17</v>
      </c>
      <c r="AB75" t="s">
        <v>138</v>
      </c>
    </row>
    <row r="76" spans="1:28" x14ac:dyDescent="0.3">
      <c r="A76" t="s">
        <v>364</v>
      </c>
      <c r="C76" t="s">
        <v>156</v>
      </c>
      <c r="D76" t="s">
        <v>211</v>
      </c>
      <c r="E76" t="s">
        <v>986</v>
      </c>
      <c r="F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204</v>
      </c>
      <c r="AB76" t="s">
        <v>138</v>
      </c>
    </row>
    <row r="77" spans="1:28" x14ac:dyDescent="0.3">
      <c r="A77" t="s">
        <v>372</v>
      </c>
      <c r="C77" t="s">
        <v>156</v>
      </c>
      <c r="D77" t="s">
        <v>211</v>
      </c>
      <c r="E77" t="s">
        <v>986</v>
      </c>
      <c r="F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204</v>
      </c>
      <c r="AB77" t="s">
        <v>138</v>
      </c>
    </row>
    <row r="78" spans="1:28" x14ac:dyDescent="0.3">
      <c r="A78" t="s">
        <v>1095</v>
      </c>
      <c r="C78" t="s">
        <v>156</v>
      </c>
      <c r="D78" t="s">
        <v>211</v>
      </c>
      <c r="E78" t="s">
        <v>986</v>
      </c>
      <c r="F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204</v>
      </c>
      <c r="AB78" t="s">
        <v>142</v>
      </c>
    </row>
    <row r="79" spans="1:28" x14ac:dyDescent="0.3">
      <c r="A79" t="s">
        <v>1096</v>
      </c>
      <c r="C79" t="s">
        <v>156</v>
      </c>
      <c r="D79" t="s">
        <v>211</v>
      </c>
      <c r="E79" t="s">
        <v>986</v>
      </c>
      <c r="F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204</v>
      </c>
      <c r="AB79" t="s">
        <v>138</v>
      </c>
    </row>
    <row r="80" spans="1:28" x14ac:dyDescent="0.3">
      <c r="A80" t="s">
        <v>392</v>
      </c>
      <c r="C80" t="s">
        <v>156</v>
      </c>
      <c r="D80" t="s">
        <v>211</v>
      </c>
      <c r="E80" t="s">
        <v>984</v>
      </c>
      <c r="F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204</v>
      </c>
      <c r="AB80" t="s">
        <v>138</v>
      </c>
    </row>
    <row r="81" spans="1:28" x14ac:dyDescent="0.3">
      <c r="A81" t="s">
        <v>407</v>
      </c>
      <c r="C81" t="s">
        <v>156</v>
      </c>
      <c r="D81" t="s">
        <v>211</v>
      </c>
      <c r="E81" t="s">
        <v>984</v>
      </c>
      <c r="F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204</v>
      </c>
      <c r="AB81" t="s">
        <v>138</v>
      </c>
    </row>
    <row r="82" spans="1:28" x14ac:dyDescent="0.3">
      <c r="A82" t="s">
        <v>394</v>
      </c>
      <c r="C82" t="s">
        <v>156</v>
      </c>
      <c r="D82" t="s">
        <v>211</v>
      </c>
      <c r="E82" t="s">
        <v>984</v>
      </c>
      <c r="F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204</v>
      </c>
      <c r="AB82" t="s">
        <v>143</v>
      </c>
    </row>
    <row r="83" spans="1:28" x14ac:dyDescent="0.3">
      <c r="A83" t="s">
        <v>1097</v>
      </c>
      <c r="C83" t="s">
        <v>156</v>
      </c>
      <c r="D83" t="s">
        <v>211</v>
      </c>
      <c r="E83" t="s">
        <v>1098</v>
      </c>
      <c r="F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204</v>
      </c>
      <c r="Y83" t="s">
        <v>11</v>
      </c>
      <c r="AB83" t="s">
        <v>138</v>
      </c>
    </row>
    <row r="84" spans="1:28" x14ac:dyDescent="0.3">
      <c r="A84" t="s">
        <v>1099</v>
      </c>
      <c r="C84" t="s">
        <v>156</v>
      </c>
      <c r="D84" t="s">
        <v>211</v>
      </c>
      <c r="E84" t="s">
        <v>1100</v>
      </c>
      <c r="F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204</v>
      </c>
      <c r="AB84" t="s">
        <v>138</v>
      </c>
    </row>
    <row r="85" spans="1:28" x14ac:dyDescent="0.3">
      <c r="A85" t="s">
        <v>874</v>
      </c>
      <c r="C85" t="s">
        <v>156</v>
      </c>
      <c r="D85" t="s">
        <v>211</v>
      </c>
      <c r="E85" t="s">
        <v>1100</v>
      </c>
      <c r="F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204</v>
      </c>
      <c r="AB85" t="s">
        <v>138</v>
      </c>
    </row>
    <row r="86" spans="1:28" x14ac:dyDescent="0.3">
      <c r="A86" t="s">
        <v>397</v>
      </c>
      <c r="C86" t="s">
        <v>156</v>
      </c>
      <c r="D86" t="s">
        <v>211</v>
      </c>
      <c r="E86" t="s">
        <v>1100</v>
      </c>
      <c r="F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204</v>
      </c>
      <c r="AB86" t="s">
        <v>138</v>
      </c>
    </row>
    <row r="87" spans="1:28" x14ac:dyDescent="0.3">
      <c r="A87" t="s">
        <v>402</v>
      </c>
      <c r="C87" t="s">
        <v>156</v>
      </c>
      <c r="D87" t="s">
        <v>211</v>
      </c>
      <c r="E87" t="s">
        <v>1010</v>
      </c>
      <c r="F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204</v>
      </c>
      <c r="AB87" t="s">
        <v>138</v>
      </c>
    </row>
    <row r="88" spans="1:28" x14ac:dyDescent="0.3">
      <c r="A88" t="s">
        <v>371</v>
      </c>
      <c r="C88" t="s">
        <v>156</v>
      </c>
      <c r="D88" t="s">
        <v>211</v>
      </c>
      <c r="E88" t="s">
        <v>1001</v>
      </c>
      <c r="F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204</v>
      </c>
      <c r="Y88" t="s">
        <v>15</v>
      </c>
      <c r="AB88" t="s">
        <v>138</v>
      </c>
    </row>
    <row r="89" spans="1:28" x14ac:dyDescent="0.3">
      <c r="A89" t="s">
        <v>876</v>
      </c>
      <c r="C89" t="s">
        <v>156</v>
      </c>
      <c r="D89" t="s">
        <v>211</v>
      </c>
      <c r="E89" t="s">
        <v>1101</v>
      </c>
      <c r="F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204</v>
      </c>
      <c r="AB89" t="s">
        <v>138</v>
      </c>
    </row>
    <row r="90" spans="1:28" x14ac:dyDescent="0.3">
      <c r="A90" t="s">
        <v>375</v>
      </c>
      <c r="C90" t="s">
        <v>156</v>
      </c>
      <c r="D90" t="s">
        <v>211</v>
      </c>
      <c r="E90" t="s">
        <v>1102</v>
      </c>
      <c r="F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204</v>
      </c>
      <c r="AB90" t="s">
        <v>138</v>
      </c>
    </row>
    <row r="91" spans="1:28" x14ac:dyDescent="0.3">
      <c r="A91" t="s">
        <v>396</v>
      </c>
      <c r="C91" t="s">
        <v>156</v>
      </c>
      <c r="D91" t="s">
        <v>211</v>
      </c>
      <c r="E91" t="s">
        <v>1103</v>
      </c>
      <c r="F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204</v>
      </c>
      <c r="AB91" t="s">
        <v>138</v>
      </c>
    </row>
    <row r="92" spans="1:28" x14ac:dyDescent="0.3">
      <c r="A92" t="s">
        <v>419</v>
      </c>
      <c r="C92" t="s">
        <v>156</v>
      </c>
      <c r="D92" t="s">
        <v>211</v>
      </c>
      <c r="E92" t="s">
        <v>1038</v>
      </c>
      <c r="F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204</v>
      </c>
      <c r="Y92" t="s">
        <v>17</v>
      </c>
      <c r="AB92" t="s">
        <v>138</v>
      </c>
    </row>
    <row r="93" spans="1:28" x14ac:dyDescent="0.3">
      <c r="A93" t="s">
        <v>413</v>
      </c>
      <c r="C93" t="s">
        <v>156</v>
      </c>
      <c r="D93" t="s">
        <v>211</v>
      </c>
      <c r="E93" t="s">
        <v>991</v>
      </c>
      <c r="F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204</v>
      </c>
      <c r="AB93" t="s">
        <v>138</v>
      </c>
    </row>
    <row r="94" spans="1:28" x14ac:dyDescent="0.3">
      <c r="A94" t="s">
        <v>1104</v>
      </c>
      <c r="C94" t="s">
        <v>156</v>
      </c>
      <c r="D94" t="s">
        <v>211</v>
      </c>
      <c r="E94" t="s">
        <v>991</v>
      </c>
      <c r="F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204</v>
      </c>
      <c r="AB94" t="s">
        <v>138</v>
      </c>
    </row>
    <row r="95" spans="1:28" x14ac:dyDescent="0.3">
      <c r="A95" t="s">
        <v>416</v>
      </c>
      <c r="C95" t="s">
        <v>156</v>
      </c>
      <c r="D95" t="s">
        <v>211</v>
      </c>
      <c r="E95" t="s">
        <v>991</v>
      </c>
      <c r="F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204</v>
      </c>
      <c r="AB95" t="s">
        <v>138</v>
      </c>
    </row>
    <row r="96" spans="1:28" x14ac:dyDescent="0.3">
      <c r="A96" t="s">
        <v>1105</v>
      </c>
      <c r="C96" t="s">
        <v>156</v>
      </c>
      <c r="D96" t="s">
        <v>211</v>
      </c>
      <c r="E96" t="s">
        <v>991</v>
      </c>
      <c r="F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204</v>
      </c>
      <c r="AB96" t="s">
        <v>138</v>
      </c>
    </row>
    <row r="97" spans="1:28" x14ac:dyDescent="0.3">
      <c r="A97" t="s">
        <v>410</v>
      </c>
      <c r="C97" t="s">
        <v>156</v>
      </c>
      <c r="D97" t="s">
        <v>211</v>
      </c>
      <c r="E97" t="s">
        <v>983</v>
      </c>
      <c r="F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204</v>
      </c>
      <c r="Y97" t="s">
        <v>262</v>
      </c>
      <c r="AB97" t="s">
        <v>138</v>
      </c>
    </row>
    <row r="98" spans="1:28" x14ac:dyDescent="0.3">
      <c r="A98" t="s">
        <v>389</v>
      </c>
      <c r="C98" t="s">
        <v>156</v>
      </c>
      <c r="D98" t="s">
        <v>211</v>
      </c>
      <c r="E98" t="s">
        <v>983</v>
      </c>
      <c r="F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158</v>
      </c>
      <c r="AB98" t="s">
        <v>138</v>
      </c>
    </row>
    <row r="99" spans="1:28" x14ac:dyDescent="0.3">
      <c r="A99" t="s">
        <v>374</v>
      </c>
      <c r="C99" t="s">
        <v>156</v>
      </c>
      <c r="D99" t="s">
        <v>211</v>
      </c>
      <c r="E99" t="s">
        <v>983</v>
      </c>
      <c r="F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204</v>
      </c>
      <c r="AB99" t="s">
        <v>138</v>
      </c>
    </row>
    <row r="100" spans="1:28" x14ac:dyDescent="0.3">
      <c r="A100" t="s">
        <v>393</v>
      </c>
      <c r="C100" t="s">
        <v>156</v>
      </c>
      <c r="D100" t="s">
        <v>211</v>
      </c>
      <c r="E100" t="s">
        <v>983</v>
      </c>
      <c r="F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204</v>
      </c>
      <c r="AB100" t="s">
        <v>138</v>
      </c>
    </row>
    <row r="101" spans="1:28" x14ac:dyDescent="0.3">
      <c r="A101" t="s">
        <v>414</v>
      </c>
      <c r="C101" t="s">
        <v>156</v>
      </c>
      <c r="D101" t="s">
        <v>211</v>
      </c>
      <c r="E101" t="s">
        <v>983</v>
      </c>
      <c r="F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204</v>
      </c>
      <c r="AB101" t="s">
        <v>138</v>
      </c>
    </row>
    <row r="102" spans="1:28" x14ac:dyDescent="0.3">
      <c r="A102" t="s">
        <v>385</v>
      </c>
      <c r="C102" t="s">
        <v>156</v>
      </c>
      <c r="D102" t="s">
        <v>211</v>
      </c>
      <c r="E102" t="s">
        <v>982</v>
      </c>
      <c r="F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204</v>
      </c>
      <c r="Y102" t="s">
        <v>16</v>
      </c>
      <c r="AB102" t="s">
        <v>138</v>
      </c>
    </row>
    <row r="103" spans="1:28" x14ac:dyDescent="0.3">
      <c r="A103" t="s">
        <v>387</v>
      </c>
      <c r="C103" t="s">
        <v>156</v>
      </c>
      <c r="D103" t="s">
        <v>211</v>
      </c>
      <c r="E103" t="s">
        <v>982</v>
      </c>
      <c r="F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158</v>
      </c>
      <c r="AB103" t="s">
        <v>140</v>
      </c>
    </row>
    <row r="104" spans="1:28" x14ac:dyDescent="0.3">
      <c r="A104" t="s">
        <v>388</v>
      </c>
      <c r="C104" t="s">
        <v>156</v>
      </c>
      <c r="D104" t="s">
        <v>211</v>
      </c>
      <c r="E104" t="s">
        <v>982</v>
      </c>
      <c r="F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158</v>
      </c>
      <c r="AB104" t="s">
        <v>138</v>
      </c>
    </row>
    <row r="105" spans="1:28" x14ac:dyDescent="0.3">
      <c r="A105" t="s">
        <v>1106</v>
      </c>
      <c r="C105" t="s">
        <v>156</v>
      </c>
      <c r="D105" t="s">
        <v>211</v>
      </c>
      <c r="E105" t="s">
        <v>982</v>
      </c>
      <c r="F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158</v>
      </c>
      <c r="AB105" t="s">
        <v>138</v>
      </c>
    </row>
    <row r="106" spans="1:28" x14ac:dyDescent="0.3">
      <c r="A106" t="s">
        <v>881</v>
      </c>
      <c r="C106" t="s">
        <v>156</v>
      </c>
      <c r="D106" t="s">
        <v>211</v>
      </c>
      <c r="E106" t="s">
        <v>982</v>
      </c>
      <c r="F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158</v>
      </c>
      <c r="AB106" t="s">
        <v>140</v>
      </c>
    </row>
    <row r="107" spans="1:28" x14ac:dyDescent="0.3">
      <c r="A107" t="s">
        <v>1107</v>
      </c>
      <c r="C107" t="s">
        <v>156</v>
      </c>
      <c r="D107" t="s">
        <v>211</v>
      </c>
      <c r="E107" t="s">
        <v>982</v>
      </c>
      <c r="F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158</v>
      </c>
      <c r="AB107" t="s">
        <v>141</v>
      </c>
    </row>
    <row r="108" spans="1:28" x14ac:dyDescent="0.3">
      <c r="A108" t="s">
        <v>391</v>
      </c>
      <c r="C108" t="s">
        <v>156</v>
      </c>
      <c r="D108" t="s">
        <v>211</v>
      </c>
      <c r="E108" t="s">
        <v>982</v>
      </c>
      <c r="F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204</v>
      </c>
      <c r="AB108" t="s">
        <v>143</v>
      </c>
    </row>
    <row r="109" spans="1:28" x14ac:dyDescent="0.3">
      <c r="A109" t="s">
        <v>395</v>
      </c>
      <c r="C109" t="s">
        <v>156</v>
      </c>
      <c r="D109" t="s">
        <v>211</v>
      </c>
      <c r="E109" t="s">
        <v>982</v>
      </c>
      <c r="F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204</v>
      </c>
      <c r="AB109" t="s">
        <v>138</v>
      </c>
    </row>
    <row r="110" spans="1:28" x14ac:dyDescent="0.3">
      <c r="A110" t="s">
        <v>884</v>
      </c>
      <c r="C110" t="s">
        <v>156</v>
      </c>
      <c r="D110" t="s">
        <v>211</v>
      </c>
      <c r="E110" t="s">
        <v>982</v>
      </c>
      <c r="F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204</v>
      </c>
      <c r="AB110" t="s">
        <v>138</v>
      </c>
    </row>
    <row r="111" spans="1:28" x14ac:dyDescent="0.3">
      <c r="A111" t="s">
        <v>399</v>
      </c>
      <c r="C111" t="s">
        <v>156</v>
      </c>
      <c r="D111" t="s">
        <v>211</v>
      </c>
      <c r="E111" t="s">
        <v>982</v>
      </c>
      <c r="F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204</v>
      </c>
      <c r="AB111" t="s">
        <v>138</v>
      </c>
    </row>
    <row r="112" spans="1:28" x14ac:dyDescent="0.3">
      <c r="A112" t="s">
        <v>356</v>
      </c>
      <c r="C112" t="s">
        <v>153</v>
      </c>
      <c r="D112" t="s">
        <v>211</v>
      </c>
      <c r="E112" t="s">
        <v>990</v>
      </c>
      <c r="F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204</v>
      </c>
      <c r="Y112" t="s">
        <v>262</v>
      </c>
      <c r="AB112" t="s">
        <v>138</v>
      </c>
    </row>
    <row r="113" spans="1:28" x14ac:dyDescent="0.3">
      <c r="A113" t="s">
        <v>377</v>
      </c>
      <c r="C113" t="s">
        <v>153</v>
      </c>
      <c r="D113" t="s">
        <v>211</v>
      </c>
      <c r="E113" t="s">
        <v>990</v>
      </c>
      <c r="F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204</v>
      </c>
      <c r="Y113" t="s">
        <v>262</v>
      </c>
      <c r="AB113" t="s">
        <v>138</v>
      </c>
    </row>
    <row r="114" spans="1:28" x14ac:dyDescent="0.3">
      <c r="A114" t="s">
        <v>359</v>
      </c>
      <c r="C114" t="s">
        <v>153</v>
      </c>
      <c r="D114" t="s">
        <v>211</v>
      </c>
      <c r="E114" t="s">
        <v>990</v>
      </c>
      <c r="F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204</v>
      </c>
      <c r="Y114" t="s">
        <v>12</v>
      </c>
      <c r="AB114" t="s">
        <v>138</v>
      </c>
    </row>
    <row r="115" spans="1:28" x14ac:dyDescent="0.3">
      <c r="A115" t="s">
        <v>360</v>
      </c>
      <c r="C115" t="s">
        <v>153</v>
      </c>
      <c r="D115" t="s">
        <v>211</v>
      </c>
      <c r="E115" t="s">
        <v>990</v>
      </c>
      <c r="F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204</v>
      </c>
      <c r="Y115" t="s">
        <v>12</v>
      </c>
      <c r="AB115" t="s">
        <v>140</v>
      </c>
    </row>
    <row r="116" spans="1:28" x14ac:dyDescent="0.3">
      <c r="A116" t="s">
        <v>418</v>
      </c>
      <c r="C116" t="s">
        <v>153</v>
      </c>
      <c r="D116" t="s">
        <v>211</v>
      </c>
      <c r="E116" t="s">
        <v>990</v>
      </c>
      <c r="F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204</v>
      </c>
      <c r="Y116" t="s">
        <v>180</v>
      </c>
      <c r="AB116" t="s">
        <v>138</v>
      </c>
    </row>
    <row r="117" spans="1:28" x14ac:dyDescent="0.3">
      <c r="A117" t="s">
        <v>400</v>
      </c>
      <c r="C117" t="s">
        <v>153</v>
      </c>
      <c r="D117" t="s">
        <v>211</v>
      </c>
      <c r="E117" t="s">
        <v>990</v>
      </c>
      <c r="F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204</v>
      </c>
      <c r="Y117" t="s">
        <v>15</v>
      </c>
      <c r="AB117" t="s">
        <v>138</v>
      </c>
    </row>
    <row r="118" spans="1:28" x14ac:dyDescent="0.3">
      <c r="A118" t="s">
        <v>361</v>
      </c>
      <c r="C118" t="s">
        <v>153</v>
      </c>
      <c r="D118" t="s">
        <v>211</v>
      </c>
      <c r="E118" t="s">
        <v>990</v>
      </c>
      <c r="F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204</v>
      </c>
      <c r="Y118" t="s">
        <v>15</v>
      </c>
      <c r="AB118" t="s">
        <v>138</v>
      </c>
    </row>
    <row r="119" spans="1:28" x14ac:dyDescent="0.3">
      <c r="A119" t="s">
        <v>362</v>
      </c>
      <c r="C119" t="s">
        <v>153</v>
      </c>
      <c r="D119" t="s">
        <v>211</v>
      </c>
      <c r="E119" t="s">
        <v>990</v>
      </c>
      <c r="F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204</v>
      </c>
      <c r="Y119" t="s">
        <v>233</v>
      </c>
      <c r="AB119" t="s">
        <v>138</v>
      </c>
    </row>
    <row r="120" spans="1:28" x14ac:dyDescent="0.3">
      <c r="A120" t="s">
        <v>383</v>
      </c>
      <c r="C120" t="s">
        <v>153</v>
      </c>
      <c r="D120" t="s">
        <v>211</v>
      </c>
      <c r="E120" t="s">
        <v>990</v>
      </c>
      <c r="F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204</v>
      </c>
      <c r="Y120" t="s">
        <v>19</v>
      </c>
      <c r="AB120" t="s">
        <v>138</v>
      </c>
    </row>
    <row r="121" spans="1:28" x14ac:dyDescent="0.3">
      <c r="A121" t="s">
        <v>1108</v>
      </c>
      <c r="C121" t="s">
        <v>153</v>
      </c>
      <c r="D121" t="s">
        <v>211</v>
      </c>
      <c r="E121" t="s">
        <v>990</v>
      </c>
      <c r="F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204</v>
      </c>
      <c r="Y121" t="s">
        <v>13</v>
      </c>
      <c r="AB121" t="s">
        <v>142</v>
      </c>
    </row>
    <row r="122" spans="1:28" x14ac:dyDescent="0.3">
      <c r="A122" t="s">
        <v>224</v>
      </c>
      <c r="C122" t="s">
        <v>153</v>
      </c>
      <c r="D122" t="s">
        <v>211</v>
      </c>
      <c r="E122" t="s">
        <v>990</v>
      </c>
      <c r="F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158</v>
      </c>
      <c r="AB122" t="s">
        <v>140</v>
      </c>
    </row>
    <row r="123" spans="1:28" x14ac:dyDescent="0.3">
      <c r="A123" t="s">
        <v>513</v>
      </c>
      <c r="C123" t="s">
        <v>153</v>
      </c>
      <c r="D123" t="s">
        <v>211</v>
      </c>
      <c r="E123" t="s">
        <v>990</v>
      </c>
      <c r="F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204</v>
      </c>
      <c r="AB123" t="s">
        <v>143</v>
      </c>
    </row>
    <row r="124" spans="1:28" x14ac:dyDescent="0.3">
      <c r="A124" t="s">
        <v>878</v>
      </c>
      <c r="C124" t="s">
        <v>153</v>
      </c>
      <c r="D124" t="s">
        <v>211</v>
      </c>
      <c r="E124" t="s">
        <v>990</v>
      </c>
      <c r="F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204</v>
      </c>
      <c r="AB124" t="s">
        <v>138</v>
      </c>
    </row>
    <row r="125" spans="1:28" x14ac:dyDescent="0.3">
      <c r="A125" t="s">
        <v>421</v>
      </c>
      <c r="C125" t="s">
        <v>153</v>
      </c>
      <c r="D125" t="s">
        <v>211</v>
      </c>
      <c r="E125" t="s">
        <v>990</v>
      </c>
      <c r="F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204</v>
      </c>
      <c r="AB125" t="s">
        <v>138</v>
      </c>
    </row>
    <row r="126" spans="1:28" x14ac:dyDescent="0.3">
      <c r="A126" t="s">
        <v>1109</v>
      </c>
      <c r="C126" t="s">
        <v>153</v>
      </c>
      <c r="D126" t="s">
        <v>211</v>
      </c>
      <c r="E126" t="s">
        <v>990</v>
      </c>
      <c r="F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204</v>
      </c>
      <c r="AB126" t="s">
        <v>141</v>
      </c>
    </row>
    <row r="127" spans="1:28" x14ac:dyDescent="0.3">
      <c r="A127" t="s">
        <v>879</v>
      </c>
      <c r="C127" t="s">
        <v>153</v>
      </c>
      <c r="D127" t="s">
        <v>211</v>
      </c>
      <c r="E127" t="s">
        <v>990</v>
      </c>
      <c r="F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204</v>
      </c>
      <c r="AB127" t="s">
        <v>141</v>
      </c>
    </row>
    <row r="128" spans="1:28" x14ac:dyDescent="0.3">
      <c r="A128" t="s">
        <v>887</v>
      </c>
      <c r="C128" t="s">
        <v>153</v>
      </c>
      <c r="D128" t="s">
        <v>211</v>
      </c>
      <c r="E128" t="s">
        <v>990</v>
      </c>
      <c r="F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204</v>
      </c>
      <c r="AB128" t="s">
        <v>140</v>
      </c>
    </row>
    <row r="129" spans="1:28" x14ac:dyDescent="0.3">
      <c r="A129" t="s">
        <v>875</v>
      </c>
      <c r="C129" t="s">
        <v>153</v>
      </c>
      <c r="D129" t="s">
        <v>211</v>
      </c>
      <c r="E129" t="s">
        <v>990</v>
      </c>
      <c r="F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204</v>
      </c>
      <c r="AB129" t="s">
        <v>138</v>
      </c>
    </row>
    <row r="130" spans="1:28" x14ac:dyDescent="0.3">
      <c r="A130" t="s">
        <v>370</v>
      </c>
      <c r="C130" t="s">
        <v>153</v>
      </c>
      <c r="D130" t="s">
        <v>211</v>
      </c>
      <c r="E130" t="s">
        <v>990</v>
      </c>
      <c r="F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204</v>
      </c>
      <c r="AB130" t="s">
        <v>138</v>
      </c>
    </row>
    <row r="131" spans="1:28" x14ac:dyDescent="0.3">
      <c r="A131" t="s">
        <v>885</v>
      </c>
      <c r="C131" t="s">
        <v>153</v>
      </c>
      <c r="D131" t="s">
        <v>211</v>
      </c>
      <c r="E131" t="s">
        <v>990</v>
      </c>
      <c r="F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204</v>
      </c>
      <c r="AB131" t="s">
        <v>138</v>
      </c>
    </row>
    <row r="132" spans="1:28" x14ac:dyDescent="0.3">
      <c r="A132" t="s">
        <v>380</v>
      </c>
      <c r="C132" t="s">
        <v>156</v>
      </c>
      <c r="D132" t="s">
        <v>211</v>
      </c>
      <c r="E132" t="s">
        <v>997</v>
      </c>
      <c r="F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204</v>
      </c>
      <c r="Y132" t="s">
        <v>262</v>
      </c>
      <c r="AB132" t="s">
        <v>138</v>
      </c>
    </row>
    <row r="133" spans="1:28" x14ac:dyDescent="0.3">
      <c r="A133" t="s">
        <v>886</v>
      </c>
      <c r="C133" t="s">
        <v>156</v>
      </c>
      <c r="D133" t="s">
        <v>211</v>
      </c>
      <c r="E133" t="s">
        <v>997</v>
      </c>
      <c r="F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158</v>
      </c>
      <c r="AB133" t="s">
        <v>138</v>
      </c>
    </row>
    <row r="134" spans="1:28" x14ac:dyDescent="0.3">
      <c r="A134" t="s">
        <v>373</v>
      </c>
      <c r="C134" t="s">
        <v>156</v>
      </c>
      <c r="D134" t="s">
        <v>211</v>
      </c>
      <c r="E134" t="s">
        <v>1031</v>
      </c>
      <c r="F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204</v>
      </c>
      <c r="AB134" t="s">
        <v>138</v>
      </c>
    </row>
    <row r="135" spans="1:28" x14ac:dyDescent="0.3">
      <c r="A135" t="s">
        <v>408</v>
      </c>
      <c r="C135" t="s">
        <v>156</v>
      </c>
      <c r="D135" t="s">
        <v>211</v>
      </c>
      <c r="E135" t="s">
        <v>1031</v>
      </c>
      <c r="F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204</v>
      </c>
      <c r="AB135" t="s">
        <v>138</v>
      </c>
    </row>
    <row r="136" spans="1:28" x14ac:dyDescent="0.3">
      <c r="A136" t="s">
        <v>883</v>
      </c>
      <c r="C136" t="s">
        <v>156</v>
      </c>
      <c r="D136" t="s">
        <v>211</v>
      </c>
      <c r="E136" t="s">
        <v>1110</v>
      </c>
      <c r="F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204</v>
      </c>
      <c r="Y136" t="s">
        <v>262</v>
      </c>
      <c r="AB136" t="s">
        <v>138</v>
      </c>
    </row>
    <row r="137" spans="1:28" x14ac:dyDescent="0.3">
      <c r="A137" t="s">
        <v>882</v>
      </c>
      <c r="C137" t="s">
        <v>156</v>
      </c>
      <c r="D137" t="s">
        <v>211</v>
      </c>
      <c r="E137" t="s">
        <v>1111</v>
      </c>
      <c r="F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158</v>
      </c>
      <c r="AB137" t="s">
        <v>138</v>
      </c>
    </row>
    <row r="138" spans="1:28" x14ac:dyDescent="0.3">
      <c r="A138" t="s">
        <v>415</v>
      </c>
      <c r="C138" t="s">
        <v>156</v>
      </c>
      <c r="D138" t="s">
        <v>211</v>
      </c>
      <c r="E138" t="s">
        <v>1032</v>
      </c>
      <c r="F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158</v>
      </c>
      <c r="AB138" t="s">
        <v>138</v>
      </c>
    </row>
    <row r="139" spans="1:28" x14ac:dyDescent="0.3">
      <c r="A139" t="s">
        <v>384</v>
      </c>
      <c r="C139" t="s">
        <v>156</v>
      </c>
      <c r="D139" t="s">
        <v>211</v>
      </c>
      <c r="E139" t="s">
        <v>1032</v>
      </c>
      <c r="F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204</v>
      </c>
      <c r="AB139" t="s">
        <v>141</v>
      </c>
    </row>
    <row r="140" spans="1:28" x14ac:dyDescent="0.3">
      <c r="A140" t="s">
        <v>405</v>
      </c>
      <c r="C140" t="s">
        <v>156</v>
      </c>
      <c r="D140" t="s">
        <v>211</v>
      </c>
      <c r="E140" t="s">
        <v>995</v>
      </c>
      <c r="F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204</v>
      </c>
      <c r="Y140" t="s">
        <v>233</v>
      </c>
      <c r="AB140" t="s">
        <v>138</v>
      </c>
    </row>
    <row r="141" spans="1:28" x14ac:dyDescent="0.3">
      <c r="A141" t="s">
        <v>1112</v>
      </c>
      <c r="C141" t="s">
        <v>156</v>
      </c>
      <c r="D141" t="s">
        <v>211</v>
      </c>
      <c r="E141" t="s">
        <v>995</v>
      </c>
      <c r="F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204</v>
      </c>
      <c r="AB141" t="s">
        <v>138</v>
      </c>
    </row>
    <row r="142" spans="1:28" x14ac:dyDescent="0.3">
      <c r="A142" t="s">
        <v>406</v>
      </c>
      <c r="C142" t="s">
        <v>156</v>
      </c>
      <c r="D142" t="s">
        <v>211</v>
      </c>
      <c r="E142" t="s">
        <v>995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204</v>
      </c>
      <c r="AB142" t="s">
        <v>138</v>
      </c>
    </row>
    <row r="143" spans="1:28" x14ac:dyDescent="0.3">
      <c r="A143" t="s">
        <v>382</v>
      </c>
      <c r="C143" t="s">
        <v>156</v>
      </c>
      <c r="D143" t="s">
        <v>211</v>
      </c>
      <c r="E143" t="s">
        <v>994</v>
      </c>
      <c r="F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204</v>
      </c>
      <c r="Y143" t="s">
        <v>15</v>
      </c>
      <c r="AB143" t="s">
        <v>138</v>
      </c>
    </row>
    <row r="144" spans="1:28" x14ac:dyDescent="0.3">
      <c r="A144" t="s">
        <v>363</v>
      </c>
      <c r="C144" t="s">
        <v>156</v>
      </c>
      <c r="D144" t="s">
        <v>211</v>
      </c>
      <c r="E144" t="s">
        <v>994</v>
      </c>
      <c r="F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204</v>
      </c>
      <c r="Y144" t="s">
        <v>13</v>
      </c>
      <c r="AB144" t="s">
        <v>138</v>
      </c>
    </row>
    <row r="145" spans="1:28" x14ac:dyDescent="0.3">
      <c r="A145" t="s">
        <v>376</v>
      </c>
      <c r="C145" t="s">
        <v>156</v>
      </c>
      <c r="D145" t="s">
        <v>211</v>
      </c>
      <c r="E145" t="s">
        <v>994</v>
      </c>
      <c r="F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158</v>
      </c>
      <c r="AB145" t="s">
        <v>138</v>
      </c>
    </row>
    <row r="146" spans="1:28" x14ac:dyDescent="0.3">
      <c r="A146" t="s">
        <v>365</v>
      </c>
      <c r="C146" t="s">
        <v>156</v>
      </c>
      <c r="D146" t="s">
        <v>211</v>
      </c>
      <c r="E146" t="s">
        <v>994</v>
      </c>
      <c r="F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204</v>
      </c>
      <c r="AB146" t="s">
        <v>138</v>
      </c>
    </row>
    <row r="147" spans="1:28" x14ac:dyDescent="0.3">
      <c r="A147" t="s">
        <v>1113</v>
      </c>
      <c r="C147" t="s">
        <v>156</v>
      </c>
      <c r="D147" t="s">
        <v>211</v>
      </c>
      <c r="E147" t="s">
        <v>994</v>
      </c>
      <c r="F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204</v>
      </c>
      <c r="AB147" t="s">
        <v>138</v>
      </c>
    </row>
    <row r="148" spans="1:28" x14ac:dyDescent="0.3">
      <c r="A148" t="s">
        <v>412</v>
      </c>
      <c r="C148" t="s">
        <v>156</v>
      </c>
      <c r="D148" t="s">
        <v>211</v>
      </c>
      <c r="E148" t="s">
        <v>994</v>
      </c>
      <c r="F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204</v>
      </c>
      <c r="AB148" t="s">
        <v>138</v>
      </c>
    </row>
    <row r="149" spans="1:28" x14ac:dyDescent="0.3">
      <c r="A149" t="s">
        <v>366</v>
      </c>
      <c r="C149" t="s">
        <v>156</v>
      </c>
      <c r="D149" t="s">
        <v>211</v>
      </c>
      <c r="E149" t="s">
        <v>1114</v>
      </c>
      <c r="F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204</v>
      </c>
      <c r="AB149" t="s">
        <v>138</v>
      </c>
    </row>
    <row r="150" spans="1:28" x14ac:dyDescent="0.3">
      <c r="A150" t="s">
        <v>880</v>
      </c>
      <c r="C150" t="s">
        <v>156</v>
      </c>
      <c r="D150" t="s">
        <v>211</v>
      </c>
      <c r="E150" t="s">
        <v>1014</v>
      </c>
      <c r="F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204</v>
      </c>
      <c r="AB150" t="s">
        <v>138</v>
      </c>
    </row>
    <row r="151" spans="1:28" x14ac:dyDescent="0.3">
      <c r="A151" t="s">
        <v>398</v>
      </c>
      <c r="C151" t="s">
        <v>156</v>
      </c>
      <c r="D151" t="s">
        <v>211</v>
      </c>
      <c r="E151" t="s">
        <v>1115</v>
      </c>
      <c r="F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158</v>
      </c>
      <c r="AB151" t="s">
        <v>138</v>
      </c>
    </row>
    <row r="152" spans="1:28" x14ac:dyDescent="0.3">
      <c r="A152" t="s">
        <v>432</v>
      </c>
      <c r="C152" t="s">
        <v>156</v>
      </c>
      <c r="D152" t="s">
        <v>211</v>
      </c>
      <c r="E152" t="s">
        <v>1116</v>
      </c>
      <c r="F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158</v>
      </c>
      <c r="AB152" t="s">
        <v>93</v>
      </c>
    </row>
    <row r="153" spans="1:28" x14ac:dyDescent="0.3">
      <c r="A153" t="s">
        <v>1117</v>
      </c>
      <c r="C153" t="s">
        <v>156</v>
      </c>
      <c r="D153" t="s">
        <v>211</v>
      </c>
      <c r="E153" t="s">
        <v>1118</v>
      </c>
      <c r="F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158</v>
      </c>
      <c r="AB153" t="s">
        <v>138</v>
      </c>
    </row>
    <row r="154" spans="1:28" x14ac:dyDescent="0.3">
      <c r="A154" t="s">
        <v>877</v>
      </c>
      <c r="C154" t="s">
        <v>156</v>
      </c>
      <c r="D154" t="s">
        <v>211</v>
      </c>
      <c r="E154" t="s">
        <v>1020</v>
      </c>
      <c r="F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204</v>
      </c>
      <c r="Y154" t="s">
        <v>15</v>
      </c>
      <c r="AB154" t="s">
        <v>143</v>
      </c>
    </row>
    <row r="155" spans="1:28" x14ac:dyDescent="0.3">
      <c r="A155" t="s">
        <v>357</v>
      </c>
      <c r="C155" t="s">
        <v>156</v>
      </c>
      <c r="D155" t="s">
        <v>211</v>
      </c>
      <c r="E155" t="s">
        <v>1015</v>
      </c>
      <c r="F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204</v>
      </c>
      <c r="Y155" t="s">
        <v>358</v>
      </c>
      <c r="AB155" t="s">
        <v>93</v>
      </c>
    </row>
    <row r="156" spans="1:28" x14ac:dyDescent="0.3">
      <c r="A156" t="s">
        <v>409</v>
      </c>
      <c r="C156" t="s">
        <v>156</v>
      </c>
      <c r="D156" t="s">
        <v>211</v>
      </c>
      <c r="E156" t="s">
        <v>1119</v>
      </c>
      <c r="F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158</v>
      </c>
      <c r="AB156" t="s">
        <v>138</v>
      </c>
    </row>
    <row r="157" spans="1:28" x14ac:dyDescent="0.3">
      <c r="A157" t="s">
        <v>422</v>
      </c>
      <c r="C157" t="s">
        <v>156</v>
      </c>
      <c r="D157" t="s">
        <v>211</v>
      </c>
      <c r="E157" t="s">
        <v>1119</v>
      </c>
      <c r="F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204</v>
      </c>
      <c r="AB157" t="s">
        <v>138</v>
      </c>
    </row>
    <row r="158" spans="1:28" x14ac:dyDescent="0.3">
      <c r="A158" t="s">
        <v>369</v>
      </c>
      <c r="C158" t="s">
        <v>156</v>
      </c>
      <c r="D158" t="s">
        <v>211</v>
      </c>
      <c r="E158" t="s">
        <v>252</v>
      </c>
      <c r="F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204</v>
      </c>
      <c r="Y158" t="s">
        <v>358</v>
      </c>
      <c r="AB158" t="s">
        <v>138</v>
      </c>
    </row>
    <row r="159" spans="1:28" x14ac:dyDescent="0.3">
      <c r="A159" t="s">
        <v>424</v>
      </c>
      <c r="C159" t="s">
        <v>156</v>
      </c>
      <c r="D159" t="s">
        <v>211</v>
      </c>
      <c r="E159" t="s">
        <v>987</v>
      </c>
      <c r="F159">
        <v>1</v>
      </c>
      <c r="G159" t="s">
        <v>29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 t="s">
        <v>26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204</v>
      </c>
      <c r="AB159" t="s">
        <v>138</v>
      </c>
    </row>
    <row r="160" spans="1:28" x14ac:dyDescent="0.3">
      <c r="A160" t="s">
        <v>1120</v>
      </c>
      <c r="C160" t="s">
        <v>156</v>
      </c>
      <c r="D160" t="s">
        <v>211</v>
      </c>
      <c r="E160" t="s">
        <v>1121</v>
      </c>
      <c r="F160">
        <v>2</v>
      </c>
      <c r="G160" t="s">
        <v>620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204</v>
      </c>
      <c r="Y160" t="s">
        <v>15</v>
      </c>
      <c r="AB160" t="s">
        <v>138</v>
      </c>
    </row>
    <row r="161" spans="1:28" x14ac:dyDescent="0.3">
      <c r="A161" t="s">
        <v>403</v>
      </c>
      <c r="C161" t="s">
        <v>156</v>
      </c>
      <c r="D161" t="s">
        <v>211</v>
      </c>
      <c r="E161" t="s">
        <v>986</v>
      </c>
      <c r="F161">
        <v>2</v>
      </c>
      <c r="G161" t="s">
        <v>924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204</v>
      </c>
      <c r="Y161" t="s">
        <v>12</v>
      </c>
      <c r="AB161" t="s">
        <v>138</v>
      </c>
    </row>
    <row r="162" spans="1:28" x14ac:dyDescent="0.3">
      <c r="A162" t="s">
        <v>340</v>
      </c>
      <c r="C162" t="s">
        <v>156</v>
      </c>
      <c r="D162" t="s">
        <v>211</v>
      </c>
      <c r="E162" t="s">
        <v>984</v>
      </c>
      <c r="F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</v>
      </c>
      <c r="P162" t="s">
        <v>1122</v>
      </c>
      <c r="Q162">
        <v>1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0</v>
      </c>
      <c r="X162" t="s">
        <v>204</v>
      </c>
      <c r="Y162" t="s">
        <v>17</v>
      </c>
      <c r="AB162" t="s">
        <v>138</v>
      </c>
    </row>
    <row r="163" spans="1:28" x14ac:dyDescent="0.3">
      <c r="A163" t="s">
        <v>426</v>
      </c>
      <c r="C163" t="s">
        <v>156</v>
      </c>
      <c r="D163" t="s">
        <v>211</v>
      </c>
      <c r="E163" t="s">
        <v>1123</v>
      </c>
      <c r="F163">
        <v>2</v>
      </c>
      <c r="G163" t="s">
        <v>427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204</v>
      </c>
      <c r="AB163" t="s">
        <v>138</v>
      </c>
    </row>
    <row r="164" spans="1:28" x14ac:dyDescent="0.3">
      <c r="A164" t="s">
        <v>889</v>
      </c>
      <c r="C164" t="s">
        <v>156</v>
      </c>
      <c r="D164" t="s">
        <v>211</v>
      </c>
      <c r="E164" t="s">
        <v>1100</v>
      </c>
      <c r="F164">
        <v>1</v>
      </c>
      <c r="G164" t="s">
        <v>22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158</v>
      </c>
      <c r="AB164" t="s">
        <v>138</v>
      </c>
    </row>
    <row r="165" spans="1:28" x14ac:dyDescent="0.3">
      <c r="A165" t="s">
        <v>1124</v>
      </c>
      <c r="C165" t="s">
        <v>156</v>
      </c>
      <c r="D165" t="s">
        <v>211</v>
      </c>
      <c r="E165" t="s">
        <v>982</v>
      </c>
      <c r="F165">
        <v>1</v>
      </c>
      <c r="G165" t="s">
        <v>22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 t="s">
        <v>28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 t="s">
        <v>204</v>
      </c>
      <c r="AB165" t="s">
        <v>138</v>
      </c>
    </row>
    <row r="166" spans="1:28" x14ac:dyDescent="0.3">
      <c r="A166" t="s">
        <v>892</v>
      </c>
      <c r="C166" t="s">
        <v>156</v>
      </c>
      <c r="D166" t="s">
        <v>211</v>
      </c>
      <c r="E166" t="s">
        <v>982</v>
      </c>
      <c r="F166">
        <v>2</v>
      </c>
      <c r="G166" t="s">
        <v>975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204</v>
      </c>
      <c r="AB166" t="s">
        <v>138</v>
      </c>
    </row>
    <row r="167" spans="1:28" x14ac:dyDescent="0.3">
      <c r="A167" t="s">
        <v>1125</v>
      </c>
      <c r="C167" t="s">
        <v>153</v>
      </c>
      <c r="D167" t="s">
        <v>211</v>
      </c>
      <c r="E167" t="s">
        <v>990</v>
      </c>
      <c r="F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 t="s">
        <v>26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204</v>
      </c>
      <c r="Y167" t="s">
        <v>21</v>
      </c>
      <c r="AB167" t="s">
        <v>140</v>
      </c>
    </row>
    <row r="168" spans="1:28" x14ac:dyDescent="0.3">
      <c r="A168" t="s">
        <v>1126</v>
      </c>
      <c r="C168" t="s">
        <v>153</v>
      </c>
      <c r="D168" t="s">
        <v>211</v>
      </c>
      <c r="E168" t="s">
        <v>990</v>
      </c>
      <c r="F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 t="s">
        <v>18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 t="s">
        <v>158</v>
      </c>
      <c r="AB168" t="s">
        <v>93</v>
      </c>
    </row>
    <row r="169" spans="1:28" x14ac:dyDescent="0.3">
      <c r="A169" t="s">
        <v>1127</v>
      </c>
      <c r="C169" t="s">
        <v>153</v>
      </c>
      <c r="D169" t="s">
        <v>211</v>
      </c>
      <c r="E169" t="s">
        <v>990</v>
      </c>
      <c r="F169">
        <v>9</v>
      </c>
      <c r="G169" t="s">
        <v>1128</v>
      </c>
      <c r="H169">
        <v>3</v>
      </c>
      <c r="I169">
        <v>0</v>
      </c>
      <c r="J169">
        <v>3</v>
      </c>
      <c r="K169">
        <v>3</v>
      </c>
      <c r="L169">
        <v>0</v>
      </c>
      <c r="M169">
        <v>0</v>
      </c>
      <c r="N169">
        <v>0</v>
      </c>
      <c r="O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204</v>
      </c>
      <c r="AB169" t="s">
        <v>141</v>
      </c>
    </row>
    <row r="170" spans="1:28" x14ac:dyDescent="0.3">
      <c r="A170" t="s">
        <v>428</v>
      </c>
      <c r="C170" t="s">
        <v>153</v>
      </c>
      <c r="D170" t="s">
        <v>211</v>
      </c>
      <c r="E170" t="s">
        <v>990</v>
      </c>
      <c r="F170">
        <v>1</v>
      </c>
      <c r="G170" t="s">
        <v>25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204</v>
      </c>
      <c r="AB170" t="s">
        <v>138</v>
      </c>
    </row>
    <row r="171" spans="1:28" x14ac:dyDescent="0.3">
      <c r="A171" t="s">
        <v>433</v>
      </c>
      <c r="C171" t="s">
        <v>156</v>
      </c>
      <c r="D171" t="s">
        <v>211</v>
      </c>
      <c r="E171" t="s">
        <v>1032</v>
      </c>
      <c r="F171">
        <v>2</v>
      </c>
      <c r="G171" t="s">
        <v>179</v>
      </c>
      <c r="H171">
        <v>0</v>
      </c>
      <c r="I171">
        <v>0</v>
      </c>
      <c r="J171">
        <v>0</v>
      </c>
      <c r="K171">
        <v>0</v>
      </c>
      <c r="L171">
        <v>2</v>
      </c>
      <c r="M171">
        <v>0</v>
      </c>
      <c r="N171">
        <v>0</v>
      </c>
      <c r="O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204</v>
      </c>
      <c r="Y171" t="s">
        <v>15</v>
      </c>
      <c r="AB171" t="s">
        <v>142</v>
      </c>
    </row>
    <row r="172" spans="1:28" x14ac:dyDescent="0.3">
      <c r="A172" t="s">
        <v>390</v>
      </c>
      <c r="C172" t="s">
        <v>156</v>
      </c>
      <c r="D172" t="s">
        <v>211</v>
      </c>
      <c r="E172" t="s">
        <v>995</v>
      </c>
      <c r="F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 t="s">
        <v>182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158</v>
      </c>
      <c r="AB172" t="s">
        <v>138</v>
      </c>
    </row>
    <row r="173" spans="1:28" x14ac:dyDescent="0.3">
      <c r="A173" t="s">
        <v>434</v>
      </c>
      <c r="C173" t="s">
        <v>175</v>
      </c>
      <c r="D173" t="s">
        <v>211</v>
      </c>
      <c r="E173" t="s">
        <v>996</v>
      </c>
      <c r="F173">
        <v>2</v>
      </c>
      <c r="G173" t="s">
        <v>435</v>
      </c>
      <c r="H173">
        <v>0</v>
      </c>
      <c r="I173">
        <v>0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204</v>
      </c>
      <c r="Y173" t="s">
        <v>15</v>
      </c>
      <c r="AB173" t="s">
        <v>142</v>
      </c>
    </row>
    <row r="174" spans="1:28" x14ac:dyDescent="0.3">
      <c r="A174" t="s">
        <v>1092</v>
      </c>
      <c r="C174" t="s">
        <v>156</v>
      </c>
      <c r="D174" t="s">
        <v>211</v>
      </c>
      <c r="E174" t="s">
        <v>994</v>
      </c>
      <c r="F174">
        <v>6</v>
      </c>
      <c r="G174" t="s">
        <v>1129</v>
      </c>
      <c r="H174">
        <v>2</v>
      </c>
      <c r="I174">
        <v>0</v>
      </c>
      <c r="J174">
        <v>0</v>
      </c>
      <c r="K174">
        <v>2</v>
      </c>
      <c r="L174">
        <v>0</v>
      </c>
      <c r="M174">
        <v>2</v>
      </c>
      <c r="N174">
        <v>0</v>
      </c>
      <c r="O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204</v>
      </c>
      <c r="Y174" t="s">
        <v>17</v>
      </c>
      <c r="AB174" t="s">
        <v>140</v>
      </c>
    </row>
    <row r="175" spans="1:28" x14ac:dyDescent="0.3">
      <c r="A175" t="s">
        <v>425</v>
      </c>
      <c r="C175" t="s">
        <v>156</v>
      </c>
      <c r="D175" t="s">
        <v>211</v>
      </c>
      <c r="E175" t="s">
        <v>1034</v>
      </c>
      <c r="F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 t="s">
        <v>26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 t="s">
        <v>204</v>
      </c>
      <c r="AB175" t="s">
        <v>138</v>
      </c>
    </row>
    <row r="176" spans="1:28" x14ac:dyDescent="0.3">
      <c r="A176" t="s">
        <v>437</v>
      </c>
      <c r="C176" t="s">
        <v>156</v>
      </c>
      <c r="D176" t="s">
        <v>154</v>
      </c>
      <c r="E176" t="s">
        <v>987</v>
      </c>
      <c r="F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204</v>
      </c>
      <c r="Y176" t="s">
        <v>358</v>
      </c>
      <c r="AB176" t="s">
        <v>138</v>
      </c>
    </row>
    <row r="177" spans="1:28" x14ac:dyDescent="0.3">
      <c r="A177" t="s">
        <v>1130</v>
      </c>
      <c r="C177" t="s">
        <v>156</v>
      </c>
      <c r="D177" t="s">
        <v>154</v>
      </c>
      <c r="E177" t="s">
        <v>987</v>
      </c>
      <c r="F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204</v>
      </c>
      <c r="Y177" t="s">
        <v>12</v>
      </c>
      <c r="AB177" t="s">
        <v>138</v>
      </c>
    </row>
    <row r="178" spans="1:28" x14ac:dyDescent="0.3">
      <c r="A178" t="s">
        <v>1131</v>
      </c>
      <c r="C178" t="s">
        <v>156</v>
      </c>
      <c r="D178" t="s">
        <v>154</v>
      </c>
      <c r="E178" t="s">
        <v>987</v>
      </c>
      <c r="F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204</v>
      </c>
      <c r="Y178" t="s">
        <v>16</v>
      </c>
      <c r="AB178" t="s">
        <v>140</v>
      </c>
    </row>
    <row r="179" spans="1:28" x14ac:dyDescent="0.3">
      <c r="A179" t="s">
        <v>901</v>
      </c>
      <c r="C179" t="s">
        <v>156</v>
      </c>
      <c r="D179" t="s">
        <v>154</v>
      </c>
      <c r="E179" t="s">
        <v>987</v>
      </c>
      <c r="F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158</v>
      </c>
      <c r="AB179" t="s">
        <v>138</v>
      </c>
    </row>
    <row r="180" spans="1:28" x14ac:dyDescent="0.3">
      <c r="A180" t="s">
        <v>491</v>
      </c>
      <c r="C180" t="s">
        <v>156</v>
      </c>
      <c r="D180" t="s">
        <v>154</v>
      </c>
      <c r="E180" t="s">
        <v>987</v>
      </c>
      <c r="F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158</v>
      </c>
      <c r="AB180" t="s">
        <v>143</v>
      </c>
    </row>
    <row r="181" spans="1:28" x14ac:dyDescent="0.3">
      <c r="A181" t="s">
        <v>452</v>
      </c>
      <c r="C181" t="s">
        <v>156</v>
      </c>
      <c r="D181" t="s">
        <v>154</v>
      </c>
      <c r="E181" t="s">
        <v>987</v>
      </c>
      <c r="F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204</v>
      </c>
      <c r="AB181" t="s">
        <v>138</v>
      </c>
    </row>
    <row r="182" spans="1:28" x14ac:dyDescent="0.3">
      <c r="A182" t="s">
        <v>453</v>
      </c>
      <c r="C182" t="s">
        <v>156</v>
      </c>
      <c r="D182" t="s">
        <v>154</v>
      </c>
      <c r="E182" t="s">
        <v>987</v>
      </c>
      <c r="F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204</v>
      </c>
      <c r="AB182" t="s">
        <v>138</v>
      </c>
    </row>
    <row r="183" spans="1:28" x14ac:dyDescent="0.3">
      <c r="A183" t="s">
        <v>455</v>
      </c>
      <c r="C183" t="s">
        <v>156</v>
      </c>
      <c r="D183" t="s">
        <v>154</v>
      </c>
      <c r="E183" t="s">
        <v>987</v>
      </c>
      <c r="F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204</v>
      </c>
      <c r="AB183" t="s">
        <v>138</v>
      </c>
    </row>
    <row r="184" spans="1:28" x14ac:dyDescent="0.3">
      <c r="A184" t="s">
        <v>1132</v>
      </c>
      <c r="C184" t="s">
        <v>156</v>
      </c>
      <c r="D184" t="s">
        <v>154</v>
      </c>
      <c r="E184" t="s">
        <v>987</v>
      </c>
      <c r="F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204</v>
      </c>
      <c r="AB184" t="s">
        <v>138</v>
      </c>
    </row>
    <row r="185" spans="1:28" x14ac:dyDescent="0.3">
      <c r="A185" t="s">
        <v>1133</v>
      </c>
      <c r="C185" t="s">
        <v>156</v>
      </c>
      <c r="D185" t="s">
        <v>154</v>
      </c>
      <c r="E185" t="s">
        <v>985</v>
      </c>
      <c r="F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204</v>
      </c>
      <c r="Y185" t="s">
        <v>11</v>
      </c>
      <c r="AB185" t="s">
        <v>140</v>
      </c>
    </row>
    <row r="186" spans="1:28" x14ac:dyDescent="0.3">
      <c r="A186" t="s">
        <v>1134</v>
      </c>
      <c r="C186" t="s">
        <v>156</v>
      </c>
      <c r="D186" t="s">
        <v>154</v>
      </c>
      <c r="E186" t="s">
        <v>1135</v>
      </c>
      <c r="F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204</v>
      </c>
      <c r="Y186" t="s">
        <v>15</v>
      </c>
      <c r="AB186" t="s">
        <v>141</v>
      </c>
    </row>
    <row r="187" spans="1:28" x14ac:dyDescent="0.3">
      <c r="A187" t="s">
        <v>1136</v>
      </c>
      <c r="C187" t="s">
        <v>156</v>
      </c>
      <c r="D187" t="s">
        <v>154</v>
      </c>
      <c r="E187" t="s">
        <v>1135</v>
      </c>
      <c r="F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204</v>
      </c>
      <c r="AB187" t="s">
        <v>93</v>
      </c>
    </row>
    <row r="188" spans="1:28" x14ac:dyDescent="0.3">
      <c r="A188" t="s">
        <v>461</v>
      </c>
      <c r="C188" t="s">
        <v>156</v>
      </c>
      <c r="D188" t="s">
        <v>154</v>
      </c>
      <c r="E188" t="s">
        <v>1088</v>
      </c>
      <c r="F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204</v>
      </c>
      <c r="AB188" t="s">
        <v>138</v>
      </c>
    </row>
    <row r="189" spans="1:28" x14ac:dyDescent="0.3">
      <c r="A189" t="s">
        <v>567</v>
      </c>
      <c r="C189" t="s">
        <v>156</v>
      </c>
      <c r="D189" t="s">
        <v>154</v>
      </c>
      <c r="E189" t="s">
        <v>1137</v>
      </c>
      <c r="F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158</v>
      </c>
      <c r="AB189" t="s">
        <v>138</v>
      </c>
    </row>
    <row r="190" spans="1:28" x14ac:dyDescent="0.3">
      <c r="A190" t="s">
        <v>534</v>
      </c>
      <c r="C190" t="s">
        <v>156</v>
      </c>
      <c r="D190" t="s">
        <v>154</v>
      </c>
      <c r="E190" t="s">
        <v>1072</v>
      </c>
      <c r="F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158</v>
      </c>
      <c r="AB190" t="s">
        <v>138</v>
      </c>
    </row>
    <row r="191" spans="1:28" x14ac:dyDescent="0.3">
      <c r="A191" t="s">
        <v>1138</v>
      </c>
      <c r="C191" t="s">
        <v>156</v>
      </c>
      <c r="D191" t="s">
        <v>154</v>
      </c>
      <c r="E191" t="s">
        <v>1072</v>
      </c>
      <c r="F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158</v>
      </c>
      <c r="AB191" t="s">
        <v>138</v>
      </c>
    </row>
    <row r="192" spans="1:28" x14ac:dyDescent="0.3">
      <c r="A192" t="s">
        <v>921</v>
      </c>
      <c r="C192" t="s">
        <v>156</v>
      </c>
      <c r="D192" t="s">
        <v>154</v>
      </c>
      <c r="E192" t="s">
        <v>1023</v>
      </c>
      <c r="F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158</v>
      </c>
      <c r="AB192" t="s">
        <v>138</v>
      </c>
    </row>
    <row r="193" spans="1:28" x14ac:dyDescent="0.3">
      <c r="A193" t="s">
        <v>477</v>
      </c>
      <c r="C193" t="s">
        <v>156</v>
      </c>
      <c r="D193" t="s">
        <v>154</v>
      </c>
      <c r="E193" t="s">
        <v>234</v>
      </c>
      <c r="F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204</v>
      </c>
      <c r="Y193" t="s">
        <v>238</v>
      </c>
      <c r="AB193" t="s">
        <v>143</v>
      </c>
    </row>
    <row r="194" spans="1:28" x14ac:dyDescent="0.3">
      <c r="A194" t="s">
        <v>474</v>
      </c>
      <c r="C194" t="s">
        <v>156</v>
      </c>
      <c r="D194" t="s">
        <v>154</v>
      </c>
      <c r="E194" t="s">
        <v>1024</v>
      </c>
      <c r="F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204</v>
      </c>
      <c r="Y194" t="s">
        <v>162</v>
      </c>
      <c r="AB194" t="s">
        <v>138</v>
      </c>
    </row>
    <row r="195" spans="1:28" x14ac:dyDescent="0.3">
      <c r="A195" t="s">
        <v>895</v>
      </c>
      <c r="C195" t="s">
        <v>156</v>
      </c>
      <c r="D195" t="s">
        <v>154</v>
      </c>
      <c r="E195" t="s">
        <v>1139</v>
      </c>
      <c r="F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204</v>
      </c>
      <c r="AB195" t="s">
        <v>138</v>
      </c>
    </row>
    <row r="196" spans="1:28" x14ac:dyDescent="0.3">
      <c r="A196" t="s">
        <v>920</v>
      </c>
      <c r="C196" t="s">
        <v>156</v>
      </c>
      <c r="D196" t="s">
        <v>154</v>
      </c>
      <c r="E196" t="s">
        <v>1140</v>
      </c>
      <c r="F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204</v>
      </c>
      <c r="Y196" t="s">
        <v>180</v>
      </c>
      <c r="AB196" t="s">
        <v>138</v>
      </c>
    </row>
    <row r="197" spans="1:28" x14ac:dyDescent="0.3">
      <c r="A197" t="s">
        <v>529</v>
      </c>
      <c r="C197" t="s">
        <v>156</v>
      </c>
      <c r="D197" t="s">
        <v>154</v>
      </c>
      <c r="E197" t="s">
        <v>1121</v>
      </c>
      <c r="F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158</v>
      </c>
      <c r="AB197" t="s">
        <v>138</v>
      </c>
    </row>
    <row r="198" spans="1:28" x14ac:dyDescent="0.3">
      <c r="A198" t="s">
        <v>1141</v>
      </c>
      <c r="C198" t="s">
        <v>156</v>
      </c>
      <c r="D198" t="s">
        <v>154</v>
      </c>
      <c r="E198" t="s">
        <v>1142</v>
      </c>
      <c r="F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204</v>
      </c>
      <c r="AB198" t="s">
        <v>138</v>
      </c>
    </row>
    <row r="199" spans="1:28" x14ac:dyDescent="0.3">
      <c r="A199" t="s">
        <v>480</v>
      </c>
      <c r="C199" t="s">
        <v>156</v>
      </c>
      <c r="D199" t="s">
        <v>154</v>
      </c>
      <c r="E199" t="s">
        <v>1143</v>
      </c>
      <c r="F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204</v>
      </c>
      <c r="Y199" t="s">
        <v>17</v>
      </c>
      <c r="AB199" t="s">
        <v>140</v>
      </c>
    </row>
    <row r="200" spans="1:28" x14ac:dyDescent="0.3">
      <c r="A200" t="s">
        <v>578</v>
      </c>
      <c r="C200" t="s">
        <v>156</v>
      </c>
      <c r="D200" t="s">
        <v>154</v>
      </c>
      <c r="E200" t="s">
        <v>1143</v>
      </c>
      <c r="F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158</v>
      </c>
      <c r="AB200" t="s">
        <v>138</v>
      </c>
    </row>
    <row r="201" spans="1:28" x14ac:dyDescent="0.3">
      <c r="A201" t="s">
        <v>586</v>
      </c>
      <c r="C201" t="s">
        <v>156</v>
      </c>
      <c r="D201" t="s">
        <v>154</v>
      </c>
      <c r="E201" t="s">
        <v>1067</v>
      </c>
      <c r="F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158</v>
      </c>
      <c r="AB201" t="s">
        <v>141</v>
      </c>
    </row>
    <row r="202" spans="1:28" x14ac:dyDescent="0.3">
      <c r="A202" t="s">
        <v>1144</v>
      </c>
      <c r="C202" t="s">
        <v>156</v>
      </c>
      <c r="D202" t="s">
        <v>154</v>
      </c>
      <c r="E202" t="s">
        <v>986</v>
      </c>
      <c r="F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204</v>
      </c>
      <c r="Y202" t="s">
        <v>11</v>
      </c>
      <c r="AB202" t="s">
        <v>138</v>
      </c>
    </row>
    <row r="203" spans="1:28" x14ac:dyDescent="0.3">
      <c r="A203" t="s">
        <v>443</v>
      </c>
      <c r="C203" t="s">
        <v>156</v>
      </c>
      <c r="D203" t="s">
        <v>154</v>
      </c>
      <c r="E203" t="s">
        <v>986</v>
      </c>
      <c r="F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204</v>
      </c>
      <c r="Y203" t="s">
        <v>16</v>
      </c>
      <c r="AB203" t="s">
        <v>138</v>
      </c>
    </row>
    <row r="204" spans="1:28" x14ac:dyDescent="0.3">
      <c r="A204" t="s">
        <v>1145</v>
      </c>
      <c r="C204" t="s">
        <v>156</v>
      </c>
      <c r="D204" t="s">
        <v>154</v>
      </c>
      <c r="E204" t="s">
        <v>986</v>
      </c>
      <c r="F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204</v>
      </c>
      <c r="Y204" t="s">
        <v>233</v>
      </c>
      <c r="AB204" t="s">
        <v>93</v>
      </c>
    </row>
    <row r="205" spans="1:28" x14ac:dyDescent="0.3">
      <c r="A205" t="s">
        <v>1146</v>
      </c>
      <c r="C205" t="s">
        <v>156</v>
      </c>
      <c r="D205" t="s">
        <v>154</v>
      </c>
      <c r="E205" t="s">
        <v>986</v>
      </c>
      <c r="F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204</v>
      </c>
      <c r="Y205" t="s">
        <v>233</v>
      </c>
      <c r="AB205" t="s">
        <v>138</v>
      </c>
    </row>
    <row r="206" spans="1:28" x14ac:dyDescent="0.3">
      <c r="A206" t="s">
        <v>508</v>
      </c>
      <c r="C206" t="s">
        <v>156</v>
      </c>
      <c r="D206" t="s">
        <v>154</v>
      </c>
      <c r="E206" t="s">
        <v>986</v>
      </c>
      <c r="F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158</v>
      </c>
      <c r="AB206" t="s">
        <v>139</v>
      </c>
    </row>
    <row r="207" spans="1:28" x14ac:dyDescent="0.3">
      <c r="A207" t="s">
        <v>1147</v>
      </c>
      <c r="C207" t="s">
        <v>156</v>
      </c>
      <c r="D207" t="s">
        <v>154</v>
      </c>
      <c r="E207" t="s">
        <v>986</v>
      </c>
      <c r="F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158</v>
      </c>
      <c r="AB207" t="s">
        <v>138</v>
      </c>
    </row>
    <row r="208" spans="1:28" x14ac:dyDescent="0.3">
      <c r="A208" t="s">
        <v>593</v>
      </c>
      <c r="C208" t="s">
        <v>156</v>
      </c>
      <c r="D208" t="s">
        <v>154</v>
      </c>
      <c r="E208" t="s">
        <v>986</v>
      </c>
      <c r="F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158</v>
      </c>
      <c r="AB208" t="s">
        <v>138</v>
      </c>
    </row>
    <row r="209" spans="1:28" x14ac:dyDescent="0.3">
      <c r="A209" t="s">
        <v>330</v>
      </c>
      <c r="C209" t="s">
        <v>156</v>
      </c>
      <c r="D209" t="s">
        <v>154</v>
      </c>
      <c r="E209" t="s">
        <v>986</v>
      </c>
      <c r="F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204</v>
      </c>
      <c r="AB209" t="s">
        <v>138</v>
      </c>
    </row>
    <row r="210" spans="1:28" x14ac:dyDescent="0.3">
      <c r="A210" t="s">
        <v>454</v>
      </c>
      <c r="C210" t="s">
        <v>156</v>
      </c>
      <c r="D210" t="s">
        <v>154</v>
      </c>
      <c r="E210" t="s">
        <v>986</v>
      </c>
      <c r="F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204</v>
      </c>
      <c r="AB210" t="s">
        <v>138</v>
      </c>
    </row>
    <row r="211" spans="1:28" x14ac:dyDescent="0.3">
      <c r="A211" t="s">
        <v>531</v>
      </c>
      <c r="C211" t="s">
        <v>156</v>
      </c>
      <c r="D211" t="s">
        <v>154</v>
      </c>
      <c r="E211" t="s">
        <v>986</v>
      </c>
      <c r="F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204</v>
      </c>
      <c r="AB211" t="s">
        <v>141</v>
      </c>
    </row>
    <row r="212" spans="1:28" x14ac:dyDescent="0.3">
      <c r="A212" t="s">
        <v>1148</v>
      </c>
      <c r="C212" t="s">
        <v>156</v>
      </c>
      <c r="D212" t="s">
        <v>154</v>
      </c>
      <c r="E212" t="s">
        <v>986</v>
      </c>
      <c r="F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204</v>
      </c>
      <c r="AB212" t="s">
        <v>93</v>
      </c>
    </row>
    <row r="213" spans="1:28" x14ac:dyDescent="0.3">
      <c r="A213" t="s">
        <v>592</v>
      </c>
      <c r="C213" t="s">
        <v>156</v>
      </c>
      <c r="D213" t="s">
        <v>154</v>
      </c>
      <c r="E213" t="s">
        <v>986</v>
      </c>
      <c r="F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204</v>
      </c>
      <c r="AB213" t="s">
        <v>138</v>
      </c>
    </row>
    <row r="214" spans="1:28" x14ac:dyDescent="0.3">
      <c r="A214" t="s">
        <v>473</v>
      </c>
      <c r="C214" t="s">
        <v>156</v>
      </c>
      <c r="D214" t="s">
        <v>154</v>
      </c>
      <c r="E214" t="s">
        <v>986</v>
      </c>
      <c r="F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204</v>
      </c>
      <c r="AB214" t="s">
        <v>138</v>
      </c>
    </row>
    <row r="215" spans="1:28" x14ac:dyDescent="0.3">
      <c r="A215" t="s">
        <v>493</v>
      </c>
      <c r="C215" t="s">
        <v>156</v>
      </c>
      <c r="D215" t="s">
        <v>154</v>
      </c>
      <c r="E215" t="s">
        <v>986</v>
      </c>
      <c r="F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204</v>
      </c>
      <c r="AB215" t="s">
        <v>138</v>
      </c>
    </row>
    <row r="216" spans="1:28" x14ac:dyDescent="0.3">
      <c r="A216" t="s">
        <v>1149</v>
      </c>
      <c r="C216" t="s">
        <v>156</v>
      </c>
      <c r="D216" t="s">
        <v>154</v>
      </c>
      <c r="E216" t="s">
        <v>984</v>
      </c>
      <c r="F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204</v>
      </c>
      <c r="Y216" t="s">
        <v>358</v>
      </c>
      <c r="AB216" t="s">
        <v>138</v>
      </c>
    </row>
    <row r="217" spans="1:28" x14ac:dyDescent="0.3">
      <c r="A217" t="s">
        <v>535</v>
      </c>
      <c r="C217" t="s">
        <v>156</v>
      </c>
      <c r="D217" t="s">
        <v>154</v>
      </c>
      <c r="E217" t="s">
        <v>984</v>
      </c>
      <c r="F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204</v>
      </c>
      <c r="Y217" t="s">
        <v>12</v>
      </c>
      <c r="AB217" t="s">
        <v>138</v>
      </c>
    </row>
    <row r="218" spans="1:28" x14ac:dyDescent="0.3">
      <c r="A218" t="s">
        <v>500</v>
      </c>
      <c r="C218" t="s">
        <v>156</v>
      </c>
      <c r="D218" t="s">
        <v>154</v>
      </c>
      <c r="E218" t="s">
        <v>984</v>
      </c>
      <c r="F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204</v>
      </c>
      <c r="Y218" t="s">
        <v>11</v>
      </c>
      <c r="AB218" t="s">
        <v>138</v>
      </c>
    </row>
    <row r="219" spans="1:28" x14ac:dyDescent="0.3">
      <c r="A219" t="s">
        <v>533</v>
      </c>
      <c r="C219" t="s">
        <v>156</v>
      </c>
      <c r="D219" t="s">
        <v>154</v>
      </c>
      <c r="E219" t="s">
        <v>984</v>
      </c>
      <c r="F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204</v>
      </c>
      <c r="Y219" t="s">
        <v>15</v>
      </c>
      <c r="AB219" t="s">
        <v>138</v>
      </c>
    </row>
    <row r="220" spans="1:28" x14ac:dyDescent="0.3">
      <c r="A220" t="s">
        <v>1150</v>
      </c>
      <c r="C220" t="s">
        <v>156</v>
      </c>
      <c r="D220" t="s">
        <v>154</v>
      </c>
      <c r="E220" t="s">
        <v>984</v>
      </c>
      <c r="F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204</v>
      </c>
      <c r="Y220" t="s">
        <v>16</v>
      </c>
      <c r="AB220" t="s">
        <v>138</v>
      </c>
    </row>
    <row r="221" spans="1:28" x14ac:dyDescent="0.3">
      <c r="A221" t="s">
        <v>504</v>
      </c>
      <c r="C221" t="s">
        <v>156</v>
      </c>
      <c r="D221" t="s">
        <v>154</v>
      </c>
      <c r="E221" t="s">
        <v>984</v>
      </c>
      <c r="F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204</v>
      </c>
      <c r="Y221" t="s">
        <v>165</v>
      </c>
      <c r="AB221" t="s">
        <v>138</v>
      </c>
    </row>
    <row r="222" spans="1:28" x14ac:dyDescent="0.3">
      <c r="A222" t="s">
        <v>552</v>
      </c>
      <c r="C222" t="s">
        <v>156</v>
      </c>
      <c r="D222" t="s">
        <v>154</v>
      </c>
      <c r="E222" t="s">
        <v>984</v>
      </c>
      <c r="F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204</v>
      </c>
      <c r="Y222" t="s">
        <v>13</v>
      </c>
      <c r="AB222" t="s">
        <v>141</v>
      </c>
    </row>
    <row r="223" spans="1:28" x14ac:dyDescent="0.3">
      <c r="A223" t="s">
        <v>1151</v>
      </c>
      <c r="C223" t="s">
        <v>156</v>
      </c>
      <c r="D223" t="s">
        <v>154</v>
      </c>
      <c r="E223" t="s">
        <v>984</v>
      </c>
      <c r="F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t="s">
        <v>158</v>
      </c>
      <c r="AB223" t="s">
        <v>141</v>
      </c>
    </row>
    <row r="224" spans="1:28" x14ac:dyDescent="0.3">
      <c r="A224" t="s">
        <v>1152</v>
      </c>
      <c r="C224" t="s">
        <v>156</v>
      </c>
      <c r="D224" t="s">
        <v>154</v>
      </c>
      <c r="E224" t="s">
        <v>984</v>
      </c>
      <c r="F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158</v>
      </c>
      <c r="AB224" t="s">
        <v>144</v>
      </c>
    </row>
    <row r="225" spans="1:28" x14ac:dyDescent="0.3">
      <c r="A225" t="s">
        <v>891</v>
      </c>
      <c r="C225" t="s">
        <v>156</v>
      </c>
      <c r="D225" t="s">
        <v>154</v>
      </c>
      <c r="E225" t="s">
        <v>984</v>
      </c>
      <c r="F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158</v>
      </c>
      <c r="AB225" t="s">
        <v>143</v>
      </c>
    </row>
    <row r="226" spans="1:28" x14ac:dyDescent="0.3">
      <c r="A226" t="s">
        <v>1153</v>
      </c>
      <c r="C226" t="s">
        <v>156</v>
      </c>
      <c r="D226" t="s">
        <v>154</v>
      </c>
      <c r="E226" t="s">
        <v>984</v>
      </c>
      <c r="F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204</v>
      </c>
      <c r="AB226" t="s">
        <v>138</v>
      </c>
    </row>
    <row r="227" spans="1:28" x14ac:dyDescent="0.3">
      <c r="A227" t="s">
        <v>1154</v>
      </c>
      <c r="C227" t="s">
        <v>156</v>
      </c>
      <c r="D227" t="s">
        <v>154</v>
      </c>
      <c r="E227" t="s">
        <v>984</v>
      </c>
      <c r="F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204</v>
      </c>
      <c r="AB227" t="s">
        <v>138</v>
      </c>
    </row>
    <row r="228" spans="1:28" x14ac:dyDescent="0.3">
      <c r="A228" t="s">
        <v>1155</v>
      </c>
      <c r="C228" t="s">
        <v>156</v>
      </c>
      <c r="D228" t="s">
        <v>154</v>
      </c>
      <c r="E228" t="s">
        <v>984</v>
      </c>
      <c r="F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204</v>
      </c>
      <c r="AB228" t="s">
        <v>138</v>
      </c>
    </row>
    <row r="229" spans="1:28" x14ac:dyDescent="0.3">
      <c r="A229" t="s">
        <v>912</v>
      </c>
      <c r="C229" t="s">
        <v>156</v>
      </c>
      <c r="D229" t="s">
        <v>154</v>
      </c>
      <c r="E229" t="s">
        <v>1026</v>
      </c>
      <c r="F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204</v>
      </c>
      <c r="AB229" t="s">
        <v>138</v>
      </c>
    </row>
    <row r="230" spans="1:28" x14ac:dyDescent="0.3">
      <c r="A230" t="s">
        <v>539</v>
      </c>
      <c r="C230" t="s">
        <v>156</v>
      </c>
      <c r="D230" t="s">
        <v>154</v>
      </c>
      <c r="E230" t="s">
        <v>1100</v>
      </c>
      <c r="F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204</v>
      </c>
      <c r="Y230" t="s">
        <v>233</v>
      </c>
      <c r="AB230" t="s">
        <v>138</v>
      </c>
    </row>
    <row r="231" spans="1:28" x14ac:dyDescent="0.3">
      <c r="A231" t="s">
        <v>898</v>
      </c>
      <c r="C231" t="s">
        <v>156</v>
      </c>
      <c r="D231" t="s">
        <v>154</v>
      </c>
      <c r="E231" t="s">
        <v>1100</v>
      </c>
      <c r="F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204</v>
      </c>
      <c r="AB231" t="s">
        <v>138</v>
      </c>
    </row>
    <row r="232" spans="1:28" x14ac:dyDescent="0.3">
      <c r="A232" t="s">
        <v>543</v>
      </c>
      <c r="C232" t="s">
        <v>156</v>
      </c>
      <c r="D232" t="s">
        <v>154</v>
      </c>
      <c r="E232" t="s">
        <v>1010</v>
      </c>
      <c r="F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204</v>
      </c>
      <c r="Y232" t="s">
        <v>16</v>
      </c>
      <c r="AB232" t="s">
        <v>138</v>
      </c>
    </row>
    <row r="233" spans="1:28" x14ac:dyDescent="0.3">
      <c r="A233" t="s">
        <v>466</v>
      </c>
      <c r="C233" t="s">
        <v>156</v>
      </c>
      <c r="D233" t="s">
        <v>154</v>
      </c>
      <c r="E233" t="s">
        <v>1010</v>
      </c>
      <c r="F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204</v>
      </c>
      <c r="AB233" t="s">
        <v>138</v>
      </c>
    </row>
    <row r="234" spans="1:28" x14ac:dyDescent="0.3">
      <c r="A234" t="s">
        <v>462</v>
      </c>
      <c r="C234" t="s">
        <v>156</v>
      </c>
      <c r="D234" t="s">
        <v>154</v>
      </c>
      <c r="E234" t="s">
        <v>1010</v>
      </c>
      <c r="F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204</v>
      </c>
      <c r="AB234" t="s">
        <v>138</v>
      </c>
    </row>
    <row r="235" spans="1:28" x14ac:dyDescent="0.3">
      <c r="A235" t="s">
        <v>1156</v>
      </c>
      <c r="C235" t="s">
        <v>156</v>
      </c>
      <c r="D235" t="s">
        <v>154</v>
      </c>
      <c r="E235" t="s">
        <v>1102</v>
      </c>
      <c r="F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204</v>
      </c>
      <c r="AB235" t="s">
        <v>138</v>
      </c>
    </row>
    <row r="236" spans="1:28" x14ac:dyDescent="0.3">
      <c r="A236" t="s">
        <v>1157</v>
      </c>
      <c r="C236" t="s">
        <v>156</v>
      </c>
      <c r="D236" t="s">
        <v>154</v>
      </c>
      <c r="E236" t="s">
        <v>1103</v>
      </c>
      <c r="F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158</v>
      </c>
      <c r="AB236" t="s">
        <v>138</v>
      </c>
    </row>
    <row r="237" spans="1:28" x14ac:dyDescent="0.3">
      <c r="A237" t="s">
        <v>430</v>
      </c>
      <c r="C237" t="s">
        <v>156</v>
      </c>
      <c r="D237" t="s">
        <v>154</v>
      </c>
      <c r="E237" t="s">
        <v>1103</v>
      </c>
      <c r="F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204</v>
      </c>
      <c r="AB237" t="s">
        <v>138</v>
      </c>
    </row>
    <row r="238" spans="1:28" x14ac:dyDescent="0.3">
      <c r="A238" t="s">
        <v>1158</v>
      </c>
      <c r="C238" t="s">
        <v>156</v>
      </c>
      <c r="D238" t="s">
        <v>154</v>
      </c>
      <c r="E238" t="s">
        <v>1159</v>
      </c>
      <c r="F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158</v>
      </c>
      <c r="AB238" t="s">
        <v>138</v>
      </c>
    </row>
    <row r="239" spans="1:28" x14ac:dyDescent="0.3">
      <c r="A239" t="s">
        <v>506</v>
      </c>
      <c r="C239" t="s">
        <v>156</v>
      </c>
      <c r="D239" t="s">
        <v>154</v>
      </c>
      <c r="E239" t="s">
        <v>1160</v>
      </c>
      <c r="F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204</v>
      </c>
      <c r="Y239" t="s">
        <v>19</v>
      </c>
      <c r="AB239" t="s">
        <v>140</v>
      </c>
    </row>
    <row r="240" spans="1:28" x14ac:dyDescent="0.3">
      <c r="A240" t="s">
        <v>902</v>
      </c>
      <c r="C240" t="s">
        <v>156</v>
      </c>
      <c r="D240" t="s">
        <v>154</v>
      </c>
      <c r="E240" t="s">
        <v>1161</v>
      </c>
      <c r="F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204</v>
      </c>
      <c r="Y240" t="s">
        <v>11</v>
      </c>
      <c r="AB240" t="s">
        <v>93</v>
      </c>
    </row>
    <row r="241" spans="1:28" x14ac:dyDescent="0.3">
      <c r="A241" t="s">
        <v>445</v>
      </c>
      <c r="C241" t="s">
        <v>156</v>
      </c>
      <c r="D241" t="s">
        <v>154</v>
      </c>
      <c r="E241" t="s">
        <v>1162</v>
      </c>
      <c r="F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204</v>
      </c>
      <c r="Y241" t="s">
        <v>17</v>
      </c>
      <c r="AB241" t="s">
        <v>93</v>
      </c>
    </row>
    <row r="242" spans="1:28" x14ac:dyDescent="0.3">
      <c r="A242" t="s">
        <v>911</v>
      </c>
      <c r="C242" t="s">
        <v>156</v>
      </c>
      <c r="D242" t="s">
        <v>154</v>
      </c>
      <c r="E242" t="s">
        <v>991</v>
      </c>
      <c r="F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204</v>
      </c>
      <c r="Y242" t="s">
        <v>16</v>
      </c>
      <c r="AB242" t="s">
        <v>138</v>
      </c>
    </row>
    <row r="243" spans="1:28" x14ac:dyDescent="0.3">
      <c r="A243" t="s">
        <v>1163</v>
      </c>
      <c r="C243" t="s">
        <v>156</v>
      </c>
      <c r="D243" t="s">
        <v>154</v>
      </c>
      <c r="E243" t="s">
        <v>991</v>
      </c>
      <c r="F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t="s">
        <v>204</v>
      </c>
      <c r="Y243" t="s">
        <v>233</v>
      </c>
      <c r="AB243" t="s">
        <v>142</v>
      </c>
    </row>
    <row r="244" spans="1:28" x14ac:dyDescent="0.3">
      <c r="A244" t="s">
        <v>1164</v>
      </c>
      <c r="C244" t="s">
        <v>156</v>
      </c>
      <c r="D244" t="s">
        <v>154</v>
      </c>
      <c r="E244" t="s">
        <v>991</v>
      </c>
      <c r="F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204</v>
      </c>
      <c r="Y244" t="s">
        <v>17</v>
      </c>
      <c r="AB244" t="s">
        <v>138</v>
      </c>
    </row>
    <row r="245" spans="1:28" x14ac:dyDescent="0.3">
      <c r="A245" t="s">
        <v>589</v>
      </c>
      <c r="C245" t="s">
        <v>156</v>
      </c>
      <c r="D245" t="s">
        <v>154</v>
      </c>
      <c r="E245" t="s">
        <v>991</v>
      </c>
      <c r="F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158</v>
      </c>
      <c r="AB245" t="s">
        <v>138</v>
      </c>
    </row>
    <row r="246" spans="1:28" x14ac:dyDescent="0.3">
      <c r="A246" t="s">
        <v>478</v>
      </c>
      <c r="C246" t="s">
        <v>156</v>
      </c>
      <c r="D246" t="s">
        <v>154</v>
      </c>
      <c r="E246" t="s">
        <v>991</v>
      </c>
      <c r="F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158</v>
      </c>
      <c r="AB246" t="s">
        <v>141</v>
      </c>
    </row>
    <row r="247" spans="1:28" x14ac:dyDescent="0.3">
      <c r="A247" t="s">
        <v>458</v>
      </c>
      <c r="C247" t="s">
        <v>156</v>
      </c>
      <c r="D247" t="s">
        <v>154</v>
      </c>
      <c r="E247" t="s">
        <v>991</v>
      </c>
      <c r="F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204</v>
      </c>
      <c r="AB247" t="s">
        <v>138</v>
      </c>
    </row>
    <row r="248" spans="1:28" x14ac:dyDescent="0.3">
      <c r="A248" t="s">
        <v>570</v>
      </c>
      <c r="C248" t="s">
        <v>156</v>
      </c>
      <c r="D248" t="s">
        <v>154</v>
      </c>
      <c r="E248" t="s">
        <v>991</v>
      </c>
      <c r="F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204</v>
      </c>
      <c r="AB248" t="s">
        <v>138</v>
      </c>
    </row>
    <row r="249" spans="1:28" x14ac:dyDescent="0.3">
      <c r="A249" t="s">
        <v>460</v>
      </c>
      <c r="C249" t="s">
        <v>156</v>
      </c>
      <c r="D249" t="s">
        <v>154</v>
      </c>
      <c r="E249" t="s">
        <v>991</v>
      </c>
      <c r="F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204</v>
      </c>
      <c r="AB249" t="s">
        <v>142</v>
      </c>
    </row>
    <row r="250" spans="1:28" x14ac:dyDescent="0.3">
      <c r="A250" t="s">
        <v>532</v>
      </c>
      <c r="C250" t="s">
        <v>156</v>
      </c>
      <c r="D250" t="s">
        <v>154</v>
      </c>
      <c r="E250" t="s">
        <v>991</v>
      </c>
      <c r="F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204</v>
      </c>
      <c r="AB250" t="s">
        <v>140</v>
      </c>
    </row>
    <row r="251" spans="1:28" x14ac:dyDescent="0.3">
      <c r="A251" t="s">
        <v>1165</v>
      </c>
      <c r="C251" t="s">
        <v>156</v>
      </c>
      <c r="D251" t="s">
        <v>154</v>
      </c>
      <c r="E251" t="s">
        <v>991</v>
      </c>
      <c r="F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204</v>
      </c>
      <c r="AB251" t="s">
        <v>138</v>
      </c>
    </row>
    <row r="252" spans="1:28" x14ac:dyDescent="0.3">
      <c r="A252" t="s">
        <v>579</v>
      </c>
      <c r="C252" t="s">
        <v>156</v>
      </c>
      <c r="D252" t="s">
        <v>154</v>
      </c>
      <c r="E252" t="s">
        <v>991</v>
      </c>
      <c r="F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204</v>
      </c>
      <c r="AB252" t="s">
        <v>138</v>
      </c>
    </row>
    <row r="253" spans="1:28" x14ac:dyDescent="0.3">
      <c r="A253" t="s">
        <v>905</v>
      </c>
      <c r="C253" t="s">
        <v>156</v>
      </c>
      <c r="D253" t="s">
        <v>154</v>
      </c>
      <c r="E253" t="s">
        <v>983</v>
      </c>
      <c r="F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204</v>
      </c>
      <c r="Y253" t="s">
        <v>12</v>
      </c>
      <c r="AB253" t="s">
        <v>138</v>
      </c>
    </row>
    <row r="254" spans="1:28" x14ac:dyDescent="0.3">
      <c r="A254" t="s">
        <v>582</v>
      </c>
      <c r="C254" t="s">
        <v>156</v>
      </c>
      <c r="D254" t="s">
        <v>154</v>
      </c>
      <c r="E254" t="s">
        <v>983</v>
      </c>
      <c r="F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204</v>
      </c>
      <c r="Y254" t="s">
        <v>15</v>
      </c>
      <c r="AB254" t="s">
        <v>138</v>
      </c>
    </row>
    <row r="255" spans="1:28" x14ac:dyDescent="0.3">
      <c r="A255" t="s">
        <v>562</v>
      </c>
      <c r="C255" t="s">
        <v>156</v>
      </c>
      <c r="D255" t="s">
        <v>154</v>
      </c>
      <c r="E255" t="s">
        <v>983</v>
      </c>
      <c r="F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158</v>
      </c>
      <c r="AB255" t="s">
        <v>138</v>
      </c>
    </row>
    <row r="256" spans="1:28" x14ac:dyDescent="0.3">
      <c r="A256" t="s">
        <v>563</v>
      </c>
      <c r="C256" t="s">
        <v>156</v>
      </c>
      <c r="D256" t="s">
        <v>154</v>
      </c>
      <c r="E256" t="s">
        <v>983</v>
      </c>
      <c r="F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158</v>
      </c>
      <c r="AB256" t="s">
        <v>138</v>
      </c>
    </row>
    <row r="257" spans="1:28" x14ac:dyDescent="0.3">
      <c r="A257" t="s">
        <v>894</v>
      </c>
      <c r="C257" t="s">
        <v>156</v>
      </c>
      <c r="D257" t="s">
        <v>154</v>
      </c>
      <c r="E257" t="s">
        <v>983</v>
      </c>
      <c r="F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204</v>
      </c>
      <c r="AB257" t="s">
        <v>138</v>
      </c>
    </row>
    <row r="258" spans="1:28" x14ac:dyDescent="0.3">
      <c r="A258" t="s">
        <v>703</v>
      </c>
      <c r="C258" t="s">
        <v>156</v>
      </c>
      <c r="D258" t="s">
        <v>154</v>
      </c>
      <c r="E258" t="s">
        <v>983</v>
      </c>
      <c r="F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204</v>
      </c>
      <c r="AB258" t="s">
        <v>138</v>
      </c>
    </row>
    <row r="259" spans="1:28" x14ac:dyDescent="0.3">
      <c r="A259" t="s">
        <v>498</v>
      </c>
      <c r="C259" t="s">
        <v>156</v>
      </c>
      <c r="D259" t="s">
        <v>154</v>
      </c>
      <c r="E259" t="s">
        <v>982</v>
      </c>
      <c r="F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204</v>
      </c>
      <c r="Y259" t="s">
        <v>238</v>
      </c>
      <c r="AB259" t="s">
        <v>138</v>
      </c>
    </row>
    <row r="260" spans="1:28" x14ac:dyDescent="0.3">
      <c r="A260" t="s">
        <v>499</v>
      </c>
      <c r="C260" t="s">
        <v>156</v>
      </c>
      <c r="D260" t="s">
        <v>154</v>
      </c>
      <c r="E260" t="s">
        <v>982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204</v>
      </c>
      <c r="Y260" t="s">
        <v>180</v>
      </c>
      <c r="AB260" t="s">
        <v>138</v>
      </c>
    </row>
    <row r="261" spans="1:28" x14ac:dyDescent="0.3">
      <c r="A261" t="s">
        <v>476</v>
      </c>
      <c r="C261" t="s">
        <v>156</v>
      </c>
      <c r="D261" t="s">
        <v>154</v>
      </c>
      <c r="E261" t="s">
        <v>982</v>
      </c>
      <c r="F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204</v>
      </c>
      <c r="Y261" t="s">
        <v>11</v>
      </c>
      <c r="AB261" t="s">
        <v>138</v>
      </c>
    </row>
    <row r="262" spans="1:28" x14ac:dyDescent="0.3">
      <c r="A262" t="s">
        <v>479</v>
      </c>
      <c r="C262" t="s">
        <v>156</v>
      </c>
      <c r="D262" t="s">
        <v>154</v>
      </c>
      <c r="E262" t="s">
        <v>982</v>
      </c>
      <c r="F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204</v>
      </c>
      <c r="Y262" t="s">
        <v>11</v>
      </c>
      <c r="AB262" t="s">
        <v>138</v>
      </c>
    </row>
    <row r="263" spans="1:28" x14ac:dyDescent="0.3">
      <c r="A263" t="s">
        <v>501</v>
      </c>
      <c r="C263" t="s">
        <v>156</v>
      </c>
      <c r="D263" t="s">
        <v>154</v>
      </c>
      <c r="E263" t="s">
        <v>982</v>
      </c>
      <c r="F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204</v>
      </c>
      <c r="Y263" t="s">
        <v>15</v>
      </c>
      <c r="AB263" t="s">
        <v>138</v>
      </c>
    </row>
    <row r="264" spans="1:28" x14ac:dyDescent="0.3">
      <c r="A264" t="s">
        <v>502</v>
      </c>
      <c r="C264" t="s">
        <v>156</v>
      </c>
      <c r="D264" t="s">
        <v>154</v>
      </c>
      <c r="E264" t="s">
        <v>982</v>
      </c>
      <c r="F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204</v>
      </c>
      <c r="Y264" t="s">
        <v>15</v>
      </c>
      <c r="AB264" t="s">
        <v>138</v>
      </c>
    </row>
    <row r="265" spans="1:28" x14ac:dyDescent="0.3">
      <c r="A265" t="s">
        <v>503</v>
      </c>
      <c r="C265" t="s">
        <v>156</v>
      </c>
      <c r="D265" t="s">
        <v>154</v>
      </c>
      <c r="E265" t="s">
        <v>982</v>
      </c>
      <c r="F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 t="s">
        <v>204</v>
      </c>
      <c r="Y265" t="s">
        <v>16</v>
      </c>
      <c r="AB265" t="s">
        <v>138</v>
      </c>
    </row>
    <row r="266" spans="1:28" x14ac:dyDescent="0.3">
      <c r="A266" t="s">
        <v>507</v>
      </c>
      <c r="C266" t="s">
        <v>156</v>
      </c>
      <c r="D266" t="s">
        <v>154</v>
      </c>
      <c r="E266" t="s">
        <v>982</v>
      </c>
      <c r="F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204</v>
      </c>
      <c r="Y266" t="s">
        <v>19</v>
      </c>
      <c r="AB266" t="s">
        <v>138</v>
      </c>
    </row>
    <row r="267" spans="1:28" x14ac:dyDescent="0.3">
      <c r="A267" t="s">
        <v>475</v>
      </c>
      <c r="C267" t="s">
        <v>156</v>
      </c>
      <c r="D267" t="s">
        <v>154</v>
      </c>
      <c r="E267" t="s">
        <v>982</v>
      </c>
      <c r="F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204</v>
      </c>
      <c r="Y267" t="s">
        <v>13</v>
      </c>
      <c r="AB267" t="s">
        <v>138</v>
      </c>
    </row>
    <row r="268" spans="1:28" x14ac:dyDescent="0.3">
      <c r="A268" t="s">
        <v>1166</v>
      </c>
      <c r="C268" t="s">
        <v>156</v>
      </c>
      <c r="D268" t="s">
        <v>154</v>
      </c>
      <c r="E268" t="s">
        <v>982</v>
      </c>
      <c r="F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204</v>
      </c>
      <c r="Y268" t="s">
        <v>14</v>
      </c>
      <c r="AB268" t="s">
        <v>138</v>
      </c>
    </row>
    <row r="269" spans="1:28" x14ac:dyDescent="0.3">
      <c r="A269" t="s">
        <v>509</v>
      </c>
      <c r="C269" t="s">
        <v>156</v>
      </c>
      <c r="D269" t="s">
        <v>154</v>
      </c>
      <c r="E269" t="s">
        <v>982</v>
      </c>
      <c r="F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158</v>
      </c>
      <c r="AB269" t="s">
        <v>138</v>
      </c>
    </row>
    <row r="270" spans="1:28" x14ac:dyDescent="0.3">
      <c r="A270" t="s">
        <v>561</v>
      </c>
      <c r="C270" t="s">
        <v>156</v>
      </c>
      <c r="D270" t="s">
        <v>154</v>
      </c>
      <c r="E270" t="s">
        <v>982</v>
      </c>
      <c r="F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158</v>
      </c>
      <c r="AB270" t="s">
        <v>140</v>
      </c>
    </row>
    <row r="271" spans="1:28" x14ac:dyDescent="0.3">
      <c r="A271" t="s">
        <v>1167</v>
      </c>
      <c r="C271" t="s">
        <v>156</v>
      </c>
      <c r="D271" t="s">
        <v>154</v>
      </c>
      <c r="E271" t="s">
        <v>982</v>
      </c>
      <c r="F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158</v>
      </c>
      <c r="AB271" t="s">
        <v>140</v>
      </c>
    </row>
    <row r="272" spans="1:28" x14ac:dyDescent="0.3">
      <c r="A272" t="s">
        <v>511</v>
      </c>
      <c r="C272" t="s">
        <v>156</v>
      </c>
      <c r="D272" t="s">
        <v>154</v>
      </c>
      <c r="E272" t="s">
        <v>982</v>
      </c>
      <c r="F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158</v>
      </c>
      <c r="AB272" t="s">
        <v>140</v>
      </c>
    </row>
    <row r="273" spans="1:28" x14ac:dyDescent="0.3">
      <c r="A273" t="s">
        <v>854</v>
      </c>
      <c r="C273" t="s">
        <v>156</v>
      </c>
      <c r="D273" t="s">
        <v>154</v>
      </c>
      <c r="E273" t="s">
        <v>982</v>
      </c>
      <c r="F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158</v>
      </c>
      <c r="AB273" t="s">
        <v>93</v>
      </c>
    </row>
    <row r="274" spans="1:28" x14ac:dyDescent="0.3">
      <c r="A274" t="s">
        <v>512</v>
      </c>
      <c r="C274" t="s">
        <v>156</v>
      </c>
      <c r="D274" t="s">
        <v>154</v>
      </c>
      <c r="E274" t="s">
        <v>982</v>
      </c>
      <c r="F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158</v>
      </c>
      <c r="AB274" t="s">
        <v>143</v>
      </c>
    </row>
    <row r="275" spans="1:28" x14ac:dyDescent="0.3">
      <c r="A275" t="s">
        <v>1168</v>
      </c>
      <c r="C275" t="s">
        <v>156</v>
      </c>
      <c r="D275" t="s">
        <v>154</v>
      </c>
      <c r="E275" t="s">
        <v>982</v>
      </c>
      <c r="F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158</v>
      </c>
      <c r="AB275" t="s">
        <v>143</v>
      </c>
    </row>
    <row r="276" spans="1:28" x14ac:dyDescent="0.3">
      <c r="A276" t="s">
        <v>526</v>
      </c>
      <c r="C276" t="s">
        <v>156</v>
      </c>
      <c r="D276" t="s">
        <v>154</v>
      </c>
      <c r="E276" t="s">
        <v>982</v>
      </c>
      <c r="F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204</v>
      </c>
      <c r="AB276" t="s">
        <v>143</v>
      </c>
    </row>
    <row r="277" spans="1:28" x14ac:dyDescent="0.3">
      <c r="A277" t="s">
        <v>585</v>
      </c>
      <c r="C277" t="s">
        <v>156</v>
      </c>
      <c r="D277" t="s">
        <v>154</v>
      </c>
      <c r="E277" t="s">
        <v>982</v>
      </c>
      <c r="F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204</v>
      </c>
      <c r="AB277" t="s">
        <v>93</v>
      </c>
    </row>
    <row r="278" spans="1:28" x14ac:dyDescent="0.3">
      <c r="A278" t="s">
        <v>904</v>
      </c>
      <c r="C278" t="s">
        <v>156</v>
      </c>
      <c r="D278" t="s">
        <v>154</v>
      </c>
      <c r="E278" t="s">
        <v>982</v>
      </c>
      <c r="F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204</v>
      </c>
      <c r="AB278" t="s">
        <v>93</v>
      </c>
    </row>
    <row r="279" spans="1:28" x14ac:dyDescent="0.3">
      <c r="A279" t="s">
        <v>517</v>
      </c>
      <c r="C279" t="s">
        <v>156</v>
      </c>
      <c r="D279" t="s">
        <v>154</v>
      </c>
      <c r="E279" t="s">
        <v>982</v>
      </c>
      <c r="F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204</v>
      </c>
      <c r="AB279" t="s">
        <v>140</v>
      </c>
    </row>
    <row r="280" spans="1:28" x14ac:dyDescent="0.3">
      <c r="A280" t="s">
        <v>519</v>
      </c>
      <c r="C280" t="s">
        <v>156</v>
      </c>
      <c r="D280" t="s">
        <v>154</v>
      </c>
      <c r="E280" t="s">
        <v>982</v>
      </c>
      <c r="F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204</v>
      </c>
      <c r="AB280" t="s">
        <v>138</v>
      </c>
    </row>
    <row r="281" spans="1:28" x14ac:dyDescent="0.3">
      <c r="A281" t="s">
        <v>1169</v>
      </c>
      <c r="C281" t="s">
        <v>156</v>
      </c>
      <c r="D281" t="s">
        <v>154</v>
      </c>
      <c r="E281" t="s">
        <v>982</v>
      </c>
      <c r="F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204</v>
      </c>
      <c r="AB281" t="s">
        <v>138</v>
      </c>
    </row>
    <row r="282" spans="1:28" x14ac:dyDescent="0.3">
      <c r="A282" t="s">
        <v>1170</v>
      </c>
      <c r="C282" t="s">
        <v>156</v>
      </c>
      <c r="D282" t="s">
        <v>154</v>
      </c>
      <c r="E282" t="s">
        <v>982</v>
      </c>
      <c r="F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204</v>
      </c>
      <c r="AB282" t="s">
        <v>138</v>
      </c>
    </row>
    <row r="283" spans="1:28" x14ac:dyDescent="0.3">
      <c r="A283" t="s">
        <v>520</v>
      </c>
      <c r="C283" t="s">
        <v>156</v>
      </c>
      <c r="D283" t="s">
        <v>154</v>
      </c>
      <c r="E283" t="s">
        <v>982</v>
      </c>
      <c r="F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204</v>
      </c>
      <c r="AB283" t="s">
        <v>138</v>
      </c>
    </row>
    <row r="284" spans="1:28" x14ac:dyDescent="0.3">
      <c r="A284" t="s">
        <v>521</v>
      </c>
      <c r="C284" t="s">
        <v>156</v>
      </c>
      <c r="D284" t="s">
        <v>154</v>
      </c>
      <c r="E284" t="s">
        <v>982</v>
      </c>
      <c r="F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204</v>
      </c>
      <c r="AB284" t="s">
        <v>138</v>
      </c>
    </row>
    <row r="285" spans="1:28" x14ac:dyDescent="0.3">
      <c r="A285" t="s">
        <v>522</v>
      </c>
      <c r="C285" t="s">
        <v>156</v>
      </c>
      <c r="D285" t="s">
        <v>154</v>
      </c>
      <c r="E285" t="s">
        <v>982</v>
      </c>
      <c r="F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204</v>
      </c>
      <c r="AB285" t="s">
        <v>138</v>
      </c>
    </row>
    <row r="286" spans="1:28" x14ac:dyDescent="0.3">
      <c r="A286" t="s">
        <v>1171</v>
      </c>
      <c r="C286" t="s">
        <v>153</v>
      </c>
      <c r="D286" t="s">
        <v>154</v>
      </c>
      <c r="E286" t="s">
        <v>990</v>
      </c>
      <c r="F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204</v>
      </c>
      <c r="Y286" t="s">
        <v>238</v>
      </c>
      <c r="AB286" t="s">
        <v>142</v>
      </c>
    </row>
    <row r="287" spans="1:28" x14ac:dyDescent="0.3">
      <c r="A287" t="s">
        <v>544</v>
      </c>
      <c r="C287" t="s">
        <v>153</v>
      </c>
      <c r="D287" t="s">
        <v>154</v>
      </c>
      <c r="E287" t="s">
        <v>990</v>
      </c>
      <c r="F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204</v>
      </c>
      <c r="Y287" t="s">
        <v>11</v>
      </c>
      <c r="AB287" t="s">
        <v>138</v>
      </c>
    </row>
    <row r="288" spans="1:28" x14ac:dyDescent="0.3">
      <c r="A288" t="s">
        <v>438</v>
      </c>
      <c r="C288" t="s">
        <v>153</v>
      </c>
      <c r="D288" t="s">
        <v>154</v>
      </c>
      <c r="E288" t="s">
        <v>990</v>
      </c>
      <c r="F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204</v>
      </c>
      <c r="Y288" t="s">
        <v>11</v>
      </c>
      <c r="AB288" t="s">
        <v>138</v>
      </c>
    </row>
    <row r="289" spans="1:28" x14ac:dyDescent="0.3">
      <c r="A289" t="s">
        <v>588</v>
      </c>
      <c r="C289" t="s">
        <v>153</v>
      </c>
      <c r="D289" t="s">
        <v>154</v>
      </c>
      <c r="E289" t="s">
        <v>990</v>
      </c>
      <c r="F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204</v>
      </c>
      <c r="Y289" t="s">
        <v>15</v>
      </c>
      <c r="AB289" t="s">
        <v>138</v>
      </c>
    </row>
    <row r="290" spans="1:28" x14ac:dyDescent="0.3">
      <c r="A290" t="s">
        <v>439</v>
      </c>
      <c r="C290" t="s">
        <v>153</v>
      </c>
      <c r="D290" t="s">
        <v>154</v>
      </c>
      <c r="E290" t="s">
        <v>990</v>
      </c>
      <c r="F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204</v>
      </c>
      <c r="Y290" t="s">
        <v>16</v>
      </c>
      <c r="AB290" t="s">
        <v>138</v>
      </c>
    </row>
    <row r="291" spans="1:28" x14ac:dyDescent="0.3">
      <c r="A291" t="s">
        <v>440</v>
      </c>
      <c r="C291" t="s">
        <v>153</v>
      </c>
      <c r="D291" t="s">
        <v>154</v>
      </c>
      <c r="E291" t="s">
        <v>990</v>
      </c>
      <c r="F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204</v>
      </c>
      <c r="Y291" t="s">
        <v>16</v>
      </c>
      <c r="AB291" t="s">
        <v>138</v>
      </c>
    </row>
    <row r="292" spans="1:28" x14ac:dyDescent="0.3">
      <c r="A292" t="s">
        <v>442</v>
      </c>
      <c r="C292" t="s">
        <v>153</v>
      </c>
      <c r="D292" t="s">
        <v>154</v>
      </c>
      <c r="E292" t="s">
        <v>990</v>
      </c>
      <c r="F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204</v>
      </c>
      <c r="Y292" t="s">
        <v>16</v>
      </c>
      <c r="AB292" t="s">
        <v>143</v>
      </c>
    </row>
    <row r="293" spans="1:28" x14ac:dyDescent="0.3">
      <c r="A293" t="s">
        <v>468</v>
      </c>
      <c r="C293" t="s">
        <v>153</v>
      </c>
      <c r="D293" t="s">
        <v>154</v>
      </c>
      <c r="E293" t="s">
        <v>990</v>
      </c>
      <c r="F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204</v>
      </c>
      <c r="Y293" t="s">
        <v>162</v>
      </c>
      <c r="AB293" t="s">
        <v>138</v>
      </c>
    </row>
    <row r="294" spans="1:28" x14ac:dyDescent="0.3">
      <c r="A294" t="s">
        <v>487</v>
      </c>
      <c r="C294" t="s">
        <v>153</v>
      </c>
      <c r="D294" t="s">
        <v>154</v>
      </c>
      <c r="E294" t="s">
        <v>990</v>
      </c>
      <c r="F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204</v>
      </c>
      <c r="Y294" t="s">
        <v>162</v>
      </c>
      <c r="AB294" t="s">
        <v>140</v>
      </c>
    </row>
    <row r="295" spans="1:28" x14ac:dyDescent="0.3">
      <c r="A295" t="s">
        <v>580</v>
      </c>
      <c r="C295" t="s">
        <v>153</v>
      </c>
      <c r="D295" t="s">
        <v>154</v>
      </c>
      <c r="E295" t="s">
        <v>990</v>
      </c>
      <c r="F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204</v>
      </c>
      <c r="Y295" t="s">
        <v>233</v>
      </c>
      <c r="AB295" t="s">
        <v>138</v>
      </c>
    </row>
    <row r="296" spans="1:28" x14ac:dyDescent="0.3">
      <c r="A296" t="s">
        <v>488</v>
      </c>
      <c r="C296" t="s">
        <v>153</v>
      </c>
      <c r="D296" t="s">
        <v>154</v>
      </c>
      <c r="E296" t="s">
        <v>990</v>
      </c>
      <c r="F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204</v>
      </c>
      <c r="Y296" t="s">
        <v>233</v>
      </c>
      <c r="AB296" t="s">
        <v>138</v>
      </c>
    </row>
    <row r="297" spans="1:28" x14ac:dyDescent="0.3">
      <c r="A297" t="s">
        <v>545</v>
      </c>
      <c r="C297" t="s">
        <v>153</v>
      </c>
      <c r="D297" t="s">
        <v>154</v>
      </c>
      <c r="E297" t="s">
        <v>990</v>
      </c>
      <c r="F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204</v>
      </c>
      <c r="Y297" t="s">
        <v>233</v>
      </c>
      <c r="AB297" t="s">
        <v>138</v>
      </c>
    </row>
    <row r="298" spans="1:28" x14ac:dyDescent="0.3">
      <c r="A298" t="s">
        <v>444</v>
      </c>
      <c r="C298" t="s">
        <v>153</v>
      </c>
      <c r="D298" t="s">
        <v>154</v>
      </c>
      <c r="E298" t="s">
        <v>990</v>
      </c>
      <c r="F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204</v>
      </c>
      <c r="Y298" t="s">
        <v>17</v>
      </c>
      <c r="AB298" t="s">
        <v>142</v>
      </c>
    </row>
    <row r="299" spans="1:28" x14ac:dyDescent="0.3">
      <c r="A299" t="s">
        <v>1172</v>
      </c>
      <c r="C299" t="s">
        <v>153</v>
      </c>
      <c r="D299" t="s">
        <v>154</v>
      </c>
      <c r="E299" t="s">
        <v>990</v>
      </c>
      <c r="F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204</v>
      </c>
      <c r="Y299" t="s">
        <v>19</v>
      </c>
      <c r="AB299" t="s">
        <v>141</v>
      </c>
    </row>
    <row r="300" spans="1:28" x14ac:dyDescent="0.3">
      <c r="A300" t="s">
        <v>447</v>
      </c>
      <c r="C300" t="s">
        <v>153</v>
      </c>
      <c r="D300" t="s">
        <v>154</v>
      </c>
      <c r="E300" t="s">
        <v>990</v>
      </c>
      <c r="F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204</v>
      </c>
      <c r="Y300" t="s">
        <v>19</v>
      </c>
      <c r="AB300" t="s">
        <v>138</v>
      </c>
    </row>
    <row r="301" spans="1:28" x14ac:dyDescent="0.3">
      <c r="A301" t="s">
        <v>489</v>
      </c>
      <c r="C301" t="s">
        <v>153</v>
      </c>
      <c r="D301" t="s">
        <v>154</v>
      </c>
      <c r="E301" t="s">
        <v>990</v>
      </c>
      <c r="F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204</v>
      </c>
      <c r="Y301" t="s">
        <v>21</v>
      </c>
      <c r="AB301" t="s">
        <v>138</v>
      </c>
    </row>
    <row r="302" spans="1:28" x14ac:dyDescent="0.3">
      <c r="A302" t="s">
        <v>490</v>
      </c>
      <c r="C302" t="s">
        <v>153</v>
      </c>
      <c r="D302" t="s">
        <v>154</v>
      </c>
      <c r="E302" t="s">
        <v>990</v>
      </c>
      <c r="F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204</v>
      </c>
      <c r="Y302" t="s">
        <v>21</v>
      </c>
      <c r="AB302" t="s">
        <v>138</v>
      </c>
    </row>
    <row r="303" spans="1:28" x14ac:dyDescent="0.3">
      <c r="A303" t="s">
        <v>1173</v>
      </c>
      <c r="C303" t="s">
        <v>153</v>
      </c>
      <c r="D303" t="s">
        <v>154</v>
      </c>
      <c r="E303" t="s">
        <v>990</v>
      </c>
      <c r="F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158</v>
      </c>
      <c r="AB303" t="s">
        <v>138</v>
      </c>
    </row>
    <row r="304" spans="1:28" x14ac:dyDescent="0.3">
      <c r="A304" t="s">
        <v>1174</v>
      </c>
      <c r="C304" t="s">
        <v>153</v>
      </c>
      <c r="D304" t="s">
        <v>154</v>
      </c>
      <c r="E304" t="s">
        <v>990</v>
      </c>
      <c r="F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158</v>
      </c>
      <c r="AB304" t="s">
        <v>138</v>
      </c>
    </row>
    <row r="305" spans="1:28" x14ac:dyDescent="0.3">
      <c r="A305" t="s">
        <v>868</v>
      </c>
      <c r="C305" t="s">
        <v>153</v>
      </c>
      <c r="D305" t="s">
        <v>154</v>
      </c>
      <c r="E305" t="s">
        <v>990</v>
      </c>
      <c r="F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158</v>
      </c>
      <c r="AB305" t="s">
        <v>138</v>
      </c>
    </row>
    <row r="306" spans="1:28" x14ac:dyDescent="0.3">
      <c r="A306" t="s">
        <v>448</v>
      </c>
      <c r="C306" t="s">
        <v>153</v>
      </c>
      <c r="D306" t="s">
        <v>154</v>
      </c>
      <c r="E306" t="s">
        <v>990</v>
      </c>
      <c r="F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158</v>
      </c>
      <c r="AB306" t="s">
        <v>138</v>
      </c>
    </row>
    <row r="307" spans="1:28" x14ac:dyDescent="0.3">
      <c r="A307" t="s">
        <v>558</v>
      </c>
      <c r="C307" t="s">
        <v>153</v>
      </c>
      <c r="D307" t="s">
        <v>154</v>
      </c>
      <c r="E307" t="s">
        <v>990</v>
      </c>
      <c r="F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158</v>
      </c>
      <c r="AB307" t="s">
        <v>138</v>
      </c>
    </row>
    <row r="308" spans="1:28" x14ac:dyDescent="0.3">
      <c r="A308" t="s">
        <v>449</v>
      </c>
      <c r="C308" t="s">
        <v>153</v>
      </c>
      <c r="D308" t="s">
        <v>154</v>
      </c>
      <c r="E308" t="s">
        <v>990</v>
      </c>
      <c r="F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158</v>
      </c>
      <c r="AB308" t="s">
        <v>138</v>
      </c>
    </row>
    <row r="309" spans="1:28" x14ac:dyDescent="0.3">
      <c r="A309" t="s">
        <v>450</v>
      </c>
      <c r="C309" t="s">
        <v>153</v>
      </c>
      <c r="D309" t="s">
        <v>154</v>
      </c>
      <c r="E309" t="s">
        <v>990</v>
      </c>
      <c r="F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158</v>
      </c>
      <c r="AB309" t="s">
        <v>138</v>
      </c>
    </row>
    <row r="310" spans="1:28" x14ac:dyDescent="0.3">
      <c r="A310" t="s">
        <v>510</v>
      </c>
      <c r="C310" t="s">
        <v>153</v>
      </c>
      <c r="D310" t="s">
        <v>154</v>
      </c>
      <c r="E310" t="s">
        <v>990</v>
      </c>
      <c r="F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158</v>
      </c>
      <c r="AB310" t="s">
        <v>138</v>
      </c>
    </row>
    <row r="311" spans="1:28" x14ac:dyDescent="0.3">
      <c r="A311" t="s">
        <v>546</v>
      </c>
      <c r="C311" t="s">
        <v>153</v>
      </c>
      <c r="D311" t="s">
        <v>154</v>
      </c>
      <c r="E311" t="s">
        <v>990</v>
      </c>
      <c r="F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158</v>
      </c>
      <c r="AB311" t="s">
        <v>138</v>
      </c>
    </row>
    <row r="312" spans="1:28" x14ac:dyDescent="0.3">
      <c r="A312" t="s">
        <v>1175</v>
      </c>
      <c r="C312" t="s">
        <v>153</v>
      </c>
      <c r="D312" t="s">
        <v>154</v>
      </c>
      <c r="E312" t="s">
        <v>990</v>
      </c>
      <c r="F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158</v>
      </c>
      <c r="AB312" t="s">
        <v>138</v>
      </c>
    </row>
    <row r="313" spans="1:28" x14ac:dyDescent="0.3">
      <c r="A313" t="s">
        <v>1176</v>
      </c>
      <c r="C313" t="s">
        <v>153</v>
      </c>
      <c r="D313" t="s">
        <v>154</v>
      </c>
      <c r="E313" t="s">
        <v>990</v>
      </c>
      <c r="F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158</v>
      </c>
      <c r="AB313" t="s">
        <v>138</v>
      </c>
    </row>
    <row r="314" spans="1:28" x14ac:dyDescent="0.3">
      <c r="A314" t="s">
        <v>1177</v>
      </c>
      <c r="C314" t="s">
        <v>153</v>
      </c>
      <c r="D314" t="s">
        <v>154</v>
      </c>
      <c r="E314" t="s">
        <v>990</v>
      </c>
      <c r="F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158</v>
      </c>
      <c r="AB314" t="s">
        <v>138</v>
      </c>
    </row>
    <row r="315" spans="1:28" x14ac:dyDescent="0.3">
      <c r="A315" t="s">
        <v>559</v>
      </c>
      <c r="C315" t="s">
        <v>153</v>
      </c>
      <c r="D315" t="s">
        <v>154</v>
      </c>
      <c r="E315" t="s">
        <v>990</v>
      </c>
      <c r="F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158</v>
      </c>
      <c r="AB315" t="s">
        <v>93</v>
      </c>
    </row>
    <row r="316" spans="1:28" x14ac:dyDescent="0.3">
      <c r="A316" t="s">
        <v>577</v>
      </c>
      <c r="C316" t="s">
        <v>153</v>
      </c>
      <c r="D316" t="s">
        <v>154</v>
      </c>
      <c r="E316" t="s">
        <v>990</v>
      </c>
      <c r="F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158</v>
      </c>
      <c r="AB316" t="s">
        <v>143</v>
      </c>
    </row>
    <row r="317" spans="1:28" x14ac:dyDescent="0.3">
      <c r="A317" t="s">
        <v>590</v>
      </c>
      <c r="C317" t="s">
        <v>153</v>
      </c>
      <c r="D317" t="s">
        <v>154</v>
      </c>
      <c r="E317" t="s">
        <v>990</v>
      </c>
      <c r="F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158</v>
      </c>
      <c r="AB317" t="s">
        <v>141</v>
      </c>
    </row>
    <row r="318" spans="1:28" x14ac:dyDescent="0.3">
      <c r="A318" t="s">
        <v>451</v>
      </c>
      <c r="C318" t="s">
        <v>153</v>
      </c>
      <c r="D318" t="s">
        <v>154</v>
      </c>
      <c r="E318" t="s">
        <v>990</v>
      </c>
      <c r="F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204</v>
      </c>
      <c r="AB318" t="s">
        <v>140</v>
      </c>
    </row>
    <row r="319" spans="1:28" x14ac:dyDescent="0.3">
      <c r="A319" t="s">
        <v>548</v>
      </c>
      <c r="C319" t="s">
        <v>153</v>
      </c>
      <c r="D319" t="s">
        <v>154</v>
      </c>
      <c r="E319" t="s">
        <v>990</v>
      </c>
      <c r="F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204</v>
      </c>
      <c r="AB319" t="s">
        <v>145</v>
      </c>
    </row>
    <row r="320" spans="1:28" x14ac:dyDescent="0.3">
      <c r="A320" t="s">
        <v>1178</v>
      </c>
      <c r="C320" t="s">
        <v>153</v>
      </c>
      <c r="D320" t="s">
        <v>154</v>
      </c>
      <c r="E320" t="s">
        <v>990</v>
      </c>
      <c r="F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204</v>
      </c>
      <c r="AB320" t="s">
        <v>140</v>
      </c>
    </row>
    <row r="321" spans="1:28" x14ac:dyDescent="0.3">
      <c r="A321" t="s">
        <v>896</v>
      </c>
      <c r="C321" t="s">
        <v>153</v>
      </c>
      <c r="D321" t="s">
        <v>154</v>
      </c>
      <c r="E321" t="s">
        <v>990</v>
      </c>
      <c r="F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204</v>
      </c>
      <c r="AB321" t="s">
        <v>140</v>
      </c>
    </row>
    <row r="322" spans="1:28" x14ac:dyDescent="0.3">
      <c r="A322" t="s">
        <v>494</v>
      </c>
      <c r="C322" t="s">
        <v>153</v>
      </c>
      <c r="D322" t="s">
        <v>154</v>
      </c>
      <c r="E322" t="s">
        <v>990</v>
      </c>
      <c r="F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204</v>
      </c>
      <c r="AB322" t="s">
        <v>141</v>
      </c>
    </row>
    <row r="323" spans="1:28" x14ac:dyDescent="0.3">
      <c r="A323" t="s">
        <v>467</v>
      </c>
      <c r="C323" t="s">
        <v>153</v>
      </c>
      <c r="D323" t="s">
        <v>154</v>
      </c>
      <c r="E323" t="s">
        <v>990</v>
      </c>
      <c r="F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204</v>
      </c>
      <c r="AB323" t="s">
        <v>138</v>
      </c>
    </row>
    <row r="324" spans="1:28" x14ac:dyDescent="0.3">
      <c r="A324" t="s">
        <v>463</v>
      </c>
      <c r="C324" t="s">
        <v>153</v>
      </c>
      <c r="D324" t="s">
        <v>154</v>
      </c>
      <c r="E324" t="s">
        <v>990</v>
      </c>
      <c r="F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204</v>
      </c>
      <c r="AB324" t="s">
        <v>138</v>
      </c>
    </row>
    <row r="325" spans="1:28" x14ac:dyDescent="0.3">
      <c r="A325" t="s">
        <v>1179</v>
      </c>
      <c r="C325" t="s">
        <v>156</v>
      </c>
      <c r="D325" t="s">
        <v>154</v>
      </c>
      <c r="E325" t="s">
        <v>997</v>
      </c>
      <c r="F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158</v>
      </c>
      <c r="AB325" t="s">
        <v>138</v>
      </c>
    </row>
    <row r="326" spans="1:28" x14ac:dyDescent="0.3">
      <c r="A326" t="s">
        <v>893</v>
      </c>
      <c r="C326" t="s">
        <v>156</v>
      </c>
      <c r="D326" t="s">
        <v>154</v>
      </c>
      <c r="E326" t="s">
        <v>1180</v>
      </c>
      <c r="F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204</v>
      </c>
      <c r="Y326" t="s">
        <v>19</v>
      </c>
      <c r="AB326" t="s">
        <v>138</v>
      </c>
    </row>
    <row r="327" spans="1:28" x14ac:dyDescent="0.3">
      <c r="A327" t="s">
        <v>550</v>
      </c>
      <c r="C327" t="s">
        <v>156</v>
      </c>
      <c r="D327" t="s">
        <v>154</v>
      </c>
      <c r="E327" t="s">
        <v>1180</v>
      </c>
      <c r="F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204</v>
      </c>
      <c r="AB327" t="s">
        <v>138</v>
      </c>
    </row>
    <row r="328" spans="1:28" x14ac:dyDescent="0.3">
      <c r="A328" t="s">
        <v>495</v>
      </c>
      <c r="C328" t="s">
        <v>156</v>
      </c>
      <c r="D328" t="s">
        <v>154</v>
      </c>
      <c r="E328" t="s">
        <v>1031</v>
      </c>
      <c r="F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204</v>
      </c>
      <c r="Y328" t="s">
        <v>262</v>
      </c>
      <c r="AB328" t="s">
        <v>138</v>
      </c>
    </row>
    <row r="329" spans="1:28" x14ac:dyDescent="0.3">
      <c r="A329" t="s">
        <v>560</v>
      </c>
      <c r="C329" t="s">
        <v>156</v>
      </c>
      <c r="D329" t="s">
        <v>154</v>
      </c>
      <c r="E329" t="s">
        <v>1031</v>
      </c>
      <c r="F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204</v>
      </c>
      <c r="Y329" t="s">
        <v>233</v>
      </c>
      <c r="AB329" t="s">
        <v>138</v>
      </c>
    </row>
    <row r="330" spans="1:28" x14ac:dyDescent="0.3">
      <c r="A330" t="s">
        <v>551</v>
      </c>
      <c r="C330" t="s">
        <v>156</v>
      </c>
      <c r="D330" t="s">
        <v>154</v>
      </c>
      <c r="E330" t="s">
        <v>1031</v>
      </c>
      <c r="F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158</v>
      </c>
      <c r="AB330" t="s">
        <v>138</v>
      </c>
    </row>
    <row r="331" spans="1:28" x14ac:dyDescent="0.3">
      <c r="A331" t="s">
        <v>538</v>
      </c>
      <c r="C331" t="s">
        <v>156</v>
      </c>
      <c r="D331" t="s">
        <v>154</v>
      </c>
      <c r="E331" t="s">
        <v>1031</v>
      </c>
      <c r="F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204</v>
      </c>
      <c r="AB331" t="s">
        <v>138</v>
      </c>
    </row>
    <row r="332" spans="1:28" x14ac:dyDescent="0.3">
      <c r="A332" t="s">
        <v>471</v>
      </c>
      <c r="C332" t="s">
        <v>156</v>
      </c>
      <c r="D332" t="s">
        <v>154</v>
      </c>
      <c r="E332" t="s">
        <v>1110</v>
      </c>
      <c r="F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204</v>
      </c>
      <c r="AB332" t="s">
        <v>138</v>
      </c>
    </row>
    <row r="333" spans="1:28" x14ac:dyDescent="0.3">
      <c r="A333" t="s">
        <v>908</v>
      </c>
      <c r="C333" t="s">
        <v>156</v>
      </c>
      <c r="D333" t="s">
        <v>154</v>
      </c>
      <c r="E333" t="s">
        <v>1181</v>
      </c>
      <c r="F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t="s">
        <v>158</v>
      </c>
      <c r="AB333" t="s">
        <v>142</v>
      </c>
    </row>
    <row r="334" spans="1:28" x14ac:dyDescent="0.3">
      <c r="A334" t="s">
        <v>581</v>
      </c>
      <c r="C334" t="s">
        <v>156</v>
      </c>
      <c r="D334" t="s">
        <v>154</v>
      </c>
      <c r="E334" t="s">
        <v>1181</v>
      </c>
      <c r="F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204</v>
      </c>
      <c r="AB334" t="s">
        <v>138</v>
      </c>
    </row>
    <row r="335" spans="1:28" x14ac:dyDescent="0.3">
      <c r="A335" t="s">
        <v>457</v>
      </c>
      <c r="C335" t="s">
        <v>156</v>
      </c>
      <c r="D335" t="s">
        <v>154</v>
      </c>
      <c r="E335" t="s">
        <v>1181</v>
      </c>
      <c r="F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204</v>
      </c>
      <c r="AB335" t="s">
        <v>138</v>
      </c>
    </row>
    <row r="336" spans="1:28" x14ac:dyDescent="0.3">
      <c r="A336" t="s">
        <v>523</v>
      </c>
      <c r="C336" t="s">
        <v>156</v>
      </c>
      <c r="D336" t="s">
        <v>154</v>
      </c>
      <c r="E336" t="s">
        <v>1032</v>
      </c>
      <c r="F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204</v>
      </c>
      <c r="Y336" t="s">
        <v>238</v>
      </c>
      <c r="AB336" t="s">
        <v>138</v>
      </c>
    </row>
    <row r="337" spans="1:28" x14ac:dyDescent="0.3">
      <c r="A337" t="s">
        <v>576</v>
      </c>
      <c r="C337" t="s">
        <v>156</v>
      </c>
      <c r="D337" t="s">
        <v>154</v>
      </c>
      <c r="E337" t="s">
        <v>1032</v>
      </c>
      <c r="F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204</v>
      </c>
      <c r="Y337" t="s">
        <v>16</v>
      </c>
      <c r="AB337" t="s">
        <v>141</v>
      </c>
    </row>
    <row r="338" spans="1:28" x14ac:dyDescent="0.3">
      <c r="A338" t="s">
        <v>464</v>
      </c>
      <c r="C338" t="s">
        <v>156</v>
      </c>
      <c r="D338" t="s">
        <v>154</v>
      </c>
      <c r="E338" t="s">
        <v>1032</v>
      </c>
      <c r="F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204</v>
      </c>
      <c r="Y338" t="s">
        <v>19</v>
      </c>
      <c r="AB338" t="s">
        <v>138</v>
      </c>
    </row>
    <row r="339" spans="1:28" x14ac:dyDescent="0.3">
      <c r="A339" t="s">
        <v>1182</v>
      </c>
      <c r="C339" t="s">
        <v>156</v>
      </c>
      <c r="D339" t="s">
        <v>154</v>
      </c>
      <c r="E339" t="s">
        <v>1032</v>
      </c>
      <c r="F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204</v>
      </c>
      <c r="Y339" t="s">
        <v>21</v>
      </c>
      <c r="AB339" t="s">
        <v>138</v>
      </c>
    </row>
    <row r="340" spans="1:28" x14ac:dyDescent="0.3">
      <c r="A340" t="s">
        <v>566</v>
      </c>
      <c r="C340" t="s">
        <v>156</v>
      </c>
      <c r="D340" t="s">
        <v>154</v>
      </c>
      <c r="E340" t="s">
        <v>1032</v>
      </c>
      <c r="F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 t="s">
        <v>158</v>
      </c>
      <c r="AB340" t="s">
        <v>138</v>
      </c>
    </row>
    <row r="341" spans="1:28" x14ac:dyDescent="0.3">
      <c r="A341" t="s">
        <v>900</v>
      </c>
      <c r="C341" t="s">
        <v>156</v>
      </c>
      <c r="D341" t="s">
        <v>154</v>
      </c>
      <c r="E341" t="s">
        <v>1032</v>
      </c>
      <c r="F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158</v>
      </c>
      <c r="AB341" t="s">
        <v>139</v>
      </c>
    </row>
    <row r="342" spans="1:28" x14ac:dyDescent="0.3">
      <c r="A342" t="s">
        <v>314</v>
      </c>
      <c r="C342" t="s">
        <v>156</v>
      </c>
      <c r="D342" t="s">
        <v>154</v>
      </c>
      <c r="E342" t="s">
        <v>1032</v>
      </c>
      <c r="F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158</v>
      </c>
      <c r="AB342" t="s">
        <v>138</v>
      </c>
    </row>
    <row r="343" spans="1:28" x14ac:dyDescent="0.3">
      <c r="A343" t="s">
        <v>554</v>
      </c>
      <c r="C343" t="s">
        <v>156</v>
      </c>
      <c r="D343" t="s">
        <v>154</v>
      </c>
      <c r="E343" t="s">
        <v>1032</v>
      </c>
      <c r="F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158</v>
      </c>
      <c r="AB343" t="s">
        <v>138</v>
      </c>
    </row>
    <row r="344" spans="1:28" x14ac:dyDescent="0.3">
      <c r="A344" t="s">
        <v>910</v>
      </c>
      <c r="C344" t="s">
        <v>156</v>
      </c>
      <c r="D344" t="s">
        <v>154</v>
      </c>
      <c r="E344" t="s">
        <v>1032</v>
      </c>
      <c r="F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158</v>
      </c>
      <c r="AB344" t="s">
        <v>138</v>
      </c>
    </row>
    <row r="345" spans="1:28" x14ac:dyDescent="0.3">
      <c r="A345" t="s">
        <v>569</v>
      </c>
      <c r="C345" t="s">
        <v>156</v>
      </c>
      <c r="D345" t="s">
        <v>154</v>
      </c>
      <c r="E345" t="s">
        <v>1032</v>
      </c>
      <c r="F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158</v>
      </c>
      <c r="AB345" t="s">
        <v>138</v>
      </c>
    </row>
    <row r="346" spans="1:28" x14ac:dyDescent="0.3">
      <c r="A346" t="s">
        <v>571</v>
      </c>
      <c r="C346" t="s">
        <v>156</v>
      </c>
      <c r="D346" t="s">
        <v>154</v>
      </c>
      <c r="E346" t="s">
        <v>1032</v>
      </c>
      <c r="F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 t="s">
        <v>204</v>
      </c>
      <c r="AB346" t="s">
        <v>138</v>
      </c>
    </row>
    <row r="347" spans="1:28" x14ac:dyDescent="0.3">
      <c r="A347" t="s">
        <v>573</v>
      </c>
      <c r="C347" t="s">
        <v>156</v>
      </c>
      <c r="D347" t="s">
        <v>154</v>
      </c>
      <c r="E347" t="s">
        <v>1032</v>
      </c>
      <c r="F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 t="s">
        <v>204</v>
      </c>
      <c r="AB347" t="s">
        <v>140</v>
      </c>
    </row>
    <row r="348" spans="1:28" x14ac:dyDescent="0.3">
      <c r="A348" t="s">
        <v>496</v>
      </c>
      <c r="C348" t="s">
        <v>156</v>
      </c>
      <c r="D348" t="s">
        <v>154</v>
      </c>
      <c r="E348" t="s">
        <v>995</v>
      </c>
      <c r="F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204</v>
      </c>
      <c r="Y348" t="s">
        <v>358</v>
      </c>
      <c r="AB348" t="s">
        <v>138</v>
      </c>
    </row>
    <row r="349" spans="1:28" x14ac:dyDescent="0.3">
      <c r="A349" t="s">
        <v>549</v>
      </c>
      <c r="C349" t="s">
        <v>156</v>
      </c>
      <c r="D349" t="s">
        <v>154</v>
      </c>
      <c r="E349" t="s">
        <v>995</v>
      </c>
      <c r="F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t="s">
        <v>204</v>
      </c>
      <c r="Y349" t="s">
        <v>238</v>
      </c>
      <c r="AB349" t="s">
        <v>138</v>
      </c>
    </row>
    <row r="350" spans="1:28" x14ac:dyDescent="0.3">
      <c r="A350" t="s">
        <v>515</v>
      </c>
      <c r="C350" t="s">
        <v>156</v>
      </c>
      <c r="D350" t="s">
        <v>154</v>
      </c>
      <c r="E350" t="s">
        <v>995</v>
      </c>
      <c r="F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204</v>
      </c>
      <c r="AB350" t="s">
        <v>142</v>
      </c>
    </row>
    <row r="351" spans="1:28" x14ac:dyDescent="0.3">
      <c r="A351" t="s">
        <v>584</v>
      </c>
      <c r="C351" t="s">
        <v>156</v>
      </c>
      <c r="D351" t="s">
        <v>154</v>
      </c>
      <c r="E351" t="s">
        <v>995</v>
      </c>
      <c r="F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t="s">
        <v>204</v>
      </c>
      <c r="AB351" t="s">
        <v>138</v>
      </c>
    </row>
    <row r="352" spans="1:28" x14ac:dyDescent="0.3">
      <c r="A352" t="s">
        <v>540</v>
      </c>
      <c r="C352" t="s">
        <v>156</v>
      </c>
      <c r="D352" t="s">
        <v>154</v>
      </c>
      <c r="E352" t="s">
        <v>995</v>
      </c>
      <c r="F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204</v>
      </c>
      <c r="AB352" t="s">
        <v>138</v>
      </c>
    </row>
    <row r="353" spans="1:28" x14ac:dyDescent="0.3">
      <c r="A353" t="s">
        <v>484</v>
      </c>
      <c r="C353" t="s">
        <v>156</v>
      </c>
      <c r="D353" t="s">
        <v>154</v>
      </c>
      <c r="E353" t="s">
        <v>995</v>
      </c>
      <c r="F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204</v>
      </c>
      <c r="AB353" t="s">
        <v>138</v>
      </c>
    </row>
    <row r="354" spans="1:28" x14ac:dyDescent="0.3">
      <c r="A354" t="s">
        <v>574</v>
      </c>
      <c r="C354" t="s">
        <v>175</v>
      </c>
      <c r="D354" t="s">
        <v>154</v>
      </c>
      <c r="E354" t="s">
        <v>996</v>
      </c>
      <c r="F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158</v>
      </c>
      <c r="AB354" t="s">
        <v>138</v>
      </c>
    </row>
    <row r="355" spans="1:28" x14ac:dyDescent="0.3">
      <c r="A355" t="s">
        <v>485</v>
      </c>
      <c r="C355" t="s">
        <v>175</v>
      </c>
      <c r="D355" t="s">
        <v>154</v>
      </c>
      <c r="E355" t="s">
        <v>996</v>
      </c>
      <c r="F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 t="s">
        <v>158</v>
      </c>
      <c r="AB355" t="s">
        <v>140</v>
      </c>
    </row>
    <row r="356" spans="1:28" x14ac:dyDescent="0.3">
      <c r="A356" t="s">
        <v>1183</v>
      </c>
      <c r="C356" t="s">
        <v>175</v>
      </c>
      <c r="D356" t="s">
        <v>154</v>
      </c>
      <c r="E356" t="s">
        <v>996</v>
      </c>
      <c r="F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 t="s">
        <v>158</v>
      </c>
      <c r="AB356" t="s">
        <v>141</v>
      </c>
    </row>
    <row r="357" spans="1:28" x14ac:dyDescent="0.3">
      <c r="A357" t="s">
        <v>622</v>
      </c>
      <c r="C357" t="s">
        <v>175</v>
      </c>
      <c r="D357" t="s">
        <v>154</v>
      </c>
      <c r="E357" t="s">
        <v>1329</v>
      </c>
      <c r="F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t="s">
        <v>204</v>
      </c>
      <c r="AB357" t="s">
        <v>138</v>
      </c>
    </row>
    <row r="358" spans="1:28" x14ac:dyDescent="0.3">
      <c r="A358" t="s">
        <v>909</v>
      </c>
      <c r="C358" t="s">
        <v>156</v>
      </c>
      <c r="D358" t="s">
        <v>154</v>
      </c>
      <c r="E358" t="s">
        <v>994</v>
      </c>
      <c r="F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t="s">
        <v>158</v>
      </c>
      <c r="AB358" t="s">
        <v>138</v>
      </c>
    </row>
    <row r="359" spans="1:28" x14ac:dyDescent="0.3">
      <c r="A359" t="s">
        <v>1184</v>
      </c>
      <c r="C359" t="s">
        <v>156</v>
      </c>
      <c r="D359" t="s">
        <v>154</v>
      </c>
      <c r="E359" t="s">
        <v>994</v>
      </c>
      <c r="F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t="s">
        <v>158</v>
      </c>
      <c r="AB359" t="s">
        <v>144</v>
      </c>
    </row>
    <row r="360" spans="1:28" x14ac:dyDescent="0.3">
      <c r="A360" t="s">
        <v>528</v>
      </c>
      <c r="C360" t="s">
        <v>156</v>
      </c>
      <c r="D360" t="s">
        <v>154</v>
      </c>
      <c r="E360" t="s">
        <v>994</v>
      </c>
      <c r="F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t="s">
        <v>158</v>
      </c>
      <c r="AB360" t="s">
        <v>93</v>
      </c>
    </row>
    <row r="361" spans="1:28" x14ac:dyDescent="0.3">
      <c r="A361" t="s">
        <v>459</v>
      </c>
      <c r="C361" t="s">
        <v>156</v>
      </c>
      <c r="D361" t="s">
        <v>154</v>
      </c>
      <c r="E361" t="s">
        <v>994</v>
      </c>
      <c r="F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t="s">
        <v>204</v>
      </c>
      <c r="AB361" t="s">
        <v>141</v>
      </c>
    </row>
    <row r="362" spans="1:28" x14ac:dyDescent="0.3">
      <c r="A362" t="s">
        <v>1185</v>
      </c>
      <c r="C362" t="s">
        <v>156</v>
      </c>
      <c r="D362" t="s">
        <v>154</v>
      </c>
      <c r="E362" t="s">
        <v>994</v>
      </c>
      <c r="F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 t="s">
        <v>204</v>
      </c>
      <c r="AB362" t="s">
        <v>138</v>
      </c>
    </row>
    <row r="363" spans="1:28" x14ac:dyDescent="0.3">
      <c r="A363" t="s">
        <v>897</v>
      </c>
      <c r="C363" t="s">
        <v>156</v>
      </c>
      <c r="D363" t="s">
        <v>154</v>
      </c>
      <c r="E363" t="s">
        <v>1045</v>
      </c>
      <c r="F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t="s">
        <v>204</v>
      </c>
      <c r="Y363" t="s">
        <v>180</v>
      </c>
      <c r="AB363" t="s">
        <v>138</v>
      </c>
    </row>
    <row r="364" spans="1:28" x14ac:dyDescent="0.3">
      <c r="A364" t="s">
        <v>1186</v>
      </c>
      <c r="C364" t="s">
        <v>156</v>
      </c>
      <c r="D364" t="s">
        <v>154</v>
      </c>
      <c r="E364" t="s">
        <v>1187</v>
      </c>
      <c r="F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 t="s">
        <v>204</v>
      </c>
      <c r="Y364" t="s">
        <v>238</v>
      </c>
      <c r="AB364" t="s">
        <v>138</v>
      </c>
    </row>
    <row r="365" spans="1:28" x14ac:dyDescent="0.3">
      <c r="A365" t="s">
        <v>536</v>
      </c>
      <c r="C365" t="s">
        <v>156</v>
      </c>
      <c r="D365" t="s">
        <v>154</v>
      </c>
      <c r="E365" t="s">
        <v>1187</v>
      </c>
      <c r="F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t="s">
        <v>204</v>
      </c>
      <c r="Y365" t="s">
        <v>19</v>
      </c>
      <c r="AB365" t="s">
        <v>138</v>
      </c>
    </row>
    <row r="366" spans="1:28" x14ac:dyDescent="0.3">
      <c r="A366" t="s">
        <v>553</v>
      </c>
      <c r="C366" t="s">
        <v>156</v>
      </c>
      <c r="D366" t="s">
        <v>154</v>
      </c>
      <c r="E366" t="s">
        <v>1188</v>
      </c>
      <c r="F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204</v>
      </c>
      <c r="AB366" t="s">
        <v>138</v>
      </c>
    </row>
    <row r="367" spans="1:28" x14ac:dyDescent="0.3">
      <c r="A367" t="s">
        <v>436</v>
      </c>
      <c r="C367" t="s">
        <v>156</v>
      </c>
      <c r="D367" t="s">
        <v>154</v>
      </c>
      <c r="E367" t="s">
        <v>1014</v>
      </c>
      <c r="F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204</v>
      </c>
      <c r="Y367" t="s">
        <v>262</v>
      </c>
      <c r="AB367" t="s">
        <v>138</v>
      </c>
    </row>
    <row r="368" spans="1:28" x14ac:dyDescent="0.3">
      <c r="A368" t="s">
        <v>465</v>
      </c>
      <c r="C368" t="s">
        <v>156</v>
      </c>
      <c r="D368" t="s">
        <v>154</v>
      </c>
      <c r="E368" t="s">
        <v>1014</v>
      </c>
      <c r="F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 t="s">
        <v>204</v>
      </c>
      <c r="Y368" t="s">
        <v>15</v>
      </c>
      <c r="AB368" t="s">
        <v>138</v>
      </c>
    </row>
    <row r="369" spans="1:28" x14ac:dyDescent="0.3">
      <c r="A369" t="s">
        <v>564</v>
      </c>
      <c r="C369" t="s">
        <v>156</v>
      </c>
      <c r="D369" t="s">
        <v>154</v>
      </c>
      <c r="E369" t="s">
        <v>1014</v>
      </c>
      <c r="F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204</v>
      </c>
      <c r="Y369" t="s">
        <v>16</v>
      </c>
      <c r="AB369" t="s">
        <v>141</v>
      </c>
    </row>
    <row r="370" spans="1:28" x14ac:dyDescent="0.3">
      <c r="A370" t="s">
        <v>472</v>
      </c>
      <c r="C370" t="s">
        <v>156</v>
      </c>
      <c r="D370" t="s">
        <v>154</v>
      </c>
      <c r="E370" t="s">
        <v>1014</v>
      </c>
      <c r="F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t="s">
        <v>158</v>
      </c>
      <c r="AB370" t="s">
        <v>144</v>
      </c>
    </row>
    <row r="371" spans="1:28" x14ac:dyDescent="0.3">
      <c r="A371" t="s">
        <v>919</v>
      </c>
      <c r="C371" t="s">
        <v>156</v>
      </c>
      <c r="D371" t="s">
        <v>154</v>
      </c>
      <c r="E371" t="s">
        <v>1014</v>
      </c>
      <c r="F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158</v>
      </c>
      <c r="AB371" t="s">
        <v>141</v>
      </c>
    </row>
    <row r="372" spans="1:28" x14ac:dyDescent="0.3">
      <c r="A372" t="s">
        <v>541</v>
      </c>
      <c r="C372" t="s">
        <v>156</v>
      </c>
      <c r="D372" t="s">
        <v>154</v>
      </c>
      <c r="E372" t="s">
        <v>1014</v>
      </c>
      <c r="F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 t="s">
        <v>158</v>
      </c>
      <c r="AB372" t="s">
        <v>138</v>
      </c>
    </row>
    <row r="373" spans="1:28" x14ac:dyDescent="0.3">
      <c r="A373" t="s">
        <v>483</v>
      </c>
      <c r="C373" t="s">
        <v>156</v>
      </c>
      <c r="D373" t="s">
        <v>154</v>
      </c>
      <c r="E373" t="s">
        <v>1014</v>
      </c>
      <c r="F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158</v>
      </c>
      <c r="AB373" t="s">
        <v>138</v>
      </c>
    </row>
    <row r="374" spans="1:28" x14ac:dyDescent="0.3">
      <c r="A374" t="s">
        <v>524</v>
      </c>
      <c r="C374" t="s">
        <v>156</v>
      </c>
      <c r="D374" t="s">
        <v>154</v>
      </c>
      <c r="E374" t="s">
        <v>1014</v>
      </c>
      <c r="F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204</v>
      </c>
      <c r="AB374" t="s">
        <v>141</v>
      </c>
    </row>
    <row r="375" spans="1:28" x14ac:dyDescent="0.3">
      <c r="A375" t="s">
        <v>525</v>
      </c>
      <c r="C375" t="s">
        <v>156</v>
      </c>
      <c r="D375" t="s">
        <v>154</v>
      </c>
      <c r="E375" t="s">
        <v>1115</v>
      </c>
      <c r="F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t="s">
        <v>158</v>
      </c>
      <c r="AB375" t="s">
        <v>138</v>
      </c>
    </row>
    <row r="376" spans="1:28" x14ac:dyDescent="0.3">
      <c r="A376" t="s">
        <v>1189</v>
      </c>
      <c r="C376" t="s">
        <v>156</v>
      </c>
      <c r="D376" t="s">
        <v>154</v>
      </c>
      <c r="E376" t="s">
        <v>1116</v>
      </c>
      <c r="F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 t="s">
        <v>204</v>
      </c>
      <c r="AB376" t="s">
        <v>138</v>
      </c>
    </row>
    <row r="377" spans="1:28" x14ac:dyDescent="0.3">
      <c r="A377" t="s">
        <v>1190</v>
      </c>
      <c r="C377" t="s">
        <v>156</v>
      </c>
      <c r="D377" t="s">
        <v>154</v>
      </c>
      <c r="E377" t="s">
        <v>1118</v>
      </c>
      <c r="F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158</v>
      </c>
      <c r="AB377" t="s">
        <v>138</v>
      </c>
    </row>
    <row r="378" spans="1:28" x14ac:dyDescent="0.3">
      <c r="A378" t="s">
        <v>516</v>
      </c>
      <c r="C378" t="s">
        <v>156</v>
      </c>
      <c r="D378" t="s">
        <v>154</v>
      </c>
      <c r="E378" t="s">
        <v>1118</v>
      </c>
      <c r="F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t="s">
        <v>204</v>
      </c>
      <c r="AB378" t="s">
        <v>140</v>
      </c>
    </row>
    <row r="379" spans="1:28" x14ac:dyDescent="0.3">
      <c r="A379" t="s">
        <v>907</v>
      </c>
      <c r="C379" t="s">
        <v>156</v>
      </c>
      <c r="D379" t="s">
        <v>154</v>
      </c>
      <c r="E379" t="s">
        <v>555</v>
      </c>
      <c r="F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204</v>
      </c>
      <c r="Y379" t="s">
        <v>358</v>
      </c>
      <c r="AB379" t="s">
        <v>138</v>
      </c>
    </row>
    <row r="380" spans="1:28" x14ac:dyDescent="0.3">
      <c r="A380" t="s">
        <v>481</v>
      </c>
      <c r="C380" t="s">
        <v>156</v>
      </c>
      <c r="D380" t="s">
        <v>154</v>
      </c>
      <c r="E380" t="s">
        <v>555</v>
      </c>
      <c r="F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 t="s">
        <v>204</v>
      </c>
      <c r="Y380" t="s">
        <v>238</v>
      </c>
      <c r="AB380" t="s">
        <v>138</v>
      </c>
    </row>
    <row r="381" spans="1:28" x14ac:dyDescent="0.3">
      <c r="A381" t="s">
        <v>497</v>
      </c>
      <c r="C381" t="s">
        <v>156</v>
      </c>
      <c r="D381" t="s">
        <v>154</v>
      </c>
      <c r="E381" t="s">
        <v>1082</v>
      </c>
      <c r="F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 t="s">
        <v>204</v>
      </c>
      <c r="Y381" t="s">
        <v>12</v>
      </c>
      <c r="AB381" t="s">
        <v>138</v>
      </c>
    </row>
    <row r="382" spans="1:28" x14ac:dyDescent="0.3">
      <c r="A382" t="s">
        <v>903</v>
      </c>
      <c r="C382" t="s">
        <v>156</v>
      </c>
      <c r="D382" t="s">
        <v>154</v>
      </c>
      <c r="E382" t="s">
        <v>1082</v>
      </c>
      <c r="F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158</v>
      </c>
      <c r="AB382" t="s">
        <v>140</v>
      </c>
    </row>
    <row r="383" spans="1:28" x14ac:dyDescent="0.3">
      <c r="A383" t="s">
        <v>1191</v>
      </c>
      <c r="C383" t="s">
        <v>156</v>
      </c>
      <c r="D383" t="s">
        <v>154</v>
      </c>
      <c r="E383" t="s">
        <v>1015</v>
      </c>
      <c r="F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 t="s">
        <v>204</v>
      </c>
      <c r="AB383" t="s">
        <v>138</v>
      </c>
    </row>
    <row r="384" spans="1:28" x14ac:dyDescent="0.3">
      <c r="A384" t="s">
        <v>505</v>
      </c>
      <c r="C384" t="s">
        <v>156</v>
      </c>
      <c r="D384" t="s">
        <v>154</v>
      </c>
      <c r="E384" t="s">
        <v>1048</v>
      </c>
      <c r="F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t="s">
        <v>204</v>
      </c>
      <c r="Y384" t="s">
        <v>17</v>
      </c>
      <c r="AB384" t="s">
        <v>142</v>
      </c>
    </row>
    <row r="385" spans="1:28" x14ac:dyDescent="0.3">
      <c r="A385" t="s">
        <v>556</v>
      </c>
      <c r="C385" t="s">
        <v>156</v>
      </c>
      <c r="D385" t="s">
        <v>154</v>
      </c>
      <c r="E385" t="s">
        <v>1192</v>
      </c>
      <c r="F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 t="s">
        <v>204</v>
      </c>
      <c r="Y385" t="s">
        <v>162</v>
      </c>
      <c r="AB385" t="s">
        <v>138</v>
      </c>
    </row>
    <row r="386" spans="1:28" x14ac:dyDescent="0.3">
      <c r="A386" t="s">
        <v>547</v>
      </c>
      <c r="C386" t="s">
        <v>156</v>
      </c>
      <c r="D386" t="s">
        <v>154</v>
      </c>
      <c r="E386" t="s">
        <v>1119</v>
      </c>
      <c r="F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t="s">
        <v>158</v>
      </c>
      <c r="AB386" t="s">
        <v>140</v>
      </c>
    </row>
    <row r="387" spans="1:28" x14ac:dyDescent="0.3">
      <c r="A387" t="s">
        <v>591</v>
      </c>
      <c r="C387" t="s">
        <v>156</v>
      </c>
      <c r="D387" t="s">
        <v>154</v>
      </c>
      <c r="E387" t="s">
        <v>1119</v>
      </c>
      <c r="F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t="s">
        <v>204</v>
      </c>
      <c r="AB387" t="s">
        <v>141</v>
      </c>
    </row>
    <row r="388" spans="1:28" x14ac:dyDescent="0.3">
      <c r="A388" t="s">
        <v>575</v>
      </c>
      <c r="C388" t="s">
        <v>156</v>
      </c>
      <c r="D388" t="s">
        <v>154</v>
      </c>
      <c r="E388" t="s">
        <v>1193</v>
      </c>
      <c r="F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204</v>
      </c>
      <c r="AB388" t="s">
        <v>138</v>
      </c>
    </row>
    <row r="389" spans="1:28" x14ac:dyDescent="0.3">
      <c r="A389" t="s">
        <v>470</v>
      </c>
      <c r="C389" t="s">
        <v>156</v>
      </c>
      <c r="D389" t="s">
        <v>154</v>
      </c>
      <c r="E389" t="s">
        <v>252</v>
      </c>
      <c r="F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158</v>
      </c>
      <c r="AB389" t="s">
        <v>140</v>
      </c>
    </row>
    <row r="390" spans="1:28" x14ac:dyDescent="0.3">
      <c r="A390" t="s">
        <v>456</v>
      </c>
      <c r="C390" t="s">
        <v>156</v>
      </c>
      <c r="D390" t="s">
        <v>154</v>
      </c>
      <c r="E390" t="s">
        <v>1194</v>
      </c>
      <c r="F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204</v>
      </c>
      <c r="AB390" t="s">
        <v>138</v>
      </c>
    </row>
    <row r="391" spans="1:28" x14ac:dyDescent="0.3">
      <c r="A391" t="s">
        <v>1195</v>
      </c>
      <c r="C391" t="s">
        <v>156</v>
      </c>
      <c r="D391" t="s">
        <v>154</v>
      </c>
      <c r="E391" t="s">
        <v>1194</v>
      </c>
      <c r="F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t="s">
        <v>204</v>
      </c>
      <c r="AB391" t="s">
        <v>138</v>
      </c>
    </row>
    <row r="392" spans="1:28" x14ac:dyDescent="0.3">
      <c r="A392" t="s">
        <v>568</v>
      </c>
      <c r="C392" t="s">
        <v>156</v>
      </c>
      <c r="D392" t="s">
        <v>154</v>
      </c>
      <c r="E392" t="s">
        <v>1196</v>
      </c>
      <c r="F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158</v>
      </c>
      <c r="AB392" t="s">
        <v>138</v>
      </c>
    </row>
    <row r="393" spans="1:28" x14ac:dyDescent="0.3">
      <c r="A393" t="s">
        <v>619</v>
      </c>
      <c r="C393" t="s">
        <v>156</v>
      </c>
      <c r="D393" t="s">
        <v>154</v>
      </c>
      <c r="E393" t="s">
        <v>987</v>
      </c>
      <c r="F393">
        <v>3</v>
      </c>
      <c r="G393" t="s">
        <v>283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1</v>
      </c>
      <c r="O393">
        <v>1</v>
      </c>
      <c r="P393" t="s">
        <v>26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158</v>
      </c>
      <c r="AB393" t="s">
        <v>138</v>
      </c>
    </row>
    <row r="394" spans="1:28" x14ac:dyDescent="0.3">
      <c r="A394" t="s">
        <v>565</v>
      </c>
      <c r="C394" t="s">
        <v>156</v>
      </c>
      <c r="D394" t="s">
        <v>154</v>
      </c>
      <c r="E394" t="s">
        <v>1023</v>
      </c>
      <c r="F394">
        <v>3</v>
      </c>
      <c r="G394" t="s">
        <v>1197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1</v>
      </c>
      <c r="O394">
        <v>1</v>
      </c>
      <c r="P394" t="s">
        <v>20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204</v>
      </c>
      <c r="Y394" t="s">
        <v>21</v>
      </c>
      <c r="AB394" t="s">
        <v>138</v>
      </c>
    </row>
    <row r="395" spans="1:28" x14ac:dyDescent="0.3">
      <c r="A395" t="s">
        <v>603</v>
      </c>
      <c r="C395" t="s">
        <v>156</v>
      </c>
      <c r="D395" t="s">
        <v>154</v>
      </c>
      <c r="E395" t="s">
        <v>1009</v>
      </c>
      <c r="F395">
        <v>4</v>
      </c>
      <c r="G395" t="s">
        <v>604</v>
      </c>
      <c r="H395">
        <v>0</v>
      </c>
      <c r="I395">
        <v>1</v>
      </c>
      <c r="J395">
        <v>1</v>
      </c>
      <c r="K395">
        <v>0</v>
      </c>
      <c r="L395">
        <v>1</v>
      </c>
      <c r="M395">
        <v>0</v>
      </c>
      <c r="N395">
        <v>1</v>
      </c>
      <c r="O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204</v>
      </c>
      <c r="Y395" t="s">
        <v>12</v>
      </c>
      <c r="AB395" t="s">
        <v>140</v>
      </c>
    </row>
    <row r="396" spans="1:28" x14ac:dyDescent="0.3">
      <c r="A396" t="s">
        <v>600</v>
      </c>
      <c r="C396" t="s">
        <v>156</v>
      </c>
      <c r="D396" t="s">
        <v>154</v>
      </c>
      <c r="E396" t="s">
        <v>1198</v>
      </c>
      <c r="F396">
        <v>5</v>
      </c>
      <c r="G396" t="s">
        <v>601</v>
      </c>
      <c r="H396">
        <v>1</v>
      </c>
      <c r="I396">
        <v>0</v>
      </c>
      <c r="J396">
        <v>0</v>
      </c>
      <c r="K396">
        <v>0</v>
      </c>
      <c r="L396">
        <v>3</v>
      </c>
      <c r="M396">
        <v>0</v>
      </c>
      <c r="N396">
        <v>1</v>
      </c>
      <c r="O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204</v>
      </c>
      <c r="Y396" t="s">
        <v>233</v>
      </c>
      <c r="AB396" t="s">
        <v>140</v>
      </c>
    </row>
    <row r="397" spans="1:28" x14ac:dyDescent="0.3">
      <c r="A397" t="s">
        <v>587</v>
      </c>
      <c r="C397" t="s">
        <v>156</v>
      </c>
      <c r="D397" t="s">
        <v>154</v>
      </c>
      <c r="E397" t="s">
        <v>986</v>
      </c>
      <c r="F397">
        <v>1</v>
      </c>
      <c r="G397" t="s">
        <v>29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204</v>
      </c>
      <c r="Y397" t="s">
        <v>11</v>
      </c>
      <c r="AB397" t="s">
        <v>93</v>
      </c>
    </row>
    <row r="398" spans="1:28" x14ac:dyDescent="0.3">
      <c r="A398" t="s">
        <v>899</v>
      </c>
      <c r="C398" t="s">
        <v>156</v>
      </c>
      <c r="D398" t="s">
        <v>154</v>
      </c>
      <c r="E398" t="s">
        <v>986</v>
      </c>
      <c r="F398">
        <v>1</v>
      </c>
      <c r="G398" t="s">
        <v>27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 t="s">
        <v>20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158</v>
      </c>
      <c r="AB398" t="s">
        <v>138</v>
      </c>
    </row>
    <row r="399" spans="1:28" x14ac:dyDescent="0.3">
      <c r="A399" t="s">
        <v>530</v>
      </c>
      <c r="C399" t="s">
        <v>156</v>
      </c>
      <c r="D399" t="s">
        <v>154</v>
      </c>
      <c r="E399" t="s">
        <v>986</v>
      </c>
      <c r="F399">
        <v>2</v>
      </c>
      <c r="G399" t="s">
        <v>1199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 t="s">
        <v>158</v>
      </c>
      <c r="AB399" t="s">
        <v>145</v>
      </c>
    </row>
    <row r="400" spans="1:28" x14ac:dyDescent="0.3">
      <c r="A400" t="s">
        <v>594</v>
      </c>
      <c r="C400" t="s">
        <v>156</v>
      </c>
      <c r="D400" t="s">
        <v>154</v>
      </c>
      <c r="E400" t="s">
        <v>984</v>
      </c>
      <c r="F400">
        <v>1</v>
      </c>
      <c r="G400" t="s">
        <v>29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 t="s">
        <v>28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0</v>
      </c>
      <c r="W400">
        <v>0</v>
      </c>
      <c r="X400" t="s">
        <v>204</v>
      </c>
      <c r="Y400" t="s">
        <v>16</v>
      </c>
      <c r="AB400" t="s">
        <v>140</v>
      </c>
    </row>
    <row r="401" spans="1:28" x14ac:dyDescent="0.3">
      <c r="A401" t="s">
        <v>616</v>
      </c>
      <c r="C401" t="s">
        <v>156</v>
      </c>
      <c r="D401" t="s">
        <v>154</v>
      </c>
      <c r="E401" t="s">
        <v>984</v>
      </c>
      <c r="F401">
        <v>3</v>
      </c>
      <c r="G401" t="s">
        <v>1197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0</v>
      </c>
      <c r="N401">
        <v>1</v>
      </c>
      <c r="O401">
        <v>1</v>
      </c>
      <c r="P401" t="s">
        <v>28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 t="s">
        <v>204</v>
      </c>
      <c r="Y401" t="s">
        <v>233</v>
      </c>
      <c r="AB401" t="s">
        <v>138</v>
      </c>
    </row>
    <row r="402" spans="1:28" x14ac:dyDescent="0.3">
      <c r="A402" t="s">
        <v>597</v>
      </c>
      <c r="C402" t="s">
        <v>156</v>
      </c>
      <c r="D402" t="s">
        <v>154</v>
      </c>
      <c r="E402" t="s">
        <v>984</v>
      </c>
      <c r="F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</v>
      </c>
      <c r="P402" t="s">
        <v>182</v>
      </c>
      <c r="Q402">
        <v>0</v>
      </c>
      <c r="R402">
        <v>2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158</v>
      </c>
      <c r="AB402" t="s">
        <v>138</v>
      </c>
    </row>
    <row r="403" spans="1:28" x14ac:dyDescent="0.3">
      <c r="A403" t="s">
        <v>609</v>
      </c>
      <c r="C403" t="s">
        <v>156</v>
      </c>
      <c r="D403" t="s">
        <v>154</v>
      </c>
      <c r="E403" t="s">
        <v>984</v>
      </c>
      <c r="F403">
        <v>1</v>
      </c>
      <c r="G403" t="s">
        <v>23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158</v>
      </c>
      <c r="AB403" t="s">
        <v>141</v>
      </c>
    </row>
    <row r="404" spans="1:28" x14ac:dyDescent="0.3">
      <c r="A404" t="s">
        <v>916</v>
      </c>
      <c r="C404" t="s">
        <v>156</v>
      </c>
      <c r="D404" t="s">
        <v>154</v>
      </c>
      <c r="E404" t="s">
        <v>984</v>
      </c>
      <c r="F404">
        <v>5</v>
      </c>
      <c r="G404" t="s">
        <v>917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1</v>
      </c>
      <c r="O404">
        <v>2</v>
      </c>
      <c r="P404" t="s">
        <v>346</v>
      </c>
      <c r="Q404">
        <v>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t="s">
        <v>204</v>
      </c>
      <c r="AB404" t="s">
        <v>138</v>
      </c>
    </row>
    <row r="405" spans="1:28" x14ac:dyDescent="0.3">
      <c r="A405" t="s">
        <v>617</v>
      </c>
      <c r="C405" t="s">
        <v>156</v>
      </c>
      <c r="D405" t="s">
        <v>154</v>
      </c>
      <c r="E405" t="s">
        <v>1200</v>
      </c>
      <c r="F405">
        <v>4</v>
      </c>
      <c r="G405" t="s">
        <v>618</v>
      </c>
      <c r="H405">
        <v>1</v>
      </c>
      <c r="I405">
        <v>0</v>
      </c>
      <c r="J405">
        <v>1</v>
      </c>
      <c r="K405">
        <v>0</v>
      </c>
      <c r="L405">
        <v>2</v>
      </c>
      <c r="M405">
        <v>0</v>
      </c>
      <c r="N405">
        <v>0</v>
      </c>
      <c r="O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t="s">
        <v>204</v>
      </c>
      <c r="AB405" t="s">
        <v>138</v>
      </c>
    </row>
    <row r="406" spans="1:28" x14ac:dyDescent="0.3">
      <c r="A406" t="s">
        <v>913</v>
      </c>
      <c r="C406" t="s">
        <v>156</v>
      </c>
      <c r="D406" t="s">
        <v>154</v>
      </c>
      <c r="E406" t="s">
        <v>1010</v>
      </c>
      <c r="F406">
        <v>6</v>
      </c>
      <c r="G406" t="s">
        <v>914</v>
      </c>
      <c r="H406">
        <v>0</v>
      </c>
      <c r="I406">
        <v>0</v>
      </c>
      <c r="J406">
        <v>3</v>
      </c>
      <c r="K406">
        <v>0</v>
      </c>
      <c r="L406">
        <v>0</v>
      </c>
      <c r="M406">
        <v>3</v>
      </c>
      <c r="N406">
        <v>0</v>
      </c>
      <c r="O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t="s">
        <v>204</v>
      </c>
      <c r="AB406" t="s">
        <v>138</v>
      </c>
    </row>
    <row r="407" spans="1:28" x14ac:dyDescent="0.3">
      <c r="A407" t="s">
        <v>1201</v>
      </c>
      <c r="C407" t="s">
        <v>156</v>
      </c>
      <c r="D407" t="s">
        <v>154</v>
      </c>
      <c r="E407" t="s">
        <v>1001</v>
      </c>
      <c r="F407">
        <v>3</v>
      </c>
      <c r="G407" t="s">
        <v>1084</v>
      </c>
      <c r="H407">
        <v>0</v>
      </c>
      <c r="I407">
        <v>0</v>
      </c>
      <c r="J407">
        <v>0</v>
      </c>
      <c r="K407">
        <v>1</v>
      </c>
      <c r="L407">
        <v>2</v>
      </c>
      <c r="M407">
        <v>0</v>
      </c>
      <c r="N407">
        <v>0</v>
      </c>
      <c r="O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t="s">
        <v>204</v>
      </c>
      <c r="AB407" t="s">
        <v>93</v>
      </c>
    </row>
    <row r="408" spans="1:28" x14ac:dyDescent="0.3">
      <c r="A408" t="s">
        <v>333</v>
      </c>
      <c r="C408" t="s">
        <v>156</v>
      </c>
      <c r="D408" t="s">
        <v>154</v>
      </c>
      <c r="E408" t="s">
        <v>1103</v>
      </c>
      <c r="F408">
        <v>1</v>
      </c>
      <c r="G408" t="s">
        <v>29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158</v>
      </c>
      <c r="AB408" t="s">
        <v>138</v>
      </c>
    </row>
    <row r="409" spans="1:28" x14ac:dyDescent="0.3">
      <c r="A409" t="s">
        <v>598</v>
      </c>
      <c r="C409" t="s">
        <v>156</v>
      </c>
      <c r="D409" t="s">
        <v>154</v>
      </c>
      <c r="E409" t="s">
        <v>1202</v>
      </c>
      <c r="F409">
        <v>5</v>
      </c>
      <c r="G409" t="s">
        <v>915</v>
      </c>
      <c r="H409">
        <v>2</v>
      </c>
      <c r="I409">
        <v>0</v>
      </c>
      <c r="J409">
        <v>0</v>
      </c>
      <c r="K409">
        <v>1</v>
      </c>
      <c r="L409">
        <v>2</v>
      </c>
      <c r="M409">
        <v>0</v>
      </c>
      <c r="N409">
        <v>0</v>
      </c>
      <c r="O409">
        <v>2</v>
      </c>
      <c r="P409" t="s">
        <v>599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 t="s">
        <v>204</v>
      </c>
      <c r="Y409" t="s">
        <v>180</v>
      </c>
      <c r="AB409" t="s">
        <v>138</v>
      </c>
    </row>
    <row r="410" spans="1:28" x14ac:dyDescent="0.3">
      <c r="A410" t="s">
        <v>1203</v>
      </c>
      <c r="C410" t="s">
        <v>156</v>
      </c>
      <c r="D410" t="s">
        <v>154</v>
      </c>
      <c r="E410" t="s">
        <v>982</v>
      </c>
      <c r="F410">
        <v>2</v>
      </c>
      <c r="G410" t="s">
        <v>1204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t="s">
        <v>204</v>
      </c>
      <c r="Y410" t="s">
        <v>11</v>
      </c>
      <c r="AB410" t="s">
        <v>138</v>
      </c>
    </row>
    <row r="411" spans="1:28" x14ac:dyDescent="0.3">
      <c r="A411" t="s">
        <v>606</v>
      </c>
      <c r="C411" t="s">
        <v>156</v>
      </c>
      <c r="D411" t="s">
        <v>154</v>
      </c>
      <c r="E411" t="s">
        <v>982</v>
      </c>
      <c r="F411">
        <v>4</v>
      </c>
      <c r="G411" t="s">
        <v>607</v>
      </c>
      <c r="H411">
        <v>0</v>
      </c>
      <c r="I411">
        <v>0</v>
      </c>
      <c r="J411">
        <v>2</v>
      </c>
      <c r="K411">
        <v>2</v>
      </c>
      <c r="L411">
        <v>0</v>
      </c>
      <c r="M411">
        <v>0</v>
      </c>
      <c r="N411">
        <v>0</v>
      </c>
      <c r="O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t="s">
        <v>204</v>
      </c>
      <c r="AB411" t="s">
        <v>138</v>
      </c>
    </row>
    <row r="412" spans="1:28" x14ac:dyDescent="0.3">
      <c r="A412" t="s">
        <v>486</v>
      </c>
      <c r="C412" t="s">
        <v>153</v>
      </c>
      <c r="D412" t="s">
        <v>154</v>
      </c>
      <c r="E412" t="s">
        <v>990</v>
      </c>
      <c r="F412">
        <v>1</v>
      </c>
      <c r="G412" t="s">
        <v>36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 t="s">
        <v>28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 t="s">
        <v>204</v>
      </c>
      <c r="Y412" t="s">
        <v>11</v>
      </c>
      <c r="AB412" t="s">
        <v>138</v>
      </c>
    </row>
    <row r="413" spans="1:28" x14ac:dyDescent="0.3">
      <c r="A413" t="s">
        <v>1205</v>
      </c>
      <c r="C413" t="s">
        <v>153</v>
      </c>
      <c r="D413" t="s">
        <v>154</v>
      </c>
      <c r="E413" t="s">
        <v>990</v>
      </c>
      <c r="F413">
        <v>1</v>
      </c>
      <c r="G413" t="s">
        <v>22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1</v>
      </c>
      <c r="P413" t="s">
        <v>26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 t="s">
        <v>158</v>
      </c>
      <c r="AB413" t="s">
        <v>141</v>
      </c>
    </row>
    <row r="414" spans="1:28" x14ac:dyDescent="0.3">
      <c r="A414" t="s">
        <v>492</v>
      </c>
      <c r="C414" t="s">
        <v>153</v>
      </c>
      <c r="D414" t="s">
        <v>154</v>
      </c>
      <c r="E414" t="s">
        <v>990</v>
      </c>
      <c r="F414">
        <v>3</v>
      </c>
      <c r="G414" t="s">
        <v>283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1</v>
      </c>
      <c r="O414">
        <v>2</v>
      </c>
      <c r="P414" t="s">
        <v>608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1</v>
      </c>
      <c r="W414">
        <v>0</v>
      </c>
      <c r="X414" t="s">
        <v>158</v>
      </c>
      <c r="AB414" t="s">
        <v>93</v>
      </c>
    </row>
    <row r="415" spans="1:28" x14ac:dyDescent="0.3">
      <c r="A415" t="s">
        <v>595</v>
      </c>
      <c r="C415" t="s">
        <v>153</v>
      </c>
      <c r="D415" t="s">
        <v>154</v>
      </c>
      <c r="E415" t="s">
        <v>990</v>
      </c>
      <c r="F415">
        <v>1</v>
      </c>
      <c r="G415" t="s">
        <v>36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</v>
      </c>
      <c r="P415" t="s">
        <v>596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1</v>
      </c>
      <c r="X415" t="s">
        <v>158</v>
      </c>
      <c r="AB415" t="s">
        <v>138</v>
      </c>
    </row>
    <row r="416" spans="1:28" x14ac:dyDescent="0.3">
      <c r="A416" t="s">
        <v>922</v>
      </c>
      <c r="C416" t="s">
        <v>153</v>
      </c>
      <c r="D416" t="s">
        <v>154</v>
      </c>
      <c r="E416" t="s">
        <v>990</v>
      </c>
      <c r="F416">
        <v>2</v>
      </c>
      <c r="G416" t="s">
        <v>923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 t="s">
        <v>26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 t="s">
        <v>158</v>
      </c>
      <c r="AB416" t="s">
        <v>144</v>
      </c>
    </row>
    <row r="417" spans="1:28" x14ac:dyDescent="0.3">
      <c r="A417" t="s">
        <v>1206</v>
      </c>
      <c r="C417" t="s">
        <v>153</v>
      </c>
      <c r="D417" t="s">
        <v>154</v>
      </c>
      <c r="E417" t="s">
        <v>990</v>
      </c>
      <c r="F417">
        <v>2</v>
      </c>
      <c r="G417" t="s">
        <v>725</v>
      </c>
      <c r="H417">
        <v>0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 t="s">
        <v>204</v>
      </c>
      <c r="AB417" t="s">
        <v>138</v>
      </c>
    </row>
    <row r="418" spans="1:28" x14ac:dyDescent="0.3">
      <c r="A418" t="s">
        <v>446</v>
      </c>
      <c r="C418" t="s">
        <v>156</v>
      </c>
      <c r="D418" t="s">
        <v>154</v>
      </c>
      <c r="E418" t="s">
        <v>997</v>
      </c>
      <c r="F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 t="s">
        <v>18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 t="s">
        <v>204</v>
      </c>
      <c r="Y418" t="s">
        <v>19</v>
      </c>
      <c r="AB418" t="s">
        <v>138</v>
      </c>
    </row>
    <row r="419" spans="1:28" x14ac:dyDescent="0.3">
      <c r="A419" t="s">
        <v>602</v>
      </c>
      <c r="C419" t="s">
        <v>156</v>
      </c>
      <c r="D419" t="s">
        <v>154</v>
      </c>
      <c r="E419" t="s">
        <v>1110</v>
      </c>
      <c r="F419">
        <v>4</v>
      </c>
      <c r="G419" t="s">
        <v>258</v>
      </c>
      <c r="H419">
        <v>2</v>
      </c>
      <c r="I419">
        <v>0</v>
      </c>
      <c r="J419">
        <v>0</v>
      </c>
      <c r="K419">
        <v>0</v>
      </c>
      <c r="L419">
        <v>2</v>
      </c>
      <c r="M419">
        <v>0</v>
      </c>
      <c r="N419">
        <v>0</v>
      </c>
      <c r="O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 t="s">
        <v>204</v>
      </c>
      <c r="Y419" t="s">
        <v>17</v>
      </c>
      <c r="AB419" t="s">
        <v>138</v>
      </c>
    </row>
    <row r="420" spans="1:28" x14ac:dyDescent="0.3">
      <c r="A420" t="s">
        <v>572</v>
      </c>
      <c r="C420" t="s">
        <v>156</v>
      </c>
      <c r="D420" t="s">
        <v>154</v>
      </c>
      <c r="E420" t="s">
        <v>1032</v>
      </c>
      <c r="F420">
        <v>4</v>
      </c>
      <c r="G420" t="s">
        <v>1207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2</v>
      </c>
      <c r="O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 t="s">
        <v>204</v>
      </c>
      <c r="AB420" t="s">
        <v>138</v>
      </c>
    </row>
    <row r="421" spans="1:28" x14ac:dyDescent="0.3">
      <c r="A421" t="s">
        <v>1208</v>
      </c>
      <c r="C421" t="s">
        <v>175</v>
      </c>
      <c r="D421" t="s">
        <v>154</v>
      </c>
      <c r="E421" t="s">
        <v>996</v>
      </c>
      <c r="F421">
        <v>2</v>
      </c>
      <c r="G421" t="s">
        <v>1209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2</v>
      </c>
      <c r="N421">
        <v>0</v>
      </c>
      <c r="O421">
        <v>2</v>
      </c>
      <c r="P421" t="s">
        <v>209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 t="s">
        <v>204</v>
      </c>
      <c r="Y421" t="s">
        <v>358</v>
      </c>
      <c r="AB421" t="s">
        <v>141</v>
      </c>
    </row>
    <row r="422" spans="1:28" x14ac:dyDescent="0.3">
      <c r="A422" t="s">
        <v>610</v>
      </c>
      <c r="C422" t="s">
        <v>175</v>
      </c>
      <c r="D422" t="s">
        <v>154</v>
      </c>
      <c r="E422" t="s">
        <v>996</v>
      </c>
      <c r="F422">
        <v>2</v>
      </c>
      <c r="G422" t="s">
        <v>611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 t="s">
        <v>204</v>
      </c>
      <c r="Y422" t="s">
        <v>162</v>
      </c>
      <c r="AB422" t="s">
        <v>140</v>
      </c>
    </row>
    <row r="423" spans="1:28" x14ac:dyDescent="0.3">
      <c r="A423" t="s">
        <v>605</v>
      </c>
      <c r="C423" t="s">
        <v>175</v>
      </c>
      <c r="D423" t="s">
        <v>154</v>
      </c>
      <c r="E423" t="s">
        <v>996</v>
      </c>
      <c r="F423">
        <v>4</v>
      </c>
      <c r="G423" t="s">
        <v>1210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1</v>
      </c>
      <c r="N423">
        <v>1</v>
      </c>
      <c r="O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 t="s">
        <v>158</v>
      </c>
      <c r="AB423" t="s">
        <v>138</v>
      </c>
    </row>
    <row r="424" spans="1:28" x14ac:dyDescent="0.3">
      <c r="A424" t="s">
        <v>906</v>
      </c>
      <c r="C424" t="s">
        <v>175</v>
      </c>
      <c r="D424" t="s">
        <v>154</v>
      </c>
      <c r="E424" t="s">
        <v>996</v>
      </c>
      <c r="F424">
        <v>2</v>
      </c>
      <c r="G424" t="s">
        <v>179</v>
      </c>
      <c r="H424">
        <v>0</v>
      </c>
      <c r="I424">
        <v>0</v>
      </c>
      <c r="J424">
        <v>0</v>
      </c>
      <c r="K424">
        <v>0</v>
      </c>
      <c r="L424">
        <v>2</v>
      </c>
      <c r="M424">
        <v>0</v>
      </c>
      <c r="N424">
        <v>0</v>
      </c>
      <c r="O424">
        <v>1</v>
      </c>
      <c r="P424" t="s">
        <v>20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 t="s">
        <v>204</v>
      </c>
      <c r="AB424" t="s">
        <v>138</v>
      </c>
    </row>
    <row r="425" spans="1:28" x14ac:dyDescent="0.3">
      <c r="A425" t="s">
        <v>614</v>
      </c>
      <c r="C425" t="s">
        <v>156</v>
      </c>
      <c r="D425" t="s">
        <v>154</v>
      </c>
      <c r="E425" t="s">
        <v>1034</v>
      </c>
      <c r="F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2</v>
      </c>
      <c r="P425" t="s">
        <v>615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0</v>
      </c>
      <c r="X425" t="s">
        <v>204</v>
      </c>
      <c r="Y425" t="s">
        <v>16</v>
      </c>
      <c r="AB425" t="s">
        <v>138</v>
      </c>
    </row>
    <row r="426" spans="1:28" x14ac:dyDescent="0.3">
      <c r="A426" t="s">
        <v>612</v>
      </c>
      <c r="C426" t="s">
        <v>156</v>
      </c>
      <c r="D426" t="s">
        <v>154</v>
      </c>
      <c r="E426" t="s">
        <v>1211</v>
      </c>
      <c r="F426">
        <v>1</v>
      </c>
      <c r="G426" t="s">
        <v>29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 t="s">
        <v>20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 t="s">
        <v>204</v>
      </c>
      <c r="Y426" t="s">
        <v>15</v>
      </c>
      <c r="AB426" t="s">
        <v>140</v>
      </c>
    </row>
    <row r="427" spans="1:28" x14ac:dyDescent="0.3">
      <c r="A427" t="s">
        <v>1212</v>
      </c>
      <c r="C427" t="s">
        <v>156</v>
      </c>
      <c r="D427" t="s">
        <v>154</v>
      </c>
      <c r="E427" t="s">
        <v>1118</v>
      </c>
      <c r="F427">
        <v>1</v>
      </c>
      <c r="G427" t="s">
        <v>24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2</v>
      </c>
      <c r="P427" t="s">
        <v>615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1</v>
      </c>
      <c r="W427">
        <v>0</v>
      </c>
      <c r="X427" t="s">
        <v>158</v>
      </c>
      <c r="AB427" t="s">
        <v>141</v>
      </c>
    </row>
    <row r="428" spans="1:28" x14ac:dyDescent="0.3">
      <c r="A428" t="s">
        <v>537</v>
      </c>
      <c r="C428" t="s">
        <v>156</v>
      </c>
      <c r="D428" t="s">
        <v>154</v>
      </c>
      <c r="E428" t="s">
        <v>1046</v>
      </c>
      <c r="F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 t="s">
        <v>26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 t="s">
        <v>204</v>
      </c>
      <c r="AB428" t="s">
        <v>142</v>
      </c>
    </row>
    <row r="429" spans="1:28" x14ac:dyDescent="0.3">
      <c r="A429" t="s">
        <v>1213</v>
      </c>
      <c r="C429" t="s">
        <v>156</v>
      </c>
      <c r="D429" t="s">
        <v>154</v>
      </c>
      <c r="E429" t="s">
        <v>1119</v>
      </c>
      <c r="F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 t="s">
        <v>26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 t="s">
        <v>204</v>
      </c>
      <c r="AB429" t="s">
        <v>138</v>
      </c>
    </row>
    <row r="430" spans="1:28" x14ac:dyDescent="0.3">
      <c r="A430" t="s">
        <v>925</v>
      </c>
      <c r="C430" t="s">
        <v>156</v>
      </c>
      <c r="D430" t="s">
        <v>154</v>
      </c>
      <c r="E430" t="s">
        <v>1214</v>
      </c>
      <c r="F430">
        <v>2</v>
      </c>
      <c r="G430" t="s">
        <v>725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1</v>
      </c>
      <c r="P430" t="s">
        <v>26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 t="s">
        <v>158</v>
      </c>
      <c r="AB430" t="s">
        <v>138</v>
      </c>
    </row>
    <row r="431" spans="1:28" x14ac:dyDescent="0.3">
      <c r="A431" t="s">
        <v>621</v>
      </c>
      <c r="C431" t="s">
        <v>156</v>
      </c>
      <c r="D431" t="s">
        <v>154</v>
      </c>
      <c r="E431" t="s">
        <v>1194</v>
      </c>
      <c r="F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</v>
      </c>
      <c r="P431" t="s">
        <v>615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1</v>
      </c>
      <c r="W431">
        <v>0</v>
      </c>
      <c r="X431" t="s">
        <v>158</v>
      </c>
      <c r="AB431" t="s">
        <v>138</v>
      </c>
    </row>
    <row r="432" spans="1:28" x14ac:dyDescent="0.3">
      <c r="A432" t="s">
        <v>979</v>
      </c>
      <c r="C432" t="s">
        <v>156</v>
      </c>
      <c r="D432" t="s">
        <v>154</v>
      </c>
      <c r="E432" t="s">
        <v>1049</v>
      </c>
      <c r="F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</v>
      </c>
      <c r="P432" t="s">
        <v>613</v>
      </c>
      <c r="Q432">
        <v>3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 t="s">
        <v>204</v>
      </c>
      <c r="AB432" t="s">
        <v>138</v>
      </c>
    </row>
    <row r="433" spans="1:28" x14ac:dyDescent="0.3">
      <c r="A433" t="s">
        <v>1215</v>
      </c>
      <c r="C433" t="s">
        <v>156</v>
      </c>
      <c r="D433" t="s">
        <v>170</v>
      </c>
      <c r="F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204</v>
      </c>
      <c r="Y433" t="s">
        <v>16</v>
      </c>
      <c r="AB433" t="s">
        <v>93</v>
      </c>
    </row>
    <row r="434" spans="1:28" x14ac:dyDescent="0.3">
      <c r="A434" t="s">
        <v>929</v>
      </c>
      <c r="C434" t="s">
        <v>156</v>
      </c>
      <c r="D434" t="s">
        <v>170</v>
      </c>
      <c r="E434" t="s">
        <v>987</v>
      </c>
      <c r="F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 t="s">
        <v>204</v>
      </c>
      <c r="Y434" t="s">
        <v>16</v>
      </c>
      <c r="AB434" t="s">
        <v>142</v>
      </c>
    </row>
    <row r="435" spans="1:28" x14ac:dyDescent="0.3">
      <c r="A435" t="s">
        <v>683</v>
      </c>
      <c r="C435" t="s">
        <v>156</v>
      </c>
      <c r="D435" t="s">
        <v>170</v>
      </c>
      <c r="E435" t="s">
        <v>987</v>
      </c>
      <c r="F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204</v>
      </c>
      <c r="Y435" t="s">
        <v>162</v>
      </c>
      <c r="AB435" t="s">
        <v>93</v>
      </c>
    </row>
    <row r="436" spans="1:28" x14ac:dyDescent="0.3">
      <c r="A436" t="s">
        <v>1216</v>
      </c>
      <c r="C436" t="s">
        <v>156</v>
      </c>
      <c r="D436" t="s">
        <v>170</v>
      </c>
      <c r="E436" t="s">
        <v>987</v>
      </c>
      <c r="F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 t="s">
        <v>158</v>
      </c>
      <c r="AB436" t="s">
        <v>138</v>
      </c>
    </row>
    <row r="437" spans="1:28" x14ac:dyDescent="0.3">
      <c r="A437" t="s">
        <v>1217</v>
      </c>
      <c r="C437" t="s">
        <v>156</v>
      </c>
      <c r="D437" t="s">
        <v>170</v>
      </c>
      <c r="E437" t="s">
        <v>987</v>
      </c>
      <c r="F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t="s">
        <v>158</v>
      </c>
      <c r="AB437" t="s">
        <v>138</v>
      </c>
    </row>
    <row r="438" spans="1:28" x14ac:dyDescent="0.3">
      <c r="A438" t="s">
        <v>724</v>
      </c>
      <c r="C438" t="s">
        <v>156</v>
      </c>
      <c r="D438" t="s">
        <v>170</v>
      </c>
      <c r="E438" t="s">
        <v>987</v>
      </c>
      <c r="F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t="s">
        <v>204</v>
      </c>
      <c r="AB438" t="s">
        <v>138</v>
      </c>
    </row>
    <row r="439" spans="1:28" x14ac:dyDescent="0.3">
      <c r="A439" t="s">
        <v>930</v>
      </c>
      <c r="C439" t="s">
        <v>156</v>
      </c>
      <c r="D439" t="s">
        <v>170</v>
      </c>
      <c r="E439" t="s">
        <v>1058</v>
      </c>
      <c r="F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 t="s">
        <v>204</v>
      </c>
      <c r="AB439" t="s">
        <v>138</v>
      </c>
    </row>
    <row r="440" spans="1:28" x14ac:dyDescent="0.3">
      <c r="A440" t="s">
        <v>947</v>
      </c>
      <c r="C440" t="s">
        <v>156</v>
      </c>
      <c r="D440" t="s">
        <v>170</v>
      </c>
      <c r="E440" t="s">
        <v>985</v>
      </c>
      <c r="F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t="s">
        <v>204</v>
      </c>
      <c r="Y440" t="s">
        <v>17</v>
      </c>
      <c r="AB440" t="s">
        <v>138</v>
      </c>
    </row>
    <row r="441" spans="1:28" x14ac:dyDescent="0.3">
      <c r="A441" t="s">
        <v>678</v>
      </c>
      <c r="C441" t="s">
        <v>156</v>
      </c>
      <c r="D441" t="s">
        <v>170</v>
      </c>
      <c r="E441" t="s">
        <v>1137</v>
      </c>
      <c r="F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204</v>
      </c>
      <c r="Y441" t="s">
        <v>21</v>
      </c>
      <c r="AB441" t="s">
        <v>143</v>
      </c>
    </row>
    <row r="442" spans="1:28" x14ac:dyDescent="0.3">
      <c r="A442" t="s">
        <v>630</v>
      </c>
      <c r="C442" t="s">
        <v>156</v>
      </c>
      <c r="D442" t="s">
        <v>170</v>
      </c>
      <c r="E442" t="s">
        <v>1137</v>
      </c>
      <c r="F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t="s">
        <v>204</v>
      </c>
      <c r="AB442" t="s">
        <v>138</v>
      </c>
    </row>
    <row r="443" spans="1:28" x14ac:dyDescent="0.3">
      <c r="A443" t="s">
        <v>728</v>
      </c>
      <c r="C443" t="s">
        <v>156</v>
      </c>
      <c r="D443" t="s">
        <v>170</v>
      </c>
      <c r="E443" t="s">
        <v>1072</v>
      </c>
      <c r="F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t="s">
        <v>204</v>
      </c>
      <c r="AB443" t="s">
        <v>142</v>
      </c>
    </row>
    <row r="444" spans="1:28" x14ac:dyDescent="0.3">
      <c r="A444" t="s">
        <v>688</v>
      </c>
      <c r="C444" t="s">
        <v>156</v>
      </c>
      <c r="D444" t="s">
        <v>170</v>
      </c>
      <c r="E444" t="s">
        <v>1023</v>
      </c>
      <c r="F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158</v>
      </c>
      <c r="AB444" t="s">
        <v>138</v>
      </c>
    </row>
    <row r="445" spans="1:28" x14ac:dyDescent="0.3">
      <c r="A445" t="s">
        <v>1218</v>
      </c>
      <c r="C445" t="s">
        <v>156</v>
      </c>
      <c r="D445" t="s">
        <v>170</v>
      </c>
      <c r="E445" t="s">
        <v>1121</v>
      </c>
      <c r="F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204</v>
      </c>
      <c r="AB445" t="s">
        <v>138</v>
      </c>
    </row>
    <row r="446" spans="1:28" x14ac:dyDescent="0.3">
      <c r="A446" t="s">
        <v>624</v>
      </c>
      <c r="C446" t="s">
        <v>156</v>
      </c>
      <c r="D446" t="s">
        <v>170</v>
      </c>
      <c r="E446" t="s">
        <v>1091</v>
      </c>
      <c r="F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204</v>
      </c>
      <c r="Y446" t="s">
        <v>17</v>
      </c>
      <c r="AB446" t="s">
        <v>138</v>
      </c>
    </row>
    <row r="447" spans="1:28" x14ac:dyDescent="0.3">
      <c r="A447" t="s">
        <v>708</v>
      </c>
      <c r="C447" t="s">
        <v>156</v>
      </c>
      <c r="D447" t="s">
        <v>170</v>
      </c>
      <c r="E447" t="s">
        <v>1091</v>
      </c>
      <c r="F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t="s">
        <v>204</v>
      </c>
      <c r="AB447" t="s">
        <v>138</v>
      </c>
    </row>
    <row r="448" spans="1:28" x14ac:dyDescent="0.3">
      <c r="A448" t="s">
        <v>716</v>
      </c>
      <c r="C448" t="s">
        <v>156</v>
      </c>
      <c r="D448" t="s">
        <v>170</v>
      </c>
      <c r="E448" t="s">
        <v>1074</v>
      </c>
      <c r="F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t="s">
        <v>204</v>
      </c>
      <c r="AB448" t="s">
        <v>138</v>
      </c>
    </row>
    <row r="449" spans="1:28" x14ac:dyDescent="0.3">
      <c r="A449" t="s">
        <v>701</v>
      </c>
      <c r="C449" t="s">
        <v>156</v>
      </c>
      <c r="D449" t="s">
        <v>170</v>
      </c>
      <c r="E449" t="s">
        <v>1219</v>
      </c>
      <c r="F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158</v>
      </c>
      <c r="AB449" t="s">
        <v>138</v>
      </c>
    </row>
    <row r="450" spans="1:28" x14ac:dyDescent="0.3">
      <c r="A450" t="s">
        <v>1220</v>
      </c>
      <c r="C450" t="s">
        <v>156</v>
      </c>
      <c r="D450" t="s">
        <v>170</v>
      </c>
      <c r="E450" t="s">
        <v>1067</v>
      </c>
      <c r="F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t="s">
        <v>204</v>
      </c>
      <c r="AB450" t="s">
        <v>142</v>
      </c>
    </row>
    <row r="451" spans="1:28" x14ac:dyDescent="0.3">
      <c r="A451" t="s">
        <v>1221</v>
      </c>
      <c r="C451" t="s">
        <v>156</v>
      </c>
      <c r="D451" t="s">
        <v>170</v>
      </c>
      <c r="E451" t="s">
        <v>1222</v>
      </c>
      <c r="F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t="s">
        <v>204</v>
      </c>
      <c r="AB451" t="s">
        <v>138</v>
      </c>
    </row>
    <row r="452" spans="1:28" x14ac:dyDescent="0.3">
      <c r="A452" t="s">
        <v>699</v>
      </c>
      <c r="C452" t="s">
        <v>156</v>
      </c>
      <c r="D452" t="s">
        <v>170</v>
      </c>
      <c r="E452" t="s">
        <v>986</v>
      </c>
      <c r="F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t="s">
        <v>204</v>
      </c>
      <c r="Y452" t="s">
        <v>262</v>
      </c>
      <c r="AB452" t="s">
        <v>138</v>
      </c>
    </row>
    <row r="453" spans="1:28" x14ac:dyDescent="0.3">
      <c r="A453" t="s">
        <v>712</v>
      </c>
      <c r="C453" t="s">
        <v>156</v>
      </c>
      <c r="D453" t="s">
        <v>170</v>
      </c>
      <c r="E453" t="s">
        <v>986</v>
      </c>
      <c r="F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 t="s">
        <v>204</v>
      </c>
      <c r="Y453" t="s">
        <v>11</v>
      </c>
      <c r="AB453" t="s">
        <v>138</v>
      </c>
    </row>
    <row r="454" spans="1:28" x14ac:dyDescent="0.3">
      <c r="A454" t="s">
        <v>1223</v>
      </c>
      <c r="C454" t="s">
        <v>156</v>
      </c>
      <c r="D454" t="s">
        <v>170</v>
      </c>
      <c r="E454" t="s">
        <v>986</v>
      </c>
      <c r="F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204</v>
      </c>
      <c r="Y454" t="s">
        <v>162</v>
      </c>
      <c r="AB454" t="s">
        <v>138</v>
      </c>
    </row>
    <row r="455" spans="1:28" x14ac:dyDescent="0.3">
      <c r="A455" t="s">
        <v>638</v>
      </c>
      <c r="C455" t="s">
        <v>156</v>
      </c>
      <c r="D455" t="s">
        <v>170</v>
      </c>
      <c r="E455" t="s">
        <v>986</v>
      </c>
      <c r="F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t="s">
        <v>204</v>
      </c>
      <c r="Y455" t="s">
        <v>13</v>
      </c>
      <c r="AB455" t="s">
        <v>138</v>
      </c>
    </row>
    <row r="456" spans="1:28" x14ac:dyDescent="0.3">
      <c r="A456" t="s">
        <v>557</v>
      </c>
      <c r="C456" t="s">
        <v>156</v>
      </c>
      <c r="D456" t="s">
        <v>170</v>
      </c>
      <c r="E456" t="s">
        <v>986</v>
      </c>
      <c r="F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t="s">
        <v>204</v>
      </c>
      <c r="Y456" t="s">
        <v>21</v>
      </c>
      <c r="AB456" t="s">
        <v>138</v>
      </c>
    </row>
    <row r="457" spans="1:28" x14ac:dyDescent="0.3">
      <c r="A457" t="s">
        <v>636</v>
      </c>
      <c r="C457" t="s">
        <v>156</v>
      </c>
      <c r="D457" t="s">
        <v>170</v>
      </c>
      <c r="E457" t="s">
        <v>986</v>
      </c>
      <c r="F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t="s">
        <v>158</v>
      </c>
      <c r="AB457" t="s">
        <v>138</v>
      </c>
    </row>
    <row r="458" spans="1:28" x14ac:dyDescent="0.3">
      <c r="A458" t="s">
        <v>627</v>
      </c>
      <c r="C458" t="s">
        <v>156</v>
      </c>
      <c r="D458" t="s">
        <v>170</v>
      </c>
      <c r="E458" t="s">
        <v>986</v>
      </c>
      <c r="F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 t="s">
        <v>158</v>
      </c>
      <c r="AB458" t="s">
        <v>138</v>
      </c>
    </row>
    <row r="459" spans="1:28" x14ac:dyDescent="0.3">
      <c r="A459" t="s">
        <v>1224</v>
      </c>
      <c r="C459" t="s">
        <v>156</v>
      </c>
      <c r="D459" t="s">
        <v>170</v>
      </c>
      <c r="E459" t="s">
        <v>986</v>
      </c>
      <c r="F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158</v>
      </c>
      <c r="AB459" t="s">
        <v>143</v>
      </c>
    </row>
    <row r="460" spans="1:28" x14ac:dyDescent="0.3">
      <c r="A460" t="s">
        <v>656</v>
      </c>
      <c r="C460" t="s">
        <v>156</v>
      </c>
      <c r="D460" t="s">
        <v>170</v>
      </c>
      <c r="E460" t="s">
        <v>986</v>
      </c>
      <c r="F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 t="s">
        <v>158</v>
      </c>
      <c r="AB460" t="s">
        <v>143</v>
      </c>
    </row>
    <row r="461" spans="1:28" x14ac:dyDescent="0.3">
      <c r="A461" t="s">
        <v>628</v>
      </c>
      <c r="C461" t="s">
        <v>156</v>
      </c>
      <c r="D461" t="s">
        <v>170</v>
      </c>
      <c r="E461" t="s">
        <v>986</v>
      </c>
      <c r="F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 t="s">
        <v>204</v>
      </c>
      <c r="AB461" t="s">
        <v>93</v>
      </c>
    </row>
    <row r="462" spans="1:28" x14ac:dyDescent="0.3">
      <c r="A462" t="s">
        <v>675</v>
      </c>
      <c r="C462" t="s">
        <v>156</v>
      </c>
      <c r="D462" t="s">
        <v>170</v>
      </c>
      <c r="E462" t="s">
        <v>986</v>
      </c>
      <c r="F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204</v>
      </c>
      <c r="AB462" t="s">
        <v>141</v>
      </c>
    </row>
    <row r="463" spans="1:28" x14ac:dyDescent="0.3">
      <c r="A463" t="s">
        <v>718</v>
      </c>
      <c r="C463" t="s">
        <v>156</v>
      </c>
      <c r="D463" t="s">
        <v>170</v>
      </c>
      <c r="E463" t="s">
        <v>986</v>
      </c>
      <c r="F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 t="s">
        <v>204</v>
      </c>
      <c r="AB463" t="s">
        <v>138</v>
      </c>
    </row>
    <row r="464" spans="1:28" x14ac:dyDescent="0.3">
      <c r="A464" t="s">
        <v>1225</v>
      </c>
      <c r="C464" t="s">
        <v>156</v>
      </c>
      <c r="D464" t="s">
        <v>170</v>
      </c>
      <c r="E464" t="s">
        <v>986</v>
      </c>
      <c r="F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t="s">
        <v>204</v>
      </c>
      <c r="AB464" t="s">
        <v>138</v>
      </c>
    </row>
    <row r="465" spans="1:28" x14ac:dyDescent="0.3">
      <c r="A465" t="s">
        <v>944</v>
      </c>
      <c r="C465" t="s">
        <v>156</v>
      </c>
      <c r="D465" t="s">
        <v>170</v>
      </c>
      <c r="E465" t="s">
        <v>986</v>
      </c>
      <c r="F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t="s">
        <v>204</v>
      </c>
      <c r="AB465" t="s">
        <v>138</v>
      </c>
    </row>
    <row r="466" spans="1:28" x14ac:dyDescent="0.3">
      <c r="A466" t="s">
        <v>661</v>
      </c>
      <c r="C466" t="s">
        <v>156</v>
      </c>
      <c r="D466" t="s">
        <v>170</v>
      </c>
      <c r="E466" t="s">
        <v>984</v>
      </c>
      <c r="F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204</v>
      </c>
      <c r="Y466" t="s">
        <v>262</v>
      </c>
      <c r="AB466" t="s">
        <v>138</v>
      </c>
    </row>
    <row r="467" spans="1:28" x14ac:dyDescent="0.3">
      <c r="A467" t="s">
        <v>663</v>
      </c>
      <c r="C467" t="s">
        <v>156</v>
      </c>
      <c r="D467" t="s">
        <v>170</v>
      </c>
      <c r="E467" t="s">
        <v>984</v>
      </c>
      <c r="F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204</v>
      </c>
      <c r="Y467" t="s">
        <v>15</v>
      </c>
      <c r="AB467" t="s">
        <v>138</v>
      </c>
    </row>
    <row r="468" spans="1:28" x14ac:dyDescent="0.3">
      <c r="A468" t="s">
        <v>940</v>
      </c>
      <c r="C468" t="s">
        <v>156</v>
      </c>
      <c r="D468" t="s">
        <v>170</v>
      </c>
      <c r="E468" t="s">
        <v>984</v>
      </c>
      <c r="F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 t="s">
        <v>204</v>
      </c>
      <c r="Y468" t="s">
        <v>233</v>
      </c>
      <c r="AB468" t="s">
        <v>143</v>
      </c>
    </row>
    <row r="469" spans="1:28" x14ac:dyDescent="0.3">
      <c r="A469" t="s">
        <v>648</v>
      </c>
      <c r="C469" t="s">
        <v>156</v>
      </c>
      <c r="D469" t="s">
        <v>170</v>
      </c>
      <c r="E469" t="s">
        <v>984</v>
      </c>
      <c r="F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 t="s">
        <v>204</v>
      </c>
      <c r="Y469" t="s">
        <v>19</v>
      </c>
      <c r="AB469" t="s">
        <v>138</v>
      </c>
    </row>
    <row r="470" spans="1:28" x14ac:dyDescent="0.3">
      <c r="A470" t="s">
        <v>697</v>
      </c>
      <c r="C470" t="s">
        <v>156</v>
      </c>
      <c r="D470" t="s">
        <v>170</v>
      </c>
      <c r="E470" t="s">
        <v>984</v>
      </c>
      <c r="F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158</v>
      </c>
      <c r="AB470" t="s">
        <v>138</v>
      </c>
    </row>
    <row r="471" spans="1:28" x14ac:dyDescent="0.3">
      <c r="A471" t="s">
        <v>1226</v>
      </c>
      <c r="C471" t="s">
        <v>156</v>
      </c>
      <c r="D471" t="s">
        <v>170</v>
      </c>
      <c r="E471" t="s">
        <v>984</v>
      </c>
      <c r="F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158</v>
      </c>
      <c r="AB471" t="s">
        <v>138</v>
      </c>
    </row>
    <row r="472" spans="1:28" x14ac:dyDescent="0.3">
      <c r="A472" t="s">
        <v>637</v>
      </c>
      <c r="C472" t="s">
        <v>156</v>
      </c>
      <c r="D472" t="s">
        <v>170</v>
      </c>
      <c r="E472" t="s">
        <v>984</v>
      </c>
      <c r="F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158</v>
      </c>
      <c r="AB472" t="s">
        <v>138</v>
      </c>
    </row>
    <row r="473" spans="1:28" x14ac:dyDescent="0.3">
      <c r="A473" t="s">
        <v>672</v>
      </c>
      <c r="C473" t="s">
        <v>156</v>
      </c>
      <c r="D473" t="s">
        <v>170</v>
      </c>
      <c r="E473" t="s">
        <v>984</v>
      </c>
      <c r="F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 t="s">
        <v>204</v>
      </c>
      <c r="AB473" t="s">
        <v>141</v>
      </c>
    </row>
    <row r="474" spans="1:28" x14ac:dyDescent="0.3">
      <c r="A474" t="s">
        <v>673</v>
      </c>
      <c r="C474" t="s">
        <v>156</v>
      </c>
      <c r="D474" t="s">
        <v>170</v>
      </c>
      <c r="E474" t="s">
        <v>984</v>
      </c>
      <c r="F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204</v>
      </c>
      <c r="AB474" t="s">
        <v>138</v>
      </c>
    </row>
    <row r="475" spans="1:28" x14ac:dyDescent="0.3">
      <c r="A475" t="s">
        <v>682</v>
      </c>
      <c r="C475" t="s">
        <v>156</v>
      </c>
      <c r="D475" t="s">
        <v>170</v>
      </c>
      <c r="E475" t="s">
        <v>984</v>
      </c>
      <c r="F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 t="s">
        <v>204</v>
      </c>
      <c r="AB475" t="s">
        <v>139</v>
      </c>
    </row>
    <row r="476" spans="1:28" x14ac:dyDescent="0.3">
      <c r="A476" t="s">
        <v>633</v>
      </c>
      <c r="C476" t="s">
        <v>156</v>
      </c>
      <c r="D476" t="s">
        <v>170</v>
      </c>
      <c r="E476" t="s">
        <v>1026</v>
      </c>
      <c r="F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204</v>
      </c>
      <c r="Y476" t="s">
        <v>358</v>
      </c>
      <c r="AB476" t="s">
        <v>138</v>
      </c>
    </row>
    <row r="477" spans="1:28" x14ac:dyDescent="0.3">
      <c r="A477" t="s">
        <v>652</v>
      </c>
      <c r="C477" t="s">
        <v>156</v>
      </c>
      <c r="D477" t="s">
        <v>170</v>
      </c>
      <c r="E477" t="s">
        <v>1026</v>
      </c>
      <c r="F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 t="s">
        <v>204</v>
      </c>
      <c r="Y477" t="s">
        <v>162</v>
      </c>
      <c r="AB477" t="s">
        <v>138</v>
      </c>
    </row>
    <row r="478" spans="1:28" x14ac:dyDescent="0.3">
      <c r="A478" t="s">
        <v>926</v>
      </c>
      <c r="C478" t="s">
        <v>156</v>
      </c>
      <c r="D478" t="s">
        <v>170</v>
      </c>
      <c r="E478" t="s">
        <v>1026</v>
      </c>
      <c r="F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 t="s">
        <v>158</v>
      </c>
      <c r="AB478" t="s">
        <v>138</v>
      </c>
    </row>
    <row r="479" spans="1:28" x14ac:dyDescent="0.3">
      <c r="A479" t="s">
        <v>933</v>
      </c>
      <c r="C479" t="s">
        <v>156</v>
      </c>
      <c r="D479" t="s">
        <v>170</v>
      </c>
      <c r="E479" t="s">
        <v>1026</v>
      </c>
      <c r="F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 t="s">
        <v>204</v>
      </c>
      <c r="AB479" t="s">
        <v>138</v>
      </c>
    </row>
    <row r="480" spans="1:28" x14ac:dyDescent="0.3">
      <c r="A480" t="s">
        <v>671</v>
      </c>
      <c r="C480" t="s">
        <v>156</v>
      </c>
      <c r="D480" t="s">
        <v>170</v>
      </c>
      <c r="E480" t="s">
        <v>1100</v>
      </c>
      <c r="F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t="s">
        <v>204</v>
      </c>
      <c r="AB480" t="s">
        <v>138</v>
      </c>
    </row>
    <row r="481" spans="1:28" x14ac:dyDescent="0.3">
      <c r="A481" t="s">
        <v>690</v>
      </c>
      <c r="C481" t="s">
        <v>156</v>
      </c>
      <c r="D481" t="s">
        <v>170</v>
      </c>
      <c r="E481" t="s">
        <v>1010</v>
      </c>
      <c r="F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t="s">
        <v>204</v>
      </c>
      <c r="Y481" t="s">
        <v>233</v>
      </c>
      <c r="AB481" t="s">
        <v>138</v>
      </c>
    </row>
    <row r="482" spans="1:28" x14ac:dyDescent="0.3">
      <c r="A482" t="s">
        <v>655</v>
      </c>
      <c r="C482" t="s">
        <v>156</v>
      </c>
      <c r="D482" t="s">
        <v>170</v>
      </c>
      <c r="E482" t="s">
        <v>1010</v>
      </c>
      <c r="F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t="s">
        <v>158</v>
      </c>
      <c r="AB482" t="s">
        <v>138</v>
      </c>
    </row>
    <row r="483" spans="1:28" x14ac:dyDescent="0.3">
      <c r="A483" t="s">
        <v>635</v>
      </c>
      <c r="C483" t="s">
        <v>156</v>
      </c>
      <c r="D483" t="s">
        <v>170</v>
      </c>
      <c r="E483" t="s">
        <v>1010</v>
      </c>
      <c r="F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 t="s">
        <v>158</v>
      </c>
      <c r="AB483" t="s">
        <v>138</v>
      </c>
    </row>
    <row r="484" spans="1:28" x14ac:dyDescent="0.3">
      <c r="A484" t="s">
        <v>639</v>
      </c>
      <c r="C484" t="s">
        <v>156</v>
      </c>
      <c r="D484" t="s">
        <v>170</v>
      </c>
      <c r="E484" t="s">
        <v>1102</v>
      </c>
      <c r="F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204</v>
      </c>
      <c r="Y484" t="s">
        <v>13</v>
      </c>
      <c r="AB484" t="s">
        <v>138</v>
      </c>
    </row>
    <row r="485" spans="1:28" x14ac:dyDescent="0.3">
      <c r="A485" t="s">
        <v>1227</v>
      </c>
      <c r="C485" t="s">
        <v>156</v>
      </c>
      <c r="D485" t="s">
        <v>170</v>
      </c>
      <c r="E485" t="s">
        <v>1103</v>
      </c>
      <c r="F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204</v>
      </c>
      <c r="Y485" t="s">
        <v>16</v>
      </c>
      <c r="AB485" t="s">
        <v>138</v>
      </c>
    </row>
    <row r="486" spans="1:28" x14ac:dyDescent="0.3">
      <c r="A486" t="s">
        <v>1228</v>
      </c>
      <c r="C486" t="s">
        <v>156</v>
      </c>
      <c r="D486" t="s">
        <v>170</v>
      </c>
      <c r="E486" t="s">
        <v>1103</v>
      </c>
      <c r="F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t="s">
        <v>158</v>
      </c>
      <c r="AB486" t="s">
        <v>138</v>
      </c>
    </row>
    <row r="487" spans="1:28" x14ac:dyDescent="0.3">
      <c r="A487" t="s">
        <v>668</v>
      </c>
      <c r="C487" t="s">
        <v>156</v>
      </c>
      <c r="D487" t="s">
        <v>170</v>
      </c>
      <c r="E487" t="s">
        <v>1103</v>
      </c>
      <c r="F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t="s">
        <v>158</v>
      </c>
      <c r="AB487" t="s">
        <v>141</v>
      </c>
    </row>
    <row r="488" spans="1:28" x14ac:dyDescent="0.3">
      <c r="A488" t="s">
        <v>1229</v>
      </c>
      <c r="C488" t="s">
        <v>156</v>
      </c>
      <c r="D488" t="s">
        <v>170</v>
      </c>
      <c r="E488" t="s">
        <v>1103</v>
      </c>
      <c r="F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t="s">
        <v>158</v>
      </c>
      <c r="AB488" t="s">
        <v>141</v>
      </c>
    </row>
    <row r="489" spans="1:28" x14ac:dyDescent="0.3">
      <c r="A489" t="s">
        <v>1230</v>
      </c>
      <c r="C489" t="s">
        <v>156</v>
      </c>
      <c r="D489" t="s">
        <v>170</v>
      </c>
      <c r="E489" t="s">
        <v>1103</v>
      </c>
      <c r="F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 t="s">
        <v>204</v>
      </c>
      <c r="AB489" t="s">
        <v>141</v>
      </c>
    </row>
    <row r="490" spans="1:28" x14ac:dyDescent="0.3">
      <c r="A490" t="s">
        <v>1231</v>
      </c>
      <c r="C490" t="s">
        <v>156</v>
      </c>
      <c r="D490" t="s">
        <v>170</v>
      </c>
      <c r="E490" t="s">
        <v>1038</v>
      </c>
      <c r="F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204</v>
      </c>
      <c r="AB490" t="s">
        <v>141</v>
      </c>
    </row>
    <row r="491" spans="1:28" x14ac:dyDescent="0.3">
      <c r="A491" t="s">
        <v>939</v>
      </c>
      <c r="C491" t="s">
        <v>156</v>
      </c>
      <c r="D491" t="s">
        <v>170</v>
      </c>
      <c r="E491" t="s">
        <v>1232</v>
      </c>
      <c r="F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204</v>
      </c>
      <c r="Y491" t="s">
        <v>16</v>
      </c>
      <c r="AB491" t="s">
        <v>143</v>
      </c>
    </row>
    <row r="492" spans="1:28" x14ac:dyDescent="0.3">
      <c r="A492" t="s">
        <v>681</v>
      </c>
      <c r="C492" t="s">
        <v>156</v>
      </c>
      <c r="D492" t="s">
        <v>170</v>
      </c>
      <c r="E492" t="s">
        <v>1233</v>
      </c>
      <c r="F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 t="s">
        <v>204</v>
      </c>
      <c r="Y492" t="s">
        <v>233</v>
      </c>
      <c r="AB492" t="s">
        <v>138</v>
      </c>
    </row>
    <row r="493" spans="1:28" x14ac:dyDescent="0.3">
      <c r="A493" t="s">
        <v>634</v>
      </c>
      <c r="C493" t="s">
        <v>156</v>
      </c>
      <c r="D493" t="s">
        <v>170</v>
      </c>
      <c r="E493" t="s">
        <v>1233</v>
      </c>
      <c r="F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t="s">
        <v>158</v>
      </c>
      <c r="AB493" t="s">
        <v>138</v>
      </c>
    </row>
    <row r="494" spans="1:28" x14ac:dyDescent="0.3">
      <c r="A494" t="s">
        <v>653</v>
      </c>
      <c r="C494" t="s">
        <v>156</v>
      </c>
      <c r="D494" t="s">
        <v>170</v>
      </c>
      <c r="E494" t="s">
        <v>1161</v>
      </c>
      <c r="F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 t="s">
        <v>204</v>
      </c>
      <c r="Y494" t="s">
        <v>165</v>
      </c>
      <c r="AB494" t="s">
        <v>138</v>
      </c>
    </row>
    <row r="495" spans="1:28" x14ac:dyDescent="0.3">
      <c r="A495" t="s">
        <v>658</v>
      </c>
      <c r="C495" t="s">
        <v>156</v>
      </c>
      <c r="D495" t="s">
        <v>170</v>
      </c>
      <c r="E495" t="s">
        <v>1161</v>
      </c>
      <c r="F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 t="s">
        <v>204</v>
      </c>
      <c r="AB495" t="s">
        <v>138</v>
      </c>
    </row>
    <row r="496" spans="1:28" x14ac:dyDescent="0.3">
      <c r="A496" t="s">
        <v>1234</v>
      </c>
      <c r="C496" t="s">
        <v>156</v>
      </c>
      <c r="D496" t="s">
        <v>170</v>
      </c>
      <c r="E496" t="s">
        <v>1235</v>
      </c>
      <c r="F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t="s">
        <v>204</v>
      </c>
      <c r="AB496" t="s">
        <v>138</v>
      </c>
    </row>
    <row r="497" spans="1:28" x14ac:dyDescent="0.3">
      <c r="A497" t="s">
        <v>705</v>
      </c>
      <c r="C497" t="s">
        <v>156</v>
      </c>
      <c r="D497" t="s">
        <v>170</v>
      </c>
      <c r="E497" t="s">
        <v>991</v>
      </c>
      <c r="F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t="s">
        <v>204</v>
      </c>
      <c r="Y497" t="s">
        <v>21</v>
      </c>
      <c r="AB497" t="s">
        <v>138</v>
      </c>
    </row>
    <row r="498" spans="1:28" x14ac:dyDescent="0.3">
      <c r="A498" t="s">
        <v>679</v>
      </c>
      <c r="C498" t="s">
        <v>156</v>
      </c>
      <c r="D498" t="s">
        <v>170</v>
      </c>
      <c r="E498" t="s">
        <v>991</v>
      </c>
      <c r="F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t="s">
        <v>158</v>
      </c>
      <c r="AB498" t="s">
        <v>138</v>
      </c>
    </row>
    <row r="499" spans="1:28" x14ac:dyDescent="0.3">
      <c r="A499" t="s">
        <v>657</v>
      </c>
      <c r="C499" t="s">
        <v>156</v>
      </c>
      <c r="D499" t="s">
        <v>170</v>
      </c>
      <c r="E499" t="s">
        <v>991</v>
      </c>
      <c r="F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t="s">
        <v>204</v>
      </c>
      <c r="AB499" t="s">
        <v>138</v>
      </c>
    </row>
    <row r="500" spans="1:28" x14ac:dyDescent="0.3">
      <c r="A500" t="s">
        <v>277</v>
      </c>
      <c r="C500" t="s">
        <v>156</v>
      </c>
      <c r="D500" t="s">
        <v>170</v>
      </c>
      <c r="E500" t="s">
        <v>991</v>
      </c>
      <c r="F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 t="s">
        <v>204</v>
      </c>
      <c r="AB500" t="s">
        <v>142</v>
      </c>
    </row>
    <row r="501" spans="1:28" x14ac:dyDescent="0.3">
      <c r="A501" t="s">
        <v>659</v>
      </c>
      <c r="C501" t="s">
        <v>156</v>
      </c>
      <c r="D501" t="s">
        <v>170</v>
      </c>
      <c r="E501" t="s">
        <v>991</v>
      </c>
      <c r="F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t="s">
        <v>204</v>
      </c>
      <c r="AB501" t="s">
        <v>138</v>
      </c>
    </row>
    <row r="502" spans="1:28" x14ac:dyDescent="0.3">
      <c r="A502" t="s">
        <v>727</v>
      </c>
      <c r="C502" t="s">
        <v>156</v>
      </c>
      <c r="D502" t="s">
        <v>170</v>
      </c>
      <c r="E502" t="s">
        <v>983</v>
      </c>
      <c r="F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 t="s">
        <v>204</v>
      </c>
      <c r="Y502" t="s">
        <v>12</v>
      </c>
      <c r="AB502" t="s">
        <v>138</v>
      </c>
    </row>
    <row r="503" spans="1:28" x14ac:dyDescent="0.3">
      <c r="A503" t="s">
        <v>702</v>
      </c>
      <c r="C503" t="s">
        <v>156</v>
      </c>
      <c r="D503" t="s">
        <v>170</v>
      </c>
      <c r="E503" t="s">
        <v>983</v>
      </c>
      <c r="F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 t="s">
        <v>204</v>
      </c>
      <c r="Y503" t="s">
        <v>233</v>
      </c>
      <c r="AB503" t="s">
        <v>138</v>
      </c>
    </row>
    <row r="504" spans="1:28" x14ac:dyDescent="0.3">
      <c r="A504" t="s">
        <v>670</v>
      </c>
      <c r="C504" t="s">
        <v>156</v>
      </c>
      <c r="D504" t="s">
        <v>170</v>
      </c>
      <c r="E504" t="s">
        <v>983</v>
      </c>
      <c r="F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t="s">
        <v>204</v>
      </c>
      <c r="AB504" t="s">
        <v>140</v>
      </c>
    </row>
    <row r="505" spans="1:28" x14ac:dyDescent="0.3">
      <c r="A505" t="s">
        <v>719</v>
      </c>
      <c r="C505" t="s">
        <v>156</v>
      </c>
      <c r="D505" t="s">
        <v>170</v>
      </c>
      <c r="E505" t="s">
        <v>983</v>
      </c>
      <c r="F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 t="s">
        <v>204</v>
      </c>
      <c r="AB505" t="s">
        <v>138</v>
      </c>
    </row>
    <row r="506" spans="1:28" x14ac:dyDescent="0.3">
      <c r="A506" t="s">
        <v>641</v>
      </c>
      <c r="C506" t="s">
        <v>156</v>
      </c>
      <c r="D506" t="s">
        <v>170</v>
      </c>
      <c r="E506" t="s">
        <v>983</v>
      </c>
      <c r="F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 t="s">
        <v>204</v>
      </c>
      <c r="AB506" t="s">
        <v>138</v>
      </c>
    </row>
    <row r="507" spans="1:28" x14ac:dyDescent="0.3">
      <c r="A507" t="s">
        <v>932</v>
      </c>
      <c r="C507" t="s">
        <v>156</v>
      </c>
      <c r="D507" t="s">
        <v>170</v>
      </c>
      <c r="E507" t="s">
        <v>983</v>
      </c>
      <c r="F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t="s">
        <v>204</v>
      </c>
      <c r="AB507" t="s">
        <v>138</v>
      </c>
    </row>
    <row r="508" spans="1:28" x14ac:dyDescent="0.3">
      <c r="A508" t="s">
        <v>674</v>
      </c>
      <c r="C508" t="s">
        <v>156</v>
      </c>
      <c r="D508" t="s">
        <v>170</v>
      </c>
      <c r="E508" t="s">
        <v>983</v>
      </c>
      <c r="F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 t="s">
        <v>204</v>
      </c>
      <c r="AB508" t="s">
        <v>138</v>
      </c>
    </row>
    <row r="509" spans="1:28" x14ac:dyDescent="0.3">
      <c r="A509" t="s">
        <v>1236</v>
      </c>
      <c r="C509" t="s">
        <v>156</v>
      </c>
      <c r="D509" t="s">
        <v>170</v>
      </c>
      <c r="E509" t="s">
        <v>982</v>
      </c>
      <c r="F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 t="s">
        <v>204</v>
      </c>
      <c r="Y509" t="s">
        <v>238</v>
      </c>
      <c r="AB509" t="s">
        <v>138</v>
      </c>
    </row>
    <row r="510" spans="1:28" x14ac:dyDescent="0.3">
      <c r="A510" t="s">
        <v>662</v>
      </c>
      <c r="C510" t="s">
        <v>156</v>
      </c>
      <c r="D510" t="s">
        <v>170</v>
      </c>
      <c r="E510" t="s">
        <v>982</v>
      </c>
      <c r="F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 t="s">
        <v>204</v>
      </c>
      <c r="Y510" t="s">
        <v>11</v>
      </c>
      <c r="AB510" t="s">
        <v>138</v>
      </c>
    </row>
    <row r="511" spans="1:28" x14ac:dyDescent="0.3">
      <c r="A511" t="s">
        <v>714</v>
      </c>
      <c r="C511" t="s">
        <v>156</v>
      </c>
      <c r="D511" t="s">
        <v>170</v>
      </c>
      <c r="E511" t="s">
        <v>982</v>
      </c>
      <c r="F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t="s">
        <v>204</v>
      </c>
      <c r="Y511" t="s">
        <v>15</v>
      </c>
      <c r="AB511" t="s">
        <v>138</v>
      </c>
    </row>
    <row r="512" spans="1:28" x14ac:dyDescent="0.3">
      <c r="A512" t="s">
        <v>645</v>
      </c>
      <c r="C512" t="s">
        <v>156</v>
      </c>
      <c r="D512" t="s">
        <v>170</v>
      </c>
      <c r="E512" t="s">
        <v>982</v>
      </c>
      <c r="F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 t="s">
        <v>204</v>
      </c>
      <c r="Y512" t="s">
        <v>13</v>
      </c>
      <c r="AB512" t="s">
        <v>138</v>
      </c>
    </row>
    <row r="513" spans="1:28" x14ac:dyDescent="0.3">
      <c r="A513" t="s">
        <v>665</v>
      </c>
      <c r="C513" t="s">
        <v>156</v>
      </c>
      <c r="D513" t="s">
        <v>170</v>
      </c>
      <c r="E513" t="s">
        <v>982</v>
      </c>
      <c r="F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 t="s">
        <v>204</v>
      </c>
      <c r="Y513" t="s">
        <v>13</v>
      </c>
      <c r="AB513" t="s">
        <v>138</v>
      </c>
    </row>
    <row r="514" spans="1:28" x14ac:dyDescent="0.3">
      <c r="A514" t="s">
        <v>646</v>
      </c>
      <c r="C514" t="s">
        <v>156</v>
      </c>
      <c r="D514" t="s">
        <v>170</v>
      </c>
      <c r="E514" t="s">
        <v>982</v>
      </c>
      <c r="F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t="s">
        <v>204</v>
      </c>
      <c r="Y514" t="s">
        <v>21</v>
      </c>
      <c r="AB514" t="s">
        <v>140</v>
      </c>
    </row>
    <row r="515" spans="1:28" x14ac:dyDescent="0.3">
      <c r="A515" t="s">
        <v>669</v>
      </c>
      <c r="C515" t="s">
        <v>156</v>
      </c>
      <c r="D515" t="s">
        <v>170</v>
      </c>
      <c r="E515" t="s">
        <v>982</v>
      </c>
      <c r="F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 t="s">
        <v>158</v>
      </c>
      <c r="AB515" t="s">
        <v>144</v>
      </c>
    </row>
    <row r="516" spans="1:28" x14ac:dyDescent="0.3">
      <c r="A516" t="s">
        <v>1237</v>
      </c>
      <c r="C516" t="s">
        <v>156</v>
      </c>
      <c r="D516" t="s">
        <v>170</v>
      </c>
      <c r="E516" t="s">
        <v>982</v>
      </c>
      <c r="F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t="s">
        <v>204</v>
      </c>
      <c r="AB516" t="s">
        <v>93</v>
      </c>
    </row>
    <row r="517" spans="1:28" x14ac:dyDescent="0.3">
      <c r="A517" t="s">
        <v>647</v>
      </c>
      <c r="C517" t="s">
        <v>156</v>
      </c>
      <c r="D517" t="s">
        <v>170</v>
      </c>
      <c r="E517" t="s">
        <v>982</v>
      </c>
      <c r="F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204</v>
      </c>
      <c r="AB517" t="s">
        <v>140</v>
      </c>
    </row>
    <row r="518" spans="1:28" x14ac:dyDescent="0.3">
      <c r="A518" t="s">
        <v>1238</v>
      </c>
      <c r="C518" t="s">
        <v>156</v>
      </c>
      <c r="D518" t="s">
        <v>170</v>
      </c>
      <c r="E518" t="s">
        <v>982</v>
      </c>
      <c r="F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 t="s">
        <v>204</v>
      </c>
      <c r="AB518" t="s">
        <v>138</v>
      </c>
    </row>
    <row r="519" spans="1:28" x14ac:dyDescent="0.3">
      <c r="A519" t="s">
        <v>942</v>
      </c>
      <c r="C519" t="s">
        <v>156</v>
      </c>
      <c r="D519" t="s">
        <v>170</v>
      </c>
      <c r="E519" t="s">
        <v>982</v>
      </c>
      <c r="F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 t="s">
        <v>204</v>
      </c>
      <c r="AB519" t="s">
        <v>138</v>
      </c>
    </row>
    <row r="520" spans="1:28" x14ac:dyDescent="0.3">
      <c r="A520" t="s">
        <v>686</v>
      </c>
      <c r="C520" t="s">
        <v>156</v>
      </c>
      <c r="D520" t="s">
        <v>170</v>
      </c>
      <c r="E520" t="s">
        <v>982</v>
      </c>
      <c r="F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 t="s">
        <v>204</v>
      </c>
      <c r="AB520" t="s">
        <v>138</v>
      </c>
    </row>
    <row r="521" spans="1:28" x14ac:dyDescent="0.3">
      <c r="A521" t="s">
        <v>689</v>
      </c>
      <c r="C521" t="s">
        <v>153</v>
      </c>
      <c r="D521" t="s">
        <v>170</v>
      </c>
      <c r="E521" t="s">
        <v>990</v>
      </c>
      <c r="F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 t="s">
        <v>204</v>
      </c>
      <c r="Y521" t="s">
        <v>12</v>
      </c>
      <c r="AB521" t="s">
        <v>138</v>
      </c>
    </row>
    <row r="522" spans="1:28" x14ac:dyDescent="0.3">
      <c r="A522" t="s">
        <v>650</v>
      </c>
      <c r="C522" t="s">
        <v>153</v>
      </c>
      <c r="D522" t="s">
        <v>170</v>
      </c>
      <c r="E522" t="s">
        <v>990</v>
      </c>
      <c r="F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 t="s">
        <v>204</v>
      </c>
      <c r="Y522" t="s">
        <v>15</v>
      </c>
      <c r="AB522" t="s">
        <v>138</v>
      </c>
    </row>
    <row r="523" spans="1:28" x14ac:dyDescent="0.3">
      <c r="A523" t="s">
        <v>938</v>
      </c>
      <c r="C523" t="s">
        <v>153</v>
      </c>
      <c r="D523" t="s">
        <v>170</v>
      </c>
      <c r="E523" t="s">
        <v>990</v>
      </c>
      <c r="F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 t="s">
        <v>204</v>
      </c>
      <c r="Y523" t="s">
        <v>233</v>
      </c>
      <c r="AB523" t="s">
        <v>138</v>
      </c>
    </row>
    <row r="524" spans="1:28" x14ac:dyDescent="0.3">
      <c r="A524" t="s">
        <v>1239</v>
      </c>
      <c r="C524" t="s">
        <v>153</v>
      </c>
      <c r="D524" t="s">
        <v>170</v>
      </c>
      <c r="E524" t="s">
        <v>990</v>
      </c>
      <c r="F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 t="s">
        <v>204</v>
      </c>
      <c r="Y524" t="s">
        <v>165</v>
      </c>
      <c r="AB524" t="s">
        <v>138</v>
      </c>
    </row>
    <row r="525" spans="1:28" x14ac:dyDescent="0.3">
      <c r="A525" t="s">
        <v>739</v>
      </c>
      <c r="C525" t="s">
        <v>153</v>
      </c>
      <c r="D525" t="s">
        <v>170</v>
      </c>
      <c r="E525" t="s">
        <v>990</v>
      </c>
      <c r="F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 t="s">
        <v>204</v>
      </c>
      <c r="Y525" t="s">
        <v>17</v>
      </c>
      <c r="AB525" t="s">
        <v>138</v>
      </c>
    </row>
    <row r="526" spans="1:28" x14ac:dyDescent="0.3">
      <c r="A526" t="s">
        <v>693</v>
      </c>
      <c r="C526" t="s">
        <v>153</v>
      </c>
      <c r="D526" t="s">
        <v>170</v>
      </c>
      <c r="E526" t="s">
        <v>990</v>
      </c>
      <c r="F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t="s">
        <v>204</v>
      </c>
      <c r="Y526" t="s">
        <v>21</v>
      </c>
      <c r="AB526" t="s">
        <v>93</v>
      </c>
    </row>
    <row r="527" spans="1:28" x14ac:dyDescent="0.3">
      <c r="A527" t="s">
        <v>1240</v>
      </c>
      <c r="C527" t="s">
        <v>153</v>
      </c>
      <c r="D527" t="s">
        <v>170</v>
      </c>
      <c r="E527" t="s">
        <v>990</v>
      </c>
      <c r="F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 t="s">
        <v>158</v>
      </c>
      <c r="AB527" t="s">
        <v>138</v>
      </c>
    </row>
    <row r="528" spans="1:28" x14ac:dyDescent="0.3">
      <c r="A528" t="s">
        <v>632</v>
      </c>
      <c r="C528" t="s">
        <v>153</v>
      </c>
      <c r="D528" t="s">
        <v>170</v>
      </c>
      <c r="E528" t="s">
        <v>990</v>
      </c>
      <c r="F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t="s">
        <v>158</v>
      </c>
      <c r="AB528" t="s">
        <v>138</v>
      </c>
    </row>
    <row r="529" spans="1:28" x14ac:dyDescent="0.3">
      <c r="A529" t="s">
        <v>937</v>
      </c>
      <c r="C529" t="s">
        <v>153</v>
      </c>
      <c r="D529" t="s">
        <v>170</v>
      </c>
      <c r="E529" t="s">
        <v>990</v>
      </c>
      <c r="F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204</v>
      </c>
      <c r="AB529" t="s">
        <v>138</v>
      </c>
    </row>
    <row r="530" spans="1:28" x14ac:dyDescent="0.3">
      <c r="A530" t="s">
        <v>1241</v>
      </c>
      <c r="C530" t="s">
        <v>153</v>
      </c>
      <c r="D530" t="s">
        <v>170</v>
      </c>
      <c r="E530" t="s">
        <v>990</v>
      </c>
      <c r="F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 t="s">
        <v>204</v>
      </c>
      <c r="AB530" t="s">
        <v>138</v>
      </c>
    </row>
    <row r="531" spans="1:28" x14ac:dyDescent="0.3">
      <c r="A531" t="s">
        <v>1242</v>
      </c>
      <c r="C531" t="s">
        <v>153</v>
      </c>
      <c r="D531" t="s">
        <v>170</v>
      </c>
      <c r="E531" t="s">
        <v>990</v>
      </c>
      <c r="F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 t="s">
        <v>204</v>
      </c>
      <c r="AB531" t="s">
        <v>138</v>
      </c>
    </row>
    <row r="532" spans="1:28" x14ac:dyDescent="0.3">
      <c r="A532" t="s">
        <v>1243</v>
      </c>
      <c r="C532" t="s">
        <v>153</v>
      </c>
      <c r="D532" t="s">
        <v>170</v>
      </c>
      <c r="E532" t="s">
        <v>990</v>
      </c>
      <c r="F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 t="s">
        <v>204</v>
      </c>
      <c r="AB532" t="s">
        <v>138</v>
      </c>
    </row>
    <row r="533" spans="1:28" x14ac:dyDescent="0.3">
      <c r="A533" t="s">
        <v>677</v>
      </c>
      <c r="C533" t="s">
        <v>153</v>
      </c>
      <c r="D533" t="s">
        <v>170</v>
      </c>
      <c r="E533" t="s">
        <v>990</v>
      </c>
      <c r="F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 t="s">
        <v>204</v>
      </c>
      <c r="AB533" t="s">
        <v>138</v>
      </c>
    </row>
    <row r="534" spans="1:28" x14ac:dyDescent="0.3">
      <c r="A534" t="s">
        <v>660</v>
      </c>
      <c r="C534" t="s">
        <v>153</v>
      </c>
      <c r="D534" t="s">
        <v>170</v>
      </c>
      <c r="E534" t="s">
        <v>990</v>
      </c>
      <c r="F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 t="s">
        <v>204</v>
      </c>
      <c r="AB534" t="s">
        <v>138</v>
      </c>
    </row>
    <row r="535" spans="1:28" x14ac:dyDescent="0.3">
      <c r="A535" t="s">
        <v>729</v>
      </c>
      <c r="C535" t="s">
        <v>153</v>
      </c>
      <c r="D535" t="s">
        <v>170</v>
      </c>
      <c r="E535" t="s">
        <v>990</v>
      </c>
      <c r="F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 t="s">
        <v>204</v>
      </c>
      <c r="AB535" t="s">
        <v>138</v>
      </c>
    </row>
    <row r="536" spans="1:28" x14ac:dyDescent="0.3">
      <c r="A536" t="s">
        <v>696</v>
      </c>
      <c r="C536" t="s">
        <v>153</v>
      </c>
      <c r="D536" t="s">
        <v>170</v>
      </c>
      <c r="E536" t="s">
        <v>990</v>
      </c>
      <c r="F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 t="s">
        <v>204</v>
      </c>
      <c r="AB536" t="s">
        <v>143</v>
      </c>
    </row>
    <row r="537" spans="1:28" x14ac:dyDescent="0.3">
      <c r="A537" t="s">
        <v>640</v>
      </c>
      <c r="C537" t="s">
        <v>156</v>
      </c>
      <c r="D537" t="s">
        <v>170</v>
      </c>
      <c r="E537" t="s">
        <v>1180</v>
      </c>
      <c r="F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 t="s">
        <v>204</v>
      </c>
      <c r="Y537" t="s">
        <v>16</v>
      </c>
      <c r="AB537" t="s">
        <v>144</v>
      </c>
    </row>
    <row r="538" spans="1:28" x14ac:dyDescent="0.3">
      <c r="A538" t="s">
        <v>685</v>
      </c>
      <c r="C538" t="s">
        <v>156</v>
      </c>
      <c r="D538" t="s">
        <v>170</v>
      </c>
      <c r="E538" t="s">
        <v>1180</v>
      </c>
      <c r="F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 t="s">
        <v>204</v>
      </c>
      <c r="Y538" t="s">
        <v>21</v>
      </c>
      <c r="AB538" t="s">
        <v>142</v>
      </c>
    </row>
    <row r="539" spans="1:28" x14ac:dyDescent="0.3">
      <c r="A539" t="s">
        <v>667</v>
      </c>
      <c r="C539" t="s">
        <v>156</v>
      </c>
      <c r="D539" t="s">
        <v>170</v>
      </c>
      <c r="E539" t="s">
        <v>1031</v>
      </c>
      <c r="F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 t="s">
        <v>204</v>
      </c>
      <c r="Y539" t="s">
        <v>14</v>
      </c>
      <c r="AB539" t="s">
        <v>141</v>
      </c>
    </row>
    <row r="540" spans="1:28" x14ac:dyDescent="0.3">
      <c r="A540" t="s">
        <v>946</v>
      </c>
      <c r="C540" t="s">
        <v>156</v>
      </c>
      <c r="D540" t="s">
        <v>170</v>
      </c>
      <c r="E540" t="s">
        <v>1032</v>
      </c>
      <c r="F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 t="s">
        <v>204</v>
      </c>
      <c r="Y540" t="s">
        <v>15</v>
      </c>
      <c r="AB540" t="s">
        <v>93</v>
      </c>
    </row>
    <row r="541" spans="1:28" x14ac:dyDescent="0.3">
      <c r="A541" t="s">
        <v>704</v>
      </c>
      <c r="C541" t="s">
        <v>156</v>
      </c>
      <c r="D541" t="s">
        <v>170</v>
      </c>
      <c r="E541" t="s">
        <v>1032</v>
      </c>
      <c r="F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t="s">
        <v>204</v>
      </c>
      <c r="Y541" t="s">
        <v>162</v>
      </c>
      <c r="AB541" t="s">
        <v>138</v>
      </c>
    </row>
    <row r="542" spans="1:28" x14ac:dyDescent="0.3">
      <c r="A542" t="s">
        <v>1244</v>
      </c>
      <c r="C542" t="s">
        <v>156</v>
      </c>
      <c r="D542" t="s">
        <v>170</v>
      </c>
      <c r="E542" t="s">
        <v>1032</v>
      </c>
      <c r="F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 t="s">
        <v>204</v>
      </c>
      <c r="Y542" t="s">
        <v>233</v>
      </c>
      <c r="AB542" t="s">
        <v>138</v>
      </c>
    </row>
    <row r="543" spans="1:28" x14ac:dyDescent="0.3">
      <c r="A543" t="s">
        <v>943</v>
      </c>
      <c r="C543" t="s">
        <v>156</v>
      </c>
      <c r="D543" t="s">
        <v>170</v>
      </c>
      <c r="E543" t="s">
        <v>1032</v>
      </c>
      <c r="F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 t="s">
        <v>204</v>
      </c>
      <c r="Y543" t="s">
        <v>13</v>
      </c>
      <c r="AB543" t="s">
        <v>138</v>
      </c>
    </row>
    <row r="544" spans="1:28" x14ac:dyDescent="0.3">
      <c r="A544" t="s">
        <v>713</v>
      </c>
      <c r="C544" t="s">
        <v>156</v>
      </c>
      <c r="D544" t="s">
        <v>170</v>
      </c>
      <c r="E544" t="s">
        <v>1032</v>
      </c>
      <c r="F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 t="s">
        <v>158</v>
      </c>
      <c r="AB544" t="s">
        <v>138</v>
      </c>
    </row>
    <row r="545" spans="1:28" x14ac:dyDescent="0.3">
      <c r="A545" t="s">
        <v>676</v>
      </c>
      <c r="C545" t="s">
        <v>156</v>
      </c>
      <c r="D545" t="s">
        <v>170</v>
      </c>
      <c r="E545" t="s">
        <v>1032</v>
      </c>
      <c r="F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 t="s">
        <v>158</v>
      </c>
      <c r="AB545" t="s">
        <v>138</v>
      </c>
    </row>
    <row r="546" spans="1:28" x14ac:dyDescent="0.3">
      <c r="A546" t="s">
        <v>1245</v>
      </c>
      <c r="C546" t="s">
        <v>156</v>
      </c>
      <c r="D546" t="s">
        <v>170</v>
      </c>
      <c r="E546" t="s">
        <v>1032</v>
      </c>
      <c r="F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 t="s">
        <v>158</v>
      </c>
      <c r="AB546" t="s">
        <v>138</v>
      </c>
    </row>
    <row r="547" spans="1:28" x14ac:dyDescent="0.3">
      <c r="A547" t="s">
        <v>706</v>
      </c>
      <c r="C547" t="s">
        <v>156</v>
      </c>
      <c r="D547" t="s">
        <v>170</v>
      </c>
      <c r="E547" t="s">
        <v>1032</v>
      </c>
      <c r="F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 t="s">
        <v>158</v>
      </c>
      <c r="AB547" t="s">
        <v>138</v>
      </c>
    </row>
    <row r="548" spans="1:28" x14ac:dyDescent="0.3">
      <c r="A548" t="s">
        <v>934</v>
      </c>
      <c r="C548" t="s">
        <v>156</v>
      </c>
      <c r="D548" t="s">
        <v>170</v>
      </c>
      <c r="E548" t="s">
        <v>1032</v>
      </c>
      <c r="F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 t="s">
        <v>158</v>
      </c>
      <c r="AB548" t="s">
        <v>138</v>
      </c>
    </row>
    <row r="549" spans="1:28" x14ac:dyDescent="0.3">
      <c r="A549" t="s">
        <v>707</v>
      </c>
      <c r="C549" t="s">
        <v>156</v>
      </c>
      <c r="D549" t="s">
        <v>170</v>
      </c>
      <c r="E549" t="s">
        <v>1032</v>
      </c>
      <c r="F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 t="s">
        <v>204</v>
      </c>
      <c r="AB549" t="s">
        <v>140</v>
      </c>
    </row>
    <row r="550" spans="1:28" x14ac:dyDescent="0.3">
      <c r="A550" t="s">
        <v>710</v>
      </c>
      <c r="C550" t="s">
        <v>156</v>
      </c>
      <c r="D550" t="s">
        <v>170</v>
      </c>
      <c r="E550" t="s">
        <v>1032</v>
      </c>
      <c r="F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 t="s">
        <v>204</v>
      </c>
      <c r="AB550" t="s">
        <v>138</v>
      </c>
    </row>
    <row r="551" spans="1:28" x14ac:dyDescent="0.3">
      <c r="A551" t="s">
        <v>821</v>
      </c>
      <c r="C551" t="s">
        <v>156</v>
      </c>
      <c r="D551" t="s">
        <v>170</v>
      </c>
      <c r="E551" t="s">
        <v>1032</v>
      </c>
      <c r="F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 t="s">
        <v>204</v>
      </c>
      <c r="AB551" t="s">
        <v>138</v>
      </c>
    </row>
    <row r="552" spans="1:28" x14ac:dyDescent="0.3">
      <c r="A552" t="s">
        <v>1246</v>
      </c>
      <c r="C552" t="s">
        <v>156</v>
      </c>
      <c r="D552" t="s">
        <v>170</v>
      </c>
      <c r="E552" t="s">
        <v>995</v>
      </c>
      <c r="F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 t="s">
        <v>204</v>
      </c>
      <c r="Y552" t="s">
        <v>11</v>
      </c>
      <c r="AB552" t="s">
        <v>138</v>
      </c>
    </row>
    <row r="553" spans="1:28" x14ac:dyDescent="0.3">
      <c r="A553" t="s">
        <v>730</v>
      </c>
      <c r="C553" t="s">
        <v>156</v>
      </c>
      <c r="D553" t="s">
        <v>170</v>
      </c>
      <c r="E553" t="s">
        <v>995</v>
      </c>
      <c r="F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 t="s">
        <v>204</v>
      </c>
      <c r="Y553" t="s">
        <v>11</v>
      </c>
      <c r="AB553" t="s">
        <v>138</v>
      </c>
    </row>
    <row r="554" spans="1:28" x14ac:dyDescent="0.3">
      <c r="A554" t="s">
        <v>720</v>
      </c>
      <c r="C554" t="s">
        <v>156</v>
      </c>
      <c r="D554" t="s">
        <v>170</v>
      </c>
      <c r="E554" t="s">
        <v>995</v>
      </c>
      <c r="F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 t="s">
        <v>204</v>
      </c>
      <c r="Y554" t="s">
        <v>16</v>
      </c>
      <c r="AB554" t="s">
        <v>138</v>
      </c>
    </row>
    <row r="555" spans="1:28" x14ac:dyDescent="0.3">
      <c r="A555" t="s">
        <v>1247</v>
      </c>
      <c r="C555" t="s">
        <v>156</v>
      </c>
      <c r="D555" t="s">
        <v>170</v>
      </c>
      <c r="E555" t="s">
        <v>995</v>
      </c>
      <c r="F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 t="s">
        <v>204</v>
      </c>
      <c r="Y555" t="s">
        <v>17</v>
      </c>
      <c r="AB555" t="s">
        <v>138</v>
      </c>
    </row>
    <row r="556" spans="1:28" x14ac:dyDescent="0.3">
      <c r="A556" t="s">
        <v>666</v>
      </c>
      <c r="C556" t="s">
        <v>156</v>
      </c>
      <c r="D556" t="s">
        <v>170</v>
      </c>
      <c r="E556" t="s">
        <v>995</v>
      </c>
      <c r="F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 t="s">
        <v>204</v>
      </c>
      <c r="Y556" t="s">
        <v>14</v>
      </c>
      <c r="AB556" t="s">
        <v>138</v>
      </c>
    </row>
    <row r="557" spans="1:28" x14ac:dyDescent="0.3">
      <c r="A557" t="s">
        <v>695</v>
      </c>
      <c r="C557" t="s">
        <v>156</v>
      </c>
      <c r="D557" t="s">
        <v>170</v>
      </c>
      <c r="E557" t="s">
        <v>995</v>
      </c>
      <c r="F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t="s">
        <v>204</v>
      </c>
      <c r="Y557" t="s">
        <v>14</v>
      </c>
      <c r="AB557" t="s">
        <v>138</v>
      </c>
    </row>
    <row r="558" spans="1:28" x14ac:dyDescent="0.3">
      <c r="A558" t="s">
        <v>733</v>
      </c>
      <c r="C558" t="s">
        <v>156</v>
      </c>
      <c r="D558" t="s">
        <v>170</v>
      </c>
      <c r="E558" t="s">
        <v>995</v>
      </c>
      <c r="F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t="s">
        <v>158</v>
      </c>
      <c r="AB558" t="s">
        <v>138</v>
      </c>
    </row>
    <row r="559" spans="1:28" x14ac:dyDescent="0.3">
      <c r="A559" t="s">
        <v>642</v>
      </c>
      <c r="C559" t="s">
        <v>156</v>
      </c>
      <c r="D559" t="s">
        <v>170</v>
      </c>
      <c r="E559" t="s">
        <v>995</v>
      </c>
      <c r="F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 t="s">
        <v>158</v>
      </c>
      <c r="AB559" t="s">
        <v>138</v>
      </c>
    </row>
    <row r="560" spans="1:28" x14ac:dyDescent="0.3">
      <c r="A560" t="s">
        <v>687</v>
      </c>
      <c r="C560" t="s">
        <v>175</v>
      </c>
      <c r="D560" t="s">
        <v>170</v>
      </c>
      <c r="E560" t="s">
        <v>996</v>
      </c>
      <c r="F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204</v>
      </c>
      <c r="Y560" t="s">
        <v>16</v>
      </c>
      <c r="AB560" t="s">
        <v>138</v>
      </c>
    </row>
    <row r="561" spans="1:28" x14ac:dyDescent="0.3">
      <c r="A561" t="s">
        <v>715</v>
      </c>
      <c r="C561" t="s">
        <v>175</v>
      </c>
      <c r="D561" t="s">
        <v>170</v>
      </c>
      <c r="E561" t="s">
        <v>996</v>
      </c>
      <c r="F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 t="s">
        <v>158</v>
      </c>
      <c r="AB561" t="s">
        <v>138</v>
      </c>
    </row>
    <row r="562" spans="1:28" x14ac:dyDescent="0.3">
      <c r="A562" t="s">
        <v>1248</v>
      </c>
      <c r="C562" t="s">
        <v>175</v>
      </c>
      <c r="D562" t="s">
        <v>170</v>
      </c>
      <c r="E562" t="s">
        <v>996</v>
      </c>
      <c r="F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 t="s">
        <v>204</v>
      </c>
      <c r="AB562" t="s">
        <v>138</v>
      </c>
    </row>
    <row r="563" spans="1:28" x14ac:dyDescent="0.3">
      <c r="A563" t="s">
        <v>936</v>
      </c>
      <c r="C563" t="s">
        <v>156</v>
      </c>
      <c r="D563" t="s">
        <v>170</v>
      </c>
      <c r="E563" t="s">
        <v>994</v>
      </c>
      <c r="F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 t="s">
        <v>204</v>
      </c>
      <c r="Y563" t="s">
        <v>262</v>
      </c>
      <c r="AB563" t="s">
        <v>138</v>
      </c>
    </row>
    <row r="564" spans="1:28" x14ac:dyDescent="0.3">
      <c r="A564" t="s">
        <v>623</v>
      </c>
      <c r="C564" t="s">
        <v>156</v>
      </c>
      <c r="D564" t="s">
        <v>170</v>
      </c>
      <c r="E564" t="s">
        <v>994</v>
      </c>
      <c r="F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 t="s">
        <v>204</v>
      </c>
      <c r="Y564" t="s">
        <v>165</v>
      </c>
      <c r="AB564" t="s">
        <v>139</v>
      </c>
    </row>
    <row r="565" spans="1:28" x14ac:dyDescent="0.3">
      <c r="A565" t="s">
        <v>625</v>
      </c>
      <c r="C565" t="s">
        <v>156</v>
      </c>
      <c r="D565" t="s">
        <v>170</v>
      </c>
      <c r="E565" t="s">
        <v>994</v>
      </c>
      <c r="F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 t="s">
        <v>204</v>
      </c>
      <c r="Y565" t="s">
        <v>21</v>
      </c>
      <c r="AB565" t="s">
        <v>138</v>
      </c>
    </row>
    <row r="566" spans="1:28" x14ac:dyDescent="0.3">
      <c r="A566" t="s">
        <v>1249</v>
      </c>
      <c r="C566" t="s">
        <v>156</v>
      </c>
      <c r="D566" t="s">
        <v>170</v>
      </c>
      <c r="E566" t="s">
        <v>994</v>
      </c>
      <c r="F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 t="s">
        <v>158</v>
      </c>
      <c r="AB566" t="s">
        <v>138</v>
      </c>
    </row>
    <row r="567" spans="1:28" x14ac:dyDescent="0.3">
      <c r="A567" t="s">
        <v>626</v>
      </c>
      <c r="C567" t="s">
        <v>156</v>
      </c>
      <c r="D567" t="s">
        <v>170</v>
      </c>
      <c r="E567" t="s">
        <v>994</v>
      </c>
      <c r="F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 t="s">
        <v>158</v>
      </c>
      <c r="AB567" t="s">
        <v>138</v>
      </c>
    </row>
    <row r="568" spans="1:28" x14ac:dyDescent="0.3">
      <c r="A568" t="s">
        <v>631</v>
      </c>
      <c r="C568" t="s">
        <v>156</v>
      </c>
      <c r="D568" t="s">
        <v>170</v>
      </c>
      <c r="E568" t="s">
        <v>994</v>
      </c>
      <c r="F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 t="s">
        <v>204</v>
      </c>
      <c r="AB568" t="s">
        <v>138</v>
      </c>
    </row>
    <row r="569" spans="1:28" x14ac:dyDescent="0.3">
      <c r="A569" t="s">
        <v>654</v>
      </c>
      <c r="C569" t="s">
        <v>156</v>
      </c>
      <c r="D569" t="s">
        <v>170</v>
      </c>
      <c r="E569" t="s">
        <v>1114</v>
      </c>
      <c r="F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 t="s">
        <v>204</v>
      </c>
      <c r="Y569" t="s">
        <v>17</v>
      </c>
      <c r="AB569" t="s">
        <v>138</v>
      </c>
    </row>
    <row r="570" spans="1:28" x14ac:dyDescent="0.3">
      <c r="A570" t="s">
        <v>1250</v>
      </c>
      <c r="C570" t="s">
        <v>156</v>
      </c>
      <c r="D570" t="s">
        <v>170</v>
      </c>
      <c r="E570" t="s">
        <v>1187</v>
      </c>
      <c r="F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 t="s">
        <v>158</v>
      </c>
      <c r="AB570" t="s">
        <v>140</v>
      </c>
    </row>
    <row r="571" spans="1:28" x14ac:dyDescent="0.3">
      <c r="A571" t="s">
        <v>691</v>
      </c>
      <c r="C571" t="s">
        <v>156</v>
      </c>
      <c r="D571" t="s">
        <v>170</v>
      </c>
      <c r="E571" t="s">
        <v>542</v>
      </c>
      <c r="F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 t="s">
        <v>158</v>
      </c>
      <c r="AB571" t="s">
        <v>140</v>
      </c>
    </row>
    <row r="572" spans="1:28" x14ac:dyDescent="0.3">
      <c r="A572" t="s">
        <v>1251</v>
      </c>
      <c r="C572" t="s">
        <v>156</v>
      </c>
      <c r="D572" t="s">
        <v>170</v>
      </c>
      <c r="E572" t="s">
        <v>542</v>
      </c>
      <c r="F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 t="s">
        <v>204</v>
      </c>
      <c r="AB572" t="s">
        <v>138</v>
      </c>
    </row>
    <row r="573" spans="1:28" x14ac:dyDescent="0.3">
      <c r="A573" t="s">
        <v>1252</v>
      </c>
      <c r="C573" t="s">
        <v>156</v>
      </c>
      <c r="D573" t="s">
        <v>170</v>
      </c>
      <c r="E573" t="s">
        <v>1253</v>
      </c>
      <c r="F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204</v>
      </c>
      <c r="AB573" t="s">
        <v>138</v>
      </c>
    </row>
    <row r="574" spans="1:28" x14ac:dyDescent="0.3">
      <c r="A574" t="s">
        <v>1254</v>
      </c>
      <c r="C574" t="s">
        <v>156</v>
      </c>
      <c r="D574" t="s">
        <v>170</v>
      </c>
      <c r="E574" t="s">
        <v>1255</v>
      </c>
      <c r="F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 t="s">
        <v>204</v>
      </c>
      <c r="AB574" t="s">
        <v>138</v>
      </c>
    </row>
    <row r="575" spans="1:28" x14ac:dyDescent="0.3">
      <c r="A575" t="s">
        <v>644</v>
      </c>
      <c r="C575" t="s">
        <v>156</v>
      </c>
      <c r="D575" t="s">
        <v>170</v>
      </c>
      <c r="E575" t="s">
        <v>1014</v>
      </c>
      <c r="F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 t="s">
        <v>204</v>
      </c>
      <c r="AB575" t="s">
        <v>140</v>
      </c>
    </row>
    <row r="576" spans="1:28" x14ac:dyDescent="0.3">
      <c r="A576" t="s">
        <v>1256</v>
      </c>
      <c r="C576" t="s">
        <v>156</v>
      </c>
      <c r="D576" t="s">
        <v>170</v>
      </c>
      <c r="E576" t="s">
        <v>1014</v>
      </c>
      <c r="F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 t="s">
        <v>204</v>
      </c>
      <c r="AB576" t="s">
        <v>138</v>
      </c>
    </row>
    <row r="577" spans="1:28" x14ac:dyDescent="0.3">
      <c r="A577" t="s">
        <v>692</v>
      </c>
      <c r="C577" t="s">
        <v>156</v>
      </c>
      <c r="D577" t="s">
        <v>170</v>
      </c>
      <c r="E577" t="s">
        <v>1115</v>
      </c>
      <c r="F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 t="s">
        <v>204</v>
      </c>
      <c r="Y577" t="s">
        <v>262</v>
      </c>
      <c r="AB577" t="s">
        <v>138</v>
      </c>
    </row>
    <row r="578" spans="1:28" x14ac:dyDescent="0.3">
      <c r="A578" t="s">
        <v>927</v>
      </c>
      <c r="C578" t="s">
        <v>156</v>
      </c>
      <c r="D578" t="s">
        <v>170</v>
      </c>
      <c r="E578" t="s">
        <v>1257</v>
      </c>
      <c r="F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t="s">
        <v>158</v>
      </c>
      <c r="AB578" t="s">
        <v>138</v>
      </c>
    </row>
    <row r="579" spans="1:28" x14ac:dyDescent="0.3">
      <c r="A579" t="s">
        <v>1258</v>
      </c>
      <c r="C579" t="s">
        <v>156</v>
      </c>
      <c r="D579" t="s">
        <v>170</v>
      </c>
      <c r="E579" t="s">
        <v>1259</v>
      </c>
      <c r="F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 t="s">
        <v>204</v>
      </c>
      <c r="Y579" t="s">
        <v>180</v>
      </c>
      <c r="AB579" t="s">
        <v>138</v>
      </c>
    </row>
    <row r="580" spans="1:28" x14ac:dyDescent="0.3">
      <c r="A580" t="s">
        <v>698</v>
      </c>
      <c r="C580" t="s">
        <v>156</v>
      </c>
      <c r="D580" t="s">
        <v>170</v>
      </c>
      <c r="E580" t="s">
        <v>1116</v>
      </c>
      <c r="F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t="s">
        <v>204</v>
      </c>
      <c r="AB580" t="s">
        <v>138</v>
      </c>
    </row>
    <row r="581" spans="1:28" x14ac:dyDescent="0.3">
      <c r="A581" t="s">
        <v>664</v>
      </c>
      <c r="C581" t="s">
        <v>156</v>
      </c>
      <c r="D581" t="s">
        <v>170</v>
      </c>
      <c r="E581" t="s">
        <v>1211</v>
      </c>
      <c r="F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 t="s">
        <v>204</v>
      </c>
      <c r="Y581" t="s">
        <v>13</v>
      </c>
      <c r="AB581" t="s">
        <v>138</v>
      </c>
    </row>
    <row r="582" spans="1:28" x14ac:dyDescent="0.3">
      <c r="A582" t="s">
        <v>1260</v>
      </c>
      <c r="C582" t="s">
        <v>156</v>
      </c>
      <c r="D582" t="s">
        <v>170</v>
      </c>
      <c r="E582" t="s">
        <v>1118</v>
      </c>
      <c r="F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 t="s">
        <v>204</v>
      </c>
      <c r="Y582" t="s">
        <v>11</v>
      </c>
      <c r="AB582" t="s">
        <v>138</v>
      </c>
    </row>
    <row r="583" spans="1:28" x14ac:dyDescent="0.3">
      <c r="A583" t="s">
        <v>651</v>
      </c>
      <c r="C583" t="s">
        <v>156</v>
      </c>
      <c r="D583" t="s">
        <v>170</v>
      </c>
      <c r="E583" t="s">
        <v>1118</v>
      </c>
      <c r="F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 t="s">
        <v>204</v>
      </c>
      <c r="Y583" t="s">
        <v>15</v>
      </c>
      <c r="AB583" t="s">
        <v>138</v>
      </c>
    </row>
    <row r="584" spans="1:28" x14ac:dyDescent="0.3">
      <c r="A584" t="s">
        <v>931</v>
      </c>
      <c r="C584" t="s">
        <v>156</v>
      </c>
      <c r="D584" t="s">
        <v>170</v>
      </c>
      <c r="E584" t="s">
        <v>1118</v>
      </c>
      <c r="F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 t="s">
        <v>204</v>
      </c>
      <c r="AB584" t="s">
        <v>138</v>
      </c>
    </row>
    <row r="585" spans="1:28" x14ac:dyDescent="0.3">
      <c r="A585" t="s">
        <v>1261</v>
      </c>
      <c r="C585" t="s">
        <v>156</v>
      </c>
      <c r="D585" t="s">
        <v>170</v>
      </c>
      <c r="E585" t="s">
        <v>1020</v>
      </c>
      <c r="F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 t="s">
        <v>158</v>
      </c>
      <c r="AB585" t="s">
        <v>138</v>
      </c>
    </row>
    <row r="586" spans="1:28" x14ac:dyDescent="0.3">
      <c r="A586" t="s">
        <v>680</v>
      </c>
      <c r="C586" t="s">
        <v>156</v>
      </c>
      <c r="D586" t="s">
        <v>170</v>
      </c>
      <c r="E586" t="s">
        <v>1082</v>
      </c>
      <c r="F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t="s">
        <v>204</v>
      </c>
      <c r="Y586" t="s">
        <v>262</v>
      </c>
      <c r="AB586" t="s">
        <v>138</v>
      </c>
    </row>
    <row r="587" spans="1:28" x14ac:dyDescent="0.3">
      <c r="A587" t="s">
        <v>694</v>
      </c>
      <c r="C587" t="s">
        <v>156</v>
      </c>
      <c r="D587" t="s">
        <v>170</v>
      </c>
      <c r="E587" t="s">
        <v>1063</v>
      </c>
      <c r="F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 t="s">
        <v>204</v>
      </c>
      <c r="Y587" t="s">
        <v>17</v>
      </c>
      <c r="AB587" t="s">
        <v>138</v>
      </c>
    </row>
    <row r="588" spans="1:28" x14ac:dyDescent="0.3">
      <c r="A588" t="s">
        <v>1262</v>
      </c>
      <c r="C588" t="s">
        <v>156</v>
      </c>
      <c r="D588" t="s">
        <v>170</v>
      </c>
      <c r="E588" t="s">
        <v>1063</v>
      </c>
      <c r="F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 t="s">
        <v>158</v>
      </c>
      <c r="AB588" t="s">
        <v>140</v>
      </c>
    </row>
    <row r="589" spans="1:28" x14ac:dyDescent="0.3">
      <c r="A589" t="s">
        <v>1263</v>
      </c>
      <c r="C589" t="s">
        <v>156</v>
      </c>
      <c r="D589" t="s">
        <v>170</v>
      </c>
      <c r="E589" t="s">
        <v>1119</v>
      </c>
      <c r="F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t="s">
        <v>204</v>
      </c>
      <c r="Y589" t="s">
        <v>12</v>
      </c>
      <c r="AB589" t="s">
        <v>138</v>
      </c>
    </row>
    <row r="590" spans="1:28" x14ac:dyDescent="0.3">
      <c r="A590" t="s">
        <v>709</v>
      </c>
      <c r="C590" t="s">
        <v>156</v>
      </c>
      <c r="D590" t="s">
        <v>170</v>
      </c>
      <c r="E590" t="s">
        <v>1264</v>
      </c>
      <c r="F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 t="s">
        <v>204</v>
      </c>
      <c r="AB590" t="s">
        <v>93</v>
      </c>
    </row>
    <row r="591" spans="1:28" x14ac:dyDescent="0.3">
      <c r="A591" t="s">
        <v>935</v>
      </c>
      <c r="C591" t="s">
        <v>156</v>
      </c>
      <c r="D591" t="s">
        <v>170</v>
      </c>
      <c r="E591" t="s">
        <v>1265</v>
      </c>
      <c r="F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 t="s">
        <v>204</v>
      </c>
      <c r="AB591" t="s">
        <v>138</v>
      </c>
    </row>
    <row r="592" spans="1:28" x14ac:dyDescent="0.3">
      <c r="A592" t="s">
        <v>1266</v>
      </c>
      <c r="C592" t="s">
        <v>156</v>
      </c>
      <c r="D592" t="s">
        <v>170</v>
      </c>
      <c r="E592" t="s">
        <v>1267</v>
      </c>
      <c r="F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 t="s">
        <v>204</v>
      </c>
      <c r="Y592" t="s">
        <v>17</v>
      </c>
      <c r="AB592" t="s">
        <v>138</v>
      </c>
    </row>
    <row r="593" spans="1:28" x14ac:dyDescent="0.3">
      <c r="A593" t="s">
        <v>282</v>
      </c>
      <c r="C593" t="s">
        <v>156</v>
      </c>
      <c r="D593" t="s">
        <v>170</v>
      </c>
      <c r="E593" t="s">
        <v>987</v>
      </c>
      <c r="F593">
        <v>2</v>
      </c>
      <c r="G593" t="s">
        <v>1268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 t="s">
        <v>204</v>
      </c>
      <c r="AB593" t="s">
        <v>138</v>
      </c>
    </row>
    <row r="594" spans="1:28" x14ac:dyDescent="0.3">
      <c r="A594" t="s">
        <v>744</v>
      </c>
      <c r="C594" t="s">
        <v>156</v>
      </c>
      <c r="D594" t="s">
        <v>170</v>
      </c>
      <c r="E594" t="s">
        <v>1269</v>
      </c>
      <c r="F594">
        <v>2</v>
      </c>
      <c r="G594" t="s">
        <v>179</v>
      </c>
      <c r="H594">
        <v>0</v>
      </c>
      <c r="I594">
        <v>0</v>
      </c>
      <c r="J594">
        <v>0</v>
      </c>
      <c r="K594">
        <v>0</v>
      </c>
      <c r="L594">
        <v>2</v>
      </c>
      <c r="M594">
        <v>0</v>
      </c>
      <c r="N594">
        <v>0</v>
      </c>
      <c r="O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 t="s">
        <v>204</v>
      </c>
      <c r="AB594" t="s">
        <v>141</v>
      </c>
    </row>
    <row r="595" spans="1:28" x14ac:dyDescent="0.3">
      <c r="A595" t="s">
        <v>948</v>
      </c>
      <c r="C595" t="s">
        <v>156</v>
      </c>
      <c r="D595" t="s">
        <v>170</v>
      </c>
      <c r="E595" t="s">
        <v>986</v>
      </c>
      <c r="F595">
        <v>2</v>
      </c>
      <c r="G595" t="s">
        <v>1270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</v>
      </c>
      <c r="O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 t="s">
        <v>204</v>
      </c>
      <c r="Y595" t="s">
        <v>180</v>
      </c>
      <c r="AB595" t="s">
        <v>141</v>
      </c>
    </row>
    <row r="596" spans="1:28" x14ac:dyDescent="0.3">
      <c r="A596" t="s">
        <v>735</v>
      </c>
      <c r="C596" t="s">
        <v>156</v>
      </c>
      <c r="D596" t="s">
        <v>170</v>
      </c>
      <c r="E596" t="s">
        <v>986</v>
      </c>
      <c r="F596">
        <v>1</v>
      </c>
      <c r="G596" t="s">
        <v>27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 t="s">
        <v>204</v>
      </c>
      <c r="AB596" t="s">
        <v>141</v>
      </c>
    </row>
    <row r="597" spans="1:28" x14ac:dyDescent="0.3">
      <c r="A597" t="s">
        <v>731</v>
      </c>
      <c r="C597" t="s">
        <v>156</v>
      </c>
      <c r="D597" t="s">
        <v>170</v>
      </c>
      <c r="E597" t="s">
        <v>984</v>
      </c>
      <c r="F597">
        <v>1</v>
      </c>
      <c r="G597" t="s">
        <v>22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 t="s">
        <v>204</v>
      </c>
      <c r="Y597" t="s">
        <v>162</v>
      </c>
      <c r="AB597" t="s">
        <v>138</v>
      </c>
    </row>
    <row r="598" spans="1:28" x14ac:dyDescent="0.3">
      <c r="A598" t="s">
        <v>734</v>
      </c>
      <c r="C598" t="s">
        <v>156</v>
      </c>
      <c r="D598" t="s">
        <v>170</v>
      </c>
      <c r="E598" t="s">
        <v>984</v>
      </c>
      <c r="F598">
        <v>1</v>
      </c>
      <c r="G598" t="s">
        <v>25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t="s">
        <v>158</v>
      </c>
      <c r="AB598" t="s">
        <v>138</v>
      </c>
    </row>
    <row r="599" spans="1:28" x14ac:dyDescent="0.3">
      <c r="A599" t="s">
        <v>740</v>
      </c>
      <c r="C599" t="s">
        <v>156</v>
      </c>
      <c r="D599" t="s">
        <v>170</v>
      </c>
      <c r="E599" t="s">
        <v>1026</v>
      </c>
      <c r="F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 t="s">
        <v>26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X599" t="s">
        <v>204</v>
      </c>
      <c r="AB599" t="s">
        <v>138</v>
      </c>
    </row>
    <row r="600" spans="1:28" x14ac:dyDescent="0.3">
      <c r="A600" t="s">
        <v>1271</v>
      </c>
      <c r="C600" t="s">
        <v>156</v>
      </c>
      <c r="D600" t="s">
        <v>170</v>
      </c>
      <c r="E600" t="s">
        <v>1010</v>
      </c>
      <c r="F600">
        <v>1</v>
      </c>
      <c r="G600" t="s">
        <v>22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 t="s">
        <v>204</v>
      </c>
      <c r="Y600" t="s">
        <v>14</v>
      </c>
      <c r="AB600" t="s">
        <v>138</v>
      </c>
    </row>
    <row r="601" spans="1:28" x14ac:dyDescent="0.3">
      <c r="A601" t="s">
        <v>1272</v>
      </c>
      <c r="C601" t="s">
        <v>156</v>
      </c>
      <c r="D601" t="s">
        <v>170</v>
      </c>
      <c r="E601" t="s">
        <v>1103</v>
      </c>
      <c r="F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 t="s">
        <v>26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 t="s">
        <v>204</v>
      </c>
      <c r="AB601" t="s">
        <v>138</v>
      </c>
    </row>
    <row r="602" spans="1:28" x14ac:dyDescent="0.3">
      <c r="A602" t="s">
        <v>736</v>
      </c>
      <c r="C602" t="s">
        <v>156</v>
      </c>
      <c r="D602" t="s">
        <v>170</v>
      </c>
      <c r="E602" t="s">
        <v>1103</v>
      </c>
      <c r="F602">
        <v>4</v>
      </c>
      <c r="G602" t="s">
        <v>737</v>
      </c>
      <c r="H602">
        <v>0</v>
      </c>
      <c r="I602">
        <v>0</v>
      </c>
      <c r="J602">
        <v>0</v>
      </c>
      <c r="K602">
        <v>0</v>
      </c>
      <c r="L602">
        <v>2</v>
      </c>
      <c r="M602">
        <v>2</v>
      </c>
      <c r="N602">
        <v>0</v>
      </c>
      <c r="O602">
        <v>2</v>
      </c>
      <c r="P602" t="s">
        <v>209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 t="s">
        <v>204</v>
      </c>
      <c r="AB602" t="s">
        <v>138</v>
      </c>
    </row>
    <row r="603" spans="1:28" x14ac:dyDescent="0.3">
      <c r="A603" t="s">
        <v>700</v>
      </c>
      <c r="C603" t="s">
        <v>156</v>
      </c>
      <c r="D603" t="s">
        <v>170</v>
      </c>
      <c r="E603" t="s">
        <v>991</v>
      </c>
      <c r="F603">
        <v>4</v>
      </c>
      <c r="G603" t="s">
        <v>1273</v>
      </c>
      <c r="H603">
        <v>0</v>
      </c>
      <c r="I603">
        <v>2</v>
      </c>
      <c r="J603">
        <v>0</v>
      </c>
      <c r="K603">
        <v>0</v>
      </c>
      <c r="L603">
        <v>2</v>
      </c>
      <c r="M603">
        <v>0</v>
      </c>
      <c r="N603">
        <v>0</v>
      </c>
      <c r="O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204</v>
      </c>
      <c r="Y603" t="s">
        <v>11</v>
      </c>
      <c r="AB603" t="s">
        <v>138</v>
      </c>
    </row>
    <row r="604" spans="1:28" x14ac:dyDescent="0.3">
      <c r="A604" t="s">
        <v>1274</v>
      </c>
      <c r="C604" t="s">
        <v>156</v>
      </c>
      <c r="D604" t="s">
        <v>170</v>
      </c>
      <c r="E604" t="s">
        <v>983</v>
      </c>
      <c r="F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 t="s">
        <v>26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0</v>
      </c>
      <c r="X604" t="s">
        <v>204</v>
      </c>
      <c r="Y604" t="s">
        <v>262</v>
      </c>
      <c r="AB604" t="s">
        <v>138</v>
      </c>
    </row>
    <row r="605" spans="1:28" x14ac:dyDescent="0.3">
      <c r="A605" t="s">
        <v>583</v>
      </c>
      <c r="C605" t="s">
        <v>156</v>
      </c>
      <c r="D605" t="s">
        <v>170</v>
      </c>
      <c r="E605" t="s">
        <v>983</v>
      </c>
      <c r="F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 t="s">
        <v>20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 t="s">
        <v>158</v>
      </c>
      <c r="AB605" t="s">
        <v>138</v>
      </c>
    </row>
    <row r="606" spans="1:28" x14ac:dyDescent="0.3">
      <c r="A606" t="s">
        <v>717</v>
      </c>
      <c r="C606" t="s">
        <v>156</v>
      </c>
      <c r="D606" t="s">
        <v>170</v>
      </c>
      <c r="E606" t="s">
        <v>982</v>
      </c>
      <c r="F606">
        <v>3</v>
      </c>
      <c r="G606" t="s">
        <v>297</v>
      </c>
      <c r="H606">
        <v>0</v>
      </c>
      <c r="I606">
        <v>0</v>
      </c>
      <c r="J606">
        <v>1</v>
      </c>
      <c r="K606">
        <v>0</v>
      </c>
      <c r="L606">
        <v>1</v>
      </c>
      <c r="M606">
        <v>1</v>
      </c>
      <c r="N606">
        <v>0</v>
      </c>
      <c r="O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 t="s">
        <v>204</v>
      </c>
      <c r="Y606" t="s">
        <v>262</v>
      </c>
      <c r="AB606" t="s">
        <v>138</v>
      </c>
    </row>
    <row r="607" spans="1:28" x14ac:dyDescent="0.3">
      <c r="A607" t="s">
        <v>741</v>
      </c>
      <c r="C607" t="s">
        <v>156</v>
      </c>
      <c r="D607" t="s">
        <v>170</v>
      </c>
      <c r="E607" t="s">
        <v>982</v>
      </c>
      <c r="F607">
        <v>5</v>
      </c>
      <c r="G607" t="s">
        <v>742</v>
      </c>
      <c r="H607">
        <v>1</v>
      </c>
      <c r="I607">
        <v>1</v>
      </c>
      <c r="J607">
        <v>1</v>
      </c>
      <c r="K607">
        <v>0</v>
      </c>
      <c r="L607">
        <v>1</v>
      </c>
      <c r="M607">
        <v>0</v>
      </c>
      <c r="N607">
        <v>1</v>
      </c>
      <c r="O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 t="s">
        <v>204</v>
      </c>
      <c r="Y607" t="s">
        <v>165</v>
      </c>
      <c r="AB607" t="s">
        <v>138</v>
      </c>
    </row>
    <row r="608" spans="1:28" x14ac:dyDescent="0.3">
      <c r="A608" t="s">
        <v>732</v>
      </c>
      <c r="C608" t="s">
        <v>156</v>
      </c>
      <c r="D608" t="s">
        <v>170</v>
      </c>
      <c r="E608" t="s">
        <v>982</v>
      </c>
      <c r="F608">
        <v>2</v>
      </c>
      <c r="G608" t="s">
        <v>179</v>
      </c>
      <c r="H608">
        <v>0</v>
      </c>
      <c r="I608">
        <v>0</v>
      </c>
      <c r="J608">
        <v>0</v>
      </c>
      <c r="K608">
        <v>0</v>
      </c>
      <c r="L608">
        <v>2</v>
      </c>
      <c r="M608">
        <v>0</v>
      </c>
      <c r="N608">
        <v>0</v>
      </c>
      <c r="O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 t="s">
        <v>204</v>
      </c>
      <c r="Y608" t="s">
        <v>14</v>
      </c>
      <c r="AB608" t="s">
        <v>138</v>
      </c>
    </row>
    <row r="609" spans="1:28" x14ac:dyDescent="0.3">
      <c r="A609" t="s">
        <v>721</v>
      </c>
      <c r="C609" t="s">
        <v>153</v>
      </c>
      <c r="D609" t="s">
        <v>170</v>
      </c>
      <c r="E609" t="s">
        <v>990</v>
      </c>
      <c r="F609">
        <v>2</v>
      </c>
      <c r="G609" t="s">
        <v>286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 t="s">
        <v>204</v>
      </c>
      <c r="Y609" t="s">
        <v>262</v>
      </c>
      <c r="AB609" t="s">
        <v>138</v>
      </c>
    </row>
    <row r="610" spans="1:28" x14ac:dyDescent="0.3">
      <c r="A610" t="s">
        <v>722</v>
      </c>
      <c r="C610" t="s">
        <v>153</v>
      </c>
      <c r="D610" t="s">
        <v>170</v>
      </c>
      <c r="E610" t="s">
        <v>990</v>
      </c>
      <c r="F610">
        <v>4</v>
      </c>
      <c r="G610" t="s">
        <v>723</v>
      </c>
      <c r="H610">
        <v>0</v>
      </c>
      <c r="I610">
        <v>0</v>
      </c>
      <c r="J610">
        <v>1</v>
      </c>
      <c r="K610">
        <v>1</v>
      </c>
      <c r="L610">
        <v>0</v>
      </c>
      <c r="M610">
        <v>2</v>
      </c>
      <c r="N610">
        <v>0</v>
      </c>
      <c r="O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 t="s">
        <v>204</v>
      </c>
      <c r="AB610" t="s">
        <v>138</v>
      </c>
    </row>
    <row r="611" spans="1:28" x14ac:dyDescent="0.3">
      <c r="A611" t="s">
        <v>1275</v>
      </c>
      <c r="C611" t="s">
        <v>153</v>
      </c>
      <c r="D611" t="s">
        <v>170</v>
      </c>
      <c r="E611" t="s">
        <v>990</v>
      </c>
      <c r="F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 t="s">
        <v>20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 t="s">
        <v>204</v>
      </c>
      <c r="AB611" t="s">
        <v>142</v>
      </c>
    </row>
    <row r="612" spans="1:28" x14ac:dyDescent="0.3">
      <c r="A612" t="s">
        <v>738</v>
      </c>
      <c r="C612" t="s">
        <v>153</v>
      </c>
      <c r="D612" t="s">
        <v>170</v>
      </c>
      <c r="E612" t="s">
        <v>990</v>
      </c>
      <c r="F612">
        <v>4</v>
      </c>
      <c r="G612" t="s">
        <v>258</v>
      </c>
      <c r="H612">
        <v>2</v>
      </c>
      <c r="I612">
        <v>0</v>
      </c>
      <c r="J612">
        <v>0</v>
      </c>
      <c r="K612">
        <v>0</v>
      </c>
      <c r="L612">
        <v>2</v>
      </c>
      <c r="M612">
        <v>0</v>
      </c>
      <c r="N612">
        <v>0</v>
      </c>
      <c r="O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t="s">
        <v>204</v>
      </c>
      <c r="AB612" t="s">
        <v>138</v>
      </c>
    </row>
    <row r="613" spans="1:28" x14ac:dyDescent="0.3">
      <c r="A613" t="s">
        <v>1276</v>
      </c>
      <c r="C613" t="s">
        <v>153</v>
      </c>
      <c r="D613" t="s">
        <v>170</v>
      </c>
      <c r="E613" t="s">
        <v>990</v>
      </c>
      <c r="F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 t="s">
        <v>38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X613" t="s">
        <v>204</v>
      </c>
      <c r="AB613" t="s">
        <v>138</v>
      </c>
    </row>
    <row r="614" spans="1:28" x14ac:dyDescent="0.3">
      <c r="A614" t="s">
        <v>1277</v>
      </c>
      <c r="C614" t="s">
        <v>153</v>
      </c>
      <c r="D614" t="s">
        <v>170</v>
      </c>
      <c r="E614" t="s">
        <v>990</v>
      </c>
      <c r="F614">
        <v>1</v>
      </c>
      <c r="G614" t="s">
        <v>29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t="s">
        <v>204</v>
      </c>
      <c r="AB614" t="s">
        <v>138</v>
      </c>
    </row>
    <row r="615" spans="1:28" x14ac:dyDescent="0.3">
      <c r="A615" t="s">
        <v>1278</v>
      </c>
      <c r="C615" t="s">
        <v>153</v>
      </c>
      <c r="D615" t="s">
        <v>170</v>
      </c>
      <c r="E615" t="s">
        <v>990</v>
      </c>
      <c r="F615">
        <v>6</v>
      </c>
      <c r="G615" t="s">
        <v>281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0</v>
      </c>
      <c r="N615">
        <v>1</v>
      </c>
      <c r="O615">
        <v>2</v>
      </c>
      <c r="P615" t="s">
        <v>182</v>
      </c>
      <c r="Q615">
        <v>0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 t="s">
        <v>204</v>
      </c>
      <c r="AB615" t="s">
        <v>138</v>
      </c>
    </row>
    <row r="616" spans="1:28" x14ac:dyDescent="0.3">
      <c r="A616" t="s">
        <v>726</v>
      </c>
      <c r="C616" t="s">
        <v>156</v>
      </c>
      <c r="D616" t="s">
        <v>170</v>
      </c>
      <c r="E616" t="s">
        <v>1031</v>
      </c>
      <c r="F616">
        <v>2</v>
      </c>
      <c r="G616" t="s">
        <v>179</v>
      </c>
      <c r="H616">
        <v>0</v>
      </c>
      <c r="I616">
        <v>0</v>
      </c>
      <c r="J616">
        <v>0</v>
      </c>
      <c r="K616">
        <v>0</v>
      </c>
      <c r="L616">
        <v>2</v>
      </c>
      <c r="M616">
        <v>0</v>
      </c>
      <c r="N616">
        <v>0</v>
      </c>
      <c r="O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 t="s">
        <v>204</v>
      </c>
      <c r="AB616" t="s">
        <v>141</v>
      </c>
    </row>
    <row r="617" spans="1:28" x14ac:dyDescent="0.3">
      <c r="A617" t="s">
        <v>945</v>
      </c>
      <c r="C617" t="s">
        <v>156</v>
      </c>
      <c r="D617" t="s">
        <v>170</v>
      </c>
      <c r="E617" t="s">
        <v>1111</v>
      </c>
      <c r="F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 t="s">
        <v>26</v>
      </c>
      <c r="Q617">
        <v>0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204</v>
      </c>
      <c r="Y617" t="s">
        <v>12</v>
      </c>
      <c r="AB617" t="s">
        <v>138</v>
      </c>
    </row>
    <row r="618" spans="1:28" x14ac:dyDescent="0.3">
      <c r="A618" t="s">
        <v>629</v>
      </c>
      <c r="C618" t="s">
        <v>156</v>
      </c>
      <c r="D618" t="s">
        <v>170</v>
      </c>
      <c r="E618" t="s">
        <v>1032</v>
      </c>
      <c r="F618">
        <v>1</v>
      </c>
      <c r="G618" t="s">
        <v>23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 t="s">
        <v>204</v>
      </c>
      <c r="AB618" t="s">
        <v>138</v>
      </c>
    </row>
    <row r="619" spans="1:28" x14ac:dyDescent="0.3">
      <c r="A619" t="s">
        <v>950</v>
      </c>
      <c r="C619" t="s">
        <v>156</v>
      </c>
      <c r="D619" t="s">
        <v>170</v>
      </c>
      <c r="E619" t="s">
        <v>1114</v>
      </c>
      <c r="F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 t="s">
        <v>26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 t="s">
        <v>204</v>
      </c>
      <c r="AB619" t="s">
        <v>138</v>
      </c>
    </row>
    <row r="620" spans="1:28" x14ac:dyDescent="0.3">
      <c r="A620" t="s">
        <v>743</v>
      </c>
      <c r="C620" t="s">
        <v>156</v>
      </c>
      <c r="D620" t="s">
        <v>170</v>
      </c>
      <c r="E620" t="s">
        <v>1014</v>
      </c>
      <c r="F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2</v>
      </c>
      <c r="P620" t="s">
        <v>346</v>
      </c>
      <c r="Q620">
        <v>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 t="s">
        <v>204</v>
      </c>
      <c r="AB620" t="s">
        <v>138</v>
      </c>
    </row>
    <row r="621" spans="1:28" x14ac:dyDescent="0.3">
      <c r="A621" t="s">
        <v>1279</v>
      </c>
      <c r="C621" t="s">
        <v>156</v>
      </c>
      <c r="D621" t="s">
        <v>170</v>
      </c>
      <c r="E621" t="s">
        <v>1115</v>
      </c>
      <c r="F621">
        <v>4</v>
      </c>
      <c r="G621" t="s">
        <v>1280</v>
      </c>
      <c r="H621">
        <v>0</v>
      </c>
      <c r="I621">
        <v>0</v>
      </c>
      <c r="J621">
        <v>1</v>
      </c>
      <c r="K621">
        <v>1</v>
      </c>
      <c r="L621">
        <v>1</v>
      </c>
      <c r="M621">
        <v>0</v>
      </c>
      <c r="N621">
        <v>1</v>
      </c>
      <c r="O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 t="s">
        <v>204</v>
      </c>
      <c r="AB621" t="s">
        <v>138</v>
      </c>
    </row>
    <row r="622" spans="1:28" x14ac:dyDescent="0.3">
      <c r="A622" t="s">
        <v>684</v>
      </c>
      <c r="C622" t="s">
        <v>156</v>
      </c>
      <c r="D622" t="s">
        <v>170</v>
      </c>
      <c r="E622" t="s">
        <v>1281</v>
      </c>
      <c r="F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 t="s">
        <v>20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 t="s">
        <v>204</v>
      </c>
      <c r="AB622" t="s">
        <v>138</v>
      </c>
    </row>
    <row r="623" spans="1:28" x14ac:dyDescent="0.3">
      <c r="A623" t="s">
        <v>834</v>
      </c>
      <c r="C623" t="s">
        <v>156</v>
      </c>
      <c r="D623" t="s">
        <v>157</v>
      </c>
      <c r="E623" t="s">
        <v>987</v>
      </c>
      <c r="F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 t="s">
        <v>204</v>
      </c>
      <c r="Y623" t="s">
        <v>162</v>
      </c>
      <c r="AB623" t="s">
        <v>138</v>
      </c>
    </row>
    <row r="624" spans="1:28" x14ac:dyDescent="0.3">
      <c r="A624" t="s">
        <v>754</v>
      </c>
      <c r="C624" t="s">
        <v>156</v>
      </c>
      <c r="D624" t="s">
        <v>157</v>
      </c>
      <c r="E624" t="s">
        <v>987</v>
      </c>
      <c r="F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 t="s">
        <v>204</v>
      </c>
      <c r="AB624" t="s">
        <v>139</v>
      </c>
    </row>
    <row r="625" spans="1:28" x14ac:dyDescent="0.3">
      <c r="A625" t="s">
        <v>794</v>
      </c>
      <c r="C625" t="s">
        <v>156</v>
      </c>
      <c r="D625" t="s">
        <v>157</v>
      </c>
      <c r="E625" t="s">
        <v>987</v>
      </c>
      <c r="F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 t="s">
        <v>204</v>
      </c>
      <c r="AB625" t="s">
        <v>138</v>
      </c>
    </row>
    <row r="626" spans="1:28" x14ac:dyDescent="0.3">
      <c r="A626" t="s">
        <v>819</v>
      </c>
      <c r="C626" t="s">
        <v>156</v>
      </c>
      <c r="D626" t="s">
        <v>157</v>
      </c>
      <c r="E626" t="s">
        <v>987</v>
      </c>
      <c r="F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 t="s">
        <v>204</v>
      </c>
      <c r="AB626" t="s">
        <v>138</v>
      </c>
    </row>
    <row r="627" spans="1:28" x14ac:dyDescent="0.3">
      <c r="A627" t="s">
        <v>973</v>
      </c>
      <c r="C627" t="s">
        <v>156</v>
      </c>
      <c r="D627" t="s">
        <v>157</v>
      </c>
      <c r="E627" t="s">
        <v>1058</v>
      </c>
      <c r="F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 t="s">
        <v>158</v>
      </c>
      <c r="AB627" t="s">
        <v>138</v>
      </c>
    </row>
    <row r="628" spans="1:28" x14ac:dyDescent="0.3">
      <c r="A628" t="s">
        <v>772</v>
      </c>
      <c r="C628" t="s">
        <v>156</v>
      </c>
      <c r="D628" t="s">
        <v>157</v>
      </c>
      <c r="E628" t="s">
        <v>985</v>
      </c>
      <c r="F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 t="s">
        <v>204</v>
      </c>
      <c r="Y628" t="s">
        <v>262</v>
      </c>
      <c r="AB628" t="s">
        <v>138</v>
      </c>
    </row>
    <row r="629" spans="1:28" x14ac:dyDescent="0.3">
      <c r="A629" t="s">
        <v>1282</v>
      </c>
      <c r="C629" t="s">
        <v>156</v>
      </c>
      <c r="D629" t="s">
        <v>157</v>
      </c>
      <c r="E629" t="s">
        <v>1088</v>
      </c>
      <c r="F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 t="s">
        <v>204</v>
      </c>
      <c r="AB629" t="s">
        <v>138</v>
      </c>
    </row>
    <row r="630" spans="1:28" x14ac:dyDescent="0.3">
      <c r="A630" t="s">
        <v>761</v>
      </c>
      <c r="C630" t="s">
        <v>156</v>
      </c>
      <c r="D630" t="s">
        <v>157</v>
      </c>
      <c r="E630" t="s">
        <v>1137</v>
      </c>
      <c r="F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 t="s">
        <v>204</v>
      </c>
      <c r="Y630" t="s">
        <v>14</v>
      </c>
      <c r="AB630" t="s">
        <v>138</v>
      </c>
    </row>
    <row r="631" spans="1:28" x14ac:dyDescent="0.3">
      <c r="A631" t="s">
        <v>746</v>
      </c>
      <c r="C631" t="s">
        <v>156</v>
      </c>
      <c r="D631" t="s">
        <v>157</v>
      </c>
      <c r="E631" t="s">
        <v>1139</v>
      </c>
      <c r="F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 t="s">
        <v>204</v>
      </c>
      <c r="Y631" t="s">
        <v>12</v>
      </c>
      <c r="AB631" t="s">
        <v>138</v>
      </c>
    </row>
    <row r="632" spans="1:28" x14ac:dyDescent="0.3">
      <c r="A632" t="s">
        <v>799</v>
      </c>
      <c r="C632" t="s">
        <v>156</v>
      </c>
      <c r="D632" t="s">
        <v>157</v>
      </c>
      <c r="E632" t="s">
        <v>1139</v>
      </c>
      <c r="F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 t="s">
        <v>204</v>
      </c>
      <c r="AB632" t="s">
        <v>138</v>
      </c>
    </row>
    <row r="633" spans="1:28" x14ac:dyDescent="0.3">
      <c r="A633" t="s">
        <v>958</v>
      </c>
      <c r="C633" t="s">
        <v>156</v>
      </c>
      <c r="D633" t="s">
        <v>157</v>
      </c>
      <c r="E633" t="s">
        <v>1143</v>
      </c>
      <c r="F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 t="s">
        <v>204</v>
      </c>
      <c r="Y633" t="s">
        <v>16</v>
      </c>
      <c r="AB633" t="s">
        <v>138</v>
      </c>
    </row>
    <row r="634" spans="1:28" x14ac:dyDescent="0.3">
      <c r="A634" t="s">
        <v>1283</v>
      </c>
      <c r="C634" t="s">
        <v>156</v>
      </c>
      <c r="D634" t="s">
        <v>157</v>
      </c>
      <c r="E634" t="s">
        <v>482</v>
      </c>
      <c r="F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 t="s">
        <v>204</v>
      </c>
      <c r="Y634" t="s">
        <v>262</v>
      </c>
      <c r="AB634" t="s">
        <v>138</v>
      </c>
    </row>
    <row r="635" spans="1:28" x14ac:dyDescent="0.3">
      <c r="A635" t="s">
        <v>824</v>
      </c>
      <c r="C635" t="s">
        <v>156</v>
      </c>
      <c r="D635" t="s">
        <v>157</v>
      </c>
      <c r="E635" t="s">
        <v>1284</v>
      </c>
      <c r="F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 t="s">
        <v>204</v>
      </c>
      <c r="AB635" t="s">
        <v>138</v>
      </c>
    </row>
    <row r="636" spans="1:28" x14ac:dyDescent="0.3">
      <c r="A636" t="s">
        <v>974</v>
      </c>
      <c r="C636" t="s">
        <v>156</v>
      </c>
      <c r="D636" t="s">
        <v>157</v>
      </c>
      <c r="E636" t="s">
        <v>1285</v>
      </c>
      <c r="F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 t="s">
        <v>158</v>
      </c>
      <c r="AB636" t="s">
        <v>141</v>
      </c>
    </row>
    <row r="637" spans="1:28" x14ac:dyDescent="0.3">
      <c r="A637" t="s">
        <v>748</v>
      </c>
      <c r="C637" t="s">
        <v>156</v>
      </c>
      <c r="D637" t="s">
        <v>157</v>
      </c>
      <c r="E637" t="s">
        <v>986</v>
      </c>
      <c r="F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 t="s">
        <v>204</v>
      </c>
      <c r="Y637" t="s">
        <v>15</v>
      </c>
      <c r="AB637" t="s">
        <v>140</v>
      </c>
    </row>
    <row r="638" spans="1:28" x14ac:dyDescent="0.3">
      <c r="A638" t="s">
        <v>813</v>
      </c>
      <c r="C638" t="s">
        <v>156</v>
      </c>
      <c r="D638" t="s">
        <v>157</v>
      </c>
      <c r="E638" t="s">
        <v>986</v>
      </c>
      <c r="F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 t="s">
        <v>204</v>
      </c>
      <c r="Y638" t="s">
        <v>15</v>
      </c>
      <c r="AB638" t="s">
        <v>141</v>
      </c>
    </row>
    <row r="639" spans="1:28" x14ac:dyDescent="0.3">
      <c r="A639" t="s">
        <v>809</v>
      </c>
      <c r="C639" t="s">
        <v>156</v>
      </c>
      <c r="D639" t="s">
        <v>157</v>
      </c>
      <c r="E639" t="s">
        <v>986</v>
      </c>
      <c r="F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 t="s">
        <v>204</v>
      </c>
      <c r="Y639" t="s">
        <v>17</v>
      </c>
      <c r="AB639" t="s">
        <v>142</v>
      </c>
    </row>
    <row r="640" spans="1:28" x14ac:dyDescent="0.3">
      <c r="A640" t="s">
        <v>775</v>
      </c>
      <c r="C640" t="s">
        <v>156</v>
      </c>
      <c r="D640" t="s">
        <v>157</v>
      </c>
      <c r="E640" t="s">
        <v>986</v>
      </c>
      <c r="F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 t="s">
        <v>158</v>
      </c>
      <c r="AB640" t="s">
        <v>138</v>
      </c>
    </row>
    <row r="641" spans="1:28" x14ac:dyDescent="0.3">
      <c r="A641" t="s">
        <v>814</v>
      </c>
      <c r="C641" t="s">
        <v>156</v>
      </c>
      <c r="D641" t="s">
        <v>157</v>
      </c>
      <c r="E641" t="s">
        <v>986</v>
      </c>
      <c r="F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 t="s">
        <v>204</v>
      </c>
      <c r="AB641" t="s">
        <v>142</v>
      </c>
    </row>
    <row r="642" spans="1:28" x14ac:dyDescent="0.3">
      <c r="A642" t="s">
        <v>820</v>
      </c>
      <c r="C642" t="s">
        <v>156</v>
      </c>
      <c r="D642" t="s">
        <v>157</v>
      </c>
      <c r="E642" t="s">
        <v>986</v>
      </c>
      <c r="F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 t="s">
        <v>204</v>
      </c>
      <c r="AB642" t="s">
        <v>138</v>
      </c>
    </row>
    <row r="643" spans="1:28" x14ac:dyDescent="0.3">
      <c r="A643" t="s">
        <v>832</v>
      </c>
      <c r="C643" t="s">
        <v>156</v>
      </c>
      <c r="D643" t="s">
        <v>157</v>
      </c>
      <c r="E643" t="s">
        <v>986</v>
      </c>
      <c r="F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 t="s">
        <v>204</v>
      </c>
      <c r="AB643" t="s">
        <v>138</v>
      </c>
    </row>
    <row r="644" spans="1:28" x14ac:dyDescent="0.3">
      <c r="A644" t="s">
        <v>777</v>
      </c>
      <c r="C644" t="s">
        <v>156</v>
      </c>
      <c r="D644" t="s">
        <v>157</v>
      </c>
      <c r="E644" t="s">
        <v>986</v>
      </c>
      <c r="F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 t="s">
        <v>204</v>
      </c>
      <c r="AB644" t="s">
        <v>138</v>
      </c>
    </row>
    <row r="645" spans="1:28" x14ac:dyDescent="0.3">
      <c r="A645" t="s">
        <v>779</v>
      </c>
      <c r="C645" t="s">
        <v>156</v>
      </c>
      <c r="D645" t="s">
        <v>157</v>
      </c>
      <c r="E645" t="s">
        <v>986</v>
      </c>
      <c r="F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 t="s">
        <v>204</v>
      </c>
      <c r="AB645" t="s">
        <v>138</v>
      </c>
    </row>
    <row r="646" spans="1:28" x14ac:dyDescent="0.3">
      <c r="A646" t="s">
        <v>768</v>
      </c>
      <c r="C646" t="s">
        <v>156</v>
      </c>
      <c r="D646" t="s">
        <v>157</v>
      </c>
      <c r="E646" t="s">
        <v>984</v>
      </c>
      <c r="F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t="s">
        <v>204</v>
      </c>
      <c r="Y646" t="s">
        <v>238</v>
      </c>
      <c r="AB646" t="s">
        <v>138</v>
      </c>
    </row>
    <row r="647" spans="1:28" x14ac:dyDescent="0.3">
      <c r="A647" t="s">
        <v>1286</v>
      </c>
      <c r="C647" t="s">
        <v>156</v>
      </c>
      <c r="D647" t="s">
        <v>157</v>
      </c>
      <c r="E647" t="s">
        <v>984</v>
      </c>
      <c r="F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 t="s">
        <v>204</v>
      </c>
      <c r="Y647" t="s">
        <v>233</v>
      </c>
      <c r="AB647" t="s">
        <v>138</v>
      </c>
    </row>
    <row r="648" spans="1:28" x14ac:dyDescent="0.3">
      <c r="A648" t="s">
        <v>787</v>
      </c>
      <c r="C648" t="s">
        <v>156</v>
      </c>
      <c r="D648" t="s">
        <v>157</v>
      </c>
      <c r="E648" t="s">
        <v>984</v>
      </c>
      <c r="F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 t="s">
        <v>204</v>
      </c>
      <c r="AB648" t="s">
        <v>138</v>
      </c>
    </row>
    <row r="649" spans="1:28" x14ac:dyDescent="0.3">
      <c r="A649" t="s">
        <v>802</v>
      </c>
      <c r="C649" t="s">
        <v>156</v>
      </c>
      <c r="D649" t="s">
        <v>157</v>
      </c>
      <c r="E649" t="s">
        <v>984</v>
      </c>
      <c r="F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 t="s">
        <v>204</v>
      </c>
      <c r="AB649" t="s">
        <v>138</v>
      </c>
    </row>
    <row r="650" spans="1:28" x14ac:dyDescent="0.3">
      <c r="A650" t="s">
        <v>928</v>
      </c>
      <c r="C650" t="s">
        <v>156</v>
      </c>
      <c r="D650" t="s">
        <v>157</v>
      </c>
      <c r="E650" t="s">
        <v>984</v>
      </c>
      <c r="F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 t="s">
        <v>204</v>
      </c>
      <c r="AB650" t="s">
        <v>141</v>
      </c>
    </row>
    <row r="651" spans="1:28" x14ac:dyDescent="0.3">
      <c r="A651" t="s">
        <v>790</v>
      </c>
      <c r="C651" t="s">
        <v>156</v>
      </c>
      <c r="D651" t="s">
        <v>157</v>
      </c>
      <c r="E651" t="s">
        <v>984</v>
      </c>
      <c r="F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 t="s">
        <v>204</v>
      </c>
      <c r="AB651" t="s">
        <v>143</v>
      </c>
    </row>
    <row r="652" spans="1:28" x14ac:dyDescent="0.3">
      <c r="A652" t="s">
        <v>785</v>
      </c>
      <c r="C652" t="s">
        <v>156</v>
      </c>
      <c r="D652" t="s">
        <v>157</v>
      </c>
      <c r="E652" t="s">
        <v>1123</v>
      </c>
      <c r="F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 t="s">
        <v>204</v>
      </c>
      <c r="Y652" t="s">
        <v>21</v>
      </c>
      <c r="AB652" t="s">
        <v>143</v>
      </c>
    </row>
    <row r="653" spans="1:28" x14ac:dyDescent="0.3">
      <c r="A653" t="s">
        <v>970</v>
      </c>
      <c r="C653" t="s">
        <v>156</v>
      </c>
      <c r="D653" t="s">
        <v>157</v>
      </c>
      <c r="E653" t="s">
        <v>1123</v>
      </c>
      <c r="F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 t="s">
        <v>204</v>
      </c>
      <c r="AB653" t="s">
        <v>142</v>
      </c>
    </row>
    <row r="654" spans="1:28" x14ac:dyDescent="0.3">
      <c r="A654" t="s">
        <v>1287</v>
      </c>
      <c r="C654" t="s">
        <v>156</v>
      </c>
      <c r="D654" t="s">
        <v>157</v>
      </c>
      <c r="E654" t="s">
        <v>1098</v>
      </c>
      <c r="F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 t="s">
        <v>204</v>
      </c>
      <c r="AB654" t="s">
        <v>138</v>
      </c>
    </row>
    <row r="655" spans="1:28" x14ac:dyDescent="0.3">
      <c r="A655" t="s">
        <v>840</v>
      </c>
      <c r="C655" t="s">
        <v>156</v>
      </c>
      <c r="D655" t="s">
        <v>157</v>
      </c>
      <c r="E655" t="s">
        <v>1098</v>
      </c>
      <c r="F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 t="s">
        <v>204</v>
      </c>
      <c r="AB655" t="s">
        <v>138</v>
      </c>
    </row>
    <row r="656" spans="1:28" x14ac:dyDescent="0.3">
      <c r="A656" t="s">
        <v>953</v>
      </c>
      <c r="C656" t="s">
        <v>156</v>
      </c>
      <c r="D656" t="s">
        <v>157</v>
      </c>
      <c r="E656" t="s">
        <v>1100</v>
      </c>
      <c r="F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 t="s">
        <v>204</v>
      </c>
      <c r="AB656" t="s">
        <v>138</v>
      </c>
    </row>
    <row r="657" spans="1:28" x14ac:dyDescent="0.3">
      <c r="A657" t="s">
        <v>952</v>
      </c>
      <c r="C657" t="s">
        <v>156</v>
      </c>
      <c r="D657" t="s">
        <v>157</v>
      </c>
      <c r="E657" t="s">
        <v>1100</v>
      </c>
      <c r="F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 t="s">
        <v>204</v>
      </c>
      <c r="AB657" t="s">
        <v>138</v>
      </c>
    </row>
    <row r="658" spans="1:28" x14ac:dyDescent="0.3">
      <c r="A658" t="s">
        <v>841</v>
      </c>
      <c r="C658" t="s">
        <v>156</v>
      </c>
      <c r="D658" t="s">
        <v>157</v>
      </c>
      <c r="E658" t="s">
        <v>1010</v>
      </c>
      <c r="F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 t="s">
        <v>158</v>
      </c>
      <c r="AB658" t="s">
        <v>138</v>
      </c>
    </row>
    <row r="659" spans="1:28" x14ac:dyDescent="0.3">
      <c r="A659" t="s">
        <v>766</v>
      </c>
      <c r="C659" t="s">
        <v>156</v>
      </c>
      <c r="D659" t="s">
        <v>157</v>
      </c>
      <c r="E659" t="s">
        <v>1102</v>
      </c>
      <c r="F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 t="s">
        <v>204</v>
      </c>
      <c r="AB659" t="s">
        <v>138</v>
      </c>
    </row>
    <row r="660" spans="1:28" x14ac:dyDescent="0.3">
      <c r="A660" t="s">
        <v>1288</v>
      </c>
      <c r="C660" t="s">
        <v>156</v>
      </c>
      <c r="D660" t="s">
        <v>157</v>
      </c>
      <c r="E660" t="s">
        <v>1103</v>
      </c>
      <c r="F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t="s">
        <v>204</v>
      </c>
      <c r="AB660" t="s">
        <v>138</v>
      </c>
    </row>
    <row r="661" spans="1:28" x14ac:dyDescent="0.3">
      <c r="A661" t="s">
        <v>753</v>
      </c>
      <c r="C661" t="s">
        <v>156</v>
      </c>
      <c r="D661" t="s">
        <v>157</v>
      </c>
      <c r="E661" t="s">
        <v>1038</v>
      </c>
      <c r="F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158</v>
      </c>
      <c r="AB661" t="s">
        <v>138</v>
      </c>
    </row>
    <row r="662" spans="1:28" x14ac:dyDescent="0.3">
      <c r="A662" t="s">
        <v>941</v>
      </c>
      <c r="C662" t="s">
        <v>156</v>
      </c>
      <c r="D662" t="s">
        <v>157</v>
      </c>
      <c r="E662" t="s">
        <v>1232</v>
      </c>
      <c r="F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 t="s">
        <v>158</v>
      </c>
      <c r="AB662" t="s">
        <v>138</v>
      </c>
    </row>
    <row r="663" spans="1:28" x14ac:dyDescent="0.3">
      <c r="A663" t="s">
        <v>770</v>
      </c>
      <c r="C663" t="s">
        <v>156</v>
      </c>
      <c r="D663" t="s">
        <v>157</v>
      </c>
      <c r="E663" t="s">
        <v>1161</v>
      </c>
      <c r="F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 t="s">
        <v>204</v>
      </c>
      <c r="Y663" t="s">
        <v>11</v>
      </c>
      <c r="AB663" t="s">
        <v>138</v>
      </c>
    </row>
    <row r="664" spans="1:28" x14ac:dyDescent="0.3">
      <c r="A664" t="s">
        <v>767</v>
      </c>
      <c r="C664" t="s">
        <v>156</v>
      </c>
      <c r="D664" t="s">
        <v>157</v>
      </c>
      <c r="E664" t="s">
        <v>1161</v>
      </c>
      <c r="F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 t="s">
        <v>204</v>
      </c>
      <c r="Y664" t="s">
        <v>17</v>
      </c>
      <c r="AB664" t="s">
        <v>138</v>
      </c>
    </row>
    <row r="665" spans="1:28" x14ac:dyDescent="0.3">
      <c r="A665" t="s">
        <v>811</v>
      </c>
      <c r="C665" t="s">
        <v>156</v>
      </c>
      <c r="D665" t="s">
        <v>157</v>
      </c>
      <c r="E665" t="s">
        <v>1202</v>
      </c>
      <c r="F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 t="s">
        <v>204</v>
      </c>
      <c r="AB665" t="s">
        <v>138</v>
      </c>
    </row>
    <row r="666" spans="1:28" x14ac:dyDescent="0.3">
      <c r="A666" t="s">
        <v>795</v>
      </c>
      <c r="C666" t="s">
        <v>156</v>
      </c>
      <c r="D666" t="s">
        <v>157</v>
      </c>
      <c r="E666" t="s">
        <v>991</v>
      </c>
      <c r="F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 t="s">
        <v>204</v>
      </c>
      <c r="Y666" t="s">
        <v>233</v>
      </c>
      <c r="AB666" t="s">
        <v>138</v>
      </c>
    </row>
    <row r="667" spans="1:28" x14ac:dyDescent="0.3">
      <c r="A667" t="s">
        <v>756</v>
      </c>
      <c r="C667" t="s">
        <v>156</v>
      </c>
      <c r="D667" t="s">
        <v>157</v>
      </c>
      <c r="E667" t="s">
        <v>991</v>
      </c>
      <c r="F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 t="s">
        <v>204</v>
      </c>
      <c r="AB667" t="s">
        <v>138</v>
      </c>
    </row>
    <row r="668" spans="1:28" x14ac:dyDescent="0.3">
      <c r="A668" t="s">
        <v>968</v>
      </c>
      <c r="C668" t="s">
        <v>156</v>
      </c>
      <c r="D668" t="s">
        <v>157</v>
      </c>
      <c r="E668" t="s">
        <v>991</v>
      </c>
      <c r="F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t="s">
        <v>204</v>
      </c>
      <c r="AB668" t="s">
        <v>138</v>
      </c>
    </row>
    <row r="669" spans="1:28" x14ac:dyDescent="0.3">
      <c r="A669" t="s">
        <v>1289</v>
      </c>
      <c r="C669" t="s">
        <v>156</v>
      </c>
      <c r="D669" t="s">
        <v>157</v>
      </c>
      <c r="E669" t="s">
        <v>983</v>
      </c>
      <c r="F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 t="s">
        <v>204</v>
      </c>
      <c r="Y669" t="s">
        <v>17</v>
      </c>
      <c r="AB669" t="s">
        <v>138</v>
      </c>
    </row>
    <row r="670" spans="1:28" x14ac:dyDescent="0.3">
      <c r="A670" t="s">
        <v>835</v>
      </c>
      <c r="C670" t="s">
        <v>156</v>
      </c>
      <c r="D670" t="s">
        <v>157</v>
      </c>
      <c r="E670" t="s">
        <v>983</v>
      </c>
      <c r="F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 t="s">
        <v>158</v>
      </c>
      <c r="AB670" t="s">
        <v>138</v>
      </c>
    </row>
    <row r="671" spans="1:28" x14ac:dyDescent="0.3">
      <c r="A671" t="s">
        <v>1290</v>
      </c>
      <c r="C671" t="s">
        <v>156</v>
      </c>
      <c r="D671" t="s">
        <v>157</v>
      </c>
      <c r="E671" t="s">
        <v>983</v>
      </c>
      <c r="F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 t="s">
        <v>158</v>
      </c>
      <c r="AB671" t="s">
        <v>138</v>
      </c>
    </row>
    <row r="672" spans="1:28" x14ac:dyDescent="0.3">
      <c r="A672" t="s">
        <v>964</v>
      </c>
      <c r="C672" t="s">
        <v>156</v>
      </c>
      <c r="D672" t="s">
        <v>157</v>
      </c>
      <c r="E672" t="s">
        <v>983</v>
      </c>
      <c r="F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 t="s">
        <v>204</v>
      </c>
      <c r="AB672" t="s">
        <v>138</v>
      </c>
    </row>
    <row r="673" spans="1:28" x14ac:dyDescent="0.3">
      <c r="A673" t="s">
        <v>793</v>
      </c>
      <c r="C673" t="s">
        <v>156</v>
      </c>
      <c r="D673" t="s">
        <v>157</v>
      </c>
      <c r="E673" t="s">
        <v>983</v>
      </c>
      <c r="F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 t="s">
        <v>204</v>
      </c>
      <c r="AB673" t="s">
        <v>140</v>
      </c>
    </row>
    <row r="674" spans="1:28" x14ac:dyDescent="0.3">
      <c r="A674" t="s">
        <v>780</v>
      </c>
      <c r="C674" t="s">
        <v>156</v>
      </c>
      <c r="D674" t="s">
        <v>157</v>
      </c>
      <c r="E674" t="s">
        <v>982</v>
      </c>
      <c r="F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 t="s">
        <v>204</v>
      </c>
      <c r="Y674" t="s">
        <v>262</v>
      </c>
      <c r="AB674" t="s">
        <v>140</v>
      </c>
    </row>
    <row r="675" spans="1:28" x14ac:dyDescent="0.3">
      <c r="A675" t="s">
        <v>781</v>
      </c>
      <c r="C675" t="s">
        <v>156</v>
      </c>
      <c r="D675" t="s">
        <v>157</v>
      </c>
      <c r="E675" t="s">
        <v>982</v>
      </c>
      <c r="F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 t="s">
        <v>204</v>
      </c>
      <c r="Y675" t="s">
        <v>12</v>
      </c>
      <c r="AB675" t="s">
        <v>138</v>
      </c>
    </row>
    <row r="676" spans="1:28" x14ac:dyDescent="0.3">
      <c r="A676" t="s">
        <v>782</v>
      </c>
      <c r="C676" t="s">
        <v>156</v>
      </c>
      <c r="D676" t="s">
        <v>157</v>
      </c>
      <c r="E676" t="s">
        <v>982</v>
      </c>
      <c r="F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t="s">
        <v>204</v>
      </c>
      <c r="Y676" t="s">
        <v>238</v>
      </c>
      <c r="AB676" t="s">
        <v>138</v>
      </c>
    </row>
    <row r="677" spans="1:28" x14ac:dyDescent="0.3">
      <c r="A677" t="s">
        <v>764</v>
      </c>
      <c r="C677" t="s">
        <v>156</v>
      </c>
      <c r="D677" t="s">
        <v>157</v>
      </c>
      <c r="E677" t="s">
        <v>982</v>
      </c>
      <c r="F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 t="s">
        <v>204</v>
      </c>
      <c r="Y677" t="s">
        <v>238</v>
      </c>
      <c r="AB677" t="s">
        <v>142</v>
      </c>
    </row>
    <row r="678" spans="1:28" x14ac:dyDescent="0.3">
      <c r="A678" t="s">
        <v>815</v>
      </c>
      <c r="C678" t="s">
        <v>156</v>
      </c>
      <c r="D678" t="s">
        <v>157</v>
      </c>
      <c r="E678" t="s">
        <v>982</v>
      </c>
      <c r="F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 t="s">
        <v>204</v>
      </c>
      <c r="Y678" t="s">
        <v>180</v>
      </c>
      <c r="AB678" t="s">
        <v>138</v>
      </c>
    </row>
    <row r="679" spans="1:28" x14ac:dyDescent="0.3">
      <c r="A679" t="s">
        <v>783</v>
      </c>
      <c r="C679" t="s">
        <v>156</v>
      </c>
      <c r="D679" t="s">
        <v>157</v>
      </c>
      <c r="E679" t="s">
        <v>982</v>
      </c>
      <c r="F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 t="s">
        <v>204</v>
      </c>
      <c r="Y679" t="s">
        <v>11</v>
      </c>
      <c r="AB679" t="s">
        <v>138</v>
      </c>
    </row>
    <row r="680" spans="1:28" x14ac:dyDescent="0.3">
      <c r="A680" t="s">
        <v>784</v>
      </c>
      <c r="C680" t="s">
        <v>156</v>
      </c>
      <c r="D680" t="s">
        <v>157</v>
      </c>
      <c r="E680" t="s">
        <v>982</v>
      </c>
      <c r="F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 t="s">
        <v>204</v>
      </c>
      <c r="Y680" t="s">
        <v>11</v>
      </c>
      <c r="AB680" t="s">
        <v>138</v>
      </c>
    </row>
    <row r="681" spans="1:28" x14ac:dyDescent="0.3">
      <c r="A681" t="s">
        <v>963</v>
      </c>
      <c r="C681" t="s">
        <v>156</v>
      </c>
      <c r="D681" t="s">
        <v>157</v>
      </c>
      <c r="E681" t="s">
        <v>982</v>
      </c>
      <c r="F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 t="s">
        <v>204</v>
      </c>
      <c r="Y681" t="s">
        <v>15</v>
      </c>
      <c r="AB681" t="s">
        <v>138</v>
      </c>
    </row>
    <row r="682" spans="1:28" x14ac:dyDescent="0.3">
      <c r="A682" t="s">
        <v>786</v>
      </c>
      <c r="C682" t="s">
        <v>156</v>
      </c>
      <c r="D682" t="s">
        <v>157</v>
      </c>
      <c r="E682" t="s">
        <v>982</v>
      </c>
      <c r="F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 t="s">
        <v>158</v>
      </c>
      <c r="AB682" t="s">
        <v>138</v>
      </c>
    </row>
    <row r="683" spans="1:28" x14ac:dyDescent="0.3">
      <c r="A683" t="s">
        <v>1291</v>
      </c>
      <c r="C683" t="s">
        <v>156</v>
      </c>
      <c r="D683" t="s">
        <v>157</v>
      </c>
      <c r="E683" t="s">
        <v>982</v>
      </c>
      <c r="F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 t="s">
        <v>158</v>
      </c>
      <c r="AB683" t="s">
        <v>143</v>
      </c>
    </row>
    <row r="684" spans="1:28" x14ac:dyDescent="0.3">
      <c r="A684" t="s">
        <v>788</v>
      </c>
      <c r="C684" t="s">
        <v>156</v>
      </c>
      <c r="D684" t="s">
        <v>157</v>
      </c>
      <c r="E684" t="s">
        <v>982</v>
      </c>
      <c r="F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 t="s">
        <v>204</v>
      </c>
      <c r="AB684" t="s">
        <v>143</v>
      </c>
    </row>
    <row r="685" spans="1:28" x14ac:dyDescent="0.3">
      <c r="A685" t="s">
        <v>789</v>
      </c>
      <c r="C685" t="s">
        <v>156</v>
      </c>
      <c r="D685" t="s">
        <v>157</v>
      </c>
      <c r="E685" t="s">
        <v>982</v>
      </c>
      <c r="F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 t="s">
        <v>204</v>
      </c>
      <c r="AB685" t="s">
        <v>138</v>
      </c>
    </row>
    <row r="686" spans="1:28" x14ac:dyDescent="0.3">
      <c r="A686" t="s">
        <v>797</v>
      </c>
      <c r="C686" t="s">
        <v>156</v>
      </c>
      <c r="D686" t="s">
        <v>157</v>
      </c>
      <c r="E686" t="s">
        <v>982</v>
      </c>
      <c r="F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 t="s">
        <v>204</v>
      </c>
      <c r="AB686" t="s">
        <v>138</v>
      </c>
    </row>
    <row r="687" spans="1:28" x14ac:dyDescent="0.3">
      <c r="A687" t="s">
        <v>978</v>
      </c>
      <c r="C687" t="s">
        <v>156</v>
      </c>
      <c r="D687" t="s">
        <v>157</v>
      </c>
      <c r="E687" t="s">
        <v>982</v>
      </c>
      <c r="F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 t="s">
        <v>204</v>
      </c>
      <c r="AB687" t="s">
        <v>138</v>
      </c>
    </row>
    <row r="688" spans="1:28" x14ac:dyDescent="0.3">
      <c r="A688" t="s">
        <v>791</v>
      </c>
      <c r="C688" t="s">
        <v>156</v>
      </c>
      <c r="D688" t="s">
        <v>157</v>
      </c>
      <c r="E688" t="s">
        <v>982</v>
      </c>
      <c r="F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 t="s">
        <v>204</v>
      </c>
      <c r="AB688" t="s">
        <v>138</v>
      </c>
    </row>
    <row r="689" spans="1:28" x14ac:dyDescent="0.3">
      <c r="A689" t="s">
        <v>792</v>
      </c>
      <c r="C689" t="s">
        <v>156</v>
      </c>
      <c r="D689" t="s">
        <v>157</v>
      </c>
      <c r="E689" t="s">
        <v>982</v>
      </c>
      <c r="F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204</v>
      </c>
      <c r="AB689" t="s">
        <v>138</v>
      </c>
    </row>
    <row r="690" spans="1:28" x14ac:dyDescent="0.3">
      <c r="A690" t="s">
        <v>1292</v>
      </c>
      <c r="C690" t="s">
        <v>156</v>
      </c>
      <c r="D690" t="s">
        <v>157</v>
      </c>
      <c r="E690" t="s">
        <v>982</v>
      </c>
      <c r="F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 t="s">
        <v>204</v>
      </c>
      <c r="AB690" t="s">
        <v>138</v>
      </c>
    </row>
    <row r="691" spans="1:28" x14ac:dyDescent="0.3">
      <c r="A691" t="s">
        <v>1293</v>
      </c>
      <c r="C691" t="s">
        <v>156</v>
      </c>
      <c r="D691" t="s">
        <v>157</v>
      </c>
      <c r="E691" t="s">
        <v>982</v>
      </c>
      <c r="F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 t="s">
        <v>204</v>
      </c>
      <c r="AB691" t="s">
        <v>138</v>
      </c>
    </row>
    <row r="692" spans="1:28" x14ac:dyDescent="0.3">
      <c r="A692" t="s">
        <v>803</v>
      </c>
      <c r="C692" t="s">
        <v>156</v>
      </c>
      <c r="D692" t="s">
        <v>157</v>
      </c>
      <c r="E692" t="s">
        <v>982</v>
      </c>
      <c r="F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 t="s">
        <v>204</v>
      </c>
      <c r="AB692" t="s">
        <v>138</v>
      </c>
    </row>
    <row r="693" spans="1:28" x14ac:dyDescent="0.3">
      <c r="A693" t="s">
        <v>960</v>
      </c>
      <c r="C693" t="s">
        <v>156</v>
      </c>
      <c r="D693" t="s">
        <v>157</v>
      </c>
      <c r="E693" t="s">
        <v>982</v>
      </c>
      <c r="F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 t="s">
        <v>204</v>
      </c>
      <c r="AB693" t="s">
        <v>138</v>
      </c>
    </row>
    <row r="694" spans="1:28" x14ac:dyDescent="0.3">
      <c r="A694" t="s">
        <v>951</v>
      </c>
      <c r="C694" t="s">
        <v>153</v>
      </c>
      <c r="D694" t="s">
        <v>157</v>
      </c>
      <c r="E694" t="s">
        <v>990</v>
      </c>
      <c r="F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 t="s">
        <v>204</v>
      </c>
      <c r="Y694" t="s">
        <v>262</v>
      </c>
      <c r="AB694" t="s">
        <v>138</v>
      </c>
    </row>
    <row r="695" spans="1:28" x14ac:dyDescent="0.3">
      <c r="A695" t="s">
        <v>1294</v>
      </c>
      <c r="C695" t="s">
        <v>153</v>
      </c>
      <c r="D695" t="s">
        <v>157</v>
      </c>
      <c r="E695" t="s">
        <v>990</v>
      </c>
      <c r="F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 t="s">
        <v>204</v>
      </c>
      <c r="Y695" t="s">
        <v>180</v>
      </c>
      <c r="AB695" t="s">
        <v>138</v>
      </c>
    </row>
    <row r="696" spans="1:28" x14ac:dyDescent="0.3">
      <c r="A696" t="s">
        <v>747</v>
      </c>
      <c r="C696" t="s">
        <v>153</v>
      </c>
      <c r="D696" t="s">
        <v>157</v>
      </c>
      <c r="E696" t="s">
        <v>990</v>
      </c>
      <c r="F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 t="s">
        <v>204</v>
      </c>
      <c r="Y696" t="s">
        <v>180</v>
      </c>
      <c r="AB696" t="s">
        <v>140</v>
      </c>
    </row>
    <row r="697" spans="1:28" x14ac:dyDescent="0.3">
      <c r="A697" t="s">
        <v>1295</v>
      </c>
      <c r="C697" t="s">
        <v>153</v>
      </c>
      <c r="D697" t="s">
        <v>157</v>
      </c>
      <c r="E697" t="s">
        <v>990</v>
      </c>
      <c r="F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 t="s">
        <v>204</v>
      </c>
      <c r="Y697" t="s">
        <v>180</v>
      </c>
      <c r="AB697" t="s">
        <v>93</v>
      </c>
    </row>
    <row r="698" spans="1:28" x14ac:dyDescent="0.3">
      <c r="A698" t="s">
        <v>1296</v>
      </c>
      <c r="C698" t="s">
        <v>153</v>
      </c>
      <c r="D698" t="s">
        <v>157</v>
      </c>
      <c r="E698" t="s">
        <v>990</v>
      </c>
      <c r="F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 t="s">
        <v>204</v>
      </c>
      <c r="Y698" t="s">
        <v>11</v>
      </c>
      <c r="AB698" t="s">
        <v>138</v>
      </c>
    </row>
    <row r="699" spans="1:28" x14ac:dyDescent="0.3">
      <c r="A699" t="s">
        <v>773</v>
      </c>
      <c r="C699" t="s">
        <v>153</v>
      </c>
      <c r="D699" t="s">
        <v>157</v>
      </c>
      <c r="E699" t="s">
        <v>990</v>
      </c>
      <c r="F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 t="s">
        <v>204</v>
      </c>
      <c r="Y699" t="s">
        <v>16</v>
      </c>
      <c r="AB699" t="s">
        <v>138</v>
      </c>
    </row>
    <row r="700" spans="1:28" x14ac:dyDescent="0.3">
      <c r="A700" t="s">
        <v>1297</v>
      </c>
      <c r="C700" t="s">
        <v>153</v>
      </c>
      <c r="D700" t="s">
        <v>157</v>
      </c>
      <c r="E700" t="s">
        <v>990</v>
      </c>
      <c r="F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 t="s">
        <v>204</v>
      </c>
      <c r="Y700" t="s">
        <v>233</v>
      </c>
      <c r="AB700" t="s">
        <v>138</v>
      </c>
    </row>
    <row r="701" spans="1:28" x14ac:dyDescent="0.3">
      <c r="A701" t="s">
        <v>774</v>
      </c>
      <c r="C701" t="s">
        <v>153</v>
      </c>
      <c r="D701" t="s">
        <v>157</v>
      </c>
      <c r="E701" t="s">
        <v>990</v>
      </c>
      <c r="F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 t="s">
        <v>204</v>
      </c>
      <c r="Y701" t="s">
        <v>19</v>
      </c>
      <c r="AB701" t="s">
        <v>138</v>
      </c>
    </row>
    <row r="702" spans="1:28" x14ac:dyDescent="0.3">
      <c r="A702" t="s">
        <v>762</v>
      </c>
      <c r="C702" t="s">
        <v>153</v>
      </c>
      <c r="D702" t="s">
        <v>157</v>
      </c>
      <c r="E702" t="s">
        <v>990</v>
      </c>
      <c r="F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 t="s">
        <v>204</v>
      </c>
      <c r="Y702" t="s">
        <v>21</v>
      </c>
      <c r="AB702" t="s">
        <v>138</v>
      </c>
    </row>
    <row r="703" spans="1:28" x14ac:dyDescent="0.3">
      <c r="A703" t="s">
        <v>760</v>
      </c>
      <c r="C703" t="s">
        <v>153</v>
      </c>
      <c r="D703" t="s">
        <v>157</v>
      </c>
      <c r="E703" t="s">
        <v>990</v>
      </c>
      <c r="F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 t="s">
        <v>204</v>
      </c>
      <c r="Y703" t="s">
        <v>21</v>
      </c>
      <c r="AB703" t="s">
        <v>138</v>
      </c>
    </row>
    <row r="704" spans="1:28" x14ac:dyDescent="0.3">
      <c r="A704" t="s">
        <v>750</v>
      </c>
      <c r="C704" t="s">
        <v>153</v>
      </c>
      <c r="D704" t="s">
        <v>157</v>
      </c>
      <c r="E704" t="s">
        <v>990</v>
      </c>
      <c r="F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 t="s">
        <v>204</v>
      </c>
      <c r="Y704" t="s">
        <v>14</v>
      </c>
      <c r="AB704" t="s">
        <v>142</v>
      </c>
    </row>
    <row r="705" spans="1:28" x14ac:dyDescent="0.3">
      <c r="A705" t="s">
        <v>1298</v>
      </c>
      <c r="C705" t="s">
        <v>153</v>
      </c>
      <c r="D705" t="s">
        <v>157</v>
      </c>
      <c r="E705" t="s">
        <v>990</v>
      </c>
      <c r="F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204</v>
      </c>
      <c r="Y705" t="s">
        <v>14</v>
      </c>
      <c r="AB705" t="s">
        <v>138</v>
      </c>
    </row>
    <row r="706" spans="1:28" x14ac:dyDescent="0.3">
      <c r="A706" t="s">
        <v>807</v>
      </c>
      <c r="C706" t="s">
        <v>153</v>
      </c>
      <c r="D706" t="s">
        <v>157</v>
      </c>
      <c r="E706" t="s">
        <v>990</v>
      </c>
      <c r="F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 t="s">
        <v>204</v>
      </c>
      <c r="Y706" t="s">
        <v>14</v>
      </c>
      <c r="AB706" t="s">
        <v>142</v>
      </c>
    </row>
    <row r="707" spans="1:28" x14ac:dyDescent="0.3">
      <c r="A707" t="s">
        <v>1299</v>
      </c>
      <c r="C707" t="s">
        <v>153</v>
      </c>
      <c r="D707" t="s">
        <v>157</v>
      </c>
      <c r="E707" t="s">
        <v>990</v>
      </c>
      <c r="F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 t="s">
        <v>158</v>
      </c>
      <c r="AB707" t="s">
        <v>138</v>
      </c>
    </row>
    <row r="708" spans="1:28" x14ac:dyDescent="0.3">
      <c r="A708" t="s">
        <v>751</v>
      </c>
      <c r="C708" t="s">
        <v>153</v>
      </c>
      <c r="D708" t="s">
        <v>157</v>
      </c>
      <c r="E708" t="s">
        <v>990</v>
      </c>
      <c r="F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 t="s">
        <v>158</v>
      </c>
      <c r="AB708" t="s">
        <v>138</v>
      </c>
    </row>
    <row r="709" spans="1:28" x14ac:dyDescent="0.3">
      <c r="A709" t="s">
        <v>752</v>
      </c>
      <c r="C709" t="s">
        <v>153</v>
      </c>
      <c r="D709" t="s">
        <v>157</v>
      </c>
      <c r="E709" t="s">
        <v>990</v>
      </c>
      <c r="F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 t="s">
        <v>158</v>
      </c>
      <c r="AB709" t="s">
        <v>138</v>
      </c>
    </row>
    <row r="710" spans="1:28" x14ac:dyDescent="0.3">
      <c r="A710" t="s">
        <v>801</v>
      </c>
      <c r="C710" t="s">
        <v>153</v>
      </c>
      <c r="D710" t="s">
        <v>157</v>
      </c>
      <c r="E710" t="s">
        <v>990</v>
      </c>
      <c r="F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 t="s">
        <v>158</v>
      </c>
      <c r="AB710" t="s">
        <v>138</v>
      </c>
    </row>
    <row r="711" spans="1:28" x14ac:dyDescent="0.3">
      <c r="A711" t="s">
        <v>971</v>
      </c>
      <c r="C711" t="s">
        <v>153</v>
      </c>
      <c r="D711" t="s">
        <v>157</v>
      </c>
      <c r="E711" t="s">
        <v>990</v>
      </c>
      <c r="F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 t="s">
        <v>158</v>
      </c>
      <c r="AB711" t="s">
        <v>138</v>
      </c>
    </row>
    <row r="712" spans="1:28" x14ac:dyDescent="0.3">
      <c r="A712" t="s">
        <v>796</v>
      </c>
      <c r="C712" t="s">
        <v>153</v>
      </c>
      <c r="D712" t="s">
        <v>157</v>
      </c>
      <c r="E712" t="s">
        <v>990</v>
      </c>
      <c r="F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 t="s">
        <v>158</v>
      </c>
      <c r="AB712" t="s">
        <v>138</v>
      </c>
    </row>
    <row r="713" spans="1:28" x14ac:dyDescent="0.3">
      <c r="A713" t="s">
        <v>956</v>
      </c>
      <c r="C713" t="s">
        <v>153</v>
      </c>
      <c r="D713" t="s">
        <v>157</v>
      </c>
      <c r="E713" t="s">
        <v>990</v>
      </c>
      <c r="F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 t="s">
        <v>204</v>
      </c>
      <c r="AB713" t="s">
        <v>138</v>
      </c>
    </row>
    <row r="714" spans="1:28" x14ac:dyDescent="0.3">
      <c r="A714" t="s">
        <v>1300</v>
      </c>
      <c r="C714" t="s">
        <v>153</v>
      </c>
      <c r="D714" t="s">
        <v>157</v>
      </c>
      <c r="E714" t="s">
        <v>990</v>
      </c>
      <c r="F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 t="s">
        <v>204</v>
      </c>
      <c r="AB714" t="s">
        <v>138</v>
      </c>
    </row>
    <row r="715" spans="1:28" x14ac:dyDescent="0.3">
      <c r="A715" t="s">
        <v>757</v>
      </c>
      <c r="C715" t="s">
        <v>153</v>
      </c>
      <c r="D715" t="s">
        <v>157</v>
      </c>
      <c r="E715" t="s">
        <v>990</v>
      </c>
      <c r="F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 t="s">
        <v>204</v>
      </c>
      <c r="AB715" t="s">
        <v>138</v>
      </c>
    </row>
    <row r="716" spans="1:28" x14ac:dyDescent="0.3">
      <c r="A716" t="s">
        <v>778</v>
      </c>
      <c r="C716" t="s">
        <v>153</v>
      </c>
      <c r="D716" t="s">
        <v>157</v>
      </c>
      <c r="E716" t="s">
        <v>990</v>
      </c>
      <c r="F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 t="s">
        <v>204</v>
      </c>
      <c r="AB716" t="s">
        <v>138</v>
      </c>
    </row>
    <row r="717" spans="1:28" x14ac:dyDescent="0.3">
      <c r="A717" t="s">
        <v>758</v>
      </c>
      <c r="C717" t="s">
        <v>153</v>
      </c>
      <c r="D717" t="s">
        <v>157</v>
      </c>
      <c r="E717" t="s">
        <v>990</v>
      </c>
      <c r="F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 t="s">
        <v>204</v>
      </c>
      <c r="AB717" t="s">
        <v>138</v>
      </c>
    </row>
    <row r="718" spans="1:28" x14ac:dyDescent="0.3">
      <c r="A718" t="s">
        <v>1301</v>
      </c>
      <c r="C718" t="s">
        <v>153</v>
      </c>
      <c r="D718" t="s">
        <v>157</v>
      </c>
      <c r="E718" t="s">
        <v>990</v>
      </c>
      <c r="F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 t="s">
        <v>204</v>
      </c>
      <c r="AB718" t="s">
        <v>138</v>
      </c>
    </row>
    <row r="719" spans="1:28" x14ac:dyDescent="0.3">
      <c r="A719" t="s">
        <v>837</v>
      </c>
      <c r="C719" t="s">
        <v>153</v>
      </c>
      <c r="D719" t="s">
        <v>157</v>
      </c>
      <c r="E719" t="s">
        <v>990</v>
      </c>
      <c r="F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 t="s">
        <v>204</v>
      </c>
      <c r="AB719" t="s">
        <v>140</v>
      </c>
    </row>
    <row r="720" spans="1:28" x14ac:dyDescent="0.3">
      <c r="A720" t="s">
        <v>962</v>
      </c>
      <c r="C720" t="s">
        <v>153</v>
      </c>
      <c r="D720" t="s">
        <v>157</v>
      </c>
      <c r="E720" t="s">
        <v>1119</v>
      </c>
      <c r="F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 t="s">
        <v>204</v>
      </c>
      <c r="Y720" t="s">
        <v>21</v>
      </c>
      <c r="AB720" t="s">
        <v>138</v>
      </c>
    </row>
    <row r="721" spans="1:28" x14ac:dyDescent="0.3">
      <c r="A721" t="s">
        <v>957</v>
      </c>
      <c r="C721" t="s">
        <v>156</v>
      </c>
      <c r="D721" t="s">
        <v>157</v>
      </c>
      <c r="E721" t="s">
        <v>997</v>
      </c>
      <c r="F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 t="s">
        <v>204</v>
      </c>
      <c r="AB721" t="s">
        <v>138</v>
      </c>
    </row>
    <row r="722" spans="1:28" x14ac:dyDescent="0.3">
      <c r="A722" t="s">
        <v>955</v>
      </c>
      <c r="C722" t="s">
        <v>156</v>
      </c>
      <c r="D722" t="s">
        <v>157</v>
      </c>
      <c r="E722" t="s">
        <v>1181</v>
      </c>
      <c r="F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t="s">
        <v>158</v>
      </c>
      <c r="AB722" t="s">
        <v>138</v>
      </c>
    </row>
    <row r="723" spans="1:28" x14ac:dyDescent="0.3">
      <c r="A723" t="s">
        <v>1302</v>
      </c>
      <c r="C723" t="s">
        <v>156</v>
      </c>
      <c r="D723" t="s">
        <v>157</v>
      </c>
      <c r="E723" t="s">
        <v>1032</v>
      </c>
      <c r="F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 t="s">
        <v>204</v>
      </c>
      <c r="Y723" t="s">
        <v>262</v>
      </c>
      <c r="AB723" t="s">
        <v>141</v>
      </c>
    </row>
    <row r="724" spans="1:28" x14ac:dyDescent="0.3">
      <c r="A724" t="s">
        <v>1303</v>
      </c>
      <c r="C724" t="s">
        <v>156</v>
      </c>
      <c r="D724" t="s">
        <v>157</v>
      </c>
      <c r="E724" t="s">
        <v>1032</v>
      </c>
      <c r="F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 t="s">
        <v>204</v>
      </c>
      <c r="Y724" t="s">
        <v>262</v>
      </c>
      <c r="AB724" t="s">
        <v>138</v>
      </c>
    </row>
    <row r="725" spans="1:28" x14ac:dyDescent="0.3">
      <c r="A725" t="s">
        <v>711</v>
      </c>
      <c r="C725" t="s">
        <v>156</v>
      </c>
      <c r="D725" t="s">
        <v>157</v>
      </c>
      <c r="E725" t="s">
        <v>1032</v>
      </c>
      <c r="F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 t="s">
        <v>204</v>
      </c>
      <c r="Y725" t="s">
        <v>12</v>
      </c>
      <c r="AB725" t="s">
        <v>138</v>
      </c>
    </row>
    <row r="726" spans="1:28" x14ac:dyDescent="0.3">
      <c r="A726" t="s">
        <v>823</v>
      </c>
      <c r="C726" t="s">
        <v>156</v>
      </c>
      <c r="D726" t="s">
        <v>157</v>
      </c>
      <c r="E726" t="s">
        <v>1032</v>
      </c>
      <c r="F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 t="s">
        <v>204</v>
      </c>
      <c r="Y726" t="s">
        <v>233</v>
      </c>
      <c r="AB726" t="s">
        <v>138</v>
      </c>
    </row>
    <row r="727" spans="1:28" x14ac:dyDescent="0.3">
      <c r="A727" t="s">
        <v>808</v>
      </c>
      <c r="C727" t="s">
        <v>156</v>
      </c>
      <c r="D727" t="s">
        <v>157</v>
      </c>
      <c r="E727" t="s">
        <v>1032</v>
      </c>
      <c r="F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 t="s">
        <v>204</v>
      </c>
      <c r="Y727" t="s">
        <v>17</v>
      </c>
      <c r="AB727" t="s">
        <v>143</v>
      </c>
    </row>
    <row r="728" spans="1:28" x14ac:dyDescent="0.3">
      <c r="A728" t="s">
        <v>959</v>
      </c>
      <c r="C728" t="s">
        <v>156</v>
      </c>
      <c r="D728" t="s">
        <v>157</v>
      </c>
      <c r="E728" t="s">
        <v>1032</v>
      </c>
      <c r="F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t="s">
        <v>158</v>
      </c>
      <c r="AB728" t="s">
        <v>140</v>
      </c>
    </row>
    <row r="729" spans="1:28" x14ac:dyDescent="0.3">
      <c r="A729" t="s">
        <v>1304</v>
      </c>
      <c r="C729" t="s">
        <v>156</v>
      </c>
      <c r="D729" t="s">
        <v>157</v>
      </c>
      <c r="E729" t="s">
        <v>1032</v>
      </c>
      <c r="F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 t="s">
        <v>204</v>
      </c>
      <c r="AB729" t="s">
        <v>138</v>
      </c>
    </row>
    <row r="730" spans="1:28" x14ac:dyDescent="0.3">
      <c r="A730" t="s">
        <v>776</v>
      </c>
      <c r="C730" t="s">
        <v>156</v>
      </c>
      <c r="D730" t="s">
        <v>157</v>
      </c>
      <c r="E730" t="s">
        <v>1032</v>
      </c>
      <c r="F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 t="s">
        <v>204</v>
      </c>
      <c r="AB730" t="s">
        <v>138</v>
      </c>
    </row>
    <row r="731" spans="1:28" x14ac:dyDescent="0.3">
      <c r="A731" t="s">
        <v>967</v>
      </c>
      <c r="C731" t="s">
        <v>156</v>
      </c>
      <c r="D731" t="s">
        <v>157</v>
      </c>
      <c r="E731" t="s">
        <v>1032</v>
      </c>
      <c r="F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 t="s">
        <v>204</v>
      </c>
      <c r="AB731" t="s">
        <v>142</v>
      </c>
    </row>
    <row r="732" spans="1:28" x14ac:dyDescent="0.3">
      <c r="A732" t="s">
        <v>818</v>
      </c>
      <c r="C732" t="s">
        <v>156</v>
      </c>
      <c r="D732" t="s">
        <v>157</v>
      </c>
      <c r="E732" t="s">
        <v>1032</v>
      </c>
      <c r="F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204</v>
      </c>
      <c r="AB732" t="s">
        <v>138</v>
      </c>
    </row>
    <row r="733" spans="1:28" x14ac:dyDescent="0.3">
      <c r="A733" t="s">
        <v>1305</v>
      </c>
      <c r="C733" t="s">
        <v>156</v>
      </c>
      <c r="D733" t="s">
        <v>157</v>
      </c>
      <c r="E733" t="s">
        <v>1032</v>
      </c>
      <c r="F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 t="s">
        <v>204</v>
      </c>
      <c r="AB733" t="s">
        <v>142</v>
      </c>
    </row>
    <row r="734" spans="1:28" x14ac:dyDescent="0.3">
      <c r="A734" t="s">
        <v>1306</v>
      </c>
      <c r="C734" t="s">
        <v>156</v>
      </c>
      <c r="D734" t="s">
        <v>157</v>
      </c>
      <c r="E734" t="s">
        <v>1032</v>
      </c>
      <c r="F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 t="s">
        <v>204</v>
      </c>
      <c r="AB734" t="s">
        <v>138</v>
      </c>
    </row>
    <row r="735" spans="1:28" x14ac:dyDescent="0.3">
      <c r="A735" t="s">
        <v>1307</v>
      </c>
      <c r="C735" t="s">
        <v>156</v>
      </c>
      <c r="D735" t="s">
        <v>157</v>
      </c>
      <c r="E735" t="s">
        <v>1032</v>
      </c>
      <c r="F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 t="s">
        <v>204</v>
      </c>
      <c r="AB735" t="s">
        <v>138</v>
      </c>
    </row>
    <row r="736" spans="1:28" x14ac:dyDescent="0.3">
      <c r="A736" t="s">
        <v>830</v>
      </c>
      <c r="C736" t="s">
        <v>156</v>
      </c>
      <c r="D736" t="s">
        <v>157</v>
      </c>
      <c r="E736" t="s">
        <v>1032</v>
      </c>
      <c r="F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 t="s">
        <v>204</v>
      </c>
      <c r="AB736" t="s">
        <v>143</v>
      </c>
    </row>
    <row r="737" spans="1:28" x14ac:dyDescent="0.3">
      <c r="A737" t="s">
        <v>1308</v>
      </c>
      <c r="C737" t="s">
        <v>156</v>
      </c>
      <c r="D737" t="s">
        <v>157</v>
      </c>
      <c r="E737" t="s">
        <v>1032</v>
      </c>
      <c r="F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 t="s">
        <v>204</v>
      </c>
      <c r="AB737" t="s">
        <v>138</v>
      </c>
    </row>
    <row r="738" spans="1:28" x14ac:dyDescent="0.3">
      <c r="A738" t="s">
        <v>822</v>
      </c>
      <c r="C738" t="s">
        <v>156</v>
      </c>
      <c r="D738" t="s">
        <v>157</v>
      </c>
      <c r="E738" t="s">
        <v>1032</v>
      </c>
      <c r="F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 t="s">
        <v>204</v>
      </c>
      <c r="AB738" t="s">
        <v>138</v>
      </c>
    </row>
    <row r="739" spans="1:28" x14ac:dyDescent="0.3">
      <c r="A739" t="s">
        <v>771</v>
      </c>
      <c r="C739" t="s">
        <v>156</v>
      </c>
      <c r="D739" t="s">
        <v>157</v>
      </c>
      <c r="E739" t="s">
        <v>995</v>
      </c>
      <c r="F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 t="s">
        <v>204</v>
      </c>
      <c r="Y739" t="s">
        <v>11</v>
      </c>
      <c r="AB739" t="s">
        <v>141</v>
      </c>
    </row>
    <row r="740" spans="1:28" x14ac:dyDescent="0.3">
      <c r="A740" t="s">
        <v>769</v>
      </c>
      <c r="C740" t="s">
        <v>156</v>
      </c>
      <c r="D740" t="s">
        <v>157</v>
      </c>
      <c r="E740" t="s">
        <v>995</v>
      </c>
      <c r="F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 t="s">
        <v>204</v>
      </c>
      <c r="Y740" t="s">
        <v>11</v>
      </c>
      <c r="AB740" t="s">
        <v>138</v>
      </c>
    </row>
    <row r="741" spans="1:28" x14ac:dyDescent="0.3">
      <c r="A741" t="s">
        <v>806</v>
      </c>
      <c r="C741" t="s">
        <v>156</v>
      </c>
      <c r="D741" t="s">
        <v>157</v>
      </c>
      <c r="E741" t="s">
        <v>995</v>
      </c>
      <c r="F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 t="s">
        <v>204</v>
      </c>
      <c r="AB741" t="s">
        <v>138</v>
      </c>
    </row>
    <row r="742" spans="1:28" x14ac:dyDescent="0.3">
      <c r="A742" t="s">
        <v>965</v>
      </c>
      <c r="C742" t="s">
        <v>175</v>
      </c>
      <c r="D742" t="s">
        <v>157</v>
      </c>
      <c r="E742" t="s">
        <v>996</v>
      </c>
      <c r="F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 t="s">
        <v>204</v>
      </c>
      <c r="Y742" t="s">
        <v>11</v>
      </c>
      <c r="AB742" t="s">
        <v>139</v>
      </c>
    </row>
    <row r="743" spans="1:28" x14ac:dyDescent="0.3">
      <c r="A743" t="s">
        <v>825</v>
      </c>
      <c r="C743" t="s">
        <v>175</v>
      </c>
      <c r="D743" t="s">
        <v>157</v>
      </c>
      <c r="E743" t="s">
        <v>996</v>
      </c>
      <c r="F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 t="s">
        <v>204</v>
      </c>
      <c r="Y743" t="s">
        <v>11</v>
      </c>
      <c r="AB743" t="s">
        <v>138</v>
      </c>
    </row>
    <row r="744" spans="1:28" x14ac:dyDescent="0.3">
      <c r="A744" t="s">
        <v>954</v>
      </c>
      <c r="C744" t="s">
        <v>175</v>
      </c>
      <c r="D744" t="s">
        <v>157</v>
      </c>
      <c r="E744" t="s">
        <v>996</v>
      </c>
      <c r="F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 t="s">
        <v>204</v>
      </c>
      <c r="Y744" t="s">
        <v>16</v>
      </c>
      <c r="AB744" t="s">
        <v>138</v>
      </c>
    </row>
    <row r="745" spans="1:28" x14ac:dyDescent="0.3">
      <c r="A745" t="s">
        <v>805</v>
      </c>
      <c r="C745" t="s">
        <v>175</v>
      </c>
      <c r="D745" t="s">
        <v>157</v>
      </c>
      <c r="E745" t="s">
        <v>996</v>
      </c>
      <c r="F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 t="s">
        <v>204</v>
      </c>
      <c r="AB745" t="s">
        <v>141</v>
      </c>
    </row>
    <row r="746" spans="1:28" x14ac:dyDescent="0.3">
      <c r="A746" t="s">
        <v>836</v>
      </c>
      <c r="C746" t="s">
        <v>175</v>
      </c>
      <c r="D746" t="s">
        <v>157</v>
      </c>
      <c r="E746" t="s">
        <v>996</v>
      </c>
      <c r="F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 t="s">
        <v>204</v>
      </c>
      <c r="AB746" t="s">
        <v>138</v>
      </c>
    </row>
    <row r="747" spans="1:28" x14ac:dyDescent="0.3">
      <c r="A747" t="s">
        <v>827</v>
      </c>
      <c r="C747" t="s">
        <v>175</v>
      </c>
      <c r="D747" t="s">
        <v>157</v>
      </c>
      <c r="E747" t="s">
        <v>996</v>
      </c>
      <c r="F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 t="s">
        <v>204</v>
      </c>
      <c r="AB747" t="s">
        <v>138</v>
      </c>
    </row>
    <row r="748" spans="1:28" x14ac:dyDescent="0.3">
      <c r="A748" t="s">
        <v>828</v>
      </c>
      <c r="C748" t="s">
        <v>175</v>
      </c>
      <c r="D748" t="s">
        <v>157</v>
      </c>
      <c r="E748" t="s">
        <v>996</v>
      </c>
      <c r="F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 t="s">
        <v>204</v>
      </c>
      <c r="AB748" t="s">
        <v>138</v>
      </c>
    </row>
    <row r="749" spans="1:28" x14ac:dyDescent="0.3">
      <c r="A749" t="s">
        <v>829</v>
      </c>
      <c r="C749" t="s">
        <v>175</v>
      </c>
      <c r="D749" t="s">
        <v>157</v>
      </c>
      <c r="E749" t="s">
        <v>996</v>
      </c>
      <c r="F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204</v>
      </c>
      <c r="AB749" t="s">
        <v>138</v>
      </c>
    </row>
    <row r="750" spans="1:28" x14ac:dyDescent="0.3">
      <c r="A750" t="s">
        <v>800</v>
      </c>
      <c r="C750" t="s">
        <v>156</v>
      </c>
      <c r="D750" t="s">
        <v>157</v>
      </c>
      <c r="E750" t="s">
        <v>994</v>
      </c>
      <c r="F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 t="s">
        <v>204</v>
      </c>
      <c r="Y750" t="s">
        <v>12</v>
      </c>
      <c r="AB750" t="s">
        <v>142</v>
      </c>
    </row>
    <row r="751" spans="1:28" x14ac:dyDescent="0.3">
      <c r="A751" t="s">
        <v>961</v>
      </c>
      <c r="C751" t="s">
        <v>156</v>
      </c>
      <c r="D751" t="s">
        <v>157</v>
      </c>
      <c r="E751" t="s">
        <v>994</v>
      </c>
      <c r="F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 t="s">
        <v>204</v>
      </c>
      <c r="Y751" t="s">
        <v>15</v>
      </c>
      <c r="AB751" t="s">
        <v>141</v>
      </c>
    </row>
    <row r="752" spans="1:28" x14ac:dyDescent="0.3">
      <c r="A752" t="s">
        <v>1309</v>
      </c>
      <c r="C752" t="s">
        <v>156</v>
      </c>
      <c r="D752" t="s">
        <v>157</v>
      </c>
      <c r="E752" t="s">
        <v>994</v>
      </c>
      <c r="F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 t="s">
        <v>204</v>
      </c>
      <c r="Y752" t="s">
        <v>21</v>
      </c>
      <c r="AB752" t="s">
        <v>140</v>
      </c>
    </row>
    <row r="753" spans="1:28" x14ac:dyDescent="0.3">
      <c r="A753" t="s">
        <v>755</v>
      </c>
      <c r="C753" t="s">
        <v>156</v>
      </c>
      <c r="D753" t="s">
        <v>157</v>
      </c>
      <c r="E753" t="s">
        <v>994</v>
      </c>
      <c r="F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 t="s">
        <v>204</v>
      </c>
      <c r="AB753" t="s">
        <v>141</v>
      </c>
    </row>
    <row r="754" spans="1:28" x14ac:dyDescent="0.3">
      <c r="A754" t="s">
        <v>831</v>
      </c>
      <c r="C754" t="s">
        <v>156</v>
      </c>
      <c r="D754" t="s">
        <v>157</v>
      </c>
      <c r="E754" t="s">
        <v>994</v>
      </c>
      <c r="F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 t="s">
        <v>204</v>
      </c>
      <c r="AB754" t="s">
        <v>143</v>
      </c>
    </row>
    <row r="755" spans="1:28" x14ac:dyDescent="0.3">
      <c r="A755" t="s">
        <v>798</v>
      </c>
      <c r="C755" t="s">
        <v>156</v>
      </c>
      <c r="D755" t="s">
        <v>157</v>
      </c>
      <c r="E755" t="s">
        <v>994</v>
      </c>
      <c r="F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 t="s">
        <v>204</v>
      </c>
      <c r="AB755" t="s">
        <v>138</v>
      </c>
    </row>
    <row r="756" spans="1:28" x14ac:dyDescent="0.3">
      <c r="A756" t="s">
        <v>804</v>
      </c>
      <c r="C756" t="s">
        <v>156</v>
      </c>
      <c r="D756" t="s">
        <v>157</v>
      </c>
      <c r="E756" t="s">
        <v>994</v>
      </c>
      <c r="F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 t="s">
        <v>204</v>
      </c>
      <c r="AB756" t="s">
        <v>138</v>
      </c>
    </row>
    <row r="757" spans="1:28" x14ac:dyDescent="0.3">
      <c r="A757" t="s">
        <v>980</v>
      </c>
      <c r="C757" t="s">
        <v>156</v>
      </c>
      <c r="D757" t="s">
        <v>157</v>
      </c>
      <c r="E757" t="s">
        <v>1114</v>
      </c>
      <c r="F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 t="s">
        <v>204</v>
      </c>
      <c r="AB757" t="s">
        <v>140</v>
      </c>
    </row>
    <row r="758" spans="1:28" x14ac:dyDescent="0.3">
      <c r="A758" t="s">
        <v>969</v>
      </c>
      <c r="C758" t="s">
        <v>156</v>
      </c>
      <c r="D758" t="s">
        <v>157</v>
      </c>
      <c r="E758" t="s">
        <v>1045</v>
      </c>
      <c r="F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 t="s">
        <v>204</v>
      </c>
      <c r="AB758" t="s">
        <v>138</v>
      </c>
    </row>
    <row r="759" spans="1:28" x14ac:dyDescent="0.3">
      <c r="A759" t="s">
        <v>763</v>
      </c>
      <c r="C759" t="s">
        <v>156</v>
      </c>
      <c r="D759" t="s">
        <v>157</v>
      </c>
      <c r="E759" t="s">
        <v>1310</v>
      </c>
      <c r="F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 t="s">
        <v>204</v>
      </c>
      <c r="Y759" t="s">
        <v>13</v>
      </c>
      <c r="AB759" t="s">
        <v>138</v>
      </c>
    </row>
    <row r="760" spans="1:28" x14ac:dyDescent="0.3">
      <c r="A760" t="s">
        <v>527</v>
      </c>
      <c r="C760" t="s">
        <v>156</v>
      </c>
      <c r="D760" t="s">
        <v>157</v>
      </c>
      <c r="E760" t="s">
        <v>1115</v>
      </c>
      <c r="F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 t="s">
        <v>158</v>
      </c>
      <c r="AB760" t="s">
        <v>138</v>
      </c>
    </row>
    <row r="761" spans="1:28" x14ac:dyDescent="0.3">
      <c r="A761" t="s">
        <v>1311</v>
      </c>
      <c r="C761" t="s">
        <v>156</v>
      </c>
      <c r="D761" t="s">
        <v>157</v>
      </c>
      <c r="E761" t="s">
        <v>1115</v>
      </c>
      <c r="F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 t="s">
        <v>204</v>
      </c>
      <c r="AB761" t="s">
        <v>138</v>
      </c>
    </row>
    <row r="762" spans="1:28" x14ac:dyDescent="0.3">
      <c r="A762" t="s">
        <v>759</v>
      </c>
      <c r="C762" t="s">
        <v>156</v>
      </c>
      <c r="D762" t="s">
        <v>157</v>
      </c>
      <c r="E762" t="s">
        <v>1019</v>
      </c>
      <c r="F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 t="s">
        <v>204</v>
      </c>
      <c r="AB762" t="s">
        <v>138</v>
      </c>
    </row>
    <row r="763" spans="1:28" x14ac:dyDescent="0.3">
      <c r="A763" t="s">
        <v>1312</v>
      </c>
      <c r="C763" t="s">
        <v>156</v>
      </c>
      <c r="D763" t="s">
        <v>157</v>
      </c>
      <c r="E763" t="s">
        <v>1034</v>
      </c>
      <c r="F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 t="s">
        <v>204</v>
      </c>
      <c r="AB763" t="s">
        <v>138</v>
      </c>
    </row>
    <row r="764" spans="1:28" x14ac:dyDescent="0.3">
      <c r="A764" t="s">
        <v>1313</v>
      </c>
      <c r="C764" t="s">
        <v>156</v>
      </c>
      <c r="D764" t="s">
        <v>157</v>
      </c>
      <c r="E764" t="s">
        <v>1034</v>
      </c>
      <c r="F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 t="s">
        <v>204</v>
      </c>
      <c r="AB764" t="s">
        <v>138</v>
      </c>
    </row>
    <row r="765" spans="1:28" x14ac:dyDescent="0.3">
      <c r="A765" t="s">
        <v>833</v>
      </c>
      <c r="C765" t="s">
        <v>156</v>
      </c>
      <c r="D765" t="s">
        <v>157</v>
      </c>
      <c r="E765" t="s">
        <v>1015</v>
      </c>
      <c r="F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 t="s">
        <v>204</v>
      </c>
      <c r="AB765" t="s">
        <v>138</v>
      </c>
    </row>
    <row r="766" spans="1:28" x14ac:dyDescent="0.3">
      <c r="A766" t="s">
        <v>745</v>
      </c>
      <c r="C766" t="s">
        <v>156</v>
      </c>
      <c r="D766" t="s">
        <v>157</v>
      </c>
      <c r="E766" t="s">
        <v>1314</v>
      </c>
      <c r="F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 t="s">
        <v>204</v>
      </c>
      <c r="Y766" t="s">
        <v>12</v>
      </c>
      <c r="AB766" t="s">
        <v>138</v>
      </c>
    </row>
    <row r="767" spans="1:28" x14ac:dyDescent="0.3">
      <c r="A767" t="s">
        <v>1315</v>
      </c>
      <c r="C767" t="s">
        <v>156</v>
      </c>
      <c r="D767" t="s">
        <v>157</v>
      </c>
      <c r="E767" t="s">
        <v>1316</v>
      </c>
      <c r="F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 t="s">
        <v>158</v>
      </c>
      <c r="AB767" t="s">
        <v>143</v>
      </c>
    </row>
    <row r="768" spans="1:28" x14ac:dyDescent="0.3">
      <c r="A768" t="s">
        <v>765</v>
      </c>
      <c r="C768" t="s">
        <v>156</v>
      </c>
      <c r="D768" t="s">
        <v>157</v>
      </c>
      <c r="E768" t="s">
        <v>1316</v>
      </c>
      <c r="F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 t="s">
        <v>204</v>
      </c>
      <c r="AB768" t="s">
        <v>143</v>
      </c>
    </row>
    <row r="769" spans="1:28" x14ac:dyDescent="0.3">
      <c r="A769" t="s">
        <v>966</v>
      </c>
      <c r="C769" t="s">
        <v>156</v>
      </c>
      <c r="D769" t="s">
        <v>157</v>
      </c>
      <c r="E769" t="s">
        <v>1214</v>
      </c>
      <c r="F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 t="s">
        <v>204</v>
      </c>
      <c r="AB769" t="s">
        <v>138</v>
      </c>
    </row>
    <row r="770" spans="1:28" x14ac:dyDescent="0.3">
      <c r="A770" t="s">
        <v>826</v>
      </c>
      <c r="C770" t="s">
        <v>156</v>
      </c>
      <c r="D770" t="s">
        <v>157</v>
      </c>
      <c r="E770" t="s">
        <v>1317</v>
      </c>
      <c r="F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 t="s">
        <v>204</v>
      </c>
    </row>
    <row r="771" spans="1:28" x14ac:dyDescent="0.3">
      <c r="A771" t="s">
        <v>817</v>
      </c>
      <c r="C771" t="s">
        <v>156</v>
      </c>
      <c r="D771" t="s">
        <v>157</v>
      </c>
      <c r="E771" t="s">
        <v>1194</v>
      </c>
      <c r="F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 t="s">
        <v>204</v>
      </c>
      <c r="Y771" t="s">
        <v>162</v>
      </c>
    </row>
    <row r="772" spans="1:28" x14ac:dyDescent="0.3">
      <c r="A772" t="s">
        <v>1318</v>
      </c>
      <c r="C772" t="s">
        <v>156</v>
      </c>
      <c r="D772" t="s">
        <v>157</v>
      </c>
      <c r="E772" t="s">
        <v>1194</v>
      </c>
      <c r="F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 t="s">
        <v>204</v>
      </c>
      <c r="Y772" t="s">
        <v>233</v>
      </c>
    </row>
    <row r="773" spans="1:28" x14ac:dyDescent="0.3">
      <c r="A773" t="s">
        <v>816</v>
      </c>
      <c r="C773" t="s">
        <v>156</v>
      </c>
      <c r="D773" t="s">
        <v>157</v>
      </c>
      <c r="E773" t="s">
        <v>1196</v>
      </c>
      <c r="F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 t="s">
        <v>204</v>
      </c>
      <c r="Y773" t="s">
        <v>262</v>
      </c>
    </row>
    <row r="774" spans="1:28" x14ac:dyDescent="0.3">
      <c r="A774" t="s">
        <v>972</v>
      </c>
      <c r="C774" t="s">
        <v>156</v>
      </c>
      <c r="D774" t="s">
        <v>157</v>
      </c>
      <c r="E774" t="s">
        <v>1196</v>
      </c>
      <c r="F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 t="s">
        <v>204</v>
      </c>
    </row>
    <row r="775" spans="1:28" x14ac:dyDescent="0.3">
      <c r="A775" t="s">
        <v>1319</v>
      </c>
      <c r="C775" t="s">
        <v>156</v>
      </c>
      <c r="D775" t="s">
        <v>157</v>
      </c>
      <c r="E775" t="s">
        <v>987</v>
      </c>
      <c r="F775">
        <v>1</v>
      </c>
      <c r="G775" t="s">
        <v>36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t="s">
        <v>204</v>
      </c>
      <c r="Y775" t="s">
        <v>262</v>
      </c>
    </row>
    <row r="776" spans="1:28" x14ac:dyDescent="0.3">
      <c r="A776" t="s">
        <v>976</v>
      </c>
      <c r="C776" t="s">
        <v>156</v>
      </c>
      <c r="D776" t="s">
        <v>157</v>
      </c>
      <c r="E776" t="s">
        <v>987</v>
      </c>
      <c r="F776">
        <v>1</v>
      </c>
      <c r="G776" t="s">
        <v>22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1</v>
      </c>
      <c r="P776" t="s">
        <v>18</v>
      </c>
      <c r="Q776">
        <v>0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 t="s">
        <v>158</v>
      </c>
    </row>
    <row r="777" spans="1:28" x14ac:dyDescent="0.3">
      <c r="A777" t="s">
        <v>949</v>
      </c>
      <c r="C777" t="s">
        <v>156</v>
      </c>
      <c r="D777" t="s">
        <v>157</v>
      </c>
      <c r="E777" t="s">
        <v>1072</v>
      </c>
      <c r="F777">
        <v>2</v>
      </c>
      <c r="G777" t="s">
        <v>725</v>
      </c>
      <c r="H777">
        <v>0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t="s">
        <v>204</v>
      </c>
      <c r="Y777" t="s">
        <v>14</v>
      </c>
    </row>
    <row r="778" spans="1:28" x14ac:dyDescent="0.3">
      <c r="A778" t="s">
        <v>1320</v>
      </c>
      <c r="C778" t="s">
        <v>156</v>
      </c>
      <c r="D778" t="s">
        <v>157</v>
      </c>
      <c r="E778" t="s">
        <v>1139</v>
      </c>
      <c r="F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 t="s">
        <v>26</v>
      </c>
      <c r="Q778"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 t="s">
        <v>204</v>
      </c>
      <c r="Y778" t="s">
        <v>16</v>
      </c>
    </row>
    <row r="779" spans="1:28" x14ac:dyDescent="0.3">
      <c r="A779" t="s">
        <v>181</v>
      </c>
      <c r="C779" t="s">
        <v>156</v>
      </c>
      <c r="D779" t="s">
        <v>157</v>
      </c>
      <c r="E779" t="s">
        <v>986</v>
      </c>
      <c r="F779">
        <v>1</v>
      </c>
      <c r="G779" t="s">
        <v>25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 t="s">
        <v>204</v>
      </c>
      <c r="Y779" t="s">
        <v>12</v>
      </c>
    </row>
    <row r="780" spans="1:28" x14ac:dyDescent="0.3">
      <c r="A780" t="s">
        <v>812</v>
      </c>
      <c r="C780" t="s">
        <v>156</v>
      </c>
      <c r="D780" t="s">
        <v>157</v>
      </c>
      <c r="E780" t="s">
        <v>986</v>
      </c>
      <c r="F780">
        <v>1</v>
      </c>
      <c r="G780" t="s">
        <v>24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2</v>
      </c>
      <c r="P780" t="s">
        <v>209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 t="s">
        <v>158</v>
      </c>
    </row>
    <row r="781" spans="1:28" x14ac:dyDescent="0.3">
      <c r="A781" t="s">
        <v>1321</v>
      </c>
      <c r="C781" t="s">
        <v>156</v>
      </c>
      <c r="D781" t="s">
        <v>157</v>
      </c>
      <c r="E781" t="s">
        <v>986</v>
      </c>
      <c r="F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2</v>
      </c>
      <c r="P781" t="s">
        <v>615</v>
      </c>
      <c r="Q781">
        <v>0</v>
      </c>
      <c r="R781">
        <v>1</v>
      </c>
      <c r="S781">
        <v>0</v>
      </c>
      <c r="T781">
        <v>0</v>
      </c>
      <c r="U781">
        <v>0</v>
      </c>
      <c r="V781">
        <v>1</v>
      </c>
      <c r="W781">
        <v>0</v>
      </c>
      <c r="X781" t="s">
        <v>204</v>
      </c>
    </row>
    <row r="782" spans="1:28" x14ac:dyDescent="0.3">
      <c r="A782" t="s">
        <v>839</v>
      </c>
      <c r="C782" t="s">
        <v>156</v>
      </c>
      <c r="D782" t="s">
        <v>157</v>
      </c>
      <c r="E782" t="s">
        <v>984</v>
      </c>
      <c r="F782">
        <v>4</v>
      </c>
      <c r="G782" t="s">
        <v>1322</v>
      </c>
      <c r="H782">
        <v>0</v>
      </c>
      <c r="I782">
        <v>0</v>
      </c>
      <c r="J782">
        <v>2</v>
      </c>
      <c r="K782">
        <v>0</v>
      </c>
      <c r="L782">
        <v>0</v>
      </c>
      <c r="M782">
        <v>2</v>
      </c>
      <c r="N782">
        <v>0</v>
      </c>
      <c r="O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 t="s">
        <v>158</v>
      </c>
    </row>
    <row r="783" spans="1:28" x14ac:dyDescent="0.3">
      <c r="A783" t="s">
        <v>838</v>
      </c>
      <c r="C783" t="s">
        <v>153</v>
      </c>
      <c r="D783" t="s">
        <v>157</v>
      </c>
      <c r="E783" t="s">
        <v>990</v>
      </c>
      <c r="F783">
        <v>1</v>
      </c>
      <c r="G783" t="s">
        <v>27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 t="s">
        <v>204</v>
      </c>
      <c r="Y783" t="s">
        <v>12</v>
      </c>
    </row>
    <row r="784" spans="1:28" x14ac:dyDescent="0.3">
      <c r="A784" t="s">
        <v>810</v>
      </c>
      <c r="C784" t="s">
        <v>156</v>
      </c>
      <c r="D784" t="s">
        <v>157</v>
      </c>
      <c r="E784" t="s">
        <v>1180</v>
      </c>
      <c r="F784">
        <v>1</v>
      </c>
      <c r="G784" t="s">
        <v>25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 t="s">
        <v>204</v>
      </c>
    </row>
    <row r="785" spans="1:25" x14ac:dyDescent="0.3">
      <c r="A785" t="s">
        <v>846</v>
      </c>
      <c r="C785" t="s">
        <v>156</v>
      </c>
      <c r="D785" t="s">
        <v>157</v>
      </c>
      <c r="E785" t="s">
        <v>1032</v>
      </c>
      <c r="F785">
        <v>3</v>
      </c>
      <c r="G785" t="s">
        <v>1323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2</v>
      </c>
      <c r="O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 t="s">
        <v>158</v>
      </c>
    </row>
    <row r="786" spans="1:25" x14ac:dyDescent="0.3">
      <c r="A786" t="s">
        <v>843</v>
      </c>
      <c r="C786" t="s">
        <v>156</v>
      </c>
      <c r="D786" t="s">
        <v>157</v>
      </c>
      <c r="E786" t="s">
        <v>995</v>
      </c>
      <c r="F786">
        <v>3</v>
      </c>
      <c r="G786" t="s">
        <v>431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2</v>
      </c>
      <c r="P786" t="s">
        <v>844</v>
      </c>
      <c r="Q786">
        <v>0</v>
      </c>
      <c r="R786">
        <v>0</v>
      </c>
      <c r="S786">
        <v>1</v>
      </c>
      <c r="T786">
        <v>1</v>
      </c>
      <c r="U786">
        <v>0</v>
      </c>
      <c r="V786">
        <v>0</v>
      </c>
      <c r="W786">
        <v>0</v>
      </c>
      <c r="X786" t="s">
        <v>204</v>
      </c>
    </row>
    <row r="787" spans="1:25" x14ac:dyDescent="0.3">
      <c r="A787" t="s">
        <v>845</v>
      </c>
      <c r="C787" t="s">
        <v>156</v>
      </c>
      <c r="D787" t="s">
        <v>157</v>
      </c>
      <c r="E787" t="s">
        <v>994</v>
      </c>
      <c r="F787">
        <v>2</v>
      </c>
      <c r="G787" t="s">
        <v>420</v>
      </c>
      <c r="H787">
        <v>0</v>
      </c>
      <c r="I787">
        <v>0</v>
      </c>
      <c r="J787">
        <v>1</v>
      </c>
      <c r="K787">
        <v>0</v>
      </c>
      <c r="L787">
        <v>1</v>
      </c>
      <c r="M787">
        <v>0</v>
      </c>
      <c r="N787">
        <v>0</v>
      </c>
      <c r="O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 t="s">
        <v>204</v>
      </c>
    </row>
    <row r="788" spans="1:25" x14ac:dyDescent="0.3">
      <c r="A788" t="s">
        <v>977</v>
      </c>
      <c r="C788" t="s">
        <v>156</v>
      </c>
      <c r="D788" t="s">
        <v>157</v>
      </c>
      <c r="E788" t="s">
        <v>1014</v>
      </c>
      <c r="F788">
        <v>8</v>
      </c>
      <c r="G788" t="s">
        <v>1324</v>
      </c>
      <c r="H788">
        <v>0</v>
      </c>
      <c r="I788">
        <v>0</v>
      </c>
      <c r="J788">
        <v>0</v>
      </c>
      <c r="K788">
        <v>0</v>
      </c>
      <c r="L788">
        <v>8</v>
      </c>
      <c r="M788">
        <v>0</v>
      </c>
      <c r="N788">
        <v>0</v>
      </c>
      <c r="O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 t="s">
        <v>204</v>
      </c>
    </row>
    <row r="789" spans="1:25" x14ac:dyDescent="0.3">
      <c r="A789" t="s">
        <v>847</v>
      </c>
      <c r="C789" t="s">
        <v>156</v>
      </c>
      <c r="D789" t="s">
        <v>157</v>
      </c>
      <c r="E789" t="s">
        <v>1116</v>
      </c>
      <c r="F789">
        <v>2</v>
      </c>
      <c r="G789" t="s">
        <v>1325</v>
      </c>
      <c r="H789">
        <v>1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1</v>
      </c>
      <c r="P789" t="s">
        <v>20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 t="s">
        <v>204</v>
      </c>
    </row>
    <row r="790" spans="1:25" x14ac:dyDescent="0.3">
      <c r="A790" t="s">
        <v>1326</v>
      </c>
      <c r="C790" t="s">
        <v>156</v>
      </c>
      <c r="D790" t="s">
        <v>157</v>
      </c>
      <c r="E790" t="s">
        <v>1118</v>
      </c>
      <c r="F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 t="s">
        <v>30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0</v>
      </c>
      <c r="X790" t="s">
        <v>158</v>
      </c>
    </row>
    <row r="791" spans="1:25" x14ac:dyDescent="0.3">
      <c r="A791" t="s">
        <v>842</v>
      </c>
      <c r="C791" t="s">
        <v>156</v>
      </c>
      <c r="D791" t="s">
        <v>157</v>
      </c>
      <c r="E791" t="s">
        <v>1082</v>
      </c>
      <c r="F791">
        <v>3</v>
      </c>
      <c r="G791" t="s">
        <v>1327</v>
      </c>
      <c r="H791">
        <v>0</v>
      </c>
      <c r="I791">
        <v>0</v>
      </c>
      <c r="J791">
        <v>3</v>
      </c>
      <c r="K791">
        <v>0</v>
      </c>
      <c r="L791">
        <v>0</v>
      </c>
      <c r="M791">
        <v>0</v>
      </c>
      <c r="N791">
        <v>0</v>
      </c>
      <c r="O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 t="s">
        <v>204</v>
      </c>
    </row>
    <row r="792" spans="1:25" x14ac:dyDescent="0.3">
      <c r="A792" t="s">
        <v>749</v>
      </c>
      <c r="C792" t="s">
        <v>156</v>
      </c>
      <c r="D792" t="s">
        <v>157</v>
      </c>
      <c r="E792" t="s">
        <v>1314</v>
      </c>
      <c r="F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3</v>
      </c>
      <c r="P792" t="s">
        <v>1122</v>
      </c>
      <c r="Q792">
        <v>1</v>
      </c>
      <c r="R792">
        <v>1</v>
      </c>
      <c r="S792">
        <v>0</v>
      </c>
      <c r="T792">
        <v>1</v>
      </c>
      <c r="U792">
        <v>0</v>
      </c>
      <c r="V792">
        <v>0</v>
      </c>
      <c r="W792">
        <v>0</v>
      </c>
      <c r="X792" t="s">
        <v>204</v>
      </c>
      <c r="Y792" t="s">
        <v>16</v>
      </c>
    </row>
  </sheetData>
  <phoneticPr fontId="18" type="noConversion"/>
  <conditionalFormatting sqref="A98">
    <cfRule type="duplicateValues" dxfId="15" priority="2"/>
  </conditionalFormatting>
  <conditionalFormatting sqref="A38:A97 A2:A36">
    <cfRule type="duplicateValues" dxfId="14" priority="12"/>
  </conditionalFormatting>
  <conditionalFormatting sqref="A37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0D49-B9FD-43A1-8435-C89AED8AA213}">
  <sheetPr>
    <pageSetUpPr fitToPage="1"/>
  </sheetPr>
  <dimension ref="A1:X53"/>
  <sheetViews>
    <sheetView topLeftCell="A22" zoomScaleNormal="100" workbookViewId="0">
      <selection activeCell="B28" sqref="B28:X32"/>
    </sheetView>
  </sheetViews>
  <sheetFormatPr defaultRowHeight="14.4" x14ac:dyDescent="0.3"/>
  <cols>
    <col min="1" max="3" width="7" customWidth="1"/>
    <col min="4" max="4" width="8.5546875" customWidth="1"/>
    <col min="5" max="6" width="36.5546875" customWidth="1"/>
    <col min="7" max="8" width="11.5546875" customWidth="1"/>
    <col min="9" max="23" width="6.33203125" customWidth="1"/>
  </cols>
  <sheetData>
    <row r="1" spans="1:23" ht="20.399999999999999" thickBot="1" x14ac:dyDescent="0.35">
      <c r="A1" s="296" t="s">
        <v>104</v>
      </c>
      <c r="B1" s="297"/>
      <c r="C1" s="297"/>
      <c r="D1" s="297"/>
      <c r="E1" s="297"/>
      <c r="F1" s="297"/>
      <c r="G1" s="297"/>
      <c r="H1" s="298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 ht="19.8" x14ac:dyDescent="0.3">
      <c r="A2" s="299" t="s">
        <v>35</v>
      </c>
      <c r="B2" s="300"/>
      <c r="C2" s="300"/>
      <c r="D2" s="300"/>
      <c r="E2" s="301"/>
      <c r="F2" s="194">
        <f>SUM(B5:C24)</f>
        <v>0</v>
      </c>
      <c r="G2" s="195"/>
      <c r="H2" s="196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</row>
    <row r="3" spans="1:23" ht="20.399999999999999" thickBot="1" x14ac:dyDescent="0.35">
      <c r="A3" s="219"/>
      <c r="B3" s="219" t="s">
        <v>33</v>
      </c>
      <c r="C3" s="219" t="s">
        <v>34</v>
      </c>
      <c r="D3" s="219" t="s">
        <v>42</v>
      </c>
      <c r="E3" s="219" t="s">
        <v>43</v>
      </c>
      <c r="F3" s="220" t="s">
        <v>50</v>
      </c>
      <c r="G3" s="221" t="s">
        <v>105</v>
      </c>
      <c r="H3" s="222" t="s">
        <v>74</v>
      </c>
      <c r="I3" s="218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</row>
    <row r="4" spans="1:23" ht="19.8" x14ac:dyDescent="0.3">
      <c r="A4" s="239" t="s">
        <v>183</v>
      </c>
      <c r="B4" s="240"/>
      <c r="C4" s="240"/>
      <c r="D4" s="240"/>
      <c r="E4" s="242"/>
      <c r="F4" s="240"/>
      <c r="G4" s="240"/>
      <c r="H4" s="232"/>
      <c r="I4" s="241"/>
      <c r="J4" s="238"/>
      <c r="K4" s="238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</row>
    <row r="5" spans="1:23" ht="20.399999999999999" thickBot="1" x14ac:dyDescent="0.35">
      <c r="A5" s="223" t="s">
        <v>184</v>
      </c>
      <c r="B5" s="224"/>
      <c r="C5" s="224"/>
      <c r="D5" s="224"/>
      <c r="E5" s="234"/>
      <c r="F5" s="224"/>
      <c r="G5" s="224"/>
      <c r="H5" s="233"/>
      <c r="I5" s="241"/>
      <c r="J5" s="238"/>
      <c r="K5" s="238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1:23" ht="19.8" x14ac:dyDescent="0.4">
      <c r="A6" s="225" t="s">
        <v>47</v>
      </c>
      <c r="B6" s="225"/>
      <c r="C6" s="225"/>
      <c r="D6" s="225"/>
      <c r="E6" s="227"/>
      <c r="F6" s="225"/>
      <c r="G6" s="225"/>
      <c r="H6" s="225"/>
      <c r="I6" s="241"/>
      <c r="J6" s="238"/>
      <c r="K6" s="238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</row>
    <row r="7" spans="1:23" ht="19.8" x14ac:dyDescent="0.4">
      <c r="A7" s="225" t="s">
        <v>186</v>
      </c>
      <c r="B7" s="225"/>
      <c r="C7" s="225"/>
      <c r="D7" s="225"/>
      <c r="E7" s="225"/>
      <c r="F7" s="225"/>
      <c r="G7" s="225"/>
      <c r="H7" s="225"/>
      <c r="I7" s="241"/>
      <c r="J7" s="238"/>
      <c r="K7" s="238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</row>
    <row r="8" spans="1:23" ht="19.8" x14ac:dyDescent="0.4">
      <c r="A8" s="225" t="s">
        <v>187</v>
      </c>
      <c r="B8" s="225"/>
      <c r="C8" s="225"/>
      <c r="D8" s="225"/>
      <c r="E8" s="225"/>
      <c r="F8" s="225"/>
      <c r="G8" s="225"/>
      <c r="H8" s="225"/>
      <c r="I8" s="241"/>
      <c r="J8" s="238"/>
      <c r="K8" s="238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</row>
    <row r="9" spans="1:23" ht="19.8" x14ac:dyDescent="0.4">
      <c r="A9" s="225" t="s">
        <v>188</v>
      </c>
      <c r="B9" s="225"/>
      <c r="C9" s="225"/>
      <c r="D9" s="225"/>
      <c r="E9" s="225"/>
      <c r="F9" s="225"/>
      <c r="G9" s="225"/>
      <c r="H9" s="225"/>
      <c r="I9" s="241"/>
      <c r="J9" s="238"/>
      <c r="K9" s="238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</row>
    <row r="10" spans="1:23" ht="19.8" x14ac:dyDescent="0.4">
      <c r="A10" s="225" t="s">
        <v>185</v>
      </c>
      <c r="B10" s="225"/>
      <c r="C10" s="225"/>
      <c r="D10" s="225"/>
      <c r="E10" s="227"/>
      <c r="F10" s="225"/>
      <c r="G10" s="225"/>
      <c r="H10" s="225"/>
      <c r="I10" s="241"/>
      <c r="J10" s="238"/>
      <c r="K10" s="238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</row>
    <row r="11" spans="1:23" ht="19.8" x14ac:dyDescent="0.3">
      <c r="A11" s="19" t="s">
        <v>189</v>
      </c>
      <c r="B11" s="19"/>
      <c r="C11" s="19"/>
      <c r="D11" s="19"/>
      <c r="E11" s="19"/>
      <c r="F11" s="19"/>
      <c r="G11" s="19"/>
      <c r="H11" s="19"/>
      <c r="I11" s="241"/>
      <c r="J11" s="238"/>
      <c r="K11" s="238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</row>
    <row r="12" spans="1:23" ht="19.8" x14ac:dyDescent="0.3">
      <c r="A12" s="19" t="s">
        <v>190</v>
      </c>
      <c r="B12" s="19"/>
      <c r="C12" s="19"/>
      <c r="D12" s="19"/>
      <c r="E12" s="19"/>
      <c r="F12" s="19"/>
      <c r="G12" s="19"/>
      <c r="H12" s="19"/>
      <c r="I12" s="241"/>
      <c r="J12" s="238"/>
      <c r="K12" s="238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</row>
    <row r="13" spans="1:23" ht="19.8" x14ac:dyDescent="0.3">
      <c r="A13" s="69" t="s">
        <v>191</v>
      </c>
      <c r="B13" s="69"/>
      <c r="C13" s="69"/>
      <c r="D13" s="69"/>
      <c r="E13" s="69"/>
      <c r="F13" s="69"/>
      <c r="G13" s="69"/>
      <c r="H13" s="69"/>
      <c r="I13" s="241"/>
      <c r="J13" s="238"/>
      <c r="K13" s="238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</row>
    <row r="14" spans="1:23" ht="19.8" x14ac:dyDescent="0.3">
      <c r="A14" s="69" t="s">
        <v>192</v>
      </c>
      <c r="B14" s="69"/>
      <c r="C14" s="69"/>
      <c r="D14" s="69"/>
      <c r="E14" s="228"/>
      <c r="F14" s="69"/>
      <c r="G14" s="69"/>
      <c r="H14" s="69"/>
      <c r="I14" s="241"/>
      <c r="J14" s="238"/>
      <c r="K14" s="238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</row>
    <row r="15" spans="1:23" ht="19.8" x14ac:dyDescent="0.3">
      <c r="A15" s="69" t="s">
        <v>193</v>
      </c>
      <c r="B15" s="69"/>
      <c r="C15" s="69"/>
      <c r="D15" s="69"/>
      <c r="E15" s="228"/>
      <c r="F15" s="69"/>
      <c r="G15" s="69"/>
      <c r="H15" s="69"/>
      <c r="I15" s="241"/>
      <c r="J15" s="238"/>
      <c r="K15" s="23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</row>
    <row r="16" spans="1:23" ht="19.8" x14ac:dyDescent="0.3">
      <c r="A16" s="23" t="s">
        <v>194</v>
      </c>
      <c r="B16" s="23"/>
      <c r="C16" s="23"/>
      <c r="D16" s="23"/>
      <c r="E16" s="229"/>
      <c r="F16" s="23"/>
      <c r="G16" s="23"/>
      <c r="H16" s="23"/>
      <c r="I16" s="241"/>
      <c r="J16" s="238"/>
      <c r="K16" s="23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</row>
    <row r="17" spans="1:24" ht="19.8" x14ac:dyDescent="0.3">
      <c r="A17" s="23" t="s">
        <v>195</v>
      </c>
      <c r="B17" s="23"/>
      <c r="C17" s="23"/>
      <c r="D17" s="23"/>
      <c r="E17" s="23"/>
      <c r="F17" s="23"/>
      <c r="G17" s="23"/>
      <c r="H17" s="23"/>
      <c r="I17" s="241"/>
      <c r="J17" s="238"/>
      <c r="K17" s="23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</row>
    <row r="18" spans="1:24" ht="19.8" x14ac:dyDescent="0.3">
      <c r="A18" s="23" t="s">
        <v>196</v>
      </c>
      <c r="B18" s="23"/>
      <c r="C18" s="23"/>
      <c r="D18" s="23"/>
      <c r="E18" s="229"/>
      <c r="F18" s="23"/>
      <c r="G18" s="23"/>
      <c r="H18" s="23"/>
      <c r="I18" s="241"/>
      <c r="J18" s="238"/>
      <c r="K18" s="23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</row>
    <row r="19" spans="1:24" ht="19.8" x14ac:dyDescent="0.3">
      <c r="A19" s="70" t="s">
        <v>197</v>
      </c>
      <c r="B19" s="70"/>
      <c r="C19" s="70"/>
      <c r="D19" s="70"/>
      <c r="E19" s="226"/>
      <c r="F19" s="70"/>
      <c r="G19" s="70"/>
      <c r="H19" s="25"/>
      <c r="I19" s="241"/>
      <c r="J19" s="238"/>
      <c r="K19" s="23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</row>
    <row r="20" spans="1:24" ht="19.8" x14ac:dyDescent="0.3">
      <c r="A20" s="70" t="s">
        <v>198</v>
      </c>
      <c r="B20" s="70"/>
      <c r="C20" s="70"/>
      <c r="D20" s="70"/>
      <c r="E20" s="70"/>
      <c r="F20" s="70"/>
      <c r="G20" s="70"/>
      <c r="H20" s="25"/>
      <c r="I20" s="241"/>
      <c r="J20" s="238"/>
      <c r="K20" s="23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</row>
    <row r="21" spans="1:24" ht="19.8" x14ac:dyDescent="0.3">
      <c r="A21" s="70" t="s">
        <v>199</v>
      </c>
      <c r="B21" s="70"/>
      <c r="C21" s="70"/>
      <c r="D21" s="70"/>
      <c r="E21" s="226"/>
      <c r="F21" s="70"/>
      <c r="G21" s="70"/>
      <c r="H21" s="25"/>
      <c r="I21" s="241"/>
      <c r="J21" s="238"/>
      <c r="K21" s="23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</row>
    <row r="22" spans="1:24" ht="19.8" x14ac:dyDescent="0.3">
      <c r="A22" s="70" t="s">
        <v>200</v>
      </c>
      <c r="B22" s="70"/>
      <c r="C22" s="70"/>
      <c r="D22" s="70"/>
      <c r="E22" s="226"/>
      <c r="F22" s="70"/>
      <c r="G22" s="70"/>
      <c r="H22" s="25"/>
      <c r="I22" s="241"/>
      <c r="J22" s="238"/>
      <c r="K22" s="23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</row>
    <row r="23" spans="1:24" ht="19.8" x14ac:dyDescent="0.3">
      <c r="A23" s="70" t="s">
        <v>201</v>
      </c>
      <c r="B23" s="70"/>
      <c r="C23" s="70"/>
      <c r="D23" s="70"/>
      <c r="E23" s="70"/>
      <c r="F23" s="70"/>
      <c r="G23" s="70"/>
      <c r="H23" s="25"/>
      <c r="I23" s="241"/>
      <c r="J23" s="238"/>
      <c r="K23" s="23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</row>
    <row r="24" spans="1:24" ht="19.8" x14ac:dyDescent="0.3">
      <c r="A24" s="70" t="s">
        <v>202</v>
      </c>
      <c r="B24" s="70"/>
      <c r="C24" s="70"/>
      <c r="D24" s="70"/>
      <c r="E24" s="70"/>
      <c r="F24" s="70"/>
      <c r="G24" s="70"/>
      <c r="H24" s="25"/>
      <c r="I24" s="241"/>
      <c r="J24" s="238"/>
      <c r="K24" s="23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</row>
    <row r="25" spans="1:24" ht="24" thickBot="1" x14ac:dyDescent="0.35">
      <c r="A25" s="197"/>
      <c r="B25" s="197"/>
      <c r="C25" s="197"/>
      <c r="D25" s="197"/>
      <c r="E25" s="197"/>
      <c r="F25" s="198"/>
      <c r="G25" s="197"/>
      <c r="H25" s="197"/>
      <c r="I25" s="197"/>
      <c r="J25" s="197"/>
      <c r="K25" s="197"/>
      <c r="L25" s="197"/>
      <c r="M25" s="197"/>
      <c r="N25" s="197"/>
      <c r="O25" s="197"/>
      <c r="P25" s="193"/>
      <c r="Q25" s="199"/>
      <c r="R25" s="199"/>
      <c r="S25" s="193"/>
      <c r="T25" s="193"/>
      <c r="U25" s="193"/>
      <c r="V25" s="193"/>
      <c r="W25" s="193"/>
    </row>
    <row r="26" spans="1:24" ht="20.399999999999999" thickBot="1" x14ac:dyDescent="0.35">
      <c r="A26" s="299" t="s">
        <v>106</v>
      </c>
      <c r="B26" s="300"/>
      <c r="C26" s="300"/>
      <c r="D26" s="300"/>
      <c r="E26" s="301"/>
      <c r="F26" s="200">
        <f>SUM(B28:C32)</f>
        <v>0</v>
      </c>
      <c r="G26" s="195"/>
      <c r="H26" s="201" t="s">
        <v>107</v>
      </c>
      <c r="I26" s="302" t="s">
        <v>6</v>
      </c>
      <c r="J26" s="303"/>
      <c r="K26" s="303"/>
      <c r="L26" s="303"/>
      <c r="M26" s="303"/>
      <c r="N26" s="303"/>
      <c r="O26" s="304"/>
      <c r="P26" s="201" t="s">
        <v>107</v>
      </c>
      <c r="Q26" s="243" t="s">
        <v>8</v>
      </c>
      <c r="R26" s="244"/>
      <c r="S26" s="244"/>
      <c r="T26" s="244"/>
      <c r="U26" s="244"/>
      <c r="V26" s="244"/>
      <c r="W26" s="244"/>
      <c r="X26" s="244"/>
    </row>
    <row r="27" spans="1:24" s="218" customFormat="1" ht="24" customHeight="1" thickBot="1" x14ac:dyDescent="0.35">
      <c r="A27" s="219"/>
      <c r="B27" s="219" t="s">
        <v>33</v>
      </c>
      <c r="C27" s="219" t="s">
        <v>34</v>
      </c>
      <c r="D27" s="219" t="s">
        <v>42</v>
      </c>
      <c r="E27" s="219" t="s">
        <v>43</v>
      </c>
      <c r="F27" s="235" t="s">
        <v>50</v>
      </c>
      <c r="G27" s="221" t="s">
        <v>105</v>
      </c>
      <c r="H27" s="222" t="s">
        <v>74</v>
      </c>
      <c r="I27" s="201" t="s">
        <v>51</v>
      </c>
      <c r="J27" s="45" t="s">
        <v>52</v>
      </c>
      <c r="K27" s="46" t="s">
        <v>53</v>
      </c>
      <c r="L27" s="47" t="s">
        <v>23</v>
      </c>
      <c r="M27" s="48" t="s">
        <v>24</v>
      </c>
      <c r="N27" s="49" t="s">
        <v>22</v>
      </c>
      <c r="O27" s="50" t="s">
        <v>29</v>
      </c>
      <c r="P27" s="51" t="s">
        <v>47</v>
      </c>
      <c r="Q27" s="201" t="s">
        <v>54</v>
      </c>
      <c r="R27" s="52" t="s">
        <v>55</v>
      </c>
      <c r="S27" s="53" t="s">
        <v>56</v>
      </c>
      <c r="T27" s="54" t="s">
        <v>57</v>
      </c>
      <c r="U27" s="55" t="s">
        <v>58</v>
      </c>
      <c r="V27" s="56" t="s">
        <v>59</v>
      </c>
      <c r="W27" s="57" t="s">
        <v>60</v>
      </c>
      <c r="X27" s="58" t="s">
        <v>61</v>
      </c>
    </row>
    <row r="28" spans="1:24" s="218" customFormat="1" ht="24" customHeight="1" thickBot="1" x14ac:dyDescent="0.45">
      <c r="A28" s="23" t="s">
        <v>108</v>
      </c>
      <c r="B28" s="23"/>
      <c r="C28" s="23"/>
      <c r="D28" s="23"/>
      <c r="E28" s="229"/>
      <c r="F28" s="23"/>
      <c r="G28" s="23"/>
      <c r="H28" s="236"/>
      <c r="I28" s="175"/>
      <c r="J28" s="173"/>
      <c r="K28" s="59"/>
      <c r="L28" s="60"/>
      <c r="M28" s="61"/>
      <c r="N28" s="62"/>
      <c r="O28" s="63"/>
      <c r="P28" s="178"/>
      <c r="Q28" s="175"/>
      <c r="R28" s="180"/>
      <c r="S28" s="65"/>
      <c r="T28" s="66"/>
      <c r="U28" s="63"/>
      <c r="V28" s="67"/>
      <c r="W28" s="62"/>
      <c r="X28" s="61"/>
    </row>
    <row r="29" spans="1:24" s="218" customFormat="1" ht="24" customHeight="1" thickBot="1" x14ac:dyDescent="0.45">
      <c r="A29" s="70" t="s">
        <v>109</v>
      </c>
      <c r="B29" s="70"/>
      <c r="C29" s="70"/>
      <c r="D29" s="70"/>
      <c r="E29" s="226"/>
      <c r="F29" s="70"/>
      <c r="G29" s="70"/>
      <c r="H29" s="236"/>
      <c r="I29" s="175"/>
      <c r="J29" s="173"/>
      <c r="K29" s="59"/>
      <c r="L29" s="60"/>
      <c r="M29" s="61"/>
      <c r="N29" s="62"/>
      <c r="O29" s="63"/>
      <c r="P29" s="178"/>
      <c r="Q29" s="175"/>
      <c r="R29" s="180"/>
      <c r="S29" s="65"/>
      <c r="T29" s="66"/>
      <c r="U29" s="63"/>
      <c r="V29" s="67"/>
      <c r="W29" s="62"/>
      <c r="X29" s="61"/>
    </row>
    <row r="30" spans="1:24" s="218" customFormat="1" ht="24" customHeight="1" x14ac:dyDescent="0.4">
      <c r="A30" s="69" t="s">
        <v>110</v>
      </c>
      <c r="B30" s="69"/>
      <c r="C30" s="69"/>
      <c r="D30" s="69"/>
      <c r="E30" s="69"/>
      <c r="F30" s="69"/>
      <c r="G30" s="69"/>
      <c r="H30" s="69"/>
      <c r="I30" s="175"/>
      <c r="J30" s="173"/>
      <c r="K30" s="59"/>
      <c r="L30" s="60"/>
      <c r="M30" s="61"/>
      <c r="N30" s="62"/>
      <c r="O30" s="63"/>
      <c r="P30" s="178"/>
      <c r="Q30" s="175"/>
      <c r="R30" s="180"/>
      <c r="S30" s="65"/>
      <c r="T30" s="66"/>
      <c r="U30" s="63"/>
      <c r="V30" s="67"/>
      <c r="W30" s="62"/>
      <c r="X30" s="61"/>
    </row>
    <row r="31" spans="1:24" s="218" customFormat="1" ht="24" customHeight="1" x14ac:dyDescent="0.4">
      <c r="A31" s="70" t="s">
        <v>111</v>
      </c>
      <c r="B31" s="70"/>
      <c r="C31" s="70"/>
      <c r="D31" s="70"/>
      <c r="E31" s="226"/>
      <c r="F31" s="70"/>
      <c r="G31" s="70"/>
      <c r="H31" s="70"/>
      <c r="I31" s="175"/>
      <c r="J31" s="173"/>
      <c r="K31" s="59"/>
      <c r="L31" s="60"/>
      <c r="M31" s="61"/>
      <c r="N31" s="62"/>
      <c r="O31" s="63"/>
      <c r="P31" s="178"/>
      <c r="Q31" s="175"/>
      <c r="R31" s="180"/>
      <c r="S31" s="65"/>
      <c r="T31" s="66"/>
      <c r="U31" s="63"/>
      <c r="V31" s="67"/>
      <c r="W31" s="62"/>
      <c r="X31" s="61"/>
    </row>
    <row r="32" spans="1:24" s="218" customFormat="1" ht="24" customHeight="1" x14ac:dyDescent="0.4">
      <c r="A32" s="70" t="s">
        <v>112</v>
      </c>
      <c r="B32" s="70"/>
      <c r="C32" s="70"/>
      <c r="D32" s="70"/>
      <c r="E32" s="70"/>
      <c r="F32" s="70"/>
      <c r="G32" s="70"/>
      <c r="H32" s="70"/>
      <c r="I32" s="175"/>
      <c r="J32" s="173"/>
      <c r="K32" s="59"/>
      <c r="L32" s="60"/>
      <c r="M32" s="61"/>
      <c r="N32" s="62"/>
      <c r="O32" s="63"/>
      <c r="P32" s="178"/>
      <c r="Q32" s="175"/>
      <c r="R32" s="180"/>
      <c r="S32" s="65"/>
      <c r="T32" s="66"/>
      <c r="U32" s="63"/>
      <c r="V32" s="67"/>
      <c r="W32" s="62"/>
      <c r="X32" s="61"/>
    </row>
    <row r="33" spans="1:23" ht="20.399999999999999" thickBot="1" x14ac:dyDescent="0.35">
      <c r="A33" s="202"/>
      <c r="B33" s="202"/>
      <c r="C33" s="202"/>
      <c r="D33" s="202"/>
      <c r="E33" s="202"/>
      <c r="F33" s="202"/>
      <c r="G33" s="202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3"/>
      <c r="T33" s="193"/>
      <c r="U33" s="193"/>
      <c r="V33" s="193"/>
      <c r="W33" s="193"/>
    </row>
    <row r="34" spans="1:23" ht="23.4" x14ac:dyDescent="0.3">
      <c r="A34" s="197"/>
      <c r="B34" s="197"/>
      <c r="C34" s="197"/>
      <c r="D34" s="197"/>
      <c r="E34" s="294" t="s">
        <v>113</v>
      </c>
      <c r="F34" s="295"/>
      <c r="G34" s="197"/>
      <c r="H34" s="291" t="s">
        <v>114</v>
      </c>
      <c r="I34" s="292"/>
      <c r="J34" s="292"/>
      <c r="K34" s="292"/>
      <c r="L34" s="292"/>
      <c r="M34" s="292"/>
      <c r="N34" s="293"/>
      <c r="O34" s="203" t="s">
        <v>49</v>
      </c>
      <c r="P34" s="193"/>
      <c r="Q34" s="199"/>
      <c r="R34" s="199"/>
      <c r="S34" s="193"/>
      <c r="T34" s="193"/>
      <c r="U34" s="193"/>
      <c r="V34" s="193"/>
      <c r="W34" s="193"/>
    </row>
    <row r="35" spans="1:23" ht="23.4" x14ac:dyDescent="0.3">
      <c r="A35" s="197"/>
      <c r="B35" s="197"/>
      <c r="C35" s="197"/>
      <c r="D35" s="197"/>
      <c r="E35" s="204"/>
      <c r="F35" s="205"/>
      <c r="G35" s="197"/>
      <c r="H35" s="268" t="s">
        <v>115</v>
      </c>
      <c r="I35" s="269"/>
      <c r="J35" s="269"/>
      <c r="K35" s="269"/>
      <c r="L35" s="269"/>
      <c r="M35" s="269"/>
      <c r="N35" s="270"/>
      <c r="O35" s="205"/>
      <c r="P35" s="193"/>
      <c r="Q35" s="199"/>
      <c r="R35" s="199"/>
      <c r="S35" s="193"/>
      <c r="T35" s="193"/>
      <c r="U35" s="193"/>
      <c r="V35" s="193"/>
      <c r="W35" s="193"/>
    </row>
    <row r="36" spans="1:23" ht="23.4" x14ac:dyDescent="0.3">
      <c r="A36" s="197"/>
      <c r="B36" s="197"/>
      <c r="C36" s="197"/>
      <c r="D36" s="197"/>
      <c r="E36" s="206"/>
      <c r="F36" s="205"/>
      <c r="G36" s="197"/>
      <c r="H36" s="271" t="s">
        <v>82</v>
      </c>
      <c r="I36" s="272"/>
      <c r="J36" s="272"/>
      <c r="K36" s="272"/>
      <c r="L36" s="272"/>
      <c r="M36" s="272"/>
      <c r="N36" s="273"/>
      <c r="O36" s="203"/>
      <c r="P36" s="193"/>
      <c r="Q36" s="199"/>
      <c r="R36" s="199"/>
      <c r="S36" s="193"/>
      <c r="T36" s="193"/>
      <c r="U36" s="193"/>
      <c r="V36" s="193"/>
      <c r="W36" s="193"/>
    </row>
    <row r="37" spans="1:23" ht="23.4" x14ac:dyDescent="0.3">
      <c r="A37" s="197"/>
      <c r="B37" s="197"/>
      <c r="C37" s="197"/>
      <c r="D37" s="197"/>
      <c r="E37" s="207"/>
      <c r="F37" s="205"/>
      <c r="G37" s="197"/>
      <c r="H37" s="274" t="s">
        <v>116</v>
      </c>
      <c r="I37" s="275"/>
      <c r="J37" s="275"/>
      <c r="K37" s="275"/>
      <c r="L37" s="275"/>
      <c r="M37" s="275"/>
      <c r="N37" s="276"/>
      <c r="O37" s="205"/>
      <c r="P37" s="193"/>
      <c r="Q37" s="199"/>
      <c r="R37" s="199"/>
      <c r="S37" s="193"/>
      <c r="T37" s="193"/>
      <c r="U37" s="193"/>
      <c r="V37" s="193"/>
      <c r="W37" s="193"/>
    </row>
    <row r="38" spans="1:23" ht="23.4" x14ac:dyDescent="0.3">
      <c r="A38" s="197"/>
      <c r="B38" s="197"/>
      <c r="C38" s="197"/>
      <c r="D38" s="197"/>
      <c r="E38" s="208"/>
      <c r="F38" s="205"/>
      <c r="G38" s="197"/>
      <c r="H38" s="277" t="s">
        <v>117</v>
      </c>
      <c r="I38" s="278"/>
      <c r="J38" s="278"/>
      <c r="K38" s="278"/>
      <c r="L38" s="278"/>
      <c r="M38" s="278"/>
      <c r="N38" s="279"/>
      <c r="O38" s="205"/>
      <c r="P38" s="193"/>
      <c r="Q38" s="199"/>
      <c r="R38" s="199"/>
      <c r="S38" s="193"/>
      <c r="T38" s="193"/>
      <c r="U38" s="193"/>
      <c r="V38" s="193"/>
      <c r="W38" s="193"/>
    </row>
    <row r="39" spans="1:23" ht="23.4" x14ac:dyDescent="0.3">
      <c r="A39" s="197"/>
      <c r="B39" s="197"/>
      <c r="C39" s="197"/>
      <c r="D39" s="197"/>
      <c r="E39" s="209"/>
      <c r="F39" s="205"/>
      <c r="G39" s="197"/>
      <c r="H39" s="280" t="s">
        <v>118</v>
      </c>
      <c r="I39" s="281"/>
      <c r="J39" s="281"/>
      <c r="K39" s="281"/>
      <c r="L39" s="281"/>
      <c r="M39" s="281"/>
      <c r="N39" s="282"/>
      <c r="O39" s="205"/>
      <c r="P39" s="193"/>
      <c r="Q39" s="199"/>
      <c r="R39" s="199"/>
      <c r="S39" s="193"/>
      <c r="T39" s="193"/>
      <c r="U39" s="193"/>
      <c r="V39" s="193"/>
      <c r="W39" s="193"/>
    </row>
    <row r="40" spans="1:23" ht="23.4" x14ac:dyDescent="0.3">
      <c r="A40" s="197"/>
      <c r="B40" s="197"/>
      <c r="C40" s="197"/>
      <c r="D40" s="197"/>
      <c r="E40" s="205"/>
      <c r="F40" s="205"/>
      <c r="G40" s="197"/>
      <c r="H40" s="283" t="s">
        <v>119</v>
      </c>
      <c r="I40" s="284"/>
      <c r="J40" s="284"/>
      <c r="K40" s="284"/>
      <c r="L40" s="284"/>
      <c r="M40" s="284"/>
      <c r="N40" s="285"/>
      <c r="O40" s="205"/>
      <c r="P40" s="193"/>
      <c r="Q40" s="199"/>
      <c r="R40" s="199"/>
      <c r="S40" s="193"/>
      <c r="T40" s="193"/>
      <c r="U40" s="193"/>
      <c r="V40" s="193"/>
      <c r="W40" s="193"/>
    </row>
    <row r="41" spans="1:23" ht="23.4" x14ac:dyDescent="0.3">
      <c r="A41" s="197"/>
      <c r="B41" s="197"/>
      <c r="C41" s="197"/>
      <c r="D41" s="197"/>
      <c r="E41" s="210" t="s">
        <v>120</v>
      </c>
      <c r="F41" s="205"/>
      <c r="G41" s="197"/>
      <c r="H41" s="286" t="s">
        <v>83</v>
      </c>
      <c r="I41" s="287"/>
      <c r="J41" s="287"/>
      <c r="K41" s="287"/>
      <c r="L41" s="287"/>
      <c r="M41" s="287"/>
      <c r="N41" s="288"/>
      <c r="O41" s="205"/>
      <c r="P41" s="193"/>
      <c r="Q41" s="199"/>
      <c r="R41" s="199"/>
      <c r="S41" s="193"/>
      <c r="T41" s="193"/>
      <c r="U41" s="193"/>
      <c r="V41" s="193"/>
      <c r="W41" s="193"/>
    </row>
    <row r="42" spans="1:23" ht="24" thickBot="1" x14ac:dyDescent="0.35">
      <c r="A42" s="197"/>
      <c r="B42" s="197"/>
      <c r="C42" s="197"/>
      <c r="D42" s="197"/>
      <c r="E42" s="210" t="s">
        <v>121</v>
      </c>
      <c r="F42" s="205"/>
      <c r="G42" s="197"/>
      <c r="H42" s="245" t="s">
        <v>76</v>
      </c>
      <c r="I42" s="246"/>
      <c r="J42" s="246"/>
      <c r="K42" s="246"/>
      <c r="L42" s="246"/>
      <c r="M42" s="246"/>
      <c r="N42" s="247"/>
      <c r="O42" s="211">
        <f>SUM(O35:O41)</f>
        <v>0</v>
      </c>
      <c r="P42" s="197"/>
      <c r="Q42" s="212"/>
      <c r="R42" s="212"/>
      <c r="S42" s="197"/>
      <c r="T42" s="197"/>
      <c r="U42" s="197"/>
      <c r="V42" s="197"/>
      <c r="W42" s="197"/>
    </row>
    <row r="43" spans="1:23" ht="24" thickBot="1" x14ac:dyDescent="0.35">
      <c r="A43" s="197"/>
      <c r="B43" s="197"/>
      <c r="C43" s="197"/>
      <c r="D43" s="197"/>
      <c r="E43" s="210" t="s">
        <v>122</v>
      </c>
      <c r="F43" s="205"/>
      <c r="G43" s="197"/>
      <c r="H43" s="197"/>
      <c r="I43" s="289"/>
      <c r="J43" s="289"/>
      <c r="K43" s="289"/>
      <c r="L43" s="289"/>
      <c r="M43" s="290"/>
      <c r="N43" s="290"/>
      <c r="O43" s="290"/>
      <c r="P43" s="197"/>
      <c r="Q43" s="212"/>
      <c r="R43" s="212"/>
      <c r="S43" s="197"/>
      <c r="T43" s="197"/>
      <c r="U43" s="197"/>
      <c r="V43" s="197"/>
      <c r="W43" s="197"/>
    </row>
    <row r="44" spans="1:23" ht="23.4" x14ac:dyDescent="0.3">
      <c r="A44" s="197"/>
      <c r="B44" s="197"/>
      <c r="C44" s="197"/>
      <c r="D44" s="197"/>
      <c r="E44" s="213" t="s">
        <v>123</v>
      </c>
      <c r="F44" s="205"/>
      <c r="G44" s="197"/>
      <c r="H44" s="291" t="s">
        <v>124</v>
      </c>
      <c r="I44" s="292"/>
      <c r="J44" s="292"/>
      <c r="K44" s="292"/>
      <c r="L44" s="292"/>
      <c r="M44" s="292"/>
      <c r="N44" s="293"/>
      <c r="O44" s="203" t="s">
        <v>49</v>
      </c>
      <c r="P44" s="197"/>
      <c r="Q44" s="212"/>
      <c r="R44" s="212"/>
      <c r="S44" s="197"/>
      <c r="T44" s="197"/>
      <c r="U44" s="197"/>
      <c r="V44" s="197"/>
      <c r="W44" s="197"/>
    </row>
    <row r="45" spans="1:23" ht="23.4" x14ac:dyDescent="0.3">
      <c r="A45" s="197"/>
      <c r="B45" s="197"/>
      <c r="C45" s="197"/>
      <c r="D45" s="197"/>
      <c r="E45" s="213" t="s">
        <v>125</v>
      </c>
      <c r="F45" s="205"/>
      <c r="G45" s="197"/>
      <c r="H45" s="265" t="s">
        <v>126</v>
      </c>
      <c r="I45" s="266"/>
      <c r="J45" s="266"/>
      <c r="K45" s="266"/>
      <c r="L45" s="266"/>
      <c r="M45" s="266"/>
      <c r="N45" s="267"/>
      <c r="O45" s="205"/>
      <c r="P45" s="197"/>
      <c r="Q45" s="212"/>
      <c r="R45" s="212"/>
      <c r="S45" s="197"/>
      <c r="T45" s="197"/>
      <c r="U45" s="197"/>
      <c r="V45" s="197"/>
      <c r="W45" s="197"/>
    </row>
    <row r="46" spans="1:23" ht="23.4" x14ac:dyDescent="0.3">
      <c r="A46" s="197"/>
      <c r="B46" s="197"/>
      <c r="C46" s="197"/>
      <c r="D46" s="197"/>
      <c r="E46" s="213" t="s">
        <v>127</v>
      </c>
      <c r="F46" s="205"/>
      <c r="G46" s="197"/>
      <c r="H46" s="248" t="s">
        <v>128</v>
      </c>
      <c r="I46" s="248"/>
      <c r="J46" s="248"/>
      <c r="K46" s="248"/>
      <c r="L46" s="248"/>
      <c r="M46" s="248"/>
      <c r="N46" s="249"/>
      <c r="O46" s="203"/>
      <c r="P46" s="197"/>
      <c r="Q46" s="212"/>
      <c r="R46" s="212"/>
      <c r="S46" s="197"/>
      <c r="T46" s="197"/>
      <c r="U46" s="197"/>
      <c r="V46" s="197"/>
      <c r="W46" s="197"/>
    </row>
    <row r="47" spans="1:23" ht="23.4" x14ac:dyDescent="0.3">
      <c r="A47" s="197"/>
      <c r="B47" s="197"/>
      <c r="C47" s="197"/>
      <c r="D47" s="197"/>
      <c r="E47" s="214" t="s">
        <v>129</v>
      </c>
      <c r="F47" s="205"/>
      <c r="G47" s="197"/>
      <c r="H47" s="250" t="s">
        <v>130</v>
      </c>
      <c r="I47" s="251"/>
      <c r="J47" s="251"/>
      <c r="K47" s="251"/>
      <c r="L47" s="251"/>
      <c r="M47" s="251"/>
      <c r="N47" s="252"/>
      <c r="O47" s="205"/>
      <c r="P47" s="215"/>
      <c r="Q47" s="216"/>
      <c r="R47" s="216"/>
      <c r="S47" s="197"/>
      <c r="T47" s="197"/>
      <c r="U47" s="197"/>
      <c r="V47" s="197"/>
      <c r="W47" s="197"/>
    </row>
    <row r="48" spans="1:23" ht="23.4" x14ac:dyDescent="0.3">
      <c r="A48" s="197"/>
      <c r="B48" s="197"/>
      <c r="C48" s="197"/>
      <c r="D48" s="197"/>
      <c r="E48" s="214" t="s">
        <v>131</v>
      </c>
      <c r="F48" s="205"/>
      <c r="G48" s="197"/>
      <c r="H48" s="253" t="s">
        <v>132</v>
      </c>
      <c r="I48" s="254"/>
      <c r="J48" s="254"/>
      <c r="K48" s="254"/>
      <c r="L48" s="254"/>
      <c r="M48" s="254"/>
      <c r="N48" s="255"/>
      <c r="O48" s="205"/>
      <c r="P48" s="215"/>
      <c r="Q48" s="216"/>
      <c r="R48" s="216"/>
      <c r="S48" s="197"/>
      <c r="T48" s="197"/>
      <c r="U48" s="197"/>
      <c r="V48" s="197"/>
      <c r="W48" s="197"/>
    </row>
    <row r="49" spans="1:23" ht="23.4" x14ac:dyDescent="0.3">
      <c r="A49" s="197"/>
      <c r="B49" s="197"/>
      <c r="C49" s="197"/>
      <c r="D49" s="197"/>
      <c r="E49" s="197" t="s">
        <v>133</v>
      </c>
      <c r="F49" s="197"/>
      <c r="G49" s="197"/>
      <c r="H49" s="256" t="s">
        <v>134</v>
      </c>
      <c r="I49" s="257"/>
      <c r="J49" s="257"/>
      <c r="K49" s="257"/>
      <c r="L49" s="257"/>
      <c r="M49" s="257"/>
      <c r="N49" s="258"/>
      <c r="O49" s="205"/>
      <c r="P49" s="215"/>
      <c r="Q49" s="216"/>
      <c r="R49" s="216"/>
      <c r="S49" s="197"/>
      <c r="T49" s="197"/>
      <c r="U49" s="197"/>
      <c r="V49" s="197"/>
      <c r="W49" s="197"/>
    </row>
    <row r="50" spans="1:23" ht="23.4" x14ac:dyDescent="0.3">
      <c r="A50" s="197"/>
      <c r="B50" s="197"/>
      <c r="C50" s="197"/>
      <c r="D50" s="197"/>
      <c r="E50" s="197" t="s">
        <v>135</v>
      </c>
      <c r="F50" s="197"/>
      <c r="G50" s="197"/>
      <c r="H50" s="259" t="s">
        <v>95</v>
      </c>
      <c r="I50" s="260"/>
      <c r="J50" s="260"/>
      <c r="K50" s="260"/>
      <c r="L50" s="260"/>
      <c r="M50" s="260"/>
      <c r="N50" s="261"/>
      <c r="O50" s="205"/>
      <c r="P50" s="197"/>
      <c r="Q50" s="217"/>
      <c r="R50" s="217"/>
      <c r="S50" s="197"/>
      <c r="T50" s="197"/>
      <c r="U50" s="197"/>
      <c r="V50" s="197"/>
      <c r="W50" s="197"/>
    </row>
    <row r="51" spans="1:23" ht="23.4" x14ac:dyDescent="0.3">
      <c r="A51" s="197"/>
      <c r="B51" s="197"/>
      <c r="C51" s="197"/>
      <c r="D51" s="197"/>
      <c r="E51" s="197" t="s">
        <v>136</v>
      </c>
      <c r="F51" s="197"/>
      <c r="G51" s="197"/>
      <c r="H51" s="262" t="s">
        <v>137</v>
      </c>
      <c r="I51" s="263"/>
      <c r="J51" s="263"/>
      <c r="K51" s="263"/>
      <c r="L51" s="263"/>
      <c r="M51" s="263"/>
      <c r="N51" s="264"/>
      <c r="O51" s="205"/>
      <c r="P51" s="197"/>
      <c r="Q51" s="197"/>
      <c r="R51" s="217"/>
      <c r="S51" s="197"/>
      <c r="T51" s="197"/>
      <c r="U51" s="197"/>
      <c r="V51" s="197"/>
      <c r="W51" s="197"/>
    </row>
    <row r="52" spans="1:23" ht="24" thickBot="1" x14ac:dyDescent="0.35">
      <c r="A52" s="193"/>
      <c r="B52" s="193"/>
      <c r="C52" s="193"/>
      <c r="D52" s="193"/>
      <c r="E52" s="197"/>
      <c r="F52" s="193"/>
      <c r="G52" s="193"/>
      <c r="H52" s="245" t="s">
        <v>76</v>
      </c>
      <c r="I52" s="246"/>
      <c r="J52" s="246"/>
      <c r="K52" s="246"/>
      <c r="L52" s="246"/>
      <c r="M52" s="246"/>
      <c r="N52" s="247"/>
      <c r="O52" s="211">
        <f>SUM(O45:O51)</f>
        <v>0</v>
      </c>
      <c r="P52" s="197"/>
      <c r="Q52" s="197"/>
      <c r="R52" s="197"/>
      <c r="S52" s="197"/>
      <c r="T52" s="197"/>
      <c r="U52" s="197"/>
      <c r="V52" s="197"/>
      <c r="W52" s="197"/>
    </row>
    <row r="53" spans="1:23" ht="23.4" x14ac:dyDescent="0.3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7"/>
      <c r="Q53" s="197"/>
      <c r="R53" s="197"/>
      <c r="S53" s="197"/>
      <c r="T53" s="197"/>
      <c r="U53" s="197"/>
      <c r="V53" s="197"/>
      <c r="W53" s="197"/>
    </row>
  </sheetData>
  <mergeCells count="26">
    <mergeCell ref="A1:H1"/>
    <mergeCell ref="A2:E2"/>
    <mergeCell ref="A26:E26"/>
    <mergeCell ref="I26:O26"/>
    <mergeCell ref="H42:N42"/>
    <mergeCell ref="I43:L43"/>
    <mergeCell ref="M43:O43"/>
    <mergeCell ref="H44:N44"/>
    <mergeCell ref="E34:F34"/>
    <mergeCell ref="H34:N34"/>
    <mergeCell ref="Q26:X26"/>
    <mergeCell ref="H52:N52"/>
    <mergeCell ref="H46:N46"/>
    <mergeCell ref="H47:N47"/>
    <mergeCell ref="H48:N48"/>
    <mergeCell ref="H49:N49"/>
    <mergeCell ref="H50:N50"/>
    <mergeCell ref="H51:N51"/>
    <mergeCell ref="H45:N45"/>
    <mergeCell ref="H35:N35"/>
    <mergeCell ref="H36:N36"/>
    <mergeCell ref="H37:N37"/>
    <mergeCell ref="H38:N38"/>
    <mergeCell ref="H39:N39"/>
    <mergeCell ref="H40:N40"/>
    <mergeCell ref="H41:N41"/>
  </mergeCells>
  <conditionalFormatting sqref="B1:B3 B10 B24:B27 B33:B1048576">
    <cfRule type="cellIs" dxfId="12" priority="7" operator="greaterThan">
      <formula>0</formula>
    </cfRule>
  </conditionalFormatting>
  <conditionalFormatting sqref="B19">
    <cfRule type="cellIs" dxfId="11" priority="6" operator="greaterThan">
      <formula>0</formula>
    </cfRule>
  </conditionalFormatting>
  <conditionalFormatting sqref="B21">
    <cfRule type="cellIs" dxfId="10" priority="5" operator="greaterThan">
      <formula>0</formula>
    </cfRule>
  </conditionalFormatting>
  <conditionalFormatting sqref="B1:B1048576">
    <cfRule type="cellIs" dxfId="9" priority="1" operator="greaterThan">
      <formula>0</formula>
    </cfRule>
  </conditionalFormatting>
  <pageMargins left="0.7" right="0.7" top="0.75" bottom="0.75" header="0.3" footer="0.3"/>
  <pageSetup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BA5C-D862-48E1-874E-28E6D265A8E2}">
  <dimension ref="A1:H434"/>
  <sheetViews>
    <sheetView workbookViewId="0">
      <selection activeCell="E26" sqref="E26"/>
    </sheetView>
  </sheetViews>
  <sheetFormatPr defaultRowHeight="14.4" x14ac:dyDescent="0.3"/>
  <cols>
    <col min="5" max="5" width="36.5546875" customWidth="1"/>
    <col min="6" max="6" width="22.109375" customWidth="1"/>
  </cols>
  <sheetData>
    <row r="1" spans="1:8" ht="19.8" x14ac:dyDescent="0.4">
      <c r="A1" s="1"/>
      <c r="B1" s="1"/>
      <c r="C1" s="2"/>
      <c r="D1" s="2"/>
      <c r="E1" s="1" t="s">
        <v>40</v>
      </c>
      <c r="F1" s="2"/>
      <c r="H1" s="17">
        <v>4</v>
      </c>
    </row>
    <row r="2" spans="1:8" ht="19.8" x14ac:dyDescent="0.4">
      <c r="A2" s="3" t="s">
        <v>41</v>
      </c>
      <c r="B2" s="4"/>
      <c r="C2" s="5"/>
      <c r="D2" s="5"/>
      <c r="E2" s="6"/>
      <c r="F2" s="7">
        <f>SUM(B:C)</f>
        <v>0</v>
      </c>
      <c r="H2" s="18">
        <v>4</v>
      </c>
    </row>
    <row r="3" spans="1:8" ht="19.8" x14ac:dyDescent="0.3">
      <c r="A3" s="8"/>
      <c r="B3" s="8" t="s">
        <v>33</v>
      </c>
      <c r="C3" s="8" t="s">
        <v>34</v>
      </c>
      <c r="D3" s="8" t="s">
        <v>42</v>
      </c>
      <c r="E3" s="8" t="s">
        <v>43</v>
      </c>
      <c r="F3" s="9" t="s">
        <v>44</v>
      </c>
      <c r="H3" s="19">
        <v>3</v>
      </c>
    </row>
    <row r="4" spans="1:8" s="16" customFormat="1" ht="19.8" x14ac:dyDescent="0.4">
      <c r="H4" s="20">
        <v>3</v>
      </c>
    </row>
    <row r="5" spans="1:8" s="16" customFormat="1" ht="19.8" x14ac:dyDescent="0.4">
      <c r="H5" s="21">
        <v>2</v>
      </c>
    </row>
    <row r="6" spans="1:8" s="16" customFormat="1" ht="19.8" x14ac:dyDescent="0.4">
      <c r="H6" s="22">
        <v>2</v>
      </c>
    </row>
    <row r="7" spans="1:8" s="16" customFormat="1" ht="19.8" x14ac:dyDescent="0.4">
      <c r="H7" s="23">
        <v>1</v>
      </c>
    </row>
    <row r="8" spans="1:8" s="16" customFormat="1" ht="19.8" x14ac:dyDescent="0.4">
      <c r="H8" s="24">
        <v>1</v>
      </c>
    </row>
    <row r="9" spans="1:8" s="16" customFormat="1" ht="19.8" x14ac:dyDescent="0.4">
      <c r="H9" s="25">
        <v>0</v>
      </c>
    </row>
    <row r="10" spans="1:8" s="16" customFormat="1" ht="19.8" x14ac:dyDescent="0.4">
      <c r="H10" s="26">
        <v>0</v>
      </c>
    </row>
    <row r="11" spans="1:8" s="16" customFormat="1" ht="19.8" x14ac:dyDescent="0.4">
      <c r="H11" s="27">
        <v>4</v>
      </c>
    </row>
    <row r="12" spans="1:8" s="16" customFormat="1" ht="19.8" x14ac:dyDescent="0.4"/>
    <row r="13" spans="1:8" s="16" customFormat="1" ht="19.8" x14ac:dyDescent="0.4"/>
    <row r="14" spans="1:8" s="16" customFormat="1" ht="19.8" x14ac:dyDescent="0.4"/>
    <row r="15" spans="1:8" s="16" customFormat="1" ht="19.8" x14ac:dyDescent="0.4"/>
    <row r="16" spans="1:8" s="16" customFormat="1" ht="19.8" x14ac:dyDescent="0.4"/>
    <row r="17" s="16" customFormat="1" ht="19.8" x14ac:dyDescent="0.4"/>
    <row r="18" s="16" customFormat="1" ht="19.8" x14ac:dyDescent="0.4"/>
    <row r="19" s="16" customFormat="1" ht="19.8" x14ac:dyDescent="0.4"/>
    <row r="20" s="16" customFormat="1" ht="19.8" x14ac:dyDescent="0.4"/>
    <row r="21" s="16" customFormat="1" ht="19.8" x14ac:dyDescent="0.4"/>
    <row r="22" s="16" customFormat="1" ht="19.8" x14ac:dyDescent="0.4"/>
    <row r="23" s="16" customFormat="1" ht="19.8" x14ac:dyDescent="0.4"/>
    <row r="24" s="16" customFormat="1" ht="19.8" x14ac:dyDescent="0.4"/>
    <row r="25" s="16" customFormat="1" ht="19.8" x14ac:dyDescent="0.4"/>
    <row r="26" s="16" customFormat="1" ht="19.8" x14ac:dyDescent="0.4"/>
    <row r="27" s="16" customFormat="1" ht="19.8" x14ac:dyDescent="0.4"/>
    <row r="28" s="16" customFormat="1" ht="19.8" x14ac:dyDescent="0.4"/>
    <row r="29" s="16" customFormat="1" ht="19.8" x14ac:dyDescent="0.4"/>
    <row r="30" s="16" customFormat="1" ht="19.8" x14ac:dyDescent="0.4"/>
    <row r="31" s="16" customFormat="1" ht="19.8" x14ac:dyDescent="0.4"/>
    <row r="32" s="16" customFormat="1" ht="19.8" x14ac:dyDescent="0.4"/>
    <row r="33" s="16" customFormat="1" ht="19.8" x14ac:dyDescent="0.4"/>
    <row r="34" s="16" customFormat="1" ht="19.8" x14ac:dyDescent="0.4"/>
    <row r="35" s="16" customFormat="1" ht="19.8" x14ac:dyDescent="0.4"/>
    <row r="36" s="16" customFormat="1" ht="19.8" x14ac:dyDescent="0.4"/>
    <row r="37" s="16" customFormat="1" ht="19.8" x14ac:dyDescent="0.4"/>
    <row r="38" s="16" customFormat="1" ht="19.8" x14ac:dyDescent="0.4"/>
    <row r="39" s="16" customFormat="1" ht="19.8" x14ac:dyDescent="0.4"/>
    <row r="40" s="16" customFormat="1" ht="19.8" x14ac:dyDescent="0.4"/>
    <row r="41" s="16" customFormat="1" ht="19.8" x14ac:dyDescent="0.4"/>
    <row r="42" s="16" customFormat="1" ht="19.8" x14ac:dyDescent="0.4"/>
    <row r="43" s="16" customFormat="1" ht="19.8" x14ac:dyDescent="0.4"/>
    <row r="44" s="16" customFormat="1" ht="19.8" x14ac:dyDescent="0.4"/>
    <row r="45" s="16" customFormat="1" ht="19.8" x14ac:dyDescent="0.4"/>
    <row r="46" s="16" customFormat="1" ht="19.8" x14ac:dyDescent="0.4"/>
    <row r="47" s="16" customFormat="1" ht="19.8" x14ac:dyDescent="0.4"/>
    <row r="48" s="16" customFormat="1" ht="19.8" x14ac:dyDescent="0.4"/>
    <row r="49" s="16" customFormat="1" ht="19.8" x14ac:dyDescent="0.4"/>
    <row r="50" s="16" customFormat="1" ht="19.8" x14ac:dyDescent="0.4"/>
    <row r="51" s="16" customFormat="1" ht="19.8" x14ac:dyDescent="0.4"/>
    <row r="52" s="16" customFormat="1" ht="19.8" x14ac:dyDescent="0.4"/>
    <row r="53" s="16" customFormat="1" ht="19.8" x14ac:dyDescent="0.4"/>
    <row r="54" s="16" customFormat="1" ht="19.8" x14ac:dyDescent="0.4"/>
    <row r="55" s="16" customFormat="1" ht="19.8" x14ac:dyDescent="0.4"/>
    <row r="56" s="16" customFormat="1" ht="19.8" x14ac:dyDescent="0.4"/>
    <row r="57" s="16" customFormat="1" ht="19.8" x14ac:dyDescent="0.4"/>
    <row r="58" s="16" customFormat="1" ht="19.8" x14ac:dyDescent="0.4"/>
    <row r="59" s="16" customFormat="1" ht="19.8" x14ac:dyDescent="0.4"/>
    <row r="60" s="16" customFormat="1" ht="19.8" x14ac:dyDescent="0.4"/>
    <row r="61" s="16" customFormat="1" ht="19.8" x14ac:dyDescent="0.4"/>
    <row r="62" s="16" customFormat="1" ht="19.8" x14ac:dyDescent="0.4"/>
    <row r="63" s="16" customFormat="1" ht="19.8" x14ac:dyDescent="0.4"/>
    <row r="64" s="16" customFormat="1" ht="19.8" x14ac:dyDescent="0.4"/>
    <row r="65" s="16" customFormat="1" ht="19.8" x14ac:dyDescent="0.4"/>
    <row r="66" s="16" customFormat="1" ht="19.8" x14ac:dyDescent="0.4"/>
    <row r="67" s="16" customFormat="1" ht="19.8" x14ac:dyDescent="0.4"/>
    <row r="68" s="16" customFormat="1" ht="19.8" x14ac:dyDescent="0.4"/>
    <row r="69" s="16" customFormat="1" ht="19.8" x14ac:dyDescent="0.4"/>
    <row r="70" s="16" customFormat="1" ht="19.8" x14ac:dyDescent="0.4"/>
    <row r="71" s="16" customFormat="1" ht="19.8" x14ac:dyDescent="0.4"/>
    <row r="72" s="16" customFormat="1" ht="19.8" x14ac:dyDescent="0.4"/>
    <row r="73" s="16" customFormat="1" ht="19.8" x14ac:dyDescent="0.4"/>
    <row r="74" s="16" customFormat="1" ht="19.8" x14ac:dyDescent="0.4"/>
    <row r="75" s="16" customFormat="1" ht="19.8" x14ac:dyDescent="0.4"/>
    <row r="76" s="16" customFormat="1" ht="19.8" x14ac:dyDescent="0.4"/>
    <row r="77" s="16" customFormat="1" ht="19.8" x14ac:dyDescent="0.4"/>
    <row r="78" s="16" customFormat="1" ht="19.8" x14ac:dyDescent="0.4"/>
    <row r="79" s="16" customFormat="1" ht="19.8" x14ac:dyDescent="0.4"/>
    <row r="80" s="16" customFormat="1" ht="19.8" x14ac:dyDescent="0.4"/>
    <row r="81" s="16" customFormat="1" ht="19.8" x14ac:dyDescent="0.4"/>
    <row r="82" s="16" customFormat="1" ht="19.8" x14ac:dyDescent="0.4"/>
    <row r="83" s="16" customFormat="1" ht="19.8" x14ac:dyDescent="0.4"/>
    <row r="84" s="16" customFormat="1" ht="19.8" x14ac:dyDescent="0.4"/>
    <row r="85" s="16" customFormat="1" ht="19.8" x14ac:dyDescent="0.4"/>
    <row r="86" s="16" customFormat="1" ht="19.8" x14ac:dyDescent="0.4"/>
    <row r="87" s="16" customFormat="1" ht="19.8" x14ac:dyDescent="0.4"/>
    <row r="88" s="16" customFormat="1" ht="19.8" x14ac:dyDescent="0.4"/>
    <row r="89" s="16" customFormat="1" ht="19.8" x14ac:dyDescent="0.4"/>
    <row r="90" s="16" customFormat="1" ht="19.8" x14ac:dyDescent="0.4"/>
    <row r="91" s="16" customFormat="1" ht="19.8" x14ac:dyDescent="0.4"/>
    <row r="92" s="16" customFormat="1" ht="19.8" x14ac:dyDescent="0.4"/>
    <row r="93" s="16" customFormat="1" ht="19.8" x14ac:dyDescent="0.4"/>
    <row r="94" s="16" customFormat="1" ht="19.8" x14ac:dyDescent="0.4"/>
    <row r="95" s="16" customFormat="1" ht="19.8" x14ac:dyDescent="0.4"/>
    <row r="96" s="16" customFormat="1" ht="19.8" x14ac:dyDescent="0.4"/>
    <row r="97" s="16" customFormat="1" ht="19.8" x14ac:dyDescent="0.4"/>
    <row r="98" s="16" customFormat="1" ht="19.8" x14ac:dyDescent="0.4"/>
    <row r="99" s="16" customFormat="1" ht="19.8" x14ac:dyDescent="0.4"/>
    <row r="100" s="16" customFormat="1" ht="19.8" x14ac:dyDescent="0.4"/>
    <row r="101" s="16" customFormat="1" ht="19.8" x14ac:dyDescent="0.4"/>
    <row r="102" s="16" customFormat="1" ht="19.8" x14ac:dyDescent="0.4"/>
    <row r="103" s="16" customFormat="1" ht="19.8" x14ac:dyDescent="0.4"/>
    <row r="104" s="16" customFormat="1" ht="19.8" x14ac:dyDescent="0.4"/>
    <row r="105" s="16" customFormat="1" ht="19.8" x14ac:dyDescent="0.4"/>
    <row r="106" s="16" customFormat="1" ht="19.8" x14ac:dyDescent="0.4"/>
    <row r="107" s="16" customFormat="1" ht="19.8" x14ac:dyDescent="0.4"/>
    <row r="108" s="16" customFormat="1" ht="19.8" x14ac:dyDescent="0.4"/>
    <row r="109" s="16" customFormat="1" ht="19.8" x14ac:dyDescent="0.4"/>
    <row r="110" s="16" customFormat="1" ht="19.8" x14ac:dyDescent="0.4"/>
    <row r="111" s="16" customFormat="1" ht="19.8" x14ac:dyDescent="0.4"/>
    <row r="112" s="16" customFormat="1" ht="19.8" x14ac:dyDescent="0.4"/>
    <row r="113" s="16" customFormat="1" ht="19.8" x14ac:dyDescent="0.4"/>
    <row r="114" s="16" customFormat="1" ht="19.8" x14ac:dyDescent="0.4"/>
    <row r="115" s="16" customFormat="1" ht="19.8" x14ac:dyDescent="0.4"/>
    <row r="116" s="16" customFormat="1" ht="19.8" x14ac:dyDescent="0.4"/>
    <row r="117" s="16" customFormat="1" ht="19.8" x14ac:dyDescent="0.4"/>
    <row r="118" s="16" customFormat="1" ht="19.8" x14ac:dyDescent="0.4"/>
    <row r="119" s="16" customFormat="1" ht="19.8" x14ac:dyDescent="0.4"/>
    <row r="120" s="16" customFormat="1" ht="19.8" x14ac:dyDescent="0.4"/>
    <row r="121" s="16" customFormat="1" ht="19.8" x14ac:dyDescent="0.4"/>
    <row r="122" s="16" customFormat="1" ht="19.8" x14ac:dyDescent="0.4"/>
    <row r="123" s="16" customFormat="1" ht="19.8" x14ac:dyDescent="0.4"/>
    <row r="124" s="16" customFormat="1" ht="19.8" x14ac:dyDescent="0.4"/>
    <row r="125" s="16" customFormat="1" ht="19.8" x14ac:dyDescent="0.4"/>
    <row r="126" s="16" customFormat="1" ht="19.8" x14ac:dyDescent="0.4"/>
    <row r="127" s="16" customFormat="1" ht="19.8" x14ac:dyDescent="0.4"/>
    <row r="128" s="16" customFormat="1" ht="19.8" x14ac:dyDescent="0.4"/>
    <row r="129" s="16" customFormat="1" ht="19.8" x14ac:dyDescent="0.4"/>
    <row r="130" s="16" customFormat="1" ht="19.8" x14ac:dyDescent="0.4"/>
    <row r="131" s="16" customFormat="1" ht="19.8" x14ac:dyDescent="0.4"/>
    <row r="132" s="16" customFormat="1" ht="19.8" x14ac:dyDescent="0.4"/>
    <row r="133" s="16" customFormat="1" ht="19.8" x14ac:dyDescent="0.4"/>
    <row r="134" s="16" customFormat="1" ht="19.8" x14ac:dyDescent="0.4"/>
    <row r="135" s="16" customFormat="1" ht="19.8" x14ac:dyDescent="0.4"/>
    <row r="136" s="16" customFormat="1" ht="19.8" x14ac:dyDescent="0.4"/>
    <row r="137" s="16" customFormat="1" ht="19.8" x14ac:dyDescent="0.4"/>
    <row r="138" s="16" customFormat="1" ht="19.8" x14ac:dyDescent="0.4"/>
    <row r="139" s="16" customFormat="1" ht="19.8" x14ac:dyDescent="0.4"/>
    <row r="140" s="16" customFormat="1" ht="19.8" x14ac:dyDescent="0.4"/>
    <row r="141" s="16" customFormat="1" ht="19.8" x14ac:dyDescent="0.4"/>
    <row r="142" s="16" customFormat="1" ht="19.8" x14ac:dyDescent="0.4"/>
    <row r="143" s="16" customFormat="1" ht="19.8" x14ac:dyDescent="0.4"/>
    <row r="144" s="16" customFormat="1" ht="19.8" x14ac:dyDescent="0.4"/>
    <row r="145" s="16" customFormat="1" ht="19.8" x14ac:dyDescent="0.4"/>
    <row r="146" s="16" customFormat="1" ht="19.8" x14ac:dyDescent="0.4"/>
    <row r="147" s="16" customFormat="1" ht="19.8" x14ac:dyDescent="0.4"/>
    <row r="148" s="16" customFormat="1" ht="19.8" x14ac:dyDescent="0.4"/>
    <row r="149" s="16" customFormat="1" ht="19.8" x14ac:dyDescent="0.4"/>
    <row r="150" s="16" customFormat="1" ht="19.8" x14ac:dyDescent="0.4"/>
    <row r="151" s="16" customFormat="1" ht="19.8" x14ac:dyDescent="0.4"/>
    <row r="152" s="16" customFormat="1" ht="19.8" x14ac:dyDescent="0.4"/>
    <row r="153" s="16" customFormat="1" ht="19.8" x14ac:dyDescent="0.4"/>
    <row r="154" s="16" customFormat="1" ht="19.8" x14ac:dyDescent="0.4"/>
    <row r="155" s="16" customFormat="1" ht="19.8" x14ac:dyDescent="0.4"/>
    <row r="156" s="16" customFormat="1" ht="19.8" x14ac:dyDescent="0.4"/>
    <row r="157" s="16" customFormat="1" ht="19.8" x14ac:dyDescent="0.4"/>
    <row r="158" s="16" customFormat="1" ht="19.8" x14ac:dyDescent="0.4"/>
    <row r="159" s="16" customFormat="1" ht="19.8" x14ac:dyDescent="0.4"/>
    <row r="160" s="16" customFormat="1" ht="19.8" x14ac:dyDescent="0.4"/>
    <row r="161" s="16" customFormat="1" ht="19.8" x14ac:dyDescent="0.4"/>
    <row r="162" s="16" customFormat="1" ht="19.8" x14ac:dyDescent="0.4"/>
    <row r="163" s="16" customFormat="1" ht="19.8" x14ac:dyDescent="0.4"/>
    <row r="164" s="16" customFormat="1" ht="19.8" x14ac:dyDescent="0.4"/>
    <row r="165" s="16" customFormat="1" ht="19.8" x14ac:dyDescent="0.4"/>
    <row r="166" s="16" customFormat="1" ht="19.8" x14ac:dyDescent="0.4"/>
    <row r="167" s="16" customFormat="1" ht="19.8" x14ac:dyDescent="0.4"/>
    <row r="168" s="16" customFormat="1" ht="19.8" x14ac:dyDescent="0.4"/>
    <row r="169" s="16" customFormat="1" ht="19.8" x14ac:dyDescent="0.4"/>
    <row r="170" s="16" customFormat="1" ht="19.8" x14ac:dyDescent="0.4"/>
    <row r="171" s="16" customFormat="1" ht="19.8" x14ac:dyDescent="0.4"/>
    <row r="172" s="16" customFormat="1" ht="19.8" x14ac:dyDescent="0.4"/>
    <row r="173" s="16" customFormat="1" ht="19.8" x14ac:dyDescent="0.4"/>
    <row r="174" s="16" customFormat="1" ht="19.8" x14ac:dyDescent="0.4"/>
    <row r="175" s="16" customFormat="1" ht="19.8" x14ac:dyDescent="0.4"/>
    <row r="176" s="16" customFormat="1" ht="19.8" x14ac:dyDescent="0.4"/>
    <row r="177" s="16" customFormat="1" ht="19.8" x14ac:dyDescent="0.4"/>
    <row r="178" s="16" customFormat="1" ht="19.8" x14ac:dyDescent="0.4"/>
    <row r="179" s="16" customFormat="1" ht="19.8" x14ac:dyDescent="0.4"/>
    <row r="180" s="16" customFormat="1" ht="19.8" x14ac:dyDescent="0.4"/>
    <row r="181" s="16" customFormat="1" ht="19.8" x14ac:dyDescent="0.4"/>
    <row r="182" s="16" customFormat="1" ht="19.8" x14ac:dyDescent="0.4"/>
    <row r="183" s="16" customFormat="1" ht="19.8" x14ac:dyDescent="0.4"/>
    <row r="184" s="16" customFormat="1" ht="19.8" x14ac:dyDescent="0.4"/>
    <row r="185" s="16" customFormat="1" ht="19.8" x14ac:dyDescent="0.4"/>
    <row r="186" s="16" customFormat="1" ht="19.8" x14ac:dyDescent="0.4"/>
    <row r="187" s="16" customFormat="1" ht="19.8" x14ac:dyDescent="0.4"/>
    <row r="188" s="16" customFormat="1" ht="19.8" x14ac:dyDescent="0.4"/>
    <row r="189" s="16" customFormat="1" ht="19.8" x14ac:dyDescent="0.4"/>
    <row r="190" s="16" customFormat="1" ht="19.8" x14ac:dyDescent="0.4"/>
    <row r="191" s="16" customFormat="1" ht="19.8" x14ac:dyDescent="0.4"/>
    <row r="192" s="16" customFormat="1" ht="19.8" x14ac:dyDescent="0.4"/>
    <row r="193" s="16" customFormat="1" ht="19.8" x14ac:dyDescent="0.4"/>
    <row r="194" s="16" customFormat="1" ht="19.8" x14ac:dyDescent="0.4"/>
    <row r="195" s="16" customFormat="1" ht="19.8" x14ac:dyDescent="0.4"/>
    <row r="196" s="16" customFormat="1" ht="19.8" x14ac:dyDescent="0.4"/>
    <row r="197" s="16" customFormat="1" ht="19.8" x14ac:dyDescent="0.4"/>
    <row r="198" s="16" customFormat="1" ht="19.8" x14ac:dyDescent="0.4"/>
    <row r="199" s="16" customFormat="1" ht="19.8" x14ac:dyDescent="0.4"/>
    <row r="200" s="16" customFormat="1" ht="19.8" x14ac:dyDescent="0.4"/>
    <row r="201" s="16" customFormat="1" ht="19.8" x14ac:dyDescent="0.4"/>
    <row r="202" s="16" customFormat="1" ht="19.8" x14ac:dyDescent="0.4"/>
    <row r="203" s="16" customFormat="1" ht="19.8" x14ac:dyDescent="0.4"/>
    <row r="204" s="16" customFormat="1" ht="19.8" x14ac:dyDescent="0.4"/>
    <row r="205" s="16" customFormat="1" ht="19.8" x14ac:dyDescent="0.4"/>
    <row r="206" s="16" customFormat="1" ht="19.8" x14ac:dyDescent="0.4"/>
    <row r="207" s="16" customFormat="1" ht="19.8" x14ac:dyDescent="0.4"/>
    <row r="208" s="16" customFormat="1" ht="19.8" x14ac:dyDescent="0.4"/>
    <row r="209" s="16" customFormat="1" ht="19.8" x14ac:dyDescent="0.4"/>
    <row r="210" s="16" customFormat="1" ht="19.8" x14ac:dyDescent="0.4"/>
    <row r="211" s="16" customFormat="1" ht="19.8" x14ac:dyDescent="0.4"/>
    <row r="212" s="16" customFormat="1" ht="19.8" x14ac:dyDescent="0.4"/>
    <row r="213" s="16" customFormat="1" ht="19.8" x14ac:dyDescent="0.4"/>
    <row r="214" s="16" customFormat="1" ht="19.8" x14ac:dyDescent="0.4"/>
    <row r="215" s="16" customFormat="1" ht="19.8" x14ac:dyDescent="0.4"/>
    <row r="216" s="16" customFormat="1" ht="19.8" x14ac:dyDescent="0.4"/>
    <row r="217" s="16" customFormat="1" ht="19.8" x14ac:dyDescent="0.4"/>
    <row r="218" s="16" customFormat="1" ht="19.8" x14ac:dyDescent="0.4"/>
    <row r="219" s="16" customFormat="1" ht="19.8" x14ac:dyDescent="0.4"/>
    <row r="220" s="16" customFormat="1" ht="19.8" x14ac:dyDescent="0.4"/>
    <row r="221" s="16" customFormat="1" ht="19.8" x14ac:dyDescent="0.4"/>
    <row r="222" s="16" customFormat="1" ht="19.8" x14ac:dyDescent="0.4"/>
    <row r="223" s="16" customFormat="1" ht="19.8" x14ac:dyDescent="0.4"/>
    <row r="224" s="16" customFormat="1" ht="19.8" x14ac:dyDescent="0.4"/>
    <row r="225" s="16" customFormat="1" ht="19.8" x14ac:dyDescent="0.4"/>
    <row r="226" s="16" customFormat="1" ht="19.8" x14ac:dyDescent="0.4"/>
    <row r="227" s="16" customFormat="1" ht="19.8" x14ac:dyDescent="0.4"/>
    <row r="228" s="16" customFormat="1" ht="19.8" x14ac:dyDescent="0.4"/>
    <row r="229" s="16" customFormat="1" ht="19.8" x14ac:dyDescent="0.4"/>
    <row r="230" s="16" customFormat="1" ht="19.8" x14ac:dyDescent="0.4"/>
    <row r="231" s="16" customFormat="1" ht="19.8" x14ac:dyDescent="0.4"/>
    <row r="232" s="16" customFormat="1" ht="19.8" x14ac:dyDescent="0.4"/>
    <row r="233" s="16" customFormat="1" ht="19.8" x14ac:dyDescent="0.4"/>
    <row r="234" s="16" customFormat="1" ht="19.8" x14ac:dyDescent="0.4"/>
    <row r="235" s="16" customFormat="1" ht="19.8" x14ac:dyDescent="0.4"/>
    <row r="236" s="16" customFormat="1" ht="19.8" x14ac:dyDescent="0.4"/>
    <row r="237" s="16" customFormat="1" ht="19.8" x14ac:dyDescent="0.4"/>
    <row r="238" s="16" customFormat="1" ht="19.8" x14ac:dyDescent="0.4"/>
    <row r="239" s="16" customFormat="1" ht="19.8" x14ac:dyDescent="0.4"/>
    <row r="240" s="16" customFormat="1" ht="19.8" x14ac:dyDescent="0.4"/>
    <row r="241" s="16" customFormat="1" ht="19.8" x14ac:dyDescent="0.4"/>
    <row r="242" s="16" customFormat="1" ht="19.8" x14ac:dyDescent="0.4"/>
    <row r="243" s="16" customFormat="1" ht="19.8" x14ac:dyDescent="0.4"/>
    <row r="244" s="16" customFormat="1" ht="19.8" x14ac:dyDescent="0.4"/>
    <row r="245" s="16" customFormat="1" ht="19.8" x14ac:dyDescent="0.4"/>
    <row r="246" s="16" customFormat="1" ht="19.8" x14ac:dyDescent="0.4"/>
    <row r="247" s="16" customFormat="1" ht="19.8" x14ac:dyDescent="0.4"/>
    <row r="248" s="16" customFormat="1" ht="19.8" x14ac:dyDescent="0.4"/>
    <row r="249" s="16" customFormat="1" ht="19.8" x14ac:dyDescent="0.4"/>
    <row r="250" s="16" customFormat="1" ht="19.8" x14ac:dyDescent="0.4"/>
    <row r="251" s="16" customFormat="1" ht="19.8" x14ac:dyDescent="0.4"/>
    <row r="252" s="16" customFormat="1" ht="19.8" x14ac:dyDescent="0.4"/>
    <row r="253" s="16" customFormat="1" ht="19.8" x14ac:dyDescent="0.4"/>
    <row r="254" s="16" customFormat="1" ht="19.8" x14ac:dyDescent="0.4"/>
    <row r="255" s="16" customFormat="1" ht="19.8" x14ac:dyDescent="0.4"/>
    <row r="256" s="16" customFormat="1" ht="19.8" x14ac:dyDescent="0.4"/>
    <row r="257" s="16" customFormat="1" ht="19.8" x14ac:dyDescent="0.4"/>
    <row r="258" s="16" customFormat="1" ht="19.8" x14ac:dyDescent="0.4"/>
    <row r="259" s="16" customFormat="1" ht="19.8" x14ac:dyDescent="0.4"/>
    <row r="260" s="16" customFormat="1" ht="19.8" x14ac:dyDescent="0.4"/>
    <row r="261" s="16" customFormat="1" ht="19.8" x14ac:dyDescent="0.4"/>
    <row r="262" s="16" customFormat="1" ht="19.8" x14ac:dyDescent="0.4"/>
    <row r="263" s="16" customFormat="1" ht="19.8" x14ac:dyDescent="0.4"/>
    <row r="264" s="16" customFormat="1" ht="19.8" x14ac:dyDescent="0.4"/>
    <row r="265" s="16" customFormat="1" ht="19.8" x14ac:dyDescent="0.4"/>
    <row r="266" s="16" customFormat="1" ht="19.8" x14ac:dyDescent="0.4"/>
    <row r="267" s="16" customFormat="1" ht="19.8" x14ac:dyDescent="0.4"/>
    <row r="268" s="16" customFormat="1" ht="19.8" x14ac:dyDescent="0.4"/>
    <row r="269" s="16" customFormat="1" ht="19.8" x14ac:dyDescent="0.4"/>
    <row r="270" s="16" customFormat="1" ht="19.8" x14ac:dyDescent="0.4"/>
    <row r="271" s="16" customFormat="1" ht="19.8" x14ac:dyDescent="0.4"/>
    <row r="272" s="16" customFormat="1" ht="19.8" x14ac:dyDescent="0.4"/>
    <row r="273" s="16" customFormat="1" ht="19.8" x14ac:dyDescent="0.4"/>
    <row r="274" s="16" customFormat="1" ht="19.8" x14ac:dyDescent="0.4"/>
    <row r="275" s="16" customFormat="1" ht="19.8" x14ac:dyDescent="0.4"/>
    <row r="276" s="16" customFormat="1" ht="19.8" x14ac:dyDescent="0.4"/>
    <row r="277" s="16" customFormat="1" ht="19.8" x14ac:dyDescent="0.4"/>
    <row r="278" s="16" customFormat="1" ht="19.8" x14ac:dyDescent="0.4"/>
    <row r="279" s="16" customFormat="1" ht="19.8" x14ac:dyDescent="0.4"/>
    <row r="280" s="16" customFormat="1" ht="19.8" x14ac:dyDescent="0.4"/>
    <row r="281" s="16" customFormat="1" ht="19.8" x14ac:dyDescent="0.4"/>
    <row r="282" s="16" customFormat="1" ht="19.8" x14ac:dyDescent="0.4"/>
    <row r="283" s="16" customFormat="1" ht="19.8" x14ac:dyDescent="0.4"/>
    <row r="284" s="16" customFormat="1" ht="19.8" x14ac:dyDescent="0.4"/>
    <row r="285" s="16" customFormat="1" ht="19.8" x14ac:dyDescent="0.4"/>
    <row r="286" s="16" customFormat="1" ht="19.8" x14ac:dyDescent="0.4"/>
    <row r="287" s="16" customFormat="1" ht="19.8" x14ac:dyDescent="0.4"/>
    <row r="288" s="16" customFormat="1" ht="19.8" x14ac:dyDescent="0.4"/>
    <row r="289" s="16" customFormat="1" ht="19.8" x14ac:dyDescent="0.4"/>
    <row r="290" s="16" customFormat="1" ht="19.8" x14ac:dyDescent="0.4"/>
    <row r="291" s="16" customFormat="1" ht="19.8" x14ac:dyDescent="0.4"/>
    <row r="292" s="16" customFormat="1" ht="19.8" x14ac:dyDescent="0.4"/>
    <row r="293" s="16" customFormat="1" ht="19.8" x14ac:dyDescent="0.4"/>
    <row r="294" s="16" customFormat="1" ht="19.8" x14ac:dyDescent="0.4"/>
    <row r="295" s="16" customFormat="1" ht="19.8" x14ac:dyDescent="0.4"/>
    <row r="296" s="16" customFormat="1" ht="19.8" x14ac:dyDescent="0.4"/>
    <row r="297" s="16" customFormat="1" ht="19.8" x14ac:dyDescent="0.4"/>
    <row r="298" s="16" customFormat="1" ht="19.8" x14ac:dyDescent="0.4"/>
    <row r="299" s="16" customFormat="1" ht="19.8" x14ac:dyDescent="0.4"/>
    <row r="300" s="16" customFormat="1" ht="19.8" x14ac:dyDescent="0.4"/>
    <row r="301" s="16" customFormat="1" ht="19.8" x14ac:dyDescent="0.4"/>
    <row r="302" s="16" customFormat="1" ht="19.8" x14ac:dyDescent="0.4"/>
    <row r="303" s="16" customFormat="1" ht="19.8" x14ac:dyDescent="0.4"/>
    <row r="304" s="16" customFormat="1" ht="19.8" x14ac:dyDescent="0.4"/>
    <row r="305" s="16" customFormat="1" ht="19.8" x14ac:dyDescent="0.4"/>
    <row r="306" s="16" customFormat="1" ht="19.8" x14ac:dyDescent="0.4"/>
    <row r="307" s="16" customFormat="1" ht="19.8" x14ac:dyDescent="0.4"/>
    <row r="308" s="16" customFormat="1" ht="19.8" x14ac:dyDescent="0.4"/>
    <row r="309" s="16" customFormat="1" ht="19.8" x14ac:dyDescent="0.4"/>
    <row r="310" s="16" customFormat="1" ht="19.8" x14ac:dyDescent="0.4"/>
    <row r="311" s="16" customFormat="1" ht="19.8" x14ac:dyDescent="0.4"/>
    <row r="312" s="16" customFormat="1" ht="19.8" x14ac:dyDescent="0.4"/>
    <row r="313" s="16" customFormat="1" ht="19.8" x14ac:dyDescent="0.4"/>
    <row r="314" s="16" customFormat="1" ht="19.8" x14ac:dyDescent="0.4"/>
    <row r="315" s="16" customFormat="1" ht="19.8" x14ac:dyDescent="0.4"/>
    <row r="316" s="16" customFormat="1" ht="19.8" x14ac:dyDescent="0.4"/>
    <row r="317" s="16" customFormat="1" ht="19.8" x14ac:dyDescent="0.4"/>
    <row r="318" s="16" customFormat="1" ht="19.8" x14ac:dyDescent="0.4"/>
    <row r="319" s="16" customFormat="1" ht="19.8" x14ac:dyDescent="0.4"/>
    <row r="320" s="16" customFormat="1" ht="19.8" x14ac:dyDescent="0.4"/>
    <row r="321" s="16" customFormat="1" ht="19.8" x14ac:dyDescent="0.4"/>
    <row r="322" s="16" customFormat="1" ht="19.8" x14ac:dyDescent="0.4"/>
    <row r="323" s="16" customFormat="1" ht="19.8" x14ac:dyDescent="0.4"/>
    <row r="324" s="16" customFormat="1" ht="19.8" x14ac:dyDescent="0.4"/>
    <row r="325" s="16" customFormat="1" ht="19.8" x14ac:dyDescent="0.4"/>
    <row r="326" s="16" customFormat="1" ht="19.8" x14ac:dyDescent="0.4"/>
    <row r="327" s="16" customFormat="1" ht="19.8" x14ac:dyDescent="0.4"/>
    <row r="328" s="16" customFormat="1" ht="19.8" x14ac:dyDescent="0.4"/>
    <row r="329" s="16" customFormat="1" ht="19.8" x14ac:dyDescent="0.4"/>
    <row r="330" s="16" customFormat="1" ht="19.8" x14ac:dyDescent="0.4"/>
    <row r="331" s="16" customFormat="1" ht="19.8" x14ac:dyDescent="0.4"/>
    <row r="332" s="16" customFormat="1" ht="19.8" x14ac:dyDescent="0.4"/>
    <row r="333" s="16" customFormat="1" ht="19.8" x14ac:dyDescent="0.4"/>
    <row r="334" s="16" customFormat="1" ht="19.8" x14ac:dyDescent="0.4"/>
    <row r="335" s="16" customFormat="1" ht="19.8" x14ac:dyDescent="0.4"/>
    <row r="336" s="16" customFormat="1" ht="19.8" x14ac:dyDescent="0.4"/>
    <row r="337" s="16" customFormat="1" ht="19.8" x14ac:dyDescent="0.4"/>
    <row r="338" s="16" customFormat="1" ht="19.8" x14ac:dyDescent="0.4"/>
    <row r="339" s="16" customFormat="1" ht="19.8" x14ac:dyDescent="0.4"/>
    <row r="340" s="16" customFormat="1" ht="19.8" x14ac:dyDescent="0.4"/>
    <row r="341" s="16" customFormat="1" ht="19.8" x14ac:dyDescent="0.4"/>
    <row r="342" s="16" customFormat="1" ht="19.8" x14ac:dyDescent="0.4"/>
    <row r="343" s="16" customFormat="1" ht="19.8" x14ac:dyDescent="0.4"/>
    <row r="344" s="16" customFormat="1" ht="19.8" x14ac:dyDescent="0.4"/>
    <row r="345" s="16" customFormat="1" ht="19.8" x14ac:dyDescent="0.4"/>
    <row r="346" s="16" customFormat="1" ht="19.8" x14ac:dyDescent="0.4"/>
    <row r="347" s="16" customFormat="1" ht="19.8" x14ac:dyDescent="0.4"/>
    <row r="348" s="16" customFormat="1" ht="19.8" x14ac:dyDescent="0.4"/>
    <row r="349" s="16" customFormat="1" ht="19.8" x14ac:dyDescent="0.4"/>
    <row r="350" s="16" customFormat="1" ht="19.8" x14ac:dyDescent="0.4"/>
    <row r="351" s="16" customFormat="1" ht="19.8" x14ac:dyDescent="0.4"/>
    <row r="352" s="16" customFormat="1" ht="19.8" x14ac:dyDescent="0.4"/>
    <row r="353" s="16" customFormat="1" ht="19.8" x14ac:dyDescent="0.4"/>
    <row r="354" s="16" customFormat="1" ht="19.8" x14ac:dyDescent="0.4"/>
    <row r="355" s="16" customFormat="1" ht="19.8" x14ac:dyDescent="0.4"/>
    <row r="356" s="16" customFormat="1" ht="19.8" x14ac:dyDescent="0.4"/>
    <row r="357" s="16" customFormat="1" ht="19.8" x14ac:dyDescent="0.4"/>
    <row r="358" s="16" customFormat="1" ht="19.8" x14ac:dyDescent="0.4"/>
    <row r="359" s="16" customFormat="1" ht="19.8" x14ac:dyDescent="0.4"/>
    <row r="360" s="16" customFormat="1" ht="19.8" x14ac:dyDescent="0.4"/>
    <row r="361" s="16" customFormat="1" ht="19.8" x14ac:dyDescent="0.4"/>
    <row r="362" s="16" customFormat="1" ht="19.8" x14ac:dyDescent="0.4"/>
    <row r="363" s="16" customFormat="1" ht="19.8" x14ac:dyDescent="0.4"/>
    <row r="364" s="16" customFormat="1" ht="19.8" x14ac:dyDescent="0.4"/>
    <row r="365" s="16" customFormat="1" ht="19.8" x14ac:dyDescent="0.4"/>
    <row r="366" s="16" customFormat="1" ht="19.8" x14ac:dyDescent="0.4"/>
    <row r="367" s="16" customFormat="1" ht="19.8" x14ac:dyDescent="0.4"/>
    <row r="368" s="16" customFormat="1" ht="19.8" x14ac:dyDescent="0.4"/>
    <row r="369" s="16" customFormat="1" ht="19.8" x14ac:dyDescent="0.4"/>
    <row r="370" s="16" customFormat="1" ht="19.8" x14ac:dyDescent="0.4"/>
    <row r="371" s="16" customFormat="1" ht="19.8" x14ac:dyDescent="0.4"/>
    <row r="372" s="16" customFormat="1" ht="19.8" x14ac:dyDescent="0.4"/>
    <row r="373" s="16" customFormat="1" ht="19.8" x14ac:dyDescent="0.4"/>
    <row r="374" s="16" customFormat="1" ht="19.8" x14ac:dyDescent="0.4"/>
    <row r="375" s="16" customFormat="1" ht="19.8" x14ac:dyDescent="0.4"/>
    <row r="376" s="16" customFormat="1" ht="19.8" x14ac:dyDescent="0.4"/>
    <row r="377" s="16" customFormat="1" ht="19.8" x14ac:dyDescent="0.4"/>
    <row r="378" s="16" customFormat="1" ht="19.8" x14ac:dyDescent="0.4"/>
    <row r="379" s="16" customFormat="1" ht="19.8" x14ac:dyDescent="0.4"/>
    <row r="380" s="16" customFormat="1" ht="19.8" x14ac:dyDescent="0.4"/>
    <row r="381" s="16" customFormat="1" ht="19.8" x14ac:dyDescent="0.4"/>
    <row r="382" s="16" customFormat="1" ht="19.8" x14ac:dyDescent="0.4"/>
    <row r="383" s="16" customFormat="1" ht="19.8" x14ac:dyDescent="0.4"/>
    <row r="384" s="16" customFormat="1" ht="19.8" x14ac:dyDescent="0.4"/>
    <row r="385" s="16" customFormat="1" ht="19.8" x14ac:dyDescent="0.4"/>
    <row r="386" s="16" customFormat="1" ht="19.8" x14ac:dyDescent="0.4"/>
    <row r="387" s="16" customFormat="1" ht="19.8" x14ac:dyDescent="0.4"/>
    <row r="388" s="16" customFormat="1" ht="19.8" x14ac:dyDescent="0.4"/>
    <row r="389" s="16" customFormat="1" ht="19.8" x14ac:dyDescent="0.4"/>
    <row r="390" s="16" customFormat="1" ht="19.8" x14ac:dyDescent="0.4"/>
    <row r="391" s="16" customFormat="1" ht="19.8" x14ac:dyDescent="0.4"/>
    <row r="392" s="16" customFormat="1" ht="19.8" x14ac:dyDescent="0.4"/>
    <row r="393" s="16" customFormat="1" ht="19.8" x14ac:dyDescent="0.4"/>
    <row r="394" s="16" customFormat="1" ht="19.8" x14ac:dyDescent="0.4"/>
    <row r="395" s="16" customFormat="1" ht="19.8" x14ac:dyDescent="0.4"/>
    <row r="396" s="16" customFormat="1" ht="19.8" x14ac:dyDescent="0.4"/>
    <row r="397" s="16" customFormat="1" ht="19.8" x14ac:dyDescent="0.4"/>
    <row r="398" s="16" customFormat="1" ht="19.8" x14ac:dyDescent="0.4"/>
    <row r="399" s="16" customFormat="1" ht="19.8" x14ac:dyDescent="0.4"/>
    <row r="400" s="16" customFormat="1" ht="19.8" x14ac:dyDescent="0.4"/>
    <row r="401" s="16" customFormat="1" ht="19.8" x14ac:dyDescent="0.4"/>
    <row r="402" s="16" customFormat="1" ht="19.8" x14ac:dyDescent="0.4"/>
    <row r="403" s="16" customFormat="1" ht="19.8" x14ac:dyDescent="0.4"/>
    <row r="404" s="16" customFormat="1" ht="19.8" x14ac:dyDescent="0.4"/>
    <row r="405" s="16" customFormat="1" ht="19.8" x14ac:dyDescent="0.4"/>
    <row r="406" s="16" customFormat="1" ht="19.8" x14ac:dyDescent="0.4"/>
    <row r="407" s="16" customFormat="1" ht="19.8" x14ac:dyDescent="0.4"/>
    <row r="408" s="16" customFormat="1" ht="19.8" x14ac:dyDescent="0.4"/>
    <row r="409" s="16" customFormat="1" ht="19.8" x14ac:dyDescent="0.4"/>
    <row r="410" s="16" customFormat="1" ht="19.8" x14ac:dyDescent="0.4"/>
    <row r="411" s="16" customFormat="1" ht="19.8" x14ac:dyDescent="0.4"/>
    <row r="412" s="16" customFormat="1" ht="19.8" x14ac:dyDescent="0.4"/>
    <row r="413" s="16" customFormat="1" ht="19.8" x14ac:dyDescent="0.4"/>
    <row r="414" s="16" customFormat="1" ht="19.8" x14ac:dyDescent="0.4"/>
    <row r="415" s="16" customFormat="1" ht="19.8" x14ac:dyDescent="0.4"/>
    <row r="416" s="16" customFormat="1" ht="19.8" x14ac:dyDescent="0.4"/>
    <row r="417" s="16" customFormat="1" ht="19.8" x14ac:dyDescent="0.4"/>
    <row r="418" s="16" customFormat="1" ht="19.8" x14ac:dyDescent="0.4"/>
    <row r="419" s="16" customFormat="1" ht="19.8" x14ac:dyDescent="0.4"/>
    <row r="420" s="16" customFormat="1" ht="19.8" x14ac:dyDescent="0.4"/>
    <row r="421" s="16" customFormat="1" ht="19.8" x14ac:dyDescent="0.4"/>
    <row r="422" s="16" customFormat="1" ht="19.8" x14ac:dyDescent="0.4"/>
    <row r="423" s="16" customFormat="1" ht="19.8" x14ac:dyDescent="0.4"/>
    <row r="424" s="16" customFormat="1" ht="19.8" x14ac:dyDescent="0.4"/>
    <row r="425" s="16" customFormat="1" ht="19.8" x14ac:dyDescent="0.4"/>
    <row r="426" s="16" customFormat="1" ht="19.8" x14ac:dyDescent="0.4"/>
    <row r="427" s="16" customFormat="1" ht="19.8" x14ac:dyDescent="0.4"/>
    <row r="428" s="16" customFormat="1" ht="19.8" x14ac:dyDescent="0.4"/>
    <row r="429" s="16" customFormat="1" ht="19.8" x14ac:dyDescent="0.4"/>
    <row r="430" s="16" customFormat="1" ht="19.8" x14ac:dyDescent="0.4"/>
    <row r="431" s="16" customFormat="1" ht="19.8" x14ac:dyDescent="0.4"/>
    <row r="432" s="16" customFormat="1" ht="19.8" x14ac:dyDescent="0.4"/>
    <row r="433" s="16" customFormat="1" ht="19.8" x14ac:dyDescent="0.4"/>
    <row r="434" s="16" customFormat="1" ht="19.8" x14ac:dyDescent="0.4"/>
  </sheetData>
  <conditionalFormatting sqref="B1:B1048576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2D7-C2B0-4978-8906-7D82523FE2A1}">
  <dimension ref="A1:F933"/>
  <sheetViews>
    <sheetView workbookViewId="0">
      <selection activeCell="F17" sqref="F17"/>
    </sheetView>
  </sheetViews>
  <sheetFormatPr defaultRowHeight="14.4" x14ac:dyDescent="0.3"/>
  <cols>
    <col min="5" max="5" width="36.44140625" customWidth="1"/>
    <col min="6" max="6" width="21.33203125" customWidth="1"/>
  </cols>
  <sheetData>
    <row r="1" spans="1:6" ht="19.8" x14ac:dyDescent="0.3">
      <c r="A1" s="12"/>
      <c r="B1" s="1"/>
      <c r="C1" s="2"/>
      <c r="D1" s="2"/>
      <c r="E1" s="1" t="s">
        <v>45</v>
      </c>
      <c r="F1" s="10"/>
    </row>
    <row r="2" spans="1:6" ht="19.8" x14ac:dyDescent="0.3">
      <c r="A2" s="13" t="s">
        <v>46</v>
      </c>
      <c r="B2" s="14"/>
      <c r="C2" s="15"/>
      <c r="D2" s="15"/>
      <c r="E2" s="15"/>
      <c r="F2" s="15">
        <f>SUM(B:C)</f>
        <v>0</v>
      </c>
    </row>
    <row r="3" spans="1:6" ht="19.8" x14ac:dyDescent="0.3">
      <c r="A3" s="11" t="s">
        <v>31</v>
      </c>
      <c r="B3" s="11" t="s">
        <v>33</v>
      </c>
      <c r="C3" s="11" t="s">
        <v>34</v>
      </c>
      <c r="D3" s="11" t="s">
        <v>42</v>
      </c>
      <c r="E3" s="11" t="s">
        <v>43</v>
      </c>
      <c r="F3" s="11" t="s">
        <v>44</v>
      </c>
    </row>
    <row r="4" spans="1:6" s="16" customFormat="1" ht="19.8" x14ac:dyDescent="0.4"/>
    <row r="5" spans="1:6" s="16" customFormat="1" ht="19.8" x14ac:dyDescent="0.4"/>
    <row r="6" spans="1:6" s="16" customFormat="1" ht="19.8" x14ac:dyDescent="0.4"/>
    <row r="7" spans="1:6" s="16" customFormat="1" ht="19.8" x14ac:dyDescent="0.4"/>
    <row r="8" spans="1:6" s="16" customFormat="1" ht="19.8" x14ac:dyDescent="0.4"/>
    <row r="9" spans="1:6" s="16" customFormat="1" ht="19.8" x14ac:dyDescent="0.4"/>
    <row r="10" spans="1:6" s="16" customFormat="1" ht="19.8" x14ac:dyDescent="0.4"/>
    <row r="11" spans="1:6" s="16" customFormat="1" ht="19.8" x14ac:dyDescent="0.4"/>
    <row r="12" spans="1:6" s="16" customFormat="1" ht="19.8" x14ac:dyDescent="0.4"/>
    <row r="13" spans="1:6" s="16" customFormat="1" ht="19.8" x14ac:dyDescent="0.4"/>
    <row r="14" spans="1:6" s="16" customFormat="1" ht="19.8" x14ac:dyDescent="0.4"/>
    <row r="15" spans="1:6" s="16" customFormat="1" ht="19.8" x14ac:dyDescent="0.4"/>
    <row r="16" spans="1:6" s="16" customFormat="1" ht="19.8" x14ac:dyDescent="0.4"/>
    <row r="17" s="16" customFormat="1" ht="19.8" x14ac:dyDescent="0.4"/>
    <row r="18" s="16" customFormat="1" ht="19.8" x14ac:dyDescent="0.4"/>
    <row r="19" s="16" customFormat="1" ht="19.8" x14ac:dyDescent="0.4"/>
    <row r="20" s="16" customFormat="1" ht="19.8" x14ac:dyDescent="0.4"/>
    <row r="21" s="16" customFormat="1" ht="19.8" x14ac:dyDescent="0.4"/>
    <row r="22" s="16" customFormat="1" ht="19.8" x14ac:dyDescent="0.4"/>
    <row r="23" s="16" customFormat="1" ht="19.8" x14ac:dyDescent="0.4"/>
    <row r="24" s="16" customFormat="1" ht="19.8" x14ac:dyDescent="0.4"/>
    <row r="25" s="16" customFormat="1" ht="19.8" x14ac:dyDescent="0.4"/>
    <row r="26" s="16" customFormat="1" ht="19.8" x14ac:dyDescent="0.4"/>
    <row r="27" s="16" customFormat="1" ht="19.8" x14ac:dyDescent="0.4"/>
    <row r="28" s="16" customFormat="1" ht="19.8" x14ac:dyDescent="0.4"/>
    <row r="29" s="16" customFormat="1" ht="19.8" x14ac:dyDescent="0.4"/>
    <row r="30" s="16" customFormat="1" ht="19.8" x14ac:dyDescent="0.4"/>
    <row r="31" s="16" customFormat="1" ht="19.8" x14ac:dyDescent="0.4"/>
    <row r="32" s="16" customFormat="1" ht="19.8" x14ac:dyDescent="0.4"/>
    <row r="33" s="16" customFormat="1" ht="19.8" x14ac:dyDescent="0.4"/>
    <row r="34" s="16" customFormat="1" ht="19.8" x14ac:dyDescent="0.4"/>
    <row r="35" s="16" customFormat="1" ht="19.8" x14ac:dyDescent="0.4"/>
    <row r="36" s="16" customFormat="1" ht="19.8" x14ac:dyDescent="0.4"/>
    <row r="37" s="16" customFormat="1" ht="19.8" x14ac:dyDescent="0.4"/>
    <row r="38" s="16" customFormat="1" ht="19.8" x14ac:dyDescent="0.4"/>
    <row r="39" s="16" customFormat="1" ht="19.8" x14ac:dyDescent="0.4"/>
    <row r="40" s="16" customFormat="1" ht="19.8" x14ac:dyDescent="0.4"/>
    <row r="41" s="16" customFormat="1" ht="19.8" x14ac:dyDescent="0.4"/>
    <row r="42" s="16" customFormat="1" ht="19.8" x14ac:dyDescent="0.4"/>
    <row r="43" s="16" customFormat="1" ht="19.8" x14ac:dyDescent="0.4"/>
    <row r="44" s="16" customFormat="1" ht="19.8" x14ac:dyDescent="0.4"/>
    <row r="45" s="16" customFormat="1" ht="19.8" x14ac:dyDescent="0.4"/>
    <row r="46" s="16" customFormat="1" ht="19.8" x14ac:dyDescent="0.4"/>
    <row r="47" s="16" customFormat="1" ht="19.8" x14ac:dyDescent="0.4"/>
    <row r="48" s="16" customFormat="1" ht="19.8" x14ac:dyDescent="0.4"/>
    <row r="49" s="16" customFormat="1" ht="19.8" x14ac:dyDescent="0.4"/>
    <row r="50" s="16" customFormat="1" ht="19.8" x14ac:dyDescent="0.4"/>
    <row r="51" s="16" customFormat="1" ht="19.8" x14ac:dyDescent="0.4"/>
    <row r="52" s="16" customFormat="1" ht="19.8" x14ac:dyDescent="0.4"/>
    <row r="53" s="16" customFormat="1" ht="19.8" x14ac:dyDescent="0.4"/>
    <row r="54" s="16" customFormat="1" ht="19.8" x14ac:dyDescent="0.4"/>
    <row r="55" s="16" customFormat="1" ht="19.8" x14ac:dyDescent="0.4"/>
    <row r="56" s="16" customFormat="1" ht="19.8" x14ac:dyDescent="0.4"/>
    <row r="57" s="16" customFormat="1" ht="19.8" x14ac:dyDescent="0.4"/>
    <row r="58" s="16" customFormat="1" ht="19.8" x14ac:dyDescent="0.4"/>
    <row r="59" s="16" customFormat="1" ht="19.8" x14ac:dyDescent="0.4"/>
    <row r="60" s="16" customFormat="1" ht="19.8" x14ac:dyDescent="0.4"/>
    <row r="61" s="16" customFormat="1" ht="19.8" x14ac:dyDescent="0.4"/>
    <row r="62" s="16" customFormat="1" ht="19.8" x14ac:dyDescent="0.4"/>
    <row r="63" s="16" customFormat="1" ht="19.8" x14ac:dyDescent="0.4"/>
    <row r="64" s="16" customFormat="1" ht="19.8" x14ac:dyDescent="0.4"/>
    <row r="65" s="16" customFormat="1" ht="19.8" x14ac:dyDescent="0.4"/>
    <row r="66" s="16" customFormat="1" ht="19.8" x14ac:dyDescent="0.4"/>
    <row r="67" s="16" customFormat="1" ht="19.8" x14ac:dyDescent="0.4"/>
    <row r="68" s="16" customFormat="1" ht="19.8" x14ac:dyDescent="0.4"/>
    <row r="69" s="16" customFormat="1" ht="19.8" x14ac:dyDescent="0.4"/>
    <row r="70" s="16" customFormat="1" ht="19.8" x14ac:dyDescent="0.4"/>
    <row r="71" s="16" customFormat="1" ht="19.8" x14ac:dyDescent="0.4"/>
    <row r="72" s="16" customFormat="1" ht="19.8" x14ac:dyDescent="0.4"/>
    <row r="73" s="16" customFormat="1" ht="19.8" x14ac:dyDescent="0.4"/>
    <row r="74" s="16" customFormat="1" ht="19.8" x14ac:dyDescent="0.4"/>
    <row r="75" s="16" customFormat="1" ht="19.8" x14ac:dyDescent="0.4"/>
    <row r="76" s="16" customFormat="1" ht="19.8" x14ac:dyDescent="0.4"/>
    <row r="77" s="16" customFormat="1" ht="19.8" x14ac:dyDescent="0.4"/>
    <row r="78" s="16" customFormat="1" ht="19.8" x14ac:dyDescent="0.4"/>
    <row r="79" s="16" customFormat="1" ht="19.8" x14ac:dyDescent="0.4"/>
    <row r="80" s="16" customFormat="1" ht="19.8" x14ac:dyDescent="0.4"/>
    <row r="81" s="16" customFormat="1" ht="19.8" x14ac:dyDescent="0.4"/>
    <row r="82" s="16" customFormat="1" ht="19.8" x14ac:dyDescent="0.4"/>
    <row r="83" s="16" customFormat="1" ht="19.8" x14ac:dyDescent="0.4"/>
    <row r="84" s="16" customFormat="1" ht="19.8" x14ac:dyDescent="0.4"/>
    <row r="85" s="16" customFormat="1" ht="19.8" x14ac:dyDescent="0.4"/>
    <row r="86" s="16" customFormat="1" ht="19.8" x14ac:dyDescent="0.4"/>
    <row r="87" s="16" customFormat="1" ht="19.8" x14ac:dyDescent="0.4"/>
    <row r="88" s="16" customFormat="1" ht="19.8" x14ac:dyDescent="0.4"/>
    <row r="89" s="16" customFormat="1" ht="19.8" x14ac:dyDescent="0.4"/>
    <row r="90" s="16" customFormat="1" ht="19.8" x14ac:dyDescent="0.4"/>
    <row r="91" s="16" customFormat="1" ht="19.8" x14ac:dyDescent="0.4"/>
    <row r="92" s="16" customFormat="1" ht="19.8" x14ac:dyDescent="0.4"/>
    <row r="93" s="16" customFormat="1" ht="19.8" x14ac:dyDescent="0.4"/>
    <row r="94" s="16" customFormat="1" ht="19.8" x14ac:dyDescent="0.4"/>
    <row r="95" s="16" customFormat="1" ht="19.8" x14ac:dyDescent="0.4"/>
    <row r="96" s="16" customFormat="1" ht="19.8" x14ac:dyDescent="0.4"/>
    <row r="97" s="16" customFormat="1" ht="19.8" x14ac:dyDescent="0.4"/>
    <row r="98" s="16" customFormat="1" ht="19.8" x14ac:dyDescent="0.4"/>
    <row r="99" s="16" customFormat="1" ht="19.8" x14ac:dyDescent="0.4"/>
    <row r="100" s="16" customFormat="1" ht="19.8" x14ac:dyDescent="0.4"/>
    <row r="101" s="16" customFormat="1" ht="19.8" x14ac:dyDescent="0.4"/>
    <row r="102" s="16" customFormat="1" ht="19.8" x14ac:dyDescent="0.4"/>
    <row r="103" s="16" customFormat="1" ht="19.8" x14ac:dyDescent="0.4"/>
    <row r="104" s="16" customFormat="1" ht="19.8" x14ac:dyDescent="0.4"/>
    <row r="105" s="16" customFormat="1" ht="19.8" x14ac:dyDescent="0.4"/>
    <row r="106" s="16" customFormat="1" ht="19.8" x14ac:dyDescent="0.4"/>
    <row r="107" s="16" customFormat="1" ht="19.8" x14ac:dyDescent="0.4"/>
    <row r="108" s="16" customFormat="1" ht="19.8" x14ac:dyDescent="0.4"/>
    <row r="109" s="16" customFormat="1" ht="19.8" x14ac:dyDescent="0.4"/>
    <row r="110" s="16" customFormat="1" ht="19.8" x14ac:dyDescent="0.4"/>
    <row r="111" s="16" customFormat="1" ht="19.8" x14ac:dyDescent="0.4"/>
    <row r="112" s="16" customFormat="1" ht="19.8" x14ac:dyDescent="0.4"/>
    <row r="113" s="16" customFormat="1" ht="19.8" x14ac:dyDescent="0.4"/>
    <row r="114" s="16" customFormat="1" ht="19.8" x14ac:dyDescent="0.4"/>
    <row r="115" s="16" customFormat="1" ht="19.8" x14ac:dyDescent="0.4"/>
    <row r="116" s="16" customFormat="1" ht="19.8" x14ac:dyDescent="0.4"/>
    <row r="117" s="16" customFormat="1" ht="19.8" x14ac:dyDescent="0.4"/>
    <row r="118" s="16" customFormat="1" ht="19.8" x14ac:dyDescent="0.4"/>
    <row r="119" s="16" customFormat="1" ht="19.8" x14ac:dyDescent="0.4"/>
    <row r="120" s="16" customFormat="1" ht="19.8" x14ac:dyDescent="0.4"/>
    <row r="121" s="16" customFormat="1" ht="19.8" x14ac:dyDescent="0.4"/>
    <row r="122" s="16" customFormat="1" ht="19.8" x14ac:dyDescent="0.4"/>
    <row r="123" s="16" customFormat="1" ht="19.8" x14ac:dyDescent="0.4"/>
    <row r="124" s="16" customFormat="1" ht="19.8" x14ac:dyDescent="0.4"/>
    <row r="125" s="16" customFormat="1" ht="19.8" x14ac:dyDescent="0.4"/>
    <row r="126" s="16" customFormat="1" ht="19.8" x14ac:dyDescent="0.4"/>
    <row r="127" s="16" customFormat="1" ht="19.8" x14ac:dyDescent="0.4"/>
    <row r="128" s="16" customFormat="1" ht="19.8" x14ac:dyDescent="0.4"/>
    <row r="129" s="16" customFormat="1" ht="19.8" x14ac:dyDescent="0.4"/>
    <row r="130" s="16" customFormat="1" ht="19.8" x14ac:dyDescent="0.4"/>
    <row r="131" s="16" customFormat="1" ht="19.8" x14ac:dyDescent="0.4"/>
    <row r="132" s="16" customFormat="1" ht="19.8" x14ac:dyDescent="0.4"/>
    <row r="133" s="16" customFormat="1" ht="19.8" x14ac:dyDescent="0.4"/>
    <row r="134" s="16" customFormat="1" ht="19.8" x14ac:dyDescent="0.4"/>
    <row r="135" s="16" customFormat="1" ht="19.8" x14ac:dyDescent="0.4"/>
    <row r="136" s="16" customFormat="1" ht="19.8" x14ac:dyDescent="0.4"/>
    <row r="137" s="16" customFormat="1" ht="19.8" x14ac:dyDescent="0.4"/>
    <row r="138" s="16" customFormat="1" ht="19.8" x14ac:dyDescent="0.4"/>
    <row r="139" s="16" customFormat="1" ht="19.8" x14ac:dyDescent="0.4"/>
    <row r="140" s="16" customFormat="1" ht="19.8" x14ac:dyDescent="0.4"/>
    <row r="141" s="16" customFormat="1" ht="19.8" x14ac:dyDescent="0.4"/>
    <row r="142" s="16" customFormat="1" ht="19.8" x14ac:dyDescent="0.4"/>
    <row r="143" s="16" customFormat="1" ht="19.8" x14ac:dyDescent="0.4"/>
    <row r="144" s="16" customFormat="1" ht="19.8" x14ac:dyDescent="0.4"/>
    <row r="145" s="16" customFormat="1" ht="19.8" x14ac:dyDescent="0.4"/>
    <row r="146" s="16" customFormat="1" ht="19.8" x14ac:dyDescent="0.4"/>
    <row r="147" s="16" customFormat="1" ht="19.8" x14ac:dyDescent="0.4"/>
    <row r="148" s="16" customFormat="1" ht="19.8" x14ac:dyDescent="0.4"/>
    <row r="149" s="16" customFormat="1" ht="19.8" x14ac:dyDescent="0.4"/>
    <row r="150" s="16" customFormat="1" ht="19.8" x14ac:dyDescent="0.4"/>
    <row r="151" s="16" customFormat="1" ht="19.8" x14ac:dyDescent="0.4"/>
    <row r="152" s="16" customFormat="1" ht="19.8" x14ac:dyDescent="0.4"/>
    <row r="153" s="16" customFormat="1" ht="19.8" x14ac:dyDescent="0.4"/>
    <row r="154" s="16" customFormat="1" ht="19.8" x14ac:dyDescent="0.4"/>
    <row r="155" s="16" customFormat="1" ht="19.8" x14ac:dyDescent="0.4"/>
    <row r="156" s="16" customFormat="1" ht="19.8" x14ac:dyDescent="0.4"/>
    <row r="157" s="16" customFormat="1" ht="19.8" x14ac:dyDescent="0.4"/>
    <row r="158" s="16" customFormat="1" ht="19.8" x14ac:dyDescent="0.4"/>
    <row r="159" s="16" customFormat="1" ht="19.8" x14ac:dyDescent="0.4"/>
    <row r="160" s="16" customFormat="1" ht="19.8" x14ac:dyDescent="0.4"/>
    <row r="161" s="16" customFormat="1" ht="19.8" x14ac:dyDescent="0.4"/>
    <row r="162" s="16" customFormat="1" ht="19.8" x14ac:dyDescent="0.4"/>
    <row r="163" s="16" customFormat="1" ht="19.8" x14ac:dyDescent="0.4"/>
    <row r="164" s="16" customFormat="1" ht="19.8" x14ac:dyDescent="0.4"/>
    <row r="165" s="16" customFormat="1" ht="19.8" x14ac:dyDescent="0.4"/>
    <row r="166" s="16" customFormat="1" ht="19.8" x14ac:dyDescent="0.4"/>
    <row r="167" s="16" customFormat="1" ht="19.8" x14ac:dyDescent="0.4"/>
    <row r="168" s="16" customFormat="1" ht="19.8" x14ac:dyDescent="0.4"/>
    <row r="169" s="16" customFormat="1" ht="19.8" x14ac:dyDescent="0.4"/>
    <row r="170" s="16" customFormat="1" ht="19.8" x14ac:dyDescent="0.4"/>
    <row r="171" s="16" customFormat="1" ht="19.8" x14ac:dyDescent="0.4"/>
    <row r="172" s="16" customFormat="1" ht="19.8" x14ac:dyDescent="0.4"/>
    <row r="173" s="16" customFormat="1" ht="19.8" x14ac:dyDescent="0.4"/>
    <row r="174" s="16" customFormat="1" ht="19.8" x14ac:dyDescent="0.4"/>
    <row r="175" s="16" customFormat="1" ht="19.8" x14ac:dyDescent="0.4"/>
    <row r="176" s="16" customFormat="1" ht="19.8" x14ac:dyDescent="0.4"/>
    <row r="177" s="16" customFormat="1" ht="19.8" x14ac:dyDescent="0.4"/>
    <row r="178" s="16" customFormat="1" ht="19.8" x14ac:dyDescent="0.4"/>
    <row r="179" s="16" customFormat="1" ht="19.8" x14ac:dyDescent="0.4"/>
    <row r="180" s="16" customFormat="1" ht="19.8" x14ac:dyDescent="0.4"/>
    <row r="181" s="16" customFormat="1" ht="19.8" x14ac:dyDescent="0.4"/>
    <row r="182" s="16" customFormat="1" ht="19.8" x14ac:dyDescent="0.4"/>
    <row r="183" s="16" customFormat="1" ht="19.8" x14ac:dyDescent="0.4"/>
    <row r="184" s="16" customFormat="1" ht="19.8" x14ac:dyDescent="0.4"/>
    <row r="185" s="16" customFormat="1" ht="19.8" x14ac:dyDescent="0.4"/>
    <row r="186" s="16" customFormat="1" ht="19.8" x14ac:dyDescent="0.4"/>
    <row r="187" s="16" customFormat="1" ht="19.8" x14ac:dyDescent="0.4"/>
    <row r="188" s="16" customFormat="1" ht="19.8" x14ac:dyDescent="0.4"/>
    <row r="189" s="16" customFormat="1" ht="19.8" x14ac:dyDescent="0.4"/>
    <row r="190" s="16" customFormat="1" ht="19.8" x14ac:dyDescent="0.4"/>
    <row r="191" s="16" customFormat="1" ht="19.8" x14ac:dyDescent="0.4"/>
    <row r="192" s="16" customFormat="1" ht="19.8" x14ac:dyDescent="0.4"/>
    <row r="193" s="16" customFormat="1" ht="19.8" x14ac:dyDescent="0.4"/>
    <row r="194" s="16" customFormat="1" ht="19.8" x14ac:dyDescent="0.4"/>
    <row r="195" s="16" customFormat="1" ht="19.8" x14ac:dyDescent="0.4"/>
    <row r="196" s="16" customFormat="1" ht="19.8" x14ac:dyDescent="0.4"/>
    <row r="197" s="16" customFormat="1" ht="19.8" x14ac:dyDescent="0.4"/>
    <row r="198" s="16" customFormat="1" ht="19.8" x14ac:dyDescent="0.4"/>
    <row r="199" s="16" customFormat="1" ht="19.8" x14ac:dyDescent="0.4"/>
    <row r="200" s="16" customFormat="1" ht="19.8" x14ac:dyDescent="0.4"/>
    <row r="201" s="16" customFormat="1" ht="19.8" x14ac:dyDescent="0.4"/>
    <row r="202" s="16" customFormat="1" ht="19.8" x14ac:dyDescent="0.4"/>
    <row r="203" s="16" customFormat="1" ht="19.8" x14ac:dyDescent="0.4"/>
    <row r="204" s="16" customFormat="1" ht="19.8" x14ac:dyDescent="0.4"/>
    <row r="205" s="16" customFormat="1" ht="19.8" x14ac:dyDescent="0.4"/>
    <row r="206" s="16" customFormat="1" ht="19.8" x14ac:dyDescent="0.4"/>
    <row r="207" s="16" customFormat="1" ht="19.8" x14ac:dyDescent="0.4"/>
    <row r="208" s="16" customFormat="1" ht="19.8" x14ac:dyDescent="0.4"/>
    <row r="209" s="16" customFormat="1" ht="19.8" x14ac:dyDescent="0.4"/>
    <row r="210" s="16" customFormat="1" ht="19.8" x14ac:dyDescent="0.4"/>
    <row r="211" s="16" customFormat="1" ht="19.8" x14ac:dyDescent="0.4"/>
    <row r="212" s="16" customFormat="1" ht="19.8" x14ac:dyDescent="0.4"/>
    <row r="213" s="16" customFormat="1" ht="19.8" x14ac:dyDescent="0.4"/>
    <row r="214" s="16" customFormat="1" ht="19.8" x14ac:dyDescent="0.4"/>
    <row r="215" s="16" customFormat="1" ht="19.8" x14ac:dyDescent="0.4"/>
    <row r="216" s="16" customFormat="1" ht="19.8" x14ac:dyDescent="0.4"/>
    <row r="217" s="16" customFormat="1" ht="19.8" x14ac:dyDescent="0.4"/>
    <row r="218" s="16" customFormat="1" ht="19.8" x14ac:dyDescent="0.4"/>
    <row r="219" s="16" customFormat="1" ht="19.8" x14ac:dyDescent="0.4"/>
    <row r="220" s="16" customFormat="1" ht="19.8" x14ac:dyDescent="0.4"/>
    <row r="221" s="16" customFormat="1" ht="19.8" x14ac:dyDescent="0.4"/>
    <row r="222" s="16" customFormat="1" ht="19.8" x14ac:dyDescent="0.4"/>
    <row r="223" s="16" customFormat="1" ht="19.8" x14ac:dyDescent="0.4"/>
    <row r="224" s="16" customFormat="1" ht="19.8" x14ac:dyDescent="0.4"/>
    <row r="225" s="16" customFormat="1" ht="19.8" x14ac:dyDescent="0.4"/>
    <row r="226" s="16" customFormat="1" ht="19.8" x14ac:dyDescent="0.4"/>
    <row r="227" s="16" customFormat="1" ht="19.8" x14ac:dyDescent="0.4"/>
    <row r="228" s="16" customFormat="1" ht="19.8" x14ac:dyDescent="0.4"/>
    <row r="229" s="16" customFormat="1" ht="19.8" x14ac:dyDescent="0.4"/>
    <row r="230" s="16" customFormat="1" ht="19.8" x14ac:dyDescent="0.4"/>
    <row r="231" s="16" customFormat="1" ht="19.8" x14ac:dyDescent="0.4"/>
    <row r="232" s="16" customFormat="1" ht="19.8" x14ac:dyDescent="0.4"/>
    <row r="233" s="16" customFormat="1" ht="19.8" x14ac:dyDescent="0.4"/>
    <row r="234" s="16" customFormat="1" ht="19.8" x14ac:dyDescent="0.4"/>
    <row r="235" s="16" customFormat="1" ht="19.8" x14ac:dyDescent="0.4"/>
    <row r="236" s="16" customFormat="1" ht="19.8" x14ac:dyDescent="0.4"/>
    <row r="237" s="16" customFormat="1" ht="19.8" x14ac:dyDescent="0.4"/>
    <row r="238" s="16" customFormat="1" ht="19.8" x14ac:dyDescent="0.4"/>
    <row r="239" s="16" customFormat="1" ht="19.8" x14ac:dyDescent="0.4"/>
    <row r="240" s="16" customFormat="1" ht="19.8" x14ac:dyDescent="0.4"/>
    <row r="241" s="16" customFormat="1" ht="19.8" x14ac:dyDescent="0.4"/>
    <row r="242" s="16" customFormat="1" ht="19.8" x14ac:dyDescent="0.4"/>
    <row r="243" s="16" customFormat="1" ht="19.8" x14ac:dyDescent="0.4"/>
    <row r="244" s="16" customFormat="1" ht="19.8" x14ac:dyDescent="0.4"/>
    <row r="245" s="16" customFormat="1" ht="19.8" x14ac:dyDescent="0.4"/>
    <row r="246" s="16" customFormat="1" ht="19.8" x14ac:dyDescent="0.4"/>
    <row r="247" s="16" customFormat="1" ht="19.8" x14ac:dyDescent="0.4"/>
    <row r="248" s="16" customFormat="1" ht="19.8" x14ac:dyDescent="0.4"/>
    <row r="249" s="16" customFormat="1" ht="19.8" x14ac:dyDescent="0.4"/>
    <row r="250" s="16" customFormat="1" ht="19.8" x14ac:dyDescent="0.4"/>
    <row r="251" s="16" customFormat="1" ht="19.8" x14ac:dyDescent="0.4"/>
    <row r="252" s="16" customFormat="1" ht="19.8" x14ac:dyDescent="0.4"/>
    <row r="253" s="16" customFormat="1" ht="19.8" x14ac:dyDescent="0.4"/>
    <row r="254" s="16" customFormat="1" ht="19.8" x14ac:dyDescent="0.4"/>
    <row r="255" s="16" customFormat="1" ht="19.8" x14ac:dyDescent="0.4"/>
    <row r="256" s="16" customFormat="1" ht="19.8" x14ac:dyDescent="0.4"/>
    <row r="257" s="16" customFormat="1" ht="19.8" x14ac:dyDescent="0.4"/>
    <row r="258" s="16" customFormat="1" ht="19.8" x14ac:dyDescent="0.4"/>
    <row r="259" s="16" customFormat="1" ht="19.8" x14ac:dyDescent="0.4"/>
    <row r="260" s="16" customFormat="1" ht="19.8" x14ac:dyDescent="0.4"/>
    <row r="261" s="16" customFormat="1" ht="19.8" x14ac:dyDescent="0.4"/>
    <row r="262" s="16" customFormat="1" ht="19.8" x14ac:dyDescent="0.4"/>
    <row r="263" s="16" customFormat="1" ht="19.8" x14ac:dyDescent="0.4"/>
    <row r="264" s="16" customFormat="1" ht="19.8" x14ac:dyDescent="0.4"/>
    <row r="265" s="16" customFormat="1" ht="19.8" x14ac:dyDescent="0.4"/>
    <row r="266" s="16" customFormat="1" ht="19.8" x14ac:dyDescent="0.4"/>
    <row r="267" s="16" customFormat="1" ht="19.8" x14ac:dyDescent="0.4"/>
    <row r="268" s="16" customFormat="1" ht="19.8" x14ac:dyDescent="0.4"/>
    <row r="269" s="16" customFormat="1" ht="19.8" x14ac:dyDescent="0.4"/>
    <row r="270" s="16" customFormat="1" ht="19.8" x14ac:dyDescent="0.4"/>
    <row r="271" s="16" customFormat="1" ht="19.8" x14ac:dyDescent="0.4"/>
    <row r="272" s="16" customFormat="1" ht="19.8" x14ac:dyDescent="0.4"/>
    <row r="273" s="16" customFormat="1" ht="19.8" x14ac:dyDescent="0.4"/>
    <row r="274" s="16" customFormat="1" ht="19.8" x14ac:dyDescent="0.4"/>
    <row r="275" s="16" customFormat="1" ht="19.8" x14ac:dyDescent="0.4"/>
    <row r="276" s="16" customFormat="1" ht="19.8" x14ac:dyDescent="0.4"/>
    <row r="277" s="16" customFormat="1" ht="19.8" x14ac:dyDescent="0.4"/>
    <row r="278" s="16" customFormat="1" ht="19.8" x14ac:dyDescent="0.4"/>
    <row r="279" s="16" customFormat="1" ht="19.8" x14ac:dyDescent="0.4"/>
    <row r="280" s="16" customFormat="1" ht="19.8" x14ac:dyDescent="0.4"/>
    <row r="281" s="16" customFormat="1" ht="19.8" x14ac:dyDescent="0.4"/>
    <row r="282" s="16" customFormat="1" ht="19.8" x14ac:dyDescent="0.4"/>
    <row r="283" s="16" customFormat="1" ht="19.8" x14ac:dyDescent="0.4"/>
    <row r="284" s="16" customFormat="1" ht="19.8" x14ac:dyDescent="0.4"/>
    <row r="285" s="16" customFormat="1" ht="19.8" x14ac:dyDescent="0.4"/>
    <row r="286" s="16" customFormat="1" ht="19.8" x14ac:dyDescent="0.4"/>
    <row r="287" s="16" customFormat="1" ht="19.8" x14ac:dyDescent="0.4"/>
    <row r="288" s="16" customFormat="1" ht="19.8" x14ac:dyDescent="0.4"/>
    <row r="289" s="16" customFormat="1" ht="19.8" x14ac:dyDescent="0.4"/>
    <row r="290" s="16" customFormat="1" ht="19.8" x14ac:dyDescent="0.4"/>
    <row r="291" s="16" customFormat="1" ht="19.8" x14ac:dyDescent="0.4"/>
    <row r="292" s="16" customFormat="1" ht="19.8" x14ac:dyDescent="0.4"/>
    <row r="293" s="16" customFormat="1" ht="19.8" x14ac:dyDescent="0.4"/>
    <row r="294" s="16" customFormat="1" ht="19.8" x14ac:dyDescent="0.4"/>
    <row r="295" s="16" customFormat="1" ht="19.8" x14ac:dyDescent="0.4"/>
    <row r="296" s="16" customFormat="1" ht="19.8" x14ac:dyDescent="0.4"/>
    <row r="297" s="16" customFormat="1" ht="19.8" x14ac:dyDescent="0.4"/>
    <row r="298" s="16" customFormat="1" ht="19.8" x14ac:dyDescent="0.4"/>
    <row r="299" s="16" customFormat="1" ht="19.8" x14ac:dyDescent="0.4"/>
    <row r="300" s="16" customFormat="1" ht="19.8" x14ac:dyDescent="0.4"/>
    <row r="301" s="16" customFormat="1" ht="19.8" x14ac:dyDescent="0.4"/>
    <row r="302" s="16" customFormat="1" ht="19.8" x14ac:dyDescent="0.4"/>
    <row r="303" s="16" customFormat="1" ht="19.8" x14ac:dyDescent="0.4"/>
    <row r="304" s="16" customFormat="1" ht="19.8" x14ac:dyDescent="0.4"/>
    <row r="305" s="16" customFormat="1" ht="19.8" x14ac:dyDescent="0.4"/>
    <row r="306" s="16" customFormat="1" ht="19.8" x14ac:dyDescent="0.4"/>
    <row r="307" s="16" customFormat="1" ht="19.8" x14ac:dyDescent="0.4"/>
    <row r="308" s="16" customFormat="1" ht="19.8" x14ac:dyDescent="0.4"/>
    <row r="309" s="16" customFormat="1" ht="19.8" x14ac:dyDescent="0.4"/>
    <row r="310" s="16" customFormat="1" ht="19.8" x14ac:dyDescent="0.4"/>
    <row r="311" s="16" customFormat="1" ht="19.8" x14ac:dyDescent="0.4"/>
    <row r="312" s="16" customFormat="1" ht="19.8" x14ac:dyDescent="0.4"/>
    <row r="313" s="16" customFormat="1" ht="19.8" x14ac:dyDescent="0.4"/>
    <row r="314" s="16" customFormat="1" ht="19.8" x14ac:dyDescent="0.4"/>
    <row r="315" s="16" customFormat="1" ht="19.8" x14ac:dyDescent="0.4"/>
    <row r="316" s="16" customFormat="1" ht="19.8" x14ac:dyDescent="0.4"/>
    <row r="317" s="16" customFormat="1" ht="19.8" x14ac:dyDescent="0.4"/>
    <row r="318" s="16" customFormat="1" ht="19.8" x14ac:dyDescent="0.4"/>
    <row r="319" s="16" customFormat="1" ht="19.8" x14ac:dyDescent="0.4"/>
    <row r="320" s="16" customFormat="1" ht="19.8" x14ac:dyDescent="0.4"/>
    <row r="321" s="16" customFormat="1" ht="19.8" x14ac:dyDescent="0.4"/>
    <row r="322" s="16" customFormat="1" ht="19.8" x14ac:dyDescent="0.4"/>
    <row r="323" s="16" customFormat="1" ht="19.8" x14ac:dyDescent="0.4"/>
    <row r="324" s="16" customFormat="1" ht="19.8" x14ac:dyDescent="0.4"/>
    <row r="325" s="16" customFormat="1" ht="19.8" x14ac:dyDescent="0.4"/>
    <row r="326" s="16" customFormat="1" ht="19.8" x14ac:dyDescent="0.4"/>
    <row r="327" s="16" customFormat="1" ht="19.8" x14ac:dyDescent="0.4"/>
    <row r="328" s="16" customFormat="1" ht="19.8" x14ac:dyDescent="0.4"/>
    <row r="329" s="16" customFormat="1" ht="19.8" x14ac:dyDescent="0.4"/>
    <row r="330" s="16" customFormat="1" ht="19.8" x14ac:dyDescent="0.4"/>
    <row r="331" s="16" customFormat="1" ht="19.8" x14ac:dyDescent="0.4"/>
    <row r="332" s="16" customFormat="1" ht="19.8" x14ac:dyDescent="0.4"/>
    <row r="333" s="16" customFormat="1" ht="19.8" x14ac:dyDescent="0.4"/>
    <row r="334" s="16" customFormat="1" ht="19.8" x14ac:dyDescent="0.4"/>
    <row r="335" s="16" customFormat="1" ht="19.8" x14ac:dyDescent="0.4"/>
    <row r="336" s="16" customFormat="1" ht="19.8" x14ac:dyDescent="0.4"/>
    <row r="337" s="16" customFormat="1" ht="19.8" x14ac:dyDescent="0.4"/>
    <row r="338" s="16" customFormat="1" ht="19.8" x14ac:dyDescent="0.4"/>
    <row r="339" s="16" customFormat="1" ht="19.8" x14ac:dyDescent="0.4"/>
    <row r="340" s="16" customFormat="1" ht="19.8" x14ac:dyDescent="0.4"/>
    <row r="341" s="16" customFormat="1" ht="19.8" x14ac:dyDescent="0.4"/>
    <row r="342" s="16" customFormat="1" ht="19.8" x14ac:dyDescent="0.4"/>
    <row r="343" s="16" customFormat="1" ht="19.8" x14ac:dyDescent="0.4"/>
    <row r="344" s="16" customFormat="1" ht="19.8" x14ac:dyDescent="0.4"/>
    <row r="345" s="16" customFormat="1" ht="19.8" x14ac:dyDescent="0.4"/>
    <row r="346" s="16" customFormat="1" ht="19.8" x14ac:dyDescent="0.4"/>
    <row r="347" s="16" customFormat="1" ht="19.8" x14ac:dyDescent="0.4"/>
    <row r="348" s="16" customFormat="1" ht="19.8" x14ac:dyDescent="0.4"/>
    <row r="349" s="16" customFormat="1" ht="19.8" x14ac:dyDescent="0.4"/>
    <row r="350" s="16" customFormat="1" ht="19.8" x14ac:dyDescent="0.4"/>
    <row r="351" s="16" customFormat="1" ht="19.8" x14ac:dyDescent="0.4"/>
    <row r="352" s="16" customFormat="1" ht="19.8" x14ac:dyDescent="0.4"/>
    <row r="353" s="16" customFormat="1" ht="19.8" x14ac:dyDescent="0.4"/>
    <row r="354" s="16" customFormat="1" ht="19.8" x14ac:dyDescent="0.4"/>
    <row r="355" s="16" customFormat="1" ht="19.8" x14ac:dyDescent="0.4"/>
    <row r="356" s="16" customFormat="1" ht="19.8" x14ac:dyDescent="0.4"/>
    <row r="357" s="16" customFormat="1" ht="19.8" x14ac:dyDescent="0.4"/>
    <row r="358" s="16" customFormat="1" ht="19.8" x14ac:dyDescent="0.4"/>
    <row r="359" s="16" customFormat="1" ht="19.8" x14ac:dyDescent="0.4"/>
    <row r="360" s="16" customFormat="1" ht="19.8" x14ac:dyDescent="0.4"/>
    <row r="361" s="16" customFormat="1" ht="19.8" x14ac:dyDescent="0.4"/>
    <row r="362" s="16" customFormat="1" ht="19.8" x14ac:dyDescent="0.4"/>
    <row r="363" s="16" customFormat="1" ht="19.8" x14ac:dyDescent="0.4"/>
    <row r="364" s="16" customFormat="1" ht="19.8" x14ac:dyDescent="0.4"/>
    <row r="365" s="16" customFormat="1" ht="19.8" x14ac:dyDescent="0.4"/>
    <row r="366" s="16" customFormat="1" ht="19.8" x14ac:dyDescent="0.4"/>
    <row r="367" s="16" customFormat="1" ht="19.8" x14ac:dyDescent="0.4"/>
    <row r="368" s="16" customFormat="1" ht="19.8" x14ac:dyDescent="0.4"/>
    <row r="369" s="16" customFormat="1" ht="19.8" x14ac:dyDescent="0.4"/>
    <row r="370" s="16" customFormat="1" ht="19.8" x14ac:dyDescent="0.4"/>
    <row r="371" s="16" customFormat="1" ht="19.8" x14ac:dyDescent="0.4"/>
    <row r="372" s="16" customFormat="1" ht="19.8" x14ac:dyDescent="0.4"/>
    <row r="373" s="16" customFormat="1" ht="19.8" x14ac:dyDescent="0.4"/>
    <row r="374" s="16" customFormat="1" ht="19.8" x14ac:dyDescent="0.4"/>
    <row r="375" s="16" customFormat="1" ht="19.8" x14ac:dyDescent="0.4"/>
    <row r="376" s="16" customFormat="1" ht="19.8" x14ac:dyDescent="0.4"/>
    <row r="377" s="16" customFormat="1" ht="19.8" x14ac:dyDescent="0.4"/>
    <row r="378" s="16" customFormat="1" ht="19.8" x14ac:dyDescent="0.4"/>
    <row r="379" s="16" customFormat="1" ht="19.8" x14ac:dyDescent="0.4"/>
    <row r="380" s="16" customFormat="1" ht="19.8" x14ac:dyDescent="0.4"/>
    <row r="381" s="16" customFormat="1" ht="19.8" x14ac:dyDescent="0.4"/>
    <row r="382" s="16" customFormat="1" ht="19.8" x14ac:dyDescent="0.4"/>
    <row r="383" s="16" customFormat="1" ht="19.8" x14ac:dyDescent="0.4"/>
    <row r="384" s="16" customFormat="1" ht="19.8" x14ac:dyDescent="0.4"/>
    <row r="385" s="16" customFormat="1" ht="19.8" x14ac:dyDescent="0.4"/>
    <row r="386" s="16" customFormat="1" ht="19.8" x14ac:dyDescent="0.4"/>
    <row r="387" s="16" customFormat="1" ht="19.8" x14ac:dyDescent="0.4"/>
    <row r="388" s="16" customFormat="1" ht="19.8" x14ac:dyDescent="0.4"/>
    <row r="389" s="16" customFormat="1" ht="19.8" x14ac:dyDescent="0.4"/>
    <row r="390" s="16" customFormat="1" ht="19.8" x14ac:dyDescent="0.4"/>
    <row r="391" s="16" customFormat="1" ht="19.8" x14ac:dyDescent="0.4"/>
    <row r="392" s="16" customFormat="1" ht="19.8" x14ac:dyDescent="0.4"/>
    <row r="393" s="16" customFormat="1" ht="19.8" x14ac:dyDescent="0.4"/>
    <row r="394" s="16" customFormat="1" ht="19.8" x14ac:dyDescent="0.4"/>
    <row r="395" s="16" customFormat="1" ht="19.8" x14ac:dyDescent="0.4"/>
    <row r="396" s="16" customFormat="1" ht="19.8" x14ac:dyDescent="0.4"/>
    <row r="397" s="16" customFormat="1" ht="19.8" x14ac:dyDescent="0.4"/>
    <row r="398" s="16" customFormat="1" ht="19.8" x14ac:dyDescent="0.4"/>
    <row r="399" s="16" customFormat="1" ht="19.8" x14ac:dyDescent="0.4"/>
    <row r="400" s="16" customFormat="1" ht="19.8" x14ac:dyDescent="0.4"/>
    <row r="401" s="16" customFormat="1" ht="19.8" x14ac:dyDescent="0.4"/>
    <row r="402" s="16" customFormat="1" ht="19.8" x14ac:dyDescent="0.4"/>
    <row r="403" s="16" customFormat="1" ht="19.8" x14ac:dyDescent="0.4"/>
    <row r="404" s="16" customFormat="1" ht="19.8" x14ac:dyDescent="0.4"/>
    <row r="405" s="16" customFormat="1" ht="19.8" x14ac:dyDescent="0.4"/>
    <row r="406" s="16" customFormat="1" ht="19.8" x14ac:dyDescent="0.4"/>
    <row r="407" s="16" customFormat="1" ht="19.8" x14ac:dyDescent="0.4"/>
    <row r="408" s="16" customFormat="1" ht="19.8" x14ac:dyDescent="0.4"/>
    <row r="409" s="16" customFormat="1" ht="19.8" x14ac:dyDescent="0.4"/>
    <row r="410" s="16" customFormat="1" ht="19.8" x14ac:dyDescent="0.4"/>
    <row r="411" s="16" customFormat="1" ht="19.8" x14ac:dyDescent="0.4"/>
    <row r="412" s="16" customFormat="1" ht="19.8" x14ac:dyDescent="0.4"/>
    <row r="413" s="16" customFormat="1" ht="19.8" x14ac:dyDescent="0.4"/>
    <row r="414" s="16" customFormat="1" ht="19.8" x14ac:dyDescent="0.4"/>
    <row r="415" s="16" customFormat="1" ht="19.8" x14ac:dyDescent="0.4"/>
    <row r="416" s="16" customFormat="1" ht="19.8" x14ac:dyDescent="0.4"/>
    <row r="417" s="16" customFormat="1" ht="19.8" x14ac:dyDescent="0.4"/>
    <row r="418" s="16" customFormat="1" ht="19.8" x14ac:dyDescent="0.4"/>
    <row r="419" s="16" customFormat="1" ht="19.8" x14ac:dyDescent="0.4"/>
    <row r="420" s="16" customFormat="1" ht="19.8" x14ac:dyDescent="0.4"/>
    <row r="421" s="16" customFormat="1" ht="19.8" x14ac:dyDescent="0.4"/>
    <row r="422" s="16" customFormat="1" ht="19.8" x14ac:dyDescent="0.4"/>
    <row r="423" s="16" customFormat="1" ht="19.8" x14ac:dyDescent="0.4"/>
    <row r="424" s="16" customFormat="1" ht="19.8" x14ac:dyDescent="0.4"/>
    <row r="425" s="16" customFormat="1" ht="19.8" x14ac:dyDescent="0.4"/>
    <row r="426" s="16" customFormat="1" ht="19.8" x14ac:dyDescent="0.4"/>
    <row r="427" s="16" customFormat="1" ht="19.8" x14ac:dyDescent="0.4"/>
    <row r="428" s="16" customFormat="1" ht="19.8" x14ac:dyDescent="0.4"/>
    <row r="429" s="16" customFormat="1" ht="19.8" x14ac:dyDescent="0.4"/>
    <row r="430" s="16" customFormat="1" ht="19.8" x14ac:dyDescent="0.4"/>
    <row r="431" s="16" customFormat="1" ht="19.8" x14ac:dyDescent="0.4"/>
    <row r="432" s="16" customFormat="1" ht="19.8" x14ac:dyDescent="0.4"/>
    <row r="433" s="16" customFormat="1" ht="19.8" x14ac:dyDescent="0.4"/>
    <row r="434" s="16" customFormat="1" ht="19.8" x14ac:dyDescent="0.4"/>
    <row r="435" s="16" customFormat="1" ht="19.8" x14ac:dyDescent="0.4"/>
    <row r="436" s="16" customFormat="1" ht="19.8" x14ac:dyDescent="0.4"/>
    <row r="437" s="16" customFormat="1" ht="19.8" x14ac:dyDescent="0.4"/>
    <row r="438" s="16" customFormat="1" ht="19.8" x14ac:dyDescent="0.4"/>
    <row r="439" s="16" customFormat="1" ht="19.8" x14ac:dyDescent="0.4"/>
    <row r="440" s="16" customFormat="1" ht="19.8" x14ac:dyDescent="0.4"/>
    <row r="441" s="16" customFormat="1" ht="19.8" x14ac:dyDescent="0.4"/>
    <row r="442" s="16" customFormat="1" ht="19.8" x14ac:dyDescent="0.4"/>
    <row r="443" s="16" customFormat="1" ht="19.8" x14ac:dyDescent="0.4"/>
    <row r="444" s="16" customFormat="1" ht="19.8" x14ac:dyDescent="0.4"/>
    <row r="445" s="16" customFormat="1" ht="19.8" x14ac:dyDescent="0.4"/>
    <row r="446" s="16" customFormat="1" ht="19.8" x14ac:dyDescent="0.4"/>
    <row r="447" s="16" customFormat="1" ht="19.8" x14ac:dyDescent="0.4"/>
    <row r="448" s="16" customFormat="1" ht="19.8" x14ac:dyDescent="0.4"/>
    <row r="449" s="16" customFormat="1" ht="19.8" x14ac:dyDescent="0.4"/>
    <row r="450" s="16" customFormat="1" ht="19.8" x14ac:dyDescent="0.4"/>
    <row r="451" s="16" customFormat="1" ht="19.8" x14ac:dyDescent="0.4"/>
    <row r="452" s="16" customFormat="1" ht="19.8" x14ac:dyDescent="0.4"/>
    <row r="453" s="16" customFormat="1" ht="19.8" x14ac:dyDescent="0.4"/>
    <row r="454" s="16" customFormat="1" ht="19.8" x14ac:dyDescent="0.4"/>
    <row r="455" s="16" customFormat="1" ht="19.8" x14ac:dyDescent="0.4"/>
    <row r="456" s="16" customFormat="1" ht="19.8" x14ac:dyDescent="0.4"/>
    <row r="457" s="16" customFormat="1" ht="19.8" x14ac:dyDescent="0.4"/>
    <row r="458" s="16" customFormat="1" ht="19.8" x14ac:dyDescent="0.4"/>
    <row r="459" s="16" customFormat="1" ht="19.8" x14ac:dyDescent="0.4"/>
    <row r="460" s="16" customFormat="1" ht="19.8" x14ac:dyDescent="0.4"/>
    <row r="461" s="16" customFormat="1" ht="19.8" x14ac:dyDescent="0.4"/>
    <row r="462" s="16" customFormat="1" ht="19.8" x14ac:dyDescent="0.4"/>
    <row r="463" s="16" customFormat="1" ht="19.8" x14ac:dyDescent="0.4"/>
    <row r="464" s="16" customFormat="1" ht="19.8" x14ac:dyDescent="0.4"/>
    <row r="465" s="16" customFormat="1" ht="19.8" x14ac:dyDescent="0.4"/>
    <row r="466" s="16" customFormat="1" ht="19.8" x14ac:dyDescent="0.4"/>
    <row r="467" s="16" customFormat="1" ht="19.8" x14ac:dyDescent="0.4"/>
    <row r="468" s="16" customFormat="1" ht="19.8" x14ac:dyDescent="0.4"/>
    <row r="469" s="16" customFormat="1" ht="19.8" x14ac:dyDescent="0.4"/>
    <row r="470" s="16" customFormat="1" ht="19.8" x14ac:dyDescent="0.4"/>
    <row r="471" s="16" customFormat="1" ht="19.8" x14ac:dyDescent="0.4"/>
    <row r="472" s="16" customFormat="1" ht="19.8" x14ac:dyDescent="0.4"/>
    <row r="473" s="16" customFormat="1" ht="19.8" x14ac:dyDescent="0.4"/>
    <row r="474" s="16" customFormat="1" ht="19.8" x14ac:dyDescent="0.4"/>
    <row r="475" s="16" customFormat="1" ht="19.8" x14ac:dyDescent="0.4"/>
    <row r="476" s="16" customFormat="1" ht="19.8" x14ac:dyDescent="0.4"/>
    <row r="477" s="16" customFormat="1" ht="19.8" x14ac:dyDescent="0.4"/>
    <row r="478" s="16" customFormat="1" ht="19.8" x14ac:dyDescent="0.4"/>
    <row r="479" s="16" customFormat="1" ht="19.8" x14ac:dyDescent="0.4"/>
    <row r="480" s="16" customFormat="1" ht="19.8" x14ac:dyDescent="0.4"/>
    <row r="481" s="16" customFormat="1" ht="19.8" x14ac:dyDescent="0.4"/>
    <row r="482" s="16" customFormat="1" ht="19.8" x14ac:dyDescent="0.4"/>
    <row r="483" s="16" customFormat="1" ht="19.8" x14ac:dyDescent="0.4"/>
    <row r="484" s="16" customFormat="1" ht="19.8" x14ac:dyDescent="0.4"/>
    <row r="485" s="16" customFormat="1" ht="19.8" x14ac:dyDescent="0.4"/>
    <row r="486" s="16" customFormat="1" ht="19.8" x14ac:dyDescent="0.4"/>
    <row r="487" s="16" customFormat="1" ht="19.8" x14ac:dyDescent="0.4"/>
    <row r="488" s="16" customFormat="1" ht="19.8" x14ac:dyDescent="0.4"/>
    <row r="489" s="16" customFormat="1" ht="19.8" x14ac:dyDescent="0.4"/>
    <row r="490" s="16" customFormat="1" ht="19.8" x14ac:dyDescent="0.4"/>
    <row r="491" s="16" customFormat="1" ht="19.8" x14ac:dyDescent="0.4"/>
    <row r="492" s="16" customFormat="1" ht="19.8" x14ac:dyDescent="0.4"/>
    <row r="493" s="16" customFormat="1" ht="19.8" x14ac:dyDescent="0.4"/>
    <row r="494" s="16" customFormat="1" ht="19.8" x14ac:dyDescent="0.4"/>
    <row r="495" s="16" customFormat="1" ht="19.8" x14ac:dyDescent="0.4"/>
    <row r="496" s="16" customFormat="1" ht="19.8" x14ac:dyDescent="0.4"/>
    <row r="497" s="16" customFormat="1" ht="19.8" x14ac:dyDescent="0.4"/>
    <row r="498" s="16" customFormat="1" ht="19.8" x14ac:dyDescent="0.4"/>
    <row r="499" s="16" customFormat="1" ht="19.8" x14ac:dyDescent="0.4"/>
    <row r="500" s="16" customFormat="1" ht="19.8" x14ac:dyDescent="0.4"/>
    <row r="501" s="16" customFormat="1" ht="19.8" x14ac:dyDescent="0.4"/>
    <row r="502" s="16" customFormat="1" ht="19.8" x14ac:dyDescent="0.4"/>
    <row r="503" s="16" customFormat="1" ht="19.8" x14ac:dyDescent="0.4"/>
    <row r="504" s="16" customFormat="1" ht="19.8" x14ac:dyDescent="0.4"/>
    <row r="505" s="16" customFormat="1" ht="19.8" x14ac:dyDescent="0.4"/>
    <row r="506" s="16" customFormat="1" ht="19.8" x14ac:dyDescent="0.4"/>
    <row r="507" s="16" customFormat="1" ht="19.8" x14ac:dyDescent="0.4"/>
    <row r="508" s="16" customFormat="1" ht="19.8" x14ac:dyDescent="0.4"/>
    <row r="509" s="16" customFormat="1" ht="19.8" x14ac:dyDescent="0.4"/>
    <row r="510" s="16" customFormat="1" ht="19.8" x14ac:dyDescent="0.4"/>
    <row r="511" s="16" customFormat="1" ht="19.8" x14ac:dyDescent="0.4"/>
    <row r="512" s="16" customFormat="1" ht="19.8" x14ac:dyDescent="0.4"/>
    <row r="513" s="16" customFormat="1" ht="19.8" x14ac:dyDescent="0.4"/>
    <row r="514" s="16" customFormat="1" ht="19.8" x14ac:dyDescent="0.4"/>
    <row r="515" s="16" customFormat="1" ht="19.8" x14ac:dyDescent="0.4"/>
    <row r="516" s="16" customFormat="1" ht="19.8" x14ac:dyDescent="0.4"/>
    <row r="517" s="16" customFormat="1" ht="19.8" x14ac:dyDescent="0.4"/>
    <row r="518" s="16" customFormat="1" ht="19.8" x14ac:dyDescent="0.4"/>
    <row r="519" s="16" customFormat="1" ht="19.8" x14ac:dyDescent="0.4"/>
    <row r="520" s="16" customFormat="1" ht="19.8" x14ac:dyDescent="0.4"/>
    <row r="521" s="16" customFormat="1" ht="19.8" x14ac:dyDescent="0.4"/>
    <row r="522" s="16" customFormat="1" ht="19.8" x14ac:dyDescent="0.4"/>
    <row r="523" s="16" customFormat="1" ht="19.8" x14ac:dyDescent="0.4"/>
    <row r="524" s="16" customFormat="1" ht="19.8" x14ac:dyDescent="0.4"/>
    <row r="525" s="16" customFormat="1" ht="19.8" x14ac:dyDescent="0.4"/>
    <row r="526" s="16" customFormat="1" ht="19.8" x14ac:dyDescent="0.4"/>
    <row r="527" s="16" customFormat="1" ht="19.8" x14ac:dyDescent="0.4"/>
    <row r="528" s="16" customFormat="1" ht="19.8" x14ac:dyDescent="0.4"/>
    <row r="529" s="16" customFormat="1" ht="19.8" x14ac:dyDescent="0.4"/>
    <row r="530" s="16" customFormat="1" ht="19.8" x14ac:dyDescent="0.4"/>
    <row r="531" s="16" customFormat="1" ht="19.8" x14ac:dyDescent="0.4"/>
    <row r="532" s="16" customFormat="1" ht="19.8" x14ac:dyDescent="0.4"/>
    <row r="533" s="16" customFormat="1" ht="19.8" x14ac:dyDescent="0.4"/>
    <row r="534" s="16" customFormat="1" ht="19.8" x14ac:dyDescent="0.4"/>
    <row r="535" s="16" customFormat="1" ht="19.8" x14ac:dyDescent="0.4"/>
    <row r="536" s="16" customFormat="1" ht="19.8" x14ac:dyDescent="0.4"/>
    <row r="537" s="16" customFormat="1" ht="19.8" x14ac:dyDescent="0.4"/>
    <row r="538" s="16" customFormat="1" ht="19.8" x14ac:dyDescent="0.4"/>
    <row r="539" s="16" customFormat="1" ht="19.8" x14ac:dyDescent="0.4"/>
    <row r="540" s="16" customFormat="1" ht="19.8" x14ac:dyDescent="0.4"/>
    <row r="541" s="16" customFormat="1" ht="19.8" x14ac:dyDescent="0.4"/>
    <row r="542" s="16" customFormat="1" ht="19.8" x14ac:dyDescent="0.4"/>
    <row r="543" s="16" customFormat="1" ht="19.8" x14ac:dyDescent="0.4"/>
    <row r="544" s="16" customFormat="1" ht="19.8" x14ac:dyDescent="0.4"/>
    <row r="545" s="16" customFormat="1" ht="19.8" x14ac:dyDescent="0.4"/>
    <row r="546" s="16" customFormat="1" ht="19.8" x14ac:dyDescent="0.4"/>
    <row r="547" s="16" customFormat="1" ht="19.8" x14ac:dyDescent="0.4"/>
    <row r="548" s="16" customFormat="1" ht="19.8" x14ac:dyDescent="0.4"/>
    <row r="549" s="16" customFormat="1" ht="19.8" x14ac:dyDescent="0.4"/>
    <row r="550" s="16" customFormat="1" ht="19.8" x14ac:dyDescent="0.4"/>
    <row r="551" s="16" customFormat="1" ht="19.8" x14ac:dyDescent="0.4"/>
    <row r="552" s="16" customFormat="1" ht="19.8" x14ac:dyDescent="0.4"/>
    <row r="553" s="16" customFormat="1" ht="19.8" x14ac:dyDescent="0.4"/>
    <row r="554" s="16" customFormat="1" ht="19.8" x14ac:dyDescent="0.4"/>
    <row r="555" s="16" customFormat="1" ht="19.8" x14ac:dyDescent="0.4"/>
    <row r="556" s="16" customFormat="1" ht="19.8" x14ac:dyDescent="0.4"/>
    <row r="557" s="16" customFormat="1" ht="19.8" x14ac:dyDescent="0.4"/>
    <row r="558" s="16" customFormat="1" ht="19.8" x14ac:dyDescent="0.4"/>
    <row r="559" s="16" customFormat="1" ht="19.8" x14ac:dyDescent="0.4"/>
    <row r="560" s="16" customFormat="1" ht="19.8" x14ac:dyDescent="0.4"/>
    <row r="561" s="16" customFormat="1" ht="19.8" x14ac:dyDescent="0.4"/>
    <row r="562" s="16" customFormat="1" ht="19.8" x14ac:dyDescent="0.4"/>
    <row r="563" s="16" customFormat="1" ht="19.8" x14ac:dyDescent="0.4"/>
    <row r="564" s="16" customFormat="1" ht="19.8" x14ac:dyDescent="0.4"/>
    <row r="565" s="16" customFormat="1" ht="19.8" x14ac:dyDescent="0.4"/>
    <row r="566" s="16" customFormat="1" ht="19.8" x14ac:dyDescent="0.4"/>
    <row r="567" s="16" customFormat="1" ht="19.8" x14ac:dyDescent="0.4"/>
    <row r="568" s="16" customFormat="1" ht="19.8" x14ac:dyDescent="0.4"/>
    <row r="569" s="16" customFormat="1" ht="19.8" x14ac:dyDescent="0.4"/>
    <row r="570" s="16" customFormat="1" ht="19.8" x14ac:dyDescent="0.4"/>
    <row r="571" s="16" customFormat="1" ht="19.8" x14ac:dyDescent="0.4"/>
    <row r="572" s="16" customFormat="1" ht="19.8" x14ac:dyDescent="0.4"/>
    <row r="573" s="16" customFormat="1" ht="19.8" x14ac:dyDescent="0.4"/>
    <row r="574" s="16" customFormat="1" ht="19.8" x14ac:dyDescent="0.4"/>
    <row r="575" s="16" customFormat="1" ht="19.8" x14ac:dyDescent="0.4"/>
    <row r="576" s="16" customFormat="1" ht="19.8" x14ac:dyDescent="0.4"/>
    <row r="577" s="16" customFormat="1" ht="19.8" x14ac:dyDescent="0.4"/>
    <row r="578" s="16" customFormat="1" ht="19.8" x14ac:dyDescent="0.4"/>
    <row r="579" s="16" customFormat="1" ht="19.8" x14ac:dyDescent="0.4"/>
    <row r="580" s="16" customFormat="1" ht="19.8" x14ac:dyDescent="0.4"/>
    <row r="581" s="16" customFormat="1" ht="19.8" x14ac:dyDescent="0.4"/>
    <row r="582" s="16" customFormat="1" ht="19.8" x14ac:dyDescent="0.4"/>
    <row r="583" s="16" customFormat="1" ht="19.8" x14ac:dyDescent="0.4"/>
    <row r="584" s="16" customFormat="1" ht="19.8" x14ac:dyDescent="0.4"/>
    <row r="585" s="16" customFormat="1" ht="19.8" x14ac:dyDescent="0.4"/>
    <row r="586" s="16" customFormat="1" ht="19.8" x14ac:dyDescent="0.4"/>
    <row r="587" s="16" customFormat="1" ht="19.8" x14ac:dyDescent="0.4"/>
    <row r="588" s="16" customFormat="1" ht="19.8" x14ac:dyDescent="0.4"/>
    <row r="589" s="16" customFormat="1" ht="19.8" x14ac:dyDescent="0.4"/>
    <row r="590" s="16" customFormat="1" ht="19.8" x14ac:dyDescent="0.4"/>
    <row r="591" s="16" customFormat="1" ht="19.8" x14ac:dyDescent="0.4"/>
    <row r="592" s="16" customFormat="1" ht="19.8" x14ac:dyDescent="0.4"/>
    <row r="593" s="16" customFormat="1" ht="19.8" x14ac:dyDescent="0.4"/>
    <row r="594" s="16" customFormat="1" ht="19.8" x14ac:dyDescent="0.4"/>
    <row r="595" s="16" customFormat="1" ht="19.8" x14ac:dyDescent="0.4"/>
    <row r="596" s="16" customFormat="1" ht="19.8" x14ac:dyDescent="0.4"/>
    <row r="597" s="16" customFormat="1" ht="19.8" x14ac:dyDescent="0.4"/>
    <row r="598" s="16" customFormat="1" ht="19.8" x14ac:dyDescent="0.4"/>
    <row r="599" s="16" customFormat="1" ht="19.8" x14ac:dyDescent="0.4"/>
    <row r="600" s="16" customFormat="1" ht="19.8" x14ac:dyDescent="0.4"/>
    <row r="601" s="16" customFormat="1" ht="19.8" x14ac:dyDescent="0.4"/>
    <row r="602" s="16" customFormat="1" ht="19.8" x14ac:dyDescent="0.4"/>
    <row r="603" s="16" customFormat="1" ht="19.8" x14ac:dyDescent="0.4"/>
    <row r="604" s="16" customFormat="1" ht="19.8" x14ac:dyDescent="0.4"/>
    <row r="605" s="16" customFormat="1" ht="19.8" x14ac:dyDescent="0.4"/>
    <row r="606" s="16" customFormat="1" ht="19.8" x14ac:dyDescent="0.4"/>
    <row r="607" s="16" customFormat="1" ht="19.8" x14ac:dyDescent="0.4"/>
    <row r="608" s="16" customFormat="1" ht="19.8" x14ac:dyDescent="0.4"/>
    <row r="609" s="16" customFormat="1" ht="19.8" x14ac:dyDescent="0.4"/>
    <row r="610" s="16" customFormat="1" ht="19.8" x14ac:dyDescent="0.4"/>
    <row r="611" s="16" customFormat="1" ht="19.8" x14ac:dyDescent="0.4"/>
    <row r="612" s="16" customFormat="1" ht="19.8" x14ac:dyDescent="0.4"/>
    <row r="613" s="16" customFormat="1" ht="19.8" x14ac:dyDescent="0.4"/>
    <row r="614" s="16" customFormat="1" ht="19.8" x14ac:dyDescent="0.4"/>
    <row r="615" s="16" customFormat="1" ht="19.8" x14ac:dyDescent="0.4"/>
    <row r="616" s="16" customFormat="1" ht="19.8" x14ac:dyDescent="0.4"/>
    <row r="617" s="16" customFormat="1" ht="19.8" x14ac:dyDescent="0.4"/>
    <row r="618" s="16" customFormat="1" ht="19.8" x14ac:dyDescent="0.4"/>
    <row r="619" s="16" customFormat="1" ht="19.8" x14ac:dyDescent="0.4"/>
    <row r="620" s="16" customFormat="1" ht="19.8" x14ac:dyDescent="0.4"/>
    <row r="621" s="16" customFormat="1" ht="19.8" x14ac:dyDescent="0.4"/>
    <row r="622" s="16" customFormat="1" ht="19.8" x14ac:dyDescent="0.4"/>
    <row r="623" s="16" customFormat="1" ht="19.8" x14ac:dyDescent="0.4"/>
    <row r="624" s="16" customFormat="1" ht="19.8" x14ac:dyDescent="0.4"/>
    <row r="625" s="16" customFormat="1" ht="19.8" x14ac:dyDescent="0.4"/>
    <row r="626" s="16" customFormat="1" ht="19.8" x14ac:dyDescent="0.4"/>
    <row r="627" s="16" customFormat="1" ht="19.8" x14ac:dyDescent="0.4"/>
    <row r="628" s="16" customFormat="1" ht="19.8" x14ac:dyDescent="0.4"/>
    <row r="629" s="16" customFormat="1" ht="19.8" x14ac:dyDescent="0.4"/>
    <row r="630" s="16" customFormat="1" ht="19.8" x14ac:dyDescent="0.4"/>
    <row r="631" s="16" customFormat="1" ht="19.8" x14ac:dyDescent="0.4"/>
    <row r="632" s="16" customFormat="1" ht="19.8" x14ac:dyDescent="0.4"/>
    <row r="633" s="16" customFormat="1" ht="19.8" x14ac:dyDescent="0.4"/>
    <row r="634" s="16" customFormat="1" ht="19.8" x14ac:dyDescent="0.4"/>
    <row r="635" s="16" customFormat="1" ht="19.8" x14ac:dyDescent="0.4"/>
    <row r="636" s="16" customFormat="1" ht="19.8" x14ac:dyDescent="0.4"/>
    <row r="637" s="16" customFormat="1" ht="19.8" x14ac:dyDescent="0.4"/>
    <row r="638" s="16" customFormat="1" ht="19.8" x14ac:dyDescent="0.4"/>
    <row r="639" s="16" customFormat="1" ht="19.8" x14ac:dyDescent="0.4"/>
    <row r="640" s="16" customFormat="1" ht="19.8" x14ac:dyDescent="0.4"/>
    <row r="641" s="16" customFormat="1" ht="19.8" x14ac:dyDescent="0.4"/>
    <row r="642" s="16" customFormat="1" ht="19.8" x14ac:dyDescent="0.4"/>
    <row r="643" s="16" customFormat="1" ht="19.8" x14ac:dyDescent="0.4"/>
    <row r="644" s="16" customFormat="1" ht="19.8" x14ac:dyDescent="0.4"/>
    <row r="645" s="16" customFormat="1" ht="19.8" x14ac:dyDescent="0.4"/>
    <row r="646" s="16" customFormat="1" ht="19.8" x14ac:dyDescent="0.4"/>
    <row r="647" s="16" customFormat="1" ht="19.8" x14ac:dyDescent="0.4"/>
    <row r="648" s="16" customFormat="1" ht="19.8" x14ac:dyDescent="0.4"/>
    <row r="649" s="16" customFormat="1" ht="19.8" x14ac:dyDescent="0.4"/>
    <row r="650" s="16" customFormat="1" ht="19.8" x14ac:dyDescent="0.4"/>
    <row r="651" s="16" customFormat="1" ht="19.8" x14ac:dyDescent="0.4"/>
    <row r="652" s="16" customFormat="1" ht="19.8" x14ac:dyDescent="0.4"/>
    <row r="653" s="16" customFormat="1" ht="19.8" x14ac:dyDescent="0.4"/>
    <row r="654" s="16" customFormat="1" ht="19.8" x14ac:dyDescent="0.4"/>
    <row r="655" s="16" customFormat="1" ht="19.8" x14ac:dyDescent="0.4"/>
    <row r="656" s="16" customFormat="1" ht="19.8" x14ac:dyDescent="0.4"/>
    <row r="657" s="16" customFormat="1" ht="19.8" x14ac:dyDescent="0.4"/>
    <row r="658" s="16" customFormat="1" ht="19.8" x14ac:dyDescent="0.4"/>
    <row r="659" s="16" customFormat="1" ht="19.8" x14ac:dyDescent="0.4"/>
    <row r="660" s="16" customFormat="1" ht="19.8" x14ac:dyDescent="0.4"/>
    <row r="661" s="16" customFormat="1" ht="19.8" x14ac:dyDescent="0.4"/>
    <row r="662" s="16" customFormat="1" ht="19.8" x14ac:dyDescent="0.4"/>
    <row r="663" s="16" customFormat="1" ht="19.8" x14ac:dyDescent="0.4"/>
    <row r="664" s="16" customFormat="1" ht="19.8" x14ac:dyDescent="0.4"/>
    <row r="665" s="16" customFormat="1" ht="19.8" x14ac:dyDescent="0.4"/>
    <row r="666" s="16" customFormat="1" ht="19.8" x14ac:dyDescent="0.4"/>
    <row r="667" s="16" customFormat="1" ht="19.8" x14ac:dyDescent="0.4"/>
    <row r="668" s="16" customFormat="1" ht="19.8" x14ac:dyDescent="0.4"/>
    <row r="669" s="16" customFormat="1" ht="19.8" x14ac:dyDescent="0.4"/>
    <row r="670" s="16" customFormat="1" ht="19.8" x14ac:dyDescent="0.4"/>
    <row r="671" s="16" customFormat="1" ht="19.8" x14ac:dyDescent="0.4"/>
    <row r="672" s="16" customFormat="1" ht="19.8" x14ac:dyDescent="0.4"/>
    <row r="673" s="16" customFormat="1" ht="19.8" x14ac:dyDescent="0.4"/>
    <row r="674" s="16" customFormat="1" ht="19.8" x14ac:dyDescent="0.4"/>
    <row r="675" s="16" customFormat="1" ht="19.8" x14ac:dyDescent="0.4"/>
    <row r="676" s="16" customFormat="1" ht="19.8" x14ac:dyDescent="0.4"/>
    <row r="677" s="16" customFormat="1" ht="19.8" x14ac:dyDescent="0.4"/>
    <row r="678" s="16" customFormat="1" ht="19.8" x14ac:dyDescent="0.4"/>
    <row r="679" s="16" customFormat="1" ht="19.8" x14ac:dyDescent="0.4"/>
    <row r="680" s="16" customFormat="1" ht="19.8" x14ac:dyDescent="0.4"/>
    <row r="681" s="16" customFormat="1" ht="19.8" x14ac:dyDescent="0.4"/>
    <row r="682" s="16" customFormat="1" ht="19.8" x14ac:dyDescent="0.4"/>
    <row r="683" s="16" customFormat="1" ht="19.8" x14ac:dyDescent="0.4"/>
    <row r="684" s="16" customFormat="1" ht="19.8" x14ac:dyDescent="0.4"/>
    <row r="685" s="16" customFormat="1" ht="19.8" x14ac:dyDescent="0.4"/>
    <row r="686" s="16" customFormat="1" ht="19.8" x14ac:dyDescent="0.4"/>
    <row r="687" s="16" customFormat="1" ht="19.8" x14ac:dyDescent="0.4"/>
    <row r="688" s="16" customFormat="1" ht="19.8" x14ac:dyDescent="0.4"/>
    <row r="689" s="16" customFormat="1" ht="19.8" x14ac:dyDescent="0.4"/>
    <row r="690" s="16" customFormat="1" ht="19.8" x14ac:dyDescent="0.4"/>
    <row r="691" s="16" customFormat="1" ht="19.8" x14ac:dyDescent="0.4"/>
    <row r="692" s="16" customFormat="1" ht="19.8" x14ac:dyDescent="0.4"/>
    <row r="693" s="16" customFormat="1" ht="19.8" x14ac:dyDescent="0.4"/>
    <row r="694" s="16" customFormat="1" ht="19.8" x14ac:dyDescent="0.4"/>
    <row r="695" s="16" customFormat="1" ht="19.8" x14ac:dyDescent="0.4"/>
    <row r="696" s="16" customFormat="1" ht="19.8" x14ac:dyDescent="0.4"/>
    <row r="697" s="16" customFormat="1" ht="19.8" x14ac:dyDescent="0.4"/>
    <row r="698" s="16" customFormat="1" ht="19.8" x14ac:dyDescent="0.4"/>
    <row r="699" s="16" customFormat="1" ht="19.8" x14ac:dyDescent="0.4"/>
    <row r="700" s="16" customFormat="1" ht="19.8" x14ac:dyDescent="0.4"/>
    <row r="701" s="16" customFormat="1" ht="19.8" x14ac:dyDescent="0.4"/>
    <row r="702" s="16" customFormat="1" ht="19.8" x14ac:dyDescent="0.4"/>
    <row r="703" s="16" customFormat="1" ht="19.8" x14ac:dyDescent="0.4"/>
    <row r="704" s="16" customFormat="1" ht="19.8" x14ac:dyDescent="0.4"/>
    <row r="705" s="16" customFormat="1" ht="19.8" x14ac:dyDescent="0.4"/>
    <row r="706" s="16" customFormat="1" ht="19.8" x14ac:dyDescent="0.4"/>
    <row r="707" s="16" customFormat="1" ht="19.8" x14ac:dyDescent="0.4"/>
    <row r="708" s="16" customFormat="1" ht="19.8" x14ac:dyDescent="0.4"/>
    <row r="709" s="16" customFormat="1" ht="19.8" x14ac:dyDescent="0.4"/>
    <row r="710" s="16" customFormat="1" ht="19.8" x14ac:dyDescent="0.4"/>
    <row r="711" s="16" customFormat="1" ht="19.8" x14ac:dyDescent="0.4"/>
    <row r="712" s="16" customFormat="1" ht="19.8" x14ac:dyDescent="0.4"/>
    <row r="713" s="16" customFormat="1" ht="19.8" x14ac:dyDescent="0.4"/>
    <row r="714" s="16" customFormat="1" ht="19.8" x14ac:dyDescent="0.4"/>
    <row r="715" s="16" customFormat="1" ht="19.8" x14ac:dyDescent="0.4"/>
    <row r="716" s="16" customFormat="1" ht="19.8" x14ac:dyDescent="0.4"/>
    <row r="717" s="16" customFormat="1" ht="19.8" x14ac:dyDescent="0.4"/>
    <row r="718" s="16" customFormat="1" ht="19.8" x14ac:dyDescent="0.4"/>
    <row r="719" s="16" customFormat="1" ht="19.8" x14ac:dyDescent="0.4"/>
    <row r="720" s="16" customFormat="1" ht="19.8" x14ac:dyDescent="0.4"/>
    <row r="721" s="16" customFormat="1" ht="19.8" x14ac:dyDescent="0.4"/>
    <row r="722" s="16" customFormat="1" ht="19.8" x14ac:dyDescent="0.4"/>
    <row r="723" s="16" customFormat="1" ht="19.8" x14ac:dyDescent="0.4"/>
    <row r="724" s="16" customFormat="1" ht="19.8" x14ac:dyDescent="0.4"/>
    <row r="725" s="16" customFormat="1" ht="19.8" x14ac:dyDescent="0.4"/>
    <row r="726" s="16" customFormat="1" ht="19.8" x14ac:dyDescent="0.4"/>
    <row r="727" s="16" customFormat="1" ht="19.8" x14ac:dyDescent="0.4"/>
    <row r="728" s="16" customFormat="1" ht="19.8" x14ac:dyDescent="0.4"/>
    <row r="729" s="16" customFormat="1" ht="19.8" x14ac:dyDescent="0.4"/>
    <row r="730" s="16" customFormat="1" ht="19.8" x14ac:dyDescent="0.4"/>
    <row r="731" s="16" customFormat="1" ht="19.8" x14ac:dyDescent="0.4"/>
    <row r="732" s="16" customFormat="1" ht="19.8" x14ac:dyDescent="0.4"/>
    <row r="733" s="16" customFormat="1" ht="19.8" x14ac:dyDescent="0.4"/>
    <row r="734" s="16" customFormat="1" ht="19.8" x14ac:dyDescent="0.4"/>
    <row r="735" s="16" customFormat="1" ht="19.8" x14ac:dyDescent="0.4"/>
    <row r="736" s="16" customFormat="1" ht="19.8" x14ac:dyDescent="0.4"/>
    <row r="737" s="16" customFormat="1" ht="19.8" x14ac:dyDescent="0.4"/>
    <row r="738" s="16" customFormat="1" ht="19.8" x14ac:dyDescent="0.4"/>
    <row r="739" s="16" customFormat="1" ht="19.8" x14ac:dyDescent="0.4"/>
    <row r="740" s="16" customFormat="1" ht="19.8" x14ac:dyDescent="0.4"/>
    <row r="741" s="16" customFormat="1" ht="19.8" x14ac:dyDescent="0.4"/>
    <row r="742" s="16" customFormat="1" ht="19.8" x14ac:dyDescent="0.4"/>
    <row r="743" s="16" customFormat="1" ht="19.8" x14ac:dyDescent="0.4"/>
    <row r="744" s="16" customFormat="1" ht="19.8" x14ac:dyDescent="0.4"/>
    <row r="745" s="16" customFormat="1" ht="19.8" x14ac:dyDescent="0.4"/>
    <row r="746" s="16" customFormat="1" ht="19.8" x14ac:dyDescent="0.4"/>
    <row r="747" s="16" customFormat="1" ht="19.8" x14ac:dyDescent="0.4"/>
    <row r="748" s="16" customFormat="1" ht="19.8" x14ac:dyDescent="0.4"/>
    <row r="749" s="16" customFormat="1" ht="19.8" x14ac:dyDescent="0.4"/>
    <row r="750" s="16" customFormat="1" ht="19.8" x14ac:dyDescent="0.4"/>
    <row r="751" s="16" customFormat="1" ht="19.8" x14ac:dyDescent="0.4"/>
    <row r="752" s="16" customFormat="1" ht="19.8" x14ac:dyDescent="0.4"/>
    <row r="753" s="16" customFormat="1" ht="19.8" x14ac:dyDescent="0.4"/>
    <row r="754" s="16" customFormat="1" ht="19.8" x14ac:dyDescent="0.4"/>
    <row r="755" s="16" customFormat="1" ht="19.8" x14ac:dyDescent="0.4"/>
    <row r="756" s="16" customFormat="1" ht="19.8" x14ac:dyDescent="0.4"/>
    <row r="757" s="16" customFormat="1" ht="19.8" x14ac:dyDescent="0.4"/>
    <row r="758" s="16" customFormat="1" ht="19.8" x14ac:dyDescent="0.4"/>
    <row r="759" s="16" customFormat="1" ht="19.8" x14ac:dyDescent="0.4"/>
    <row r="760" s="16" customFormat="1" ht="19.8" x14ac:dyDescent="0.4"/>
    <row r="761" s="16" customFormat="1" ht="19.8" x14ac:dyDescent="0.4"/>
    <row r="762" s="16" customFormat="1" ht="19.8" x14ac:dyDescent="0.4"/>
    <row r="763" s="16" customFormat="1" ht="19.8" x14ac:dyDescent="0.4"/>
    <row r="764" s="16" customFormat="1" ht="19.8" x14ac:dyDescent="0.4"/>
    <row r="765" s="16" customFormat="1" ht="19.8" x14ac:dyDescent="0.4"/>
    <row r="766" s="16" customFormat="1" ht="19.8" x14ac:dyDescent="0.4"/>
    <row r="767" s="16" customFormat="1" ht="19.8" x14ac:dyDescent="0.4"/>
    <row r="768" s="16" customFormat="1" ht="19.8" x14ac:dyDescent="0.4"/>
    <row r="769" s="16" customFormat="1" ht="19.8" x14ac:dyDescent="0.4"/>
    <row r="770" s="16" customFormat="1" ht="19.8" x14ac:dyDescent="0.4"/>
    <row r="771" s="16" customFormat="1" ht="19.8" x14ac:dyDescent="0.4"/>
    <row r="772" s="16" customFormat="1" ht="19.8" x14ac:dyDescent="0.4"/>
    <row r="773" s="16" customFormat="1" ht="19.8" x14ac:dyDescent="0.4"/>
    <row r="774" s="16" customFormat="1" ht="19.8" x14ac:dyDescent="0.4"/>
    <row r="775" s="16" customFormat="1" ht="19.8" x14ac:dyDescent="0.4"/>
    <row r="776" s="16" customFormat="1" ht="19.8" x14ac:dyDescent="0.4"/>
    <row r="777" s="16" customFormat="1" ht="19.8" x14ac:dyDescent="0.4"/>
    <row r="778" s="16" customFormat="1" ht="19.8" x14ac:dyDescent="0.4"/>
    <row r="779" s="16" customFormat="1" ht="19.8" x14ac:dyDescent="0.4"/>
    <row r="780" s="16" customFormat="1" ht="19.8" x14ac:dyDescent="0.4"/>
    <row r="781" s="16" customFormat="1" ht="19.8" x14ac:dyDescent="0.4"/>
    <row r="782" s="16" customFormat="1" ht="19.8" x14ac:dyDescent="0.4"/>
    <row r="783" s="16" customFormat="1" ht="19.8" x14ac:dyDescent="0.4"/>
    <row r="784" s="16" customFormat="1" ht="19.8" x14ac:dyDescent="0.4"/>
    <row r="785" s="16" customFormat="1" ht="19.8" x14ac:dyDescent="0.4"/>
    <row r="786" s="16" customFormat="1" ht="19.8" x14ac:dyDescent="0.4"/>
    <row r="787" s="16" customFormat="1" ht="19.8" x14ac:dyDescent="0.4"/>
    <row r="788" s="16" customFormat="1" ht="19.8" x14ac:dyDescent="0.4"/>
    <row r="789" s="16" customFormat="1" ht="19.8" x14ac:dyDescent="0.4"/>
    <row r="790" s="16" customFormat="1" ht="19.8" x14ac:dyDescent="0.4"/>
    <row r="791" s="16" customFormat="1" ht="19.8" x14ac:dyDescent="0.4"/>
    <row r="792" s="16" customFormat="1" ht="19.8" x14ac:dyDescent="0.4"/>
    <row r="793" s="16" customFormat="1" ht="19.8" x14ac:dyDescent="0.4"/>
    <row r="794" s="16" customFormat="1" ht="19.8" x14ac:dyDescent="0.4"/>
    <row r="795" s="16" customFormat="1" ht="19.8" x14ac:dyDescent="0.4"/>
    <row r="796" s="16" customFormat="1" ht="19.8" x14ac:dyDescent="0.4"/>
    <row r="797" s="16" customFormat="1" ht="19.8" x14ac:dyDescent="0.4"/>
    <row r="798" s="16" customFormat="1" ht="19.8" x14ac:dyDescent="0.4"/>
    <row r="799" s="16" customFormat="1" ht="19.8" x14ac:dyDescent="0.4"/>
    <row r="800" s="16" customFormat="1" ht="19.8" x14ac:dyDescent="0.4"/>
    <row r="801" s="16" customFormat="1" ht="19.8" x14ac:dyDescent="0.4"/>
    <row r="802" s="16" customFormat="1" ht="19.8" x14ac:dyDescent="0.4"/>
    <row r="803" s="16" customFormat="1" ht="19.8" x14ac:dyDescent="0.4"/>
    <row r="804" s="16" customFormat="1" ht="19.8" x14ac:dyDescent="0.4"/>
    <row r="805" s="16" customFormat="1" ht="19.8" x14ac:dyDescent="0.4"/>
    <row r="806" s="16" customFormat="1" ht="19.8" x14ac:dyDescent="0.4"/>
    <row r="807" s="16" customFormat="1" ht="19.8" x14ac:dyDescent="0.4"/>
    <row r="808" s="16" customFormat="1" ht="19.8" x14ac:dyDescent="0.4"/>
    <row r="809" s="16" customFormat="1" ht="19.8" x14ac:dyDescent="0.4"/>
    <row r="810" s="16" customFormat="1" ht="19.8" x14ac:dyDescent="0.4"/>
    <row r="811" s="16" customFormat="1" ht="19.8" x14ac:dyDescent="0.4"/>
    <row r="812" s="16" customFormat="1" ht="19.8" x14ac:dyDescent="0.4"/>
    <row r="813" s="16" customFormat="1" ht="19.8" x14ac:dyDescent="0.4"/>
    <row r="814" s="16" customFormat="1" ht="19.8" x14ac:dyDescent="0.4"/>
    <row r="815" s="16" customFormat="1" ht="19.8" x14ac:dyDescent="0.4"/>
    <row r="816" s="16" customFormat="1" ht="19.8" x14ac:dyDescent="0.4"/>
    <row r="817" s="16" customFormat="1" ht="19.8" x14ac:dyDescent="0.4"/>
    <row r="818" s="16" customFormat="1" ht="19.8" x14ac:dyDescent="0.4"/>
    <row r="819" s="16" customFormat="1" ht="19.8" x14ac:dyDescent="0.4"/>
    <row r="820" s="16" customFormat="1" ht="19.8" x14ac:dyDescent="0.4"/>
    <row r="821" s="16" customFormat="1" ht="19.8" x14ac:dyDescent="0.4"/>
    <row r="822" s="16" customFormat="1" ht="19.8" x14ac:dyDescent="0.4"/>
    <row r="823" s="16" customFormat="1" ht="19.8" x14ac:dyDescent="0.4"/>
    <row r="824" s="16" customFormat="1" ht="19.8" x14ac:dyDescent="0.4"/>
    <row r="825" s="16" customFormat="1" ht="19.8" x14ac:dyDescent="0.4"/>
    <row r="826" s="16" customFormat="1" ht="19.8" x14ac:dyDescent="0.4"/>
    <row r="827" s="16" customFormat="1" ht="19.8" x14ac:dyDescent="0.4"/>
    <row r="828" s="16" customFormat="1" ht="19.8" x14ac:dyDescent="0.4"/>
    <row r="829" s="16" customFormat="1" ht="19.8" x14ac:dyDescent="0.4"/>
    <row r="830" s="16" customFormat="1" ht="19.8" x14ac:dyDescent="0.4"/>
    <row r="831" s="16" customFormat="1" ht="19.8" x14ac:dyDescent="0.4"/>
    <row r="832" s="16" customFormat="1" ht="19.8" x14ac:dyDescent="0.4"/>
    <row r="833" s="16" customFormat="1" ht="19.8" x14ac:dyDescent="0.4"/>
    <row r="834" s="16" customFormat="1" ht="19.8" x14ac:dyDescent="0.4"/>
    <row r="835" s="16" customFormat="1" ht="19.8" x14ac:dyDescent="0.4"/>
    <row r="836" s="16" customFormat="1" ht="19.8" x14ac:dyDescent="0.4"/>
    <row r="837" s="16" customFormat="1" ht="19.8" x14ac:dyDescent="0.4"/>
    <row r="838" s="16" customFormat="1" ht="19.8" x14ac:dyDescent="0.4"/>
    <row r="839" s="16" customFormat="1" ht="19.8" x14ac:dyDescent="0.4"/>
    <row r="840" s="16" customFormat="1" ht="19.8" x14ac:dyDescent="0.4"/>
    <row r="841" s="16" customFormat="1" ht="19.8" x14ac:dyDescent="0.4"/>
    <row r="842" s="16" customFormat="1" ht="19.8" x14ac:dyDescent="0.4"/>
    <row r="843" s="16" customFormat="1" ht="19.8" x14ac:dyDescent="0.4"/>
    <row r="844" s="16" customFormat="1" ht="19.8" x14ac:dyDescent="0.4"/>
    <row r="845" s="16" customFormat="1" ht="19.8" x14ac:dyDescent="0.4"/>
    <row r="846" s="16" customFormat="1" ht="19.8" x14ac:dyDescent="0.4"/>
    <row r="847" s="16" customFormat="1" ht="19.8" x14ac:dyDescent="0.4"/>
    <row r="848" s="16" customFormat="1" ht="19.8" x14ac:dyDescent="0.4"/>
    <row r="849" s="16" customFormat="1" ht="19.8" x14ac:dyDescent="0.4"/>
    <row r="850" s="16" customFormat="1" ht="19.8" x14ac:dyDescent="0.4"/>
    <row r="851" s="16" customFormat="1" ht="19.8" x14ac:dyDescent="0.4"/>
    <row r="852" s="16" customFormat="1" ht="19.8" x14ac:dyDescent="0.4"/>
    <row r="853" s="16" customFormat="1" ht="19.8" x14ac:dyDescent="0.4"/>
    <row r="854" s="16" customFormat="1" ht="19.8" x14ac:dyDescent="0.4"/>
    <row r="855" s="16" customFormat="1" ht="19.8" x14ac:dyDescent="0.4"/>
    <row r="856" s="16" customFormat="1" ht="19.8" x14ac:dyDescent="0.4"/>
    <row r="857" s="16" customFormat="1" ht="19.8" x14ac:dyDescent="0.4"/>
    <row r="858" s="16" customFormat="1" ht="19.8" x14ac:dyDescent="0.4"/>
    <row r="859" s="16" customFormat="1" ht="19.8" x14ac:dyDescent="0.4"/>
    <row r="860" s="16" customFormat="1" ht="19.8" x14ac:dyDescent="0.4"/>
    <row r="861" s="16" customFormat="1" ht="19.8" x14ac:dyDescent="0.4"/>
    <row r="862" s="16" customFormat="1" ht="19.8" x14ac:dyDescent="0.4"/>
    <row r="863" s="16" customFormat="1" ht="19.8" x14ac:dyDescent="0.4"/>
    <row r="864" s="16" customFormat="1" ht="19.8" x14ac:dyDescent="0.4"/>
    <row r="865" s="16" customFormat="1" ht="19.8" x14ac:dyDescent="0.4"/>
    <row r="866" s="16" customFormat="1" ht="19.8" x14ac:dyDescent="0.4"/>
    <row r="867" s="16" customFormat="1" ht="19.8" x14ac:dyDescent="0.4"/>
    <row r="868" s="16" customFormat="1" ht="19.8" x14ac:dyDescent="0.4"/>
    <row r="869" s="16" customFormat="1" ht="19.8" x14ac:dyDescent="0.4"/>
    <row r="870" s="16" customFormat="1" ht="19.8" x14ac:dyDescent="0.4"/>
    <row r="871" s="16" customFormat="1" ht="19.8" x14ac:dyDescent="0.4"/>
    <row r="872" s="16" customFormat="1" ht="19.8" x14ac:dyDescent="0.4"/>
    <row r="873" s="16" customFormat="1" ht="19.8" x14ac:dyDescent="0.4"/>
    <row r="874" s="16" customFormat="1" ht="19.8" x14ac:dyDescent="0.4"/>
    <row r="875" s="16" customFormat="1" ht="19.8" x14ac:dyDescent="0.4"/>
    <row r="876" s="16" customFormat="1" ht="19.8" x14ac:dyDescent="0.4"/>
    <row r="877" s="16" customFormat="1" ht="19.8" x14ac:dyDescent="0.4"/>
    <row r="878" s="16" customFormat="1" ht="19.8" x14ac:dyDescent="0.4"/>
    <row r="879" s="16" customFormat="1" ht="19.8" x14ac:dyDescent="0.4"/>
    <row r="880" s="16" customFormat="1" ht="19.8" x14ac:dyDescent="0.4"/>
    <row r="881" s="16" customFormat="1" ht="19.8" x14ac:dyDescent="0.4"/>
    <row r="882" s="16" customFormat="1" ht="19.8" x14ac:dyDescent="0.4"/>
    <row r="883" s="16" customFormat="1" ht="19.8" x14ac:dyDescent="0.4"/>
    <row r="884" s="16" customFormat="1" ht="19.8" x14ac:dyDescent="0.4"/>
    <row r="885" s="16" customFormat="1" ht="19.8" x14ac:dyDescent="0.4"/>
    <row r="886" s="16" customFormat="1" ht="19.8" x14ac:dyDescent="0.4"/>
    <row r="887" s="16" customFormat="1" ht="19.8" x14ac:dyDescent="0.4"/>
    <row r="888" s="16" customFormat="1" ht="19.8" x14ac:dyDescent="0.4"/>
    <row r="889" s="16" customFormat="1" ht="19.8" x14ac:dyDescent="0.4"/>
    <row r="890" s="16" customFormat="1" ht="19.8" x14ac:dyDescent="0.4"/>
    <row r="891" s="16" customFormat="1" ht="19.8" x14ac:dyDescent="0.4"/>
    <row r="892" s="16" customFormat="1" ht="19.8" x14ac:dyDescent="0.4"/>
    <row r="893" s="16" customFormat="1" ht="19.8" x14ac:dyDescent="0.4"/>
    <row r="894" s="16" customFormat="1" ht="19.8" x14ac:dyDescent="0.4"/>
    <row r="895" s="16" customFormat="1" ht="19.8" x14ac:dyDescent="0.4"/>
    <row r="896" s="16" customFormat="1" ht="19.8" x14ac:dyDescent="0.4"/>
    <row r="897" s="16" customFormat="1" ht="19.8" x14ac:dyDescent="0.4"/>
    <row r="898" s="16" customFormat="1" ht="19.8" x14ac:dyDescent="0.4"/>
    <row r="899" s="16" customFormat="1" ht="19.8" x14ac:dyDescent="0.4"/>
    <row r="900" s="16" customFormat="1" ht="19.8" x14ac:dyDescent="0.4"/>
    <row r="901" s="16" customFormat="1" ht="19.8" x14ac:dyDescent="0.4"/>
    <row r="902" s="16" customFormat="1" ht="19.8" x14ac:dyDescent="0.4"/>
    <row r="903" s="16" customFormat="1" ht="19.8" x14ac:dyDescent="0.4"/>
    <row r="904" s="16" customFormat="1" ht="19.8" x14ac:dyDescent="0.4"/>
    <row r="905" s="16" customFormat="1" ht="19.8" x14ac:dyDescent="0.4"/>
    <row r="906" s="16" customFormat="1" ht="19.8" x14ac:dyDescent="0.4"/>
    <row r="907" s="16" customFormat="1" ht="19.8" x14ac:dyDescent="0.4"/>
    <row r="908" s="16" customFormat="1" ht="19.8" x14ac:dyDescent="0.4"/>
    <row r="909" s="16" customFormat="1" ht="19.8" x14ac:dyDescent="0.4"/>
    <row r="910" s="16" customFormat="1" ht="19.8" x14ac:dyDescent="0.4"/>
    <row r="911" s="16" customFormat="1" ht="19.8" x14ac:dyDescent="0.4"/>
    <row r="912" s="16" customFormat="1" ht="19.8" x14ac:dyDescent="0.4"/>
    <row r="913" s="16" customFormat="1" ht="19.8" x14ac:dyDescent="0.4"/>
    <row r="914" s="16" customFormat="1" ht="19.8" x14ac:dyDescent="0.4"/>
    <row r="915" s="16" customFormat="1" ht="19.8" x14ac:dyDescent="0.4"/>
    <row r="916" s="16" customFormat="1" ht="19.8" x14ac:dyDescent="0.4"/>
    <row r="917" s="16" customFormat="1" ht="19.8" x14ac:dyDescent="0.4"/>
    <row r="918" s="16" customFormat="1" ht="19.8" x14ac:dyDescent="0.4"/>
    <row r="919" s="16" customFormat="1" ht="19.8" x14ac:dyDescent="0.4"/>
    <row r="920" s="16" customFormat="1" ht="19.8" x14ac:dyDescent="0.4"/>
    <row r="921" s="16" customFormat="1" ht="19.8" x14ac:dyDescent="0.4"/>
    <row r="922" s="16" customFormat="1" ht="19.8" x14ac:dyDescent="0.4"/>
    <row r="923" s="16" customFormat="1" ht="19.8" x14ac:dyDescent="0.4"/>
    <row r="924" s="16" customFormat="1" ht="19.8" x14ac:dyDescent="0.4"/>
    <row r="925" s="16" customFormat="1" ht="19.8" x14ac:dyDescent="0.4"/>
    <row r="926" s="16" customFormat="1" ht="19.8" x14ac:dyDescent="0.4"/>
    <row r="927" s="16" customFormat="1" ht="19.8" x14ac:dyDescent="0.4"/>
    <row r="928" s="16" customFormat="1" ht="19.8" x14ac:dyDescent="0.4"/>
    <row r="929" s="16" customFormat="1" ht="19.8" x14ac:dyDescent="0.4"/>
    <row r="930" s="16" customFormat="1" ht="19.8" x14ac:dyDescent="0.4"/>
    <row r="931" s="16" customFormat="1" ht="19.8" x14ac:dyDescent="0.4"/>
    <row r="932" s="16" customFormat="1" ht="19.8" x14ac:dyDescent="0.4"/>
    <row r="933" s="16" customFormat="1" ht="19.8" x14ac:dyDescent="0.4"/>
  </sheetData>
  <conditionalFormatting sqref="B1:B1048576">
    <cfRule type="cellIs" dxfId="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A9F0-7D0B-455B-AB6F-1D0E4B4681F4}">
  <dimension ref="A1:U57"/>
  <sheetViews>
    <sheetView workbookViewId="0">
      <selection activeCell="D3" sqref="D3:S6"/>
    </sheetView>
  </sheetViews>
  <sheetFormatPr defaultRowHeight="14.4" x14ac:dyDescent="0.3"/>
  <sheetData>
    <row r="1" spans="1:21" ht="20.399999999999999" thickBot="1" x14ac:dyDescent="0.45">
      <c r="A1" s="3" t="s">
        <v>37</v>
      </c>
      <c r="B1" s="5"/>
      <c r="C1" s="43"/>
      <c r="D1" s="7"/>
      <c r="E1" s="73" t="s">
        <v>6</v>
      </c>
      <c r="F1" s="74"/>
      <c r="G1" s="74"/>
      <c r="H1" s="74"/>
      <c r="I1" s="74"/>
      <c r="J1" s="74"/>
      <c r="K1" s="75"/>
      <c r="L1" s="76" t="s">
        <v>48</v>
      </c>
      <c r="M1" s="76"/>
      <c r="N1" s="76"/>
      <c r="O1" s="76"/>
      <c r="P1" s="76"/>
      <c r="Q1" s="76"/>
      <c r="R1" s="76"/>
      <c r="S1" s="76"/>
      <c r="U1" s="17">
        <v>4</v>
      </c>
    </row>
    <row r="2" spans="1:21" ht="19.8" x14ac:dyDescent="0.3">
      <c r="A2" s="8" t="s">
        <v>49</v>
      </c>
      <c r="B2" s="8" t="s">
        <v>42</v>
      </c>
      <c r="C2" s="167" t="s">
        <v>50</v>
      </c>
      <c r="D2" s="174" t="s">
        <v>51</v>
      </c>
      <c r="E2" s="172" t="s">
        <v>52</v>
      </c>
      <c r="F2" s="46" t="s">
        <v>53</v>
      </c>
      <c r="G2" s="47" t="s">
        <v>23</v>
      </c>
      <c r="H2" s="48" t="s">
        <v>24</v>
      </c>
      <c r="I2" s="49" t="s">
        <v>22</v>
      </c>
      <c r="J2" s="50" t="s">
        <v>29</v>
      </c>
      <c r="K2" s="177" t="s">
        <v>47</v>
      </c>
      <c r="L2" s="174" t="s">
        <v>54</v>
      </c>
      <c r="M2" s="179" t="s">
        <v>55</v>
      </c>
      <c r="N2" s="53" t="s">
        <v>56</v>
      </c>
      <c r="O2" s="54" t="s">
        <v>57</v>
      </c>
      <c r="P2" s="55" t="s">
        <v>58</v>
      </c>
      <c r="Q2" s="56" t="s">
        <v>59</v>
      </c>
      <c r="R2" s="57" t="s">
        <v>60</v>
      </c>
      <c r="S2" s="58" t="s">
        <v>61</v>
      </c>
      <c r="U2" s="19">
        <v>3</v>
      </c>
    </row>
    <row r="3" spans="1:21" ht="19.8" x14ac:dyDescent="0.4">
      <c r="A3" s="17"/>
      <c r="B3" s="17"/>
      <c r="C3" s="168"/>
      <c r="D3" s="175"/>
      <c r="E3" s="173"/>
      <c r="F3" s="59"/>
      <c r="G3" s="60"/>
      <c r="H3" s="61"/>
      <c r="I3" s="62"/>
      <c r="J3" s="63"/>
      <c r="K3" s="178"/>
      <c r="L3" s="175"/>
      <c r="M3" s="180"/>
      <c r="N3" s="65"/>
      <c r="O3" s="66"/>
      <c r="P3" s="63"/>
      <c r="Q3" s="67"/>
      <c r="R3" s="62"/>
      <c r="S3" s="61"/>
      <c r="U3" s="21">
        <v>2</v>
      </c>
    </row>
    <row r="4" spans="1:21" ht="19.8" x14ac:dyDescent="0.4">
      <c r="A4" s="17"/>
      <c r="B4" s="17"/>
      <c r="C4" s="168"/>
      <c r="D4" s="175"/>
      <c r="E4" s="173"/>
      <c r="F4" s="59"/>
      <c r="G4" s="60"/>
      <c r="H4" s="61"/>
      <c r="I4" s="62"/>
      <c r="J4" s="63"/>
      <c r="K4" s="178"/>
      <c r="L4" s="175"/>
      <c r="M4" s="180"/>
      <c r="N4" s="65"/>
      <c r="O4" s="66"/>
      <c r="P4" s="63"/>
      <c r="Q4" s="67"/>
      <c r="R4" s="62"/>
      <c r="S4" s="61"/>
      <c r="U4" s="23">
        <v>1</v>
      </c>
    </row>
    <row r="5" spans="1:21" ht="19.8" x14ac:dyDescent="0.4">
      <c r="A5" s="68"/>
      <c r="B5" s="68"/>
      <c r="C5" s="169"/>
      <c r="D5" s="175"/>
      <c r="E5" s="173"/>
      <c r="F5" s="59"/>
      <c r="G5" s="60"/>
      <c r="H5" s="61"/>
      <c r="I5" s="62"/>
      <c r="J5" s="63"/>
      <c r="K5" s="178"/>
      <c r="L5" s="175"/>
      <c r="M5" s="180"/>
      <c r="N5" s="65"/>
      <c r="O5" s="66"/>
      <c r="P5" s="63"/>
      <c r="Q5" s="67"/>
      <c r="R5" s="62"/>
      <c r="S5" s="61"/>
      <c r="U5" s="25">
        <v>0</v>
      </c>
    </row>
    <row r="6" spans="1:21" ht="19.8" x14ac:dyDescent="0.4">
      <c r="A6" s="68"/>
      <c r="B6" s="68"/>
      <c r="C6" s="169"/>
      <c r="D6" s="175"/>
      <c r="E6" s="173"/>
      <c r="F6" s="59"/>
      <c r="G6" s="60"/>
      <c r="H6" s="61"/>
      <c r="I6" s="62"/>
      <c r="J6" s="63"/>
      <c r="K6" s="178"/>
      <c r="L6" s="175"/>
      <c r="M6" s="180"/>
      <c r="N6" s="65"/>
      <c r="O6" s="66"/>
      <c r="P6" s="63"/>
      <c r="Q6" s="67"/>
      <c r="R6" s="62"/>
      <c r="S6" s="61"/>
    </row>
    <row r="7" spans="1:21" ht="19.8" x14ac:dyDescent="0.4">
      <c r="A7" s="68"/>
      <c r="B7" s="68"/>
      <c r="C7" s="169"/>
      <c r="D7" s="175"/>
      <c r="E7" s="173"/>
      <c r="F7" s="59"/>
      <c r="G7" s="60"/>
      <c r="H7" s="61"/>
      <c r="I7" s="62"/>
      <c r="J7" s="63"/>
      <c r="K7" s="178"/>
      <c r="L7" s="175"/>
      <c r="M7" s="180"/>
      <c r="N7" s="65"/>
      <c r="O7" s="66"/>
      <c r="P7" s="63"/>
      <c r="Q7" s="67"/>
      <c r="R7" s="62"/>
      <c r="S7" s="61"/>
    </row>
    <row r="8" spans="1:21" ht="19.8" x14ac:dyDescent="0.4">
      <c r="A8" s="68"/>
      <c r="B8" s="68"/>
      <c r="C8" s="169"/>
      <c r="D8" s="175"/>
      <c r="E8" s="173"/>
      <c r="F8" s="59"/>
      <c r="G8" s="60"/>
      <c r="H8" s="61"/>
      <c r="I8" s="62"/>
      <c r="J8" s="63"/>
      <c r="K8" s="178"/>
      <c r="L8" s="175"/>
      <c r="M8" s="180"/>
      <c r="N8" s="65"/>
      <c r="O8" s="66"/>
      <c r="P8" s="63"/>
      <c r="Q8" s="67"/>
      <c r="R8" s="62"/>
      <c r="S8" s="61"/>
    </row>
    <row r="9" spans="1:21" ht="19.8" x14ac:dyDescent="0.4">
      <c r="A9" s="69"/>
      <c r="B9" s="69"/>
      <c r="C9" s="170"/>
      <c r="D9" s="175"/>
      <c r="E9" s="173"/>
      <c r="F9" s="59"/>
      <c r="G9" s="60"/>
      <c r="H9" s="61"/>
      <c r="I9" s="62"/>
      <c r="J9" s="63"/>
      <c r="K9" s="178"/>
      <c r="L9" s="175"/>
      <c r="M9" s="180"/>
      <c r="N9" s="65"/>
      <c r="O9" s="66"/>
      <c r="P9" s="63"/>
      <c r="Q9" s="67"/>
      <c r="R9" s="62"/>
      <c r="S9" s="61"/>
    </row>
    <row r="10" spans="1:21" ht="19.8" x14ac:dyDescent="0.4">
      <c r="A10" s="23"/>
      <c r="B10" s="23"/>
      <c r="C10" s="171"/>
      <c r="D10" s="175"/>
      <c r="E10" s="173"/>
      <c r="F10" s="59"/>
      <c r="G10" s="60"/>
      <c r="H10" s="61"/>
      <c r="I10" s="62"/>
      <c r="J10" s="63"/>
      <c r="K10" s="178"/>
      <c r="L10" s="175"/>
      <c r="M10" s="180"/>
      <c r="N10" s="65"/>
      <c r="O10" s="66"/>
      <c r="P10" s="63"/>
      <c r="Q10" s="67"/>
      <c r="R10" s="62"/>
      <c r="S10" s="61"/>
    </row>
    <row r="11" spans="1:21" ht="19.8" x14ac:dyDescent="0.4">
      <c r="A11" s="23"/>
      <c r="B11" s="23"/>
      <c r="C11" s="171"/>
      <c r="D11" s="175"/>
      <c r="E11" s="173"/>
      <c r="F11" s="59"/>
      <c r="G11" s="60"/>
      <c r="H11" s="61"/>
      <c r="I11" s="62"/>
      <c r="J11" s="63"/>
      <c r="K11" s="178"/>
      <c r="L11" s="175"/>
      <c r="M11" s="180"/>
      <c r="N11" s="65"/>
      <c r="O11" s="66"/>
      <c r="P11" s="63"/>
      <c r="Q11" s="67"/>
      <c r="R11" s="62"/>
      <c r="S11" s="61"/>
    </row>
    <row r="12" spans="1:21" ht="19.8" x14ac:dyDescent="0.4">
      <c r="A12" s="70"/>
      <c r="B12" s="70"/>
      <c r="C12" s="71"/>
      <c r="D12" s="175"/>
      <c r="E12" s="173"/>
      <c r="F12" s="59"/>
      <c r="G12" s="60"/>
      <c r="H12" s="61"/>
      <c r="I12" s="62"/>
      <c r="J12" s="63"/>
      <c r="K12" s="178"/>
      <c r="L12" s="175"/>
      <c r="M12" s="180"/>
      <c r="N12" s="65"/>
      <c r="O12" s="66"/>
      <c r="P12" s="63"/>
      <c r="Q12" s="67"/>
      <c r="R12" s="62"/>
      <c r="S12" s="61"/>
    </row>
    <row r="13" spans="1:21" ht="19.8" x14ac:dyDescent="0.4">
      <c r="A13" s="70"/>
      <c r="B13" s="70"/>
      <c r="C13" s="71"/>
      <c r="D13" s="175"/>
      <c r="E13" s="173"/>
      <c r="F13" s="59"/>
      <c r="G13" s="60"/>
      <c r="H13" s="61"/>
      <c r="I13" s="62"/>
      <c r="J13" s="63"/>
      <c r="K13" s="178"/>
      <c r="L13" s="175"/>
      <c r="M13" s="180"/>
      <c r="N13" s="65"/>
      <c r="O13" s="66"/>
      <c r="P13" s="63"/>
      <c r="Q13" s="67"/>
      <c r="R13" s="62"/>
      <c r="S13" s="61"/>
    </row>
    <row r="14" spans="1:21" ht="19.8" x14ac:dyDescent="0.4">
      <c r="A14" s="25"/>
      <c r="B14" s="25"/>
      <c r="C14" s="71"/>
      <c r="D14" s="175"/>
      <c r="E14" s="173"/>
      <c r="F14" s="59"/>
      <c r="G14" s="60"/>
      <c r="H14" s="61"/>
      <c r="I14" s="62"/>
      <c r="J14" s="63"/>
      <c r="K14" s="178"/>
      <c r="L14" s="175"/>
      <c r="M14" s="180"/>
      <c r="N14" s="65"/>
      <c r="O14" s="66"/>
      <c r="P14" s="63"/>
      <c r="Q14" s="67"/>
      <c r="R14" s="62"/>
      <c r="S14" s="61"/>
    </row>
    <row r="15" spans="1:21" ht="19.8" x14ac:dyDescent="0.4">
      <c r="A15" s="25"/>
      <c r="B15" s="25"/>
      <c r="C15" s="71"/>
      <c r="D15" s="175"/>
      <c r="E15" s="173"/>
      <c r="F15" s="59"/>
      <c r="G15" s="60"/>
      <c r="H15" s="61"/>
      <c r="I15" s="62"/>
      <c r="J15" s="63"/>
      <c r="K15" s="178"/>
      <c r="L15" s="175"/>
      <c r="M15" s="180"/>
      <c r="N15" s="65"/>
      <c r="O15" s="66"/>
      <c r="P15" s="63"/>
      <c r="Q15" s="67"/>
      <c r="R15" s="62"/>
      <c r="S15" s="61"/>
    </row>
    <row r="16" spans="1:21" ht="19.8" x14ac:dyDescent="0.4">
      <c r="A16" s="25"/>
      <c r="B16" s="25"/>
      <c r="C16" s="71"/>
      <c r="D16" s="175"/>
      <c r="E16" s="173"/>
      <c r="F16" s="59"/>
      <c r="G16" s="60"/>
      <c r="H16" s="61"/>
      <c r="I16" s="62"/>
      <c r="J16" s="63"/>
      <c r="K16" s="178"/>
      <c r="L16" s="175"/>
      <c r="M16" s="180"/>
      <c r="N16" s="65"/>
      <c r="O16" s="66"/>
      <c r="P16" s="63"/>
      <c r="Q16" s="67"/>
      <c r="R16" s="62"/>
      <c r="S16" s="61"/>
    </row>
    <row r="17" spans="1:19" ht="19.8" x14ac:dyDescent="0.4">
      <c r="A17" s="25"/>
      <c r="B17" s="25"/>
      <c r="C17" s="71"/>
      <c r="D17" s="175"/>
      <c r="E17" s="173"/>
      <c r="F17" s="59"/>
      <c r="G17" s="60"/>
      <c r="H17" s="61"/>
      <c r="I17" s="62"/>
      <c r="J17" s="63"/>
      <c r="K17" s="178"/>
      <c r="L17" s="175"/>
      <c r="M17" s="180"/>
      <c r="N17" s="65"/>
      <c r="O17" s="66"/>
      <c r="P17" s="63"/>
      <c r="Q17" s="67"/>
      <c r="R17" s="62"/>
      <c r="S17" s="61"/>
    </row>
    <row r="18" spans="1:19" ht="20.399999999999999" thickBot="1" x14ac:dyDescent="0.45">
      <c r="A18" s="25"/>
      <c r="B18" s="25"/>
      <c r="C18" s="71"/>
      <c r="D18" s="176"/>
      <c r="E18" s="173"/>
      <c r="F18" s="59"/>
      <c r="G18" s="60"/>
      <c r="H18" s="61"/>
      <c r="I18" s="62"/>
      <c r="J18" s="63"/>
      <c r="K18" s="178"/>
      <c r="L18" s="176"/>
      <c r="M18" s="180"/>
      <c r="N18" s="65"/>
      <c r="O18" s="66"/>
      <c r="P18" s="63"/>
      <c r="Q18" s="67"/>
      <c r="R18" s="62"/>
      <c r="S18" s="61"/>
    </row>
    <row r="21" spans="1:19" ht="20.399999999999999" thickBot="1" x14ac:dyDescent="0.35">
      <c r="A21" s="3" t="s">
        <v>41</v>
      </c>
      <c r="B21" s="5"/>
      <c r="C21" s="43"/>
      <c r="D21" s="185"/>
      <c r="E21" s="73" t="s">
        <v>6</v>
      </c>
      <c r="F21" s="74"/>
      <c r="G21" s="74"/>
      <c r="H21" s="74"/>
      <c r="I21" s="74"/>
      <c r="J21" s="74"/>
      <c r="K21" s="75"/>
      <c r="L21" s="76" t="s">
        <v>48</v>
      </c>
      <c r="M21" s="77"/>
      <c r="N21" s="77"/>
      <c r="O21" s="77"/>
      <c r="P21" s="77"/>
      <c r="Q21" s="77"/>
      <c r="R21" s="77"/>
      <c r="S21" s="77"/>
    </row>
    <row r="22" spans="1:19" ht="19.8" x14ac:dyDescent="0.4">
      <c r="A22" s="17"/>
      <c r="B22" s="17"/>
      <c r="C22" s="181"/>
      <c r="D22" s="186"/>
      <c r="E22" s="82"/>
      <c r="F22" s="59"/>
      <c r="G22" s="60"/>
      <c r="H22" s="61"/>
      <c r="I22" s="62"/>
      <c r="J22" s="63"/>
      <c r="K22" s="64"/>
      <c r="L22" s="186"/>
      <c r="M22" s="180"/>
      <c r="N22" s="65"/>
      <c r="O22" s="66"/>
      <c r="P22" s="63"/>
      <c r="Q22" s="67"/>
      <c r="R22" s="62"/>
      <c r="S22" s="61"/>
    </row>
    <row r="23" spans="1:19" ht="19.8" x14ac:dyDescent="0.4">
      <c r="A23" s="17"/>
      <c r="B23" s="17"/>
      <c r="C23" s="181"/>
      <c r="D23" s="175"/>
      <c r="E23" s="82"/>
      <c r="F23" s="59"/>
      <c r="G23" s="60"/>
      <c r="H23" s="61"/>
      <c r="I23" s="62"/>
      <c r="J23" s="63"/>
      <c r="K23" s="64"/>
      <c r="L23" s="175"/>
      <c r="M23" s="180"/>
      <c r="N23" s="65"/>
      <c r="O23" s="66"/>
      <c r="P23" s="63"/>
      <c r="Q23" s="67"/>
      <c r="R23" s="62"/>
      <c r="S23" s="61"/>
    </row>
    <row r="24" spans="1:19" ht="19.8" x14ac:dyDescent="0.4">
      <c r="A24" s="68"/>
      <c r="B24" s="68"/>
      <c r="C24" s="182"/>
      <c r="D24" s="175"/>
      <c r="E24" s="82"/>
      <c r="F24" s="59"/>
      <c r="G24" s="60"/>
      <c r="H24" s="61"/>
      <c r="I24" s="62"/>
      <c r="J24" s="63"/>
      <c r="K24" s="64"/>
      <c r="L24" s="175"/>
      <c r="M24" s="180"/>
      <c r="N24" s="65"/>
      <c r="O24" s="66"/>
      <c r="P24" s="63"/>
      <c r="Q24" s="67"/>
      <c r="R24" s="62"/>
      <c r="S24" s="61"/>
    </row>
    <row r="25" spans="1:19" ht="19.8" x14ac:dyDescent="0.4">
      <c r="A25" s="68"/>
      <c r="B25" s="68"/>
      <c r="C25" s="182"/>
      <c r="D25" s="175"/>
      <c r="E25" s="82"/>
      <c r="F25" s="59"/>
      <c r="G25" s="60"/>
      <c r="H25" s="61"/>
      <c r="I25" s="62"/>
      <c r="J25" s="63"/>
      <c r="K25" s="64"/>
      <c r="L25" s="175"/>
      <c r="M25" s="180"/>
      <c r="N25" s="65"/>
      <c r="O25" s="66"/>
      <c r="P25" s="63"/>
      <c r="Q25" s="67"/>
      <c r="R25" s="62"/>
      <c r="S25" s="61"/>
    </row>
    <row r="26" spans="1:19" ht="19.8" x14ac:dyDescent="0.4">
      <c r="A26" s="68"/>
      <c r="B26" s="68"/>
      <c r="C26" s="182"/>
      <c r="D26" s="175"/>
      <c r="E26" s="82"/>
      <c r="F26" s="59"/>
      <c r="G26" s="60"/>
      <c r="H26" s="61"/>
      <c r="I26" s="62"/>
      <c r="J26" s="63"/>
      <c r="K26" s="64"/>
      <c r="L26" s="175"/>
      <c r="M26" s="180"/>
      <c r="N26" s="65"/>
      <c r="O26" s="66"/>
      <c r="P26" s="63"/>
      <c r="Q26" s="67"/>
      <c r="R26" s="62"/>
      <c r="S26" s="61"/>
    </row>
    <row r="27" spans="1:19" ht="19.8" x14ac:dyDescent="0.4">
      <c r="A27" s="68"/>
      <c r="B27" s="68"/>
      <c r="C27" s="182"/>
      <c r="D27" s="175"/>
      <c r="E27" s="82"/>
      <c r="F27" s="59"/>
      <c r="G27" s="60"/>
      <c r="H27" s="61"/>
      <c r="I27" s="62"/>
      <c r="J27" s="63"/>
      <c r="K27" s="64"/>
      <c r="L27" s="175"/>
      <c r="M27" s="180"/>
      <c r="N27" s="65"/>
      <c r="O27" s="66"/>
      <c r="P27" s="63"/>
      <c r="Q27" s="67"/>
      <c r="R27" s="62"/>
      <c r="S27" s="61"/>
    </row>
    <row r="28" spans="1:19" ht="19.8" x14ac:dyDescent="0.4">
      <c r="A28" s="68"/>
      <c r="B28" s="68"/>
      <c r="C28" s="182"/>
      <c r="D28" s="175"/>
      <c r="E28" s="82"/>
      <c r="F28" s="59"/>
      <c r="G28" s="60"/>
      <c r="H28" s="61"/>
      <c r="I28" s="62"/>
      <c r="J28" s="63"/>
      <c r="K28" s="64"/>
      <c r="L28" s="175"/>
      <c r="M28" s="180"/>
      <c r="N28" s="65"/>
      <c r="O28" s="66"/>
      <c r="P28" s="63"/>
      <c r="Q28" s="67"/>
      <c r="R28" s="62"/>
      <c r="S28" s="61"/>
    </row>
    <row r="29" spans="1:19" ht="19.8" x14ac:dyDescent="0.4">
      <c r="A29" s="68"/>
      <c r="B29" s="68"/>
      <c r="C29" s="182"/>
      <c r="D29" s="175"/>
      <c r="E29" s="82"/>
      <c r="F29" s="59"/>
      <c r="G29" s="60"/>
      <c r="H29" s="61"/>
      <c r="I29" s="62"/>
      <c r="J29" s="63"/>
      <c r="K29" s="64"/>
      <c r="L29" s="175"/>
      <c r="M29" s="180"/>
      <c r="N29" s="65"/>
      <c r="O29" s="66"/>
      <c r="P29" s="63"/>
      <c r="Q29" s="67"/>
      <c r="R29" s="62"/>
      <c r="S29" s="61"/>
    </row>
    <row r="30" spans="1:19" ht="19.8" x14ac:dyDescent="0.4">
      <c r="A30" s="68"/>
      <c r="B30" s="68"/>
      <c r="C30" s="182"/>
      <c r="D30" s="175"/>
      <c r="E30" s="82"/>
      <c r="F30" s="59"/>
      <c r="G30" s="60"/>
      <c r="H30" s="61"/>
      <c r="I30" s="62"/>
      <c r="J30" s="63"/>
      <c r="K30" s="64"/>
      <c r="L30" s="175"/>
      <c r="M30" s="180"/>
      <c r="N30" s="65"/>
      <c r="O30" s="66"/>
      <c r="P30" s="63"/>
      <c r="Q30" s="67"/>
      <c r="R30" s="62"/>
      <c r="S30" s="61"/>
    </row>
    <row r="31" spans="1:19" ht="19.8" x14ac:dyDescent="0.4">
      <c r="A31" s="69"/>
      <c r="B31" s="69"/>
      <c r="C31" s="183"/>
      <c r="D31" s="175"/>
      <c r="E31" s="82"/>
      <c r="F31" s="59"/>
      <c r="G31" s="60"/>
      <c r="H31" s="61"/>
      <c r="I31" s="62"/>
      <c r="J31" s="63"/>
      <c r="K31" s="64"/>
      <c r="L31" s="175"/>
      <c r="M31" s="180"/>
      <c r="N31" s="65"/>
      <c r="O31" s="66"/>
      <c r="P31" s="63"/>
      <c r="Q31" s="67"/>
      <c r="R31" s="62"/>
      <c r="S31" s="61"/>
    </row>
    <row r="32" spans="1:19" ht="19.8" x14ac:dyDescent="0.4">
      <c r="A32" s="69"/>
      <c r="B32" s="69"/>
      <c r="C32" s="183"/>
      <c r="D32" s="175"/>
      <c r="E32" s="82"/>
      <c r="F32" s="59"/>
      <c r="G32" s="60"/>
      <c r="H32" s="61"/>
      <c r="I32" s="62"/>
      <c r="J32" s="63"/>
      <c r="K32" s="64"/>
      <c r="L32" s="175"/>
      <c r="M32" s="180"/>
      <c r="N32" s="65"/>
      <c r="O32" s="66"/>
      <c r="P32" s="63"/>
      <c r="Q32" s="67"/>
      <c r="R32" s="62"/>
      <c r="S32" s="61"/>
    </row>
    <row r="33" spans="1:19" ht="19.8" x14ac:dyDescent="0.4">
      <c r="A33" s="69"/>
      <c r="B33" s="69"/>
      <c r="C33" s="183"/>
      <c r="D33" s="175"/>
      <c r="E33" s="82"/>
      <c r="F33" s="59"/>
      <c r="G33" s="60"/>
      <c r="H33" s="61"/>
      <c r="I33" s="62"/>
      <c r="J33" s="63"/>
      <c r="K33" s="64"/>
      <c r="L33" s="175"/>
      <c r="M33" s="180"/>
      <c r="N33" s="65"/>
      <c r="O33" s="66"/>
      <c r="P33" s="63"/>
      <c r="Q33" s="67"/>
      <c r="R33" s="62"/>
      <c r="S33" s="61"/>
    </row>
    <row r="34" spans="1:19" ht="19.8" x14ac:dyDescent="0.4">
      <c r="A34" s="69"/>
      <c r="B34" s="69"/>
      <c r="C34" s="183"/>
      <c r="D34" s="175"/>
      <c r="E34" s="82"/>
      <c r="F34" s="59"/>
      <c r="G34" s="60"/>
      <c r="H34" s="61"/>
      <c r="I34" s="62"/>
      <c r="J34" s="63"/>
      <c r="K34" s="64"/>
      <c r="L34" s="175"/>
      <c r="M34" s="180"/>
      <c r="N34" s="65"/>
      <c r="O34" s="66"/>
      <c r="P34" s="63"/>
      <c r="Q34" s="67"/>
      <c r="R34" s="62"/>
      <c r="S34" s="61"/>
    </row>
    <row r="35" spans="1:19" ht="19.8" x14ac:dyDescent="0.4">
      <c r="A35" s="69"/>
      <c r="B35" s="69"/>
      <c r="C35" s="183"/>
      <c r="D35" s="175"/>
      <c r="E35" s="82"/>
      <c r="F35" s="59"/>
      <c r="G35" s="60"/>
      <c r="H35" s="61"/>
      <c r="I35" s="62"/>
      <c r="J35" s="63"/>
      <c r="K35" s="64"/>
      <c r="L35" s="175"/>
      <c r="M35" s="180"/>
      <c r="N35" s="65"/>
      <c r="O35" s="66"/>
      <c r="P35" s="63"/>
      <c r="Q35" s="67"/>
      <c r="R35" s="62"/>
      <c r="S35" s="61"/>
    </row>
    <row r="36" spans="1:19" ht="19.8" x14ac:dyDescent="0.4">
      <c r="A36" s="69"/>
      <c r="B36" s="69"/>
      <c r="C36" s="183"/>
      <c r="D36" s="175"/>
      <c r="E36" s="82"/>
      <c r="F36" s="59"/>
      <c r="G36" s="60"/>
      <c r="H36" s="61"/>
      <c r="I36" s="62"/>
      <c r="J36" s="63"/>
      <c r="K36" s="64"/>
      <c r="L36" s="175"/>
      <c r="M36" s="180"/>
      <c r="N36" s="65"/>
      <c r="O36" s="66"/>
      <c r="P36" s="63"/>
      <c r="Q36" s="67"/>
      <c r="R36" s="62"/>
      <c r="S36" s="61"/>
    </row>
    <row r="37" spans="1:19" ht="19.8" x14ac:dyDescent="0.4">
      <c r="A37" s="69"/>
      <c r="B37" s="69"/>
      <c r="C37" s="183"/>
      <c r="D37" s="175"/>
      <c r="E37" s="82"/>
      <c r="F37" s="59"/>
      <c r="G37" s="60"/>
      <c r="H37" s="61"/>
      <c r="I37" s="62"/>
      <c r="J37" s="63"/>
      <c r="K37" s="64"/>
      <c r="L37" s="175"/>
      <c r="M37" s="180"/>
      <c r="N37" s="65"/>
      <c r="O37" s="66"/>
      <c r="P37" s="63"/>
      <c r="Q37" s="67"/>
      <c r="R37" s="62"/>
      <c r="S37" s="61"/>
    </row>
    <row r="38" spans="1:19" ht="19.8" x14ac:dyDescent="0.4">
      <c r="A38" s="69"/>
      <c r="B38" s="69"/>
      <c r="C38" s="183"/>
      <c r="D38" s="175"/>
      <c r="E38" s="82"/>
      <c r="F38" s="59"/>
      <c r="G38" s="60"/>
      <c r="H38" s="61"/>
      <c r="I38" s="62"/>
      <c r="J38" s="63"/>
      <c r="K38" s="64"/>
      <c r="L38" s="175"/>
      <c r="M38" s="180"/>
      <c r="N38" s="65"/>
      <c r="O38" s="66"/>
      <c r="P38" s="63"/>
      <c r="Q38" s="67"/>
      <c r="R38" s="62"/>
      <c r="S38" s="61"/>
    </row>
    <row r="39" spans="1:19" ht="19.8" x14ac:dyDescent="0.4">
      <c r="A39" s="69"/>
      <c r="B39" s="69"/>
      <c r="C39" s="183"/>
      <c r="D39" s="175"/>
      <c r="E39" s="82"/>
      <c r="F39" s="59"/>
      <c r="G39" s="60"/>
      <c r="H39" s="61"/>
      <c r="I39" s="62"/>
      <c r="J39" s="63"/>
      <c r="K39" s="64"/>
      <c r="L39" s="175"/>
      <c r="M39" s="180"/>
      <c r="N39" s="65"/>
      <c r="O39" s="66"/>
      <c r="P39" s="63"/>
      <c r="Q39" s="67"/>
      <c r="R39" s="62"/>
      <c r="S39" s="61"/>
    </row>
    <row r="40" spans="1:19" ht="19.8" x14ac:dyDescent="0.4">
      <c r="A40" s="69"/>
      <c r="B40" s="69"/>
      <c r="C40" s="183"/>
      <c r="D40" s="175"/>
      <c r="E40" s="82"/>
      <c r="F40" s="59"/>
      <c r="G40" s="60"/>
      <c r="H40" s="61"/>
      <c r="I40" s="62"/>
      <c r="J40" s="63"/>
      <c r="K40" s="64"/>
      <c r="L40" s="175"/>
      <c r="M40" s="180"/>
      <c r="N40" s="65"/>
      <c r="O40" s="66"/>
      <c r="P40" s="63"/>
      <c r="Q40" s="67"/>
      <c r="R40" s="62"/>
      <c r="S40" s="61"/>
    </row>
    <row r="41" spans="1:19" ht="19.8" x14ac:dyDescent="0.4">
      <c r="A41" s="69"/>
      <c r="B41" s="69"/>
      <c r="C41" s="183"/>
      <c r="D41" s="175"/>
      <c r="E41" s="82"/>
      <c r="F41" s="59"/>
      <c r="G41" s="60"/>
      <c r="H41" s="61"/>
      <c r="I41" s="62"/>
      <c r="J41" s="63"/>
      <c r="K41" s="64"/>
      <c r="L41" s="175"/>
      <c r="M41" s="180"/>
      <c r="N41" s="65"/>
      <c r="O41" s="66"/>
      <c r="P41" s="63"/>
      <c r="Q41" s="67"/>
      <c r="R41" s="62"/>
      <c r="S41" s="61"/>
    </row>
    <row r="42" spans="1:19" ht="19.8" x14ac:dyDescent="0.4">
      <c r="A42" s="23"/>
      <c r="B42" s="23"/>
      <c r="C42" s="184"/>
      <c r="D42" s="175"/>
      <c r="E42" s="82"/>
      <c r="F42" s="59"/>
      <c r="G42" s="60"/>
      <c r="H42" s="61"/>
      <c r="I42" s="62"/>
      <c r="J42" s="63"/>
      <c r="K42" s="64"/>
      <c r="L42" s="175"/>
      <c r="M42" s="180"/>
      <c r="N42" s="65"/>
      <c r="O42" s="66"/>
      <c r="P42" s="63"/>
      <c r="Q42" s="67"/>
      <c r="R42" s="62"/>
      <c r="S42" s="61"/>
    </row>
    <row r="43" spans="1:19" ht="19.8" x14ac:dyDescent="0.4">
      <c r="A43" s="23"/>
      <c r="B43" s="23"/>
      <c r="C43" s="184"/>
      <c r="D43" s="175"/>
      <c r="E43" s="82"/>
      <c r="F43" s="59"/>
      <c r="G43" s="60"/>
      <c r="H43" s="61"/>
      <c r="I43" s="62"/>
      <c r="J43" s="63"/>
      <c r="K43" s="64"/>
      <c r="L43" s="175"/>
      <c r="M43" s="180"/>
      <c r="N43" s="65"/>
      <c r="O43" s="66"/>
      <c r="P43" s="63"/>
      <c r="Q43" s="67"/>
      <c r="R43" s="62"/>
      <c r="S43" s="61"/>
    </row>
    <row r="44" spans="1:19" ht="19.8" x14ac:dyDescent="0.4">
      <c r="A44" s="23"/>
      <c r="B44" s="23"/>
      <c r="C44" s="184"/>
      <c r="D44" s="175"/>
      <c r="E44" s="82"/>
      <c r="F44" s="59"/>
      <c r="G44" s="60"/>
      <c r="H44" s="61"/>
      <c r="I44" s="62"/>
      <c r="J44" s="63"/>
      <c r="K44" s="64"/>
      <c r="L44" s="175"/>
      <c r="M44" s="180"/>
      <c r="N44" s="65"/>
      <c r="O44" s="66"/>
      <c r="P44" s="63"/>
      <c r="Q44" s="67"/>
      <c r="R44" s="62"/>
      <c r="S44" s="61"/>
    </row>
    <row r="45" spans="1:19" ht="19.8" x14ac:dyDescent="0.4">
      <c r="A45" s="23"/>
      <c r="B45" s="23"/>
      <c r="C45" s="184"/>
      <c r="D45" s="175"/>
      <c r="E45" s="82"/>
      <c r="F45" s="59"/>
      <c r="G45" s="60"/>
      <c r="H45" s="61"/>
      <c r="I45" s="62"/>
      <c r="J45" s="63"/>
      <c r="K45" s="64"/>
      <c r="L45" s="175"/>
      <c r="M45" s="180"/>
      <c r="N45" s="65"/>
      <c r="O45" s="66"/>
      <c r="P45" s="63"/>
      <c r="Q45" s="67"/>
      <c r="R45" s="62"/>
      <c r="S45" s="61"/>
    </row>
    <row r="46" spans="1:19" ht="19.8" x14ac:dyDescent="0.4">
      <c r="A46" s="23"/>
      <c r="B46" s="23"/>
      <c r="C46" s="184"/>
      <c r="D46" s="175"/>
      <c r="E46" s="82"/>
      <c r="F46" s="59"/>
      <c r="G46" s="60"/>
      <c r="H46" s="61"/>
      <c r="I46" s="62"/>
      <c r="J46" s="63"/>
      <c r="K46" s="64"/>
      <c r="L46" s="175"/>
      <c r="M46" s="180"/>
      <c r="N46" s="65"/>
      <c r="O46" s="66"/>
      <c r="P46" s="63"/>
      <c r="Q46" s="67"/>
      <c r="R46" s="62"/>
      <c r="S46" s="61"/>
    </row>
    <row r="47" spans="1:19" ht="19.8" x14ac:dyDescent="0.4">
      <c r="A47" s="23"/>
      <c r="B47" s="23"/>
      <c r="C47" s="184"/>
      <c r="D47" s="175"/>
      <c r="E47" s="82"/>
      <c r="F47" s="59"/>
      <c r="G47" s="60"/>
      <c r="H47" s="61"/>
      <c r="I47" s="62"/>
      <c r="J47" s="63"/>
      <c r="K47" s="64"/>
      <c r="L47" s="175"/>
      <c r="M47" s="180"/>
      <c r="N47" s="65"/>
      <c r="O47" s="66"/>
      <c r="P47" s="63"/>
      <c r="Q47" s="67"/>
      <c r="R47" s="62"/>
      <c r="S47" s="61"/>
    </row>
    <row r="48" spans="1:19" ht="19.8" x14ac:dyDescent="0.4">
      <c r="A48" s="23"/>
      <c r="B48" s="23"/>
      <c r="C48" s="184"/>
      <c r="D48" s="175"/>
      <c r="E48" s="82"/>
      <c r="F48" s="59"/>
      <c r="G48" s="60"/>
      <c r="H48" s="61"/>
      <c r="I48" s="62"/>
      <c r="J48" s="63"/>
      <c r="K48" s="64"/>
      <c r="L48" s="175"/>
      <c r="M48" s="180"/>
      <c r="N48" s="65"/>
      <c r="O48" s="66"/>
      <c r="P48" s="63"/>
      <c r="Q48" s="67"/>
      <c r="R48" s="62"/>
      <c r="S48" s="61"/>
    </row>
    <row r="49" spans="1:19" ht="19.8" x14ac:dyDescent="0.4">
      <c r="A49" s="70"/>
      <c r="B49" s="70"/>
      <c r="C49" s="70"/>
      <c r="D49" s="175"/>
      <c r="E49" s="82"/>
      <c r="F49" s="59"/>
      <c r="G49" s="60"/>
      <c r="H49" s="61"/>
      <c r="I49" s="62"/>
      <c r="J49" s="63"/>
      <c r="K49" s="64"/>
      <c r="L49" s="175"/>
      <c r="M49" s="180"/>
      <c r="N49" s="65"/>
      <c r="O49" s="66"/>
      <c r="P49" s="63"/>
      <c r="Q49" s="67"/>
      <c r="R49" s="62"/>
      <c r="S49" s="61"/>
    </row>
    <row r="50" spans="1:19" ht="19.8" x14ac:dyDescent="0.4">
      <c r="A50" s="70"/>
      <c r="B50" s="70"/>
      <c r="C50" s="70"/>
      <c r="D50" s="175"/>
      <c r="E50" s="82"/>
      <c r="F50" s="59"/>
      <c r="G50" s="60"/>
      <c r="H50" s="61"/>
      <c r="I50" s="62"/>
      <c r="J50" s="63"/>
      <c r="K50" s="64"/>
      <c r="L50" s="175"/>
      <c r="M50" s="180"/>
      <c r="N50" s="65"/>
      <c r="O50" s="66"/>
      <c r="P50" s="63"/>
      <c r="Q50" s="67"/>
      <c r="R50" s="62"/>
      <c r="S50" s="61"/>
    </row>
    <row r="51" spans="1:19" ht="19.8" x14ac:dyDescent="0.4">
      <c r="A51" s="70"/>
      <c r="B51" s="70"/>
      <c r="C51" s="70"/>
      <c r="D51" s="175"/>
      <c r="E51" s="82"/>
      <c r="F51" s="59"/>
      <c r="G51" s="60"/>
      <c r="H51" s="61"/>
      <c r="I51" s="62"/>
      <c r="J51" s="63"/>
      <c r="K51" s="64"/>
      <c r="L51" s="175"/>
      <c r="M51" s="180"/>
      <c r="N51" s="65"/>
      <c r="O51" s="66"/>
      <c r="P51" s="63"/>
      <c r="Q51" s="67"/>
      <c r="R51" s="62"/>
      <c r="S51" s="61"/>
    </row>
    <row r="52" spans="1:19" ht="19.8" x14ac:dyDescent="0.4">
      <c r="A52" s="70"/>
      <c r="B52" s="70"/>
      <c r="C52" s="70"/>
      <c r="D52" s="175"/>
      <c r="E52" s="82"/>
      <c r="F52" s="59"/>
      <c r="G52" s="60"/>
      <c r="H52" s="61"/>
      <c r="I52" s="62"/>
      <c r="J52" s="63"/>
      <c r="K52" s="64"/>
      <c r="L52" s="175"/>
      <c r="M52" s="180"/>
      <c r="N52" s="65"/>
      <c r="O52" s="66"/>
      <c r="P52" s="63"/>
      <c r="Q52" s="67"/>
      <c r="R52" s="62"/>
      <c r="S52" s="61"/>
    </row>
    <row r="53" spans="1:19" ht="19.8" x14ac:dyDescent="0.4">
      <c r="A53" s="70"/>
      <c r="B53" s="70"/>
      <c r="C53" s="70"/>
      <c r="D53" s="175"/>
      <c r="E53" s="82"/>
      <c r="F53" s="59"/>
      <c r="G53" s="60"/>
      <c r="H53" s="61"/>
      <c r="I53" s="62"/>
      <c r="J53" s="63"/>
      <c r="K53" s="64"/>
      <c r="L53" s="175"/>
      <c r="M53" s="180"/>
      <c r="N53" s="65"/>
      <c r="O53" s="66"/>
      <c r="P53" s="63"/>
      <c r="Q53" s="67"/>
      <c r="R53" s="62"/>
      <c r="S53" s="61"/>
    </row>
    <row r="54" spans="1:19" ht="19.8" x14ac:dyDescent="0.4">
      <c r="A54" s="70"/>
      <c r="B54" s="70"/>
      <c r="C54" s="70"/>
      <c r="D54" s="175"/>
      <c r="E54" s="82"/>
      <c r="F54" s="59"/>
      <c r="G54" s="60"/>
      <c r="H54" s="61"/>
      <c r="I54" s="62"/>
      <c r="J54" s="63"/>
      <c r="K54" s="64"/>
      <c r="L54" s="175"/>
      <c r="M54" s="180"/>
      <c r="N54" s="65"/>
      <c r="O54" s="66"/>
      <c r="P54" s="63"/>
      <c r="Q54" s="67"/>
      <c r="R54" s="62"/>
      <c r="S54" s="61"/>
    </row>
    <row r="55" spans="1:19" ht="19.8" x14ac:dyDescent="0.4">
      <c r="A55" s="70"/>
      <c r="B55" s="70"/>
      <c r="C55" s="70"/>
      <c r="D55" s="175"/>
      <c r="E55" s="82"/>
      <c r="F55" s="59"/>
      <c r="G55" s="60"/>
      <c r="H55" s="61"/>
      <c r="I55" s="62"/>
      <c r="J55" s="63"/>
      <c r="K55" s="64"/>
      <c r="L55" s="175"/>
      <c r="M55" s="180"/>
      <c r="N55" s="65"/>
      <c r="O55" s="66"/>
      <c r="P55" s="63"/>
      <c r="Q55" s="67"/>
      <c r="R55" s="62"/>
      <c r="S55" s="61"/>
    </row>
    <row r="56" spans="1:19" ht="19.8" x14ac:dyDescent="0.4">
      <c r="A56" s="70"/>
      <c r="B56" s="70"/>
      <c r="C56" s="70"/>
      <c r="D56" s="175"/>
      <c r="E56" s="82"/>
      <c r="F56" s="59"/>
      <c r="G56" s="60"/>
      <c r="H56" s="61"/>
      <c r="I56" s="62"/>
      <c r="J56" s="63"/>
      <c r="K56" s="64"/>
      <c r="L56" s="175"/>
      <c r="M56" s="180"/>
      <c r="N56" s="65"/>
      <c r="O56" s="66"/>
      <c r="P56" s="63"/>
      <c r="Q56" s="67"/>
      <c r="R56" s="62"/>
      <c r="S56" s="61"/>
    </row>
    <row r="57" spans="1:19" ht="20.399999999999999" thickBot="1" x14ac:dyDescent="0.45">
      <c r="A57" s="70"/>
      <c r="B57" s="70"/>
      <c r="C57" s="70"/>
      <c r="D57" s="176"/>
      <c r="E57" s="82"/>
      <c r="F57" s="59"/>
      <c r="G57" s="60"/>
      <c r="H57" s="61"/>
      <c r="I57" s="62"/>
      <c r="J57" s="63"/>
      <c r="K57" s="64"/>
      <c r="L57" s="176"/>
      <c r="M57" s="180"/>
      <c r="N57" s="65"/>
      <c r="O57" s="66"/>
      <c r="P57" s="63"/>
      <c r="Q57" s="67"/>
      <c r="R57" s="62"/>
      <c r="S57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67C0-A9F4-4356-8A50-9E3FF9614912}">
  <dimension ref="A1:U185"/>
  <sheetViews>
    <sheetView workbookViewId="0">
      <selection activeCell="L4" sqref="L4:S5"/>
    </sheetView>
  </sheetViews>
  <sheetFormatPr defaultRowHeight="14.4" x14ac:dyDescent="0.3"/>
  <sheetData>
    <row r="1" spans="1:21" ht="19.8" x14ac:dyDescent="0.4">
      <c r="A1" s="305" t="s">
        <v>62</v>
      </c>
      <c r="B1" s="306"/>
      <c r="C1" s="306"/>
      <c r="D1" s="306"/>
      <c r="E1" s="307"/>
      <c r="F1" s="308"/>
      <c r="G1" s="309"/>
      <c r="H1" s="309"/>
      <c r="I1" s="309"/>
      <c r="J1" s="309"/>
      <c r="K1" s="310"/>
      <c r="L1" s="78"/>
      <c r="M1" s="308"/>
      <c r="N1" s="308"/>
      <c r="O1" s="309"/>
      <c r="P1" s="309"/>
      <c r="Q1" s="309"/>
      <c r="R1" s="309"/>
      <c r="S1" s="310"/>
      <c r="U1" s="17">
        <v>4</v>
      </c>
    </row>
    <row r="2" spans="1:21" ht="19.8" x14ac:dyDescent="0.3">
      <c r="A2" s="3" t="s">
        <v>63</v>
      </c>
      <c r="B2" s="5"/>
      <c r="C2" s="79"/>
      <c r="D2" s="72"/>
      <c r="E2" s="311" t="s">
        <v>6</v>
      </c>
      <c r="F2" s="312"/>
      <c r="G2" s="312"/>
      <c r="H2" s="312"/>
      <c r="I2" s="312"/>
      <c r="J2" s="312"/>
      <c r="K2" s="313"/>
      <c r="L2" s="44"/>
      <c r="M2" s="314" t="s">
        <v>8</v>
      </c>
      <c r="N2" s="312"/>
      <c r="O2" s="312"/>
      <c r="P2" s="312"/>
      <c r="Q2" s="312"/>
      <c r="R2" s="312"/>
      <c r="S2" s="313"/>
      <c r="U2" s="19">
        <v>3</v>
      </c>
    </row>
    <row r="3" spans="1:21" ht="20.399999999999999" thickBot="1" x14ac:dyDescent="0.35">
      <c r="A3" s="8" t="s">
        <v>49</v>
      </c>
      <c r="B3" s="8" t="s">
        <v>42</v>
      </c>
      <c r="C3" s="80" t="s">
        <v>50</v>
      </c>
      <c r="D3" s="191" t="s">
        <v>51</v>
      </c>
      <c r="E3" s="45" t="s">
        <v>52</v>
      </c>
      <c r="F3" s="46" t="s">
        <v>53</v>
      </c>
      <c r="G3" s="47" t="s">
        <v>23</v>
      </c>
      <c r="H3" s="48" t="s">
        <v>24</v>
      </c>
      <c r="I3" s="49" t="s">
        <v>22</v>
      </c>
      <c r="J3" s="50" t="s">
        <v>29</v>
      </c>
      <c r="K3" s="51" t="s">
        <v>47</v>
      </c>
      <c r="L3" s="192" t="s">
        <v>54</v>
      </c>
      <c r="M3" s="52" t="s">
        <v>55</v>
      </c>
      <c r="N3" s="53" t="s">
        <v>56</v>
      </c>
      <c r="O3" s="54" t="s">
        <v>57</v>
      </c>
      <c r="P3" s="55" t="s">
        <v>58</v>
      </c>
      <c r="Q3" s="56" t="s">
        <v>59</v>
      </c>
      <c r="R3" s="57" t="s">
        <v>60</v>
      </c>
      <c r="S3" s="58" t="s">
        <v>61</v>
      </c>
      <c r="U3" s="21">
        <v>2</v>
      </c>
    </row>
    <row r="4" spans="1:21" ht="19.8" x14ac:dyDescent="0.4">
      <c r="A4" s="17"/>
      <c r="B4" s="17"/>
      <c r="C4" s="187"/>
      <c r="D4" s="186"/>
      <c r="E4" s="82"/>
      <c r="F4" s="59"/>
      <c r="G4" s="60"/>
      <c r="H4" s="61"/>
      <c r="I4" s="62"/>
      <c r="J4" s="63"/>
      <c r="K4" s="64"/>
      <c r="L4" s="186"/>
      <c r="M4" s="180"/>
      <c r="N4" s="65"/>
      <c r="O4" s="66"/>
      <c r="P4" s="63"/>
      <c r="Q4" s="67"/>
      <c r="R4" s="62"/>
      <c r="S4" s="61"/>
      <c r="U4" s="23">
        <v>1</v>
      </c>
    </row>
    <row r="5" spans="1:21" ht="19.8" x14ac:dyDescent="0.4">
      <c r="A5" s="17"/>
      <c r="B5" s="17"/>
      <c r="C5" s="187"/>
      <c r="D5" s="175"/>
      <c r="E5" s="82"/>
      <c r="F5" s="59"/>
      <c r="G5" s="60"/>
      <c r="H5" s="61"/>
      <c r="I5" s="62"/>
      <c r="J5" s="63"/>
      <c r="K5" s="64"/>
      <c r="L5" s="175"/>
      <c r="M5" s="180"/>
      <c r="N5" s="65"/>
      <c r="O5" s="66"/>
      <c r="P5" s="63"/>
      <c r="Q5" s="67"/>
      <c r="R5" s="62"/>
      <c r="S5" s="61"/>
      <c r="U5" s="25">
        <v>0</v>
      </c>
    </row>
    <row r="6" spans="1:21" ht="19.8" x14ac:dyDescent="0.4">
      <c r="A6" s="17"/>
      <c r="B6" s="17"/>
      <c r="C6" s="187"/>
      <c r="D6" s="175"/>
      <c r="E6" s="82"/>
      <c r="F6" s="59"/>
      <c r="G6" s="60"/>
      <c r="H6" s="61"/>
      <c r="I6" s="62"/>
      <c r="J6" s="63"/>
      <c r="K6" s="64"/>
      <c r="L6" s="175"/>
      <c r="M6" s="180"/>
      <c r="N6" s="65"/>
      <c r="O6" s="66"/>
      <c r="P6" s="63"/>
      <c r="Q6" s="67"/>
      <c r="R6" s="62"/>
      <c r="S6" s="61"/>
    </row>
    <row r="7" spans="1:21" ht="19.8" x14ac:dyDescent="0.4">
      <c r="A7" s="17"/>
      <c r="B7" s="17"/>
      <c r="C7" s="187"/>
      <c r="D7" s="175"/>
      <c r="E7" s="82"/>
      <c r="F7" s="59"/>
      <c r="G7" s="60"/>
      <c r="H7" s="61"/>
      <c r="I7" s="62"/>
      <c r="J7" s="63"/>
      <c r="K7" s="64"/>
      <c r="L7" s="175"/>
      <c r="M7" s="180"/>
      <c r="N7" s="65"/>
      <c r="O7" s="66"/>
      <c r="P7" s="63"/>
      <c r="Q7" s="67"/>
      <c r="R7" s="62"/>
      <c r="S7" s="61"/>
    </row>
    <row r="8" spans="1:21" ht="19.8" x14ac:dyDescent="0.4">
      <c r="A8" s="17"/>
      <c r="B8" s="17"/>
      <c r="C8" s="187"/>
      <c r="D8" s="175"/>
      <c r="E8" s="82"/>
      <c r="F8" s="59"/>
      <c r="G8" s="60"/>
      <c r="H8" s="61"/>
      <c r="I8" s="62"/>
      <c r="J8" s="63"/>
      <c r="K8" s="64"/>
      <c r="L8" s="175"/>
      <c r="M8" s="180"/>
      <c r="N8" s="65"/>
      <c r="O8" s="66"/>
      <c r="P8" s="63"/>
      <c r="Q8" s="67"/>
      <c r="R8" s="62"/>
      <c r="S8" s="61"/>
    </row>
    <row r="9" spans="1:21" ht="19.8" x14ac:dyDescent="0.4">
      <c r="A9" s="17"/>
      <c r="B9" s="17"/>
      <c r="C9" s="187"/>
      <c r="D9" s="175"/>
      <c r="E9" s="82"/>
      <c r="F9" s="59"/>
      <c r="G9" s="60"/>
      <c r="H9" s="61"/>
      <c r="I9" s="62"/>
      <c r="J9" s="63"/>
      <c r="K9" s="64"/>
      <c r="L9" s="175"/>
      <c r="M9" s="180"/>
      <c r="N9" s="65"/>
      <c r="O9" s="66"/>
      <c r="P9" s="63"/>
      <c r="Q9" s="67"/>
      <c r="R9" s="62"/>
      <c r="S9" s="61"/>
    </row>
    <row r="10" spans="1:21" ht="19.8" x14ac:dyDescent="0.4">
      <c r="A10" s="17"/>
      <c r="B10" s="17"/>
      <c r="C10" s="187"/>
      <c r="D10" s="175"/>
      <c r="E10" s="82"/>
      <c r="F10" s="59"/>
      <c r="G10" s="60"/>
      <c r="H10" s="61"/>
      <c r="I10" s="62"/>
      <c r="J10" s="63"/>
      <c r="K10" s="64"/>
      <c r="L10" s="175"/>
      <c r="M10" s="180"/>
      <c r="N10" s="65"/>
      <c r="O10" s="66"/>
      <c r="P10" s="63"/>
      <c r="Q10" s="67"/>
      <c r="R10" s="62"/>
      <c r="S10" s="61"/>
    </row>
    <row r="11" spans="1:21" ht="19.8" x14ac:dyDescent="0.4">
      <c r="A11" s="17"/>
      <c r="B11" s="17"/>
      <c r="C11" s="187"/>
      <c r="D11" s="175"/>
      <c r="E11" s="82"/>
      <c r="F11" s="59"/>
      <c r="G11" s="60"/>
      <c r="H11" s="61"/>
      <c r="I11" s="62"/>
      <c r="J11" s="63"/>
      <c r="K11" s="64"/>
      <c r="L11" s="175"/>
      <c r="M11" s="180"/>
      <c r="N11" s="65"/>
      <c r="O11" s="66"/>
      <c r="P11" s="63"/>
      <c r="Q11" s="67"/>
      <c r="R11" s="62"/>
      <c r="S11" s="61"/>
    </row>
    <row r="12" spans="1:21" ht="19.8" x14ac:dyDescent="0.4">
      <c r="A12" s="17"/>
      <c r="B12" s="17"/>
      <c r="C12" s="187"/>
      <c r="D12" s="175"/>
      <c r="E12" s="82"/>
      <c r="F12" s="59"/>
      <c r="G12" s="60"/>
      <c r="H12" s="61"/>
      <c r="I12" s="62"/>
      <c r="J12" s="63"/>
      <c r="K12" s="64"/>
      <c r="L12" s="175"/>
      <c r="M12" s="180"/>
      <c r="N12" s="65"/>
      <c r="O12" s="66"/>
      <c r="P12" s="63"/>
      <c r="Q12" s="67"/>
      <c r="R12" s="62"/>
      <c r="S12" s="61"/>
    </row>
    <row r="13" spans="1:21" ht="19.8" x14ac:dyDescent="0.4">
      <c r="A13" s="17"/>
      <c r="B13" s="17"/>
      <c r="C13" s="187"/>
      <c r="D13" s="175"/>
      <c r="E13" s="82"/>
      <c r="F13" s="59"/>
      <c r="G13" s="60"/>
      <c r="H13" s="61"/>
      <c r="I13" s="62"/>
      <c r="J13" s="63"/>
      <c r="K13" s="64"/>
      <c r="L13" s="175"/>
      <c r="M13" s="180"/>
      <c r="N13" s="65"/>
      <c r="O13" s="66"/>
      <c r="P13" s="63"/>
      <c r="Q13" s="67"/>
      <c r="R13" s="62"/>
      <c r="S13" s="61"/>
    </row>
    <row r="14" spans="1:21" ht="19.8" x14ac:dyDescent="0.4">
      <c r="A14" s="17"/>
      <c r="B14" s="17"/>
      <c r="C14" s="187"/>
      <c r="D14" s="175"/>
      <c r="E14" s="82"/>
      <c r="F14" s="59"/>
      <c r="G14" s="60"/>
      <c r="H14" s="61"/>
      <c r="I14" s="62"/>
      <c r="J14" s="63"/>
      <c r="K14" s="64"/>
      <c r="L14" s="175"/>
      <c r="M14" s="180"/>
      <c r="N14" s="65"/>
      <c r="O14" s="66"/>
      <c r="P14" s="63"/>
      <c r="Q14" s="67"/>
      <c r="R14" s="62"/>
      <c r="S14" s="61"/>
    </row>
    <row r="15" spans="1:21" ht="19.8" x14ac:dyDescent="0.4">
      <c r="A15" s="17"/>
      <c r="B15" s="17"/>
      <c r="C15" s="187"/>
      <c r="D15" s="175"/>
      <c r="E15" s="82"/>
      <c r="F15" s="59"/>
      <c r="G15" s="60"/>
      <c r="H15" s="61"/>
      <c r="I15" s="62"/>
      <c r="J15" s="63"/>
      <c r="K15" s="64"/>
      <c r="L15" s="175"/>
      <c r="M15" s="180"/>
      <c r="N15" s="65"/>
      <c r="O15" s="66"/>
      <c r="P15" s="63"/>
      <c r="Q15" s="67"/>
      <c r="R15" s="62"/>
      <c r="S15" s="61"/>
    </row>
    <row r="16" spans="1:21" ht="19.8" x14ac:dyDescent="0.4">
      <c r="A16" s="17"/>
      <c r="B16" s="17"/>
      <c r="C16" s="187"/>
      <c r="D16" s="175"/>
      <c r="E16" s="82"/>
      <c r="F16" s="59"/>
      <c r="G16" s="60"/>
      <c r="H16" s="61"/>
      <c r="I16" s="62"/>
      <c r="J16" s="63"/>
      <c r="K16" s="64"/>
      <c r="L16" s="175"/>
      <c r="M16" s="180"/>
      <c r="N16" s="65"/>
      <c r="O16" s="66"/>
      <c r="P16" s="63"/>
      <c r="Q16" s="67"/>
      <c r="R16" s="62"/>
      <c r="S16" s="61"/>
    </row>
    <row r="17" spans="1:19" ht="19.8" x14ac:dyDescent="0.4">
      <c r="A17" s="68"/>
      <c r="B17" s="68"/>
      <c r="C17" s="188"/>
      <c r="D17" s="175"/>
      <c r="E17" s="82"/>
      <c r="F17" s="59"/>
      <c r="G17" s="60"/>
      <c r="H17" s="61"/>
      <c r="I17" s="62"/>
      <c r="J17" s="63"/>
      <c r="K17" s="64"/>
      <c r="L17" s="175"/>
      <c r="M17" s="180"/>
      <c r="N17" s="65"/>
      <c r="O17" s="66"/>
      <c r="P17" s="63"/>
      <c r="Q17" s="67"/>
      <c r="R17" s="62"/>
      <c r="S17" s="61"/>
    </row>
    <row r="18" spans="1:19" ht="19.8" x14ac:dyDescent="0.4">
      <c r="A18" s="68"/>
      <c r="B18" s="68"/>
      <c r="C18" s="188"/>
      <c r="D18" s="175"/>
      <c r="E18" s="82"/>
      <c r="F18" s="59"/>
      <c r="G18" s="60"/>
      <c r="H18" s="61"/>
      <c r="I18" s="62"/>
      <c r="J18" s="63"/>
      <c r="K18" s="64"/>
      <c r="L18" s="175"/>
      <c r="M18" s="180"/>
      <c r="N18" s="65"/>
      <c r="O18" s="66"/>
      <c r="P18" s="63"/>
      <c r="Q18" s="67"/>
      <c r="R18" s="62"/>
      <c r="S18" s="61"/>
    </row>
    <row r="19" spans="1:19" ht="19.8" x14ac:dyDescent="0.4">
      <c r="A19" s="68"/>
      <c r="B19" s="68"/>
      <c r="C19" s="188"/>
      <c r="D19" s="175"/>
      <c r="E19" s="82"/>
      <c r="F19" s="59"/>
      <c r="G19" s="60"/>
      <c r="H19" s="61"/>
      <c r="I19" s="62"/>
      <c r="J19" s="63"/>
      <c r="K19" s="64"/>
      <c r="L19" s="175"/>
      <c r="M19" s="180"/>
      <c r="N19" s="65"/>
      <c r="O19" s="66"/>
      <c r="P19" s="63"/>
      <c r="Q19" s="67"/>
      <c r="R19" s="62"/>
      <c r="S19" s="61"/>
    </row>
    <row r="20" spans="1:19" ht="19.8" x14ac:dyDescent="0.4">
      <c r="A20" s="68"/>
      <c r="B20" s="68"/>
      <c r="C20" s="188"/>
      <c r="D20" s="175"/>
      <c r="E20" s="82"/>
      <c r="F20" s="59"/>
      <c r="G20" s="60"/>
      <c r="H20" s="61"/>
      <c r="I20" s="62"/>
      <c r="J20" s="63"/>
      <c r="K20" s="64"/>
      <c r="L20" s="175"/>
      <c r="M20" s="180"/>
      <c r="N20" s="65"/>
      <c r="O20" s="66"/>
      <c r="P20" s="63"/>
      <c r="Q20" s="67"/>
      <c r="R20" s="62"/>
      <c r="S20" s="61"/>
    </row>
    <row r="21" spans="1:19" ht="19.8" x14ac:dyDescent="0.4">
      <c r="A21" s="68"/>
      <c r="B21" s="68"/>
      <c r="C21" s="188"/>
      <c r="D21" s="175"/>
      <c r="E21" s="82"/>
      <c r="F21" s="59"/>
      <c r="G21" s="60"/>
      <c r="H21" s="61"/>
      <c r="I21" s="62"/>
      <c r="J21" s="63"/>
      <c r="K21" s="64"/>
      <c r="L21" s="175"/>
      <c r="M21" s="180"/>
      <c r="N21" s="65"/>
      <c r="O21" s="66"/>
      <c r="P21" s="63"/>
      <c r="Q21" s="67"/>
      <c r="R21" s="62"/>
      <c r="S21" s="61"/>
    </row>
    <row r="22" spans="1:19" ht="19.8" x14ac:dyDescent="0.4">
      <c r="A22" s="68"/>
      <c r="B22" s="68"/>
      <c r="C22" s="188"/>
      <c r="D22" s="175"/>
      <c r="E22" s="82"/>
      <c r="F22" s="59"/>
      <c r="G22" s="60"/>
      <c r="H22" s="61"/>
      <c r="I22" s="62"/>
      <c r="J22" s="63"/>
      <c r="K22" s="64"/>
      <c r="L22" s="175"/>
      <c r="M22" s="180"/>
      <c r="N22" s="65"/>
      <c r="O22" s="66"/>
      <c r="P22" s="63"/>
      <c r="Q22" s="67"/>
      <c r="R22" s="62"/>
      <c r="S22" s="61"/>
    </row>
    <row r="23" spans="1:19" ht="19.8" x14ac:dyDescent="0.4">
      <c r="A23" s="68"/>
      <c r="B23" s="68"/>
      <c r="C23" s="188"/>
      <c r="D23" s="175"/>
      <c r="E23" s="82"/>
      <c r="F23" s="59"/>
      <c r="G23" s="60"/>
      <c r="H23" s="61"/>
      <c r="I23" s="62"/>
      <c r="J23" s="63"/>
      <c r="K23" s="64"/>
      <c r="L23" s="175"/>
      <c r="M23" s="180"/>
      <c r="N23" s="65"/>
      <c r="O23" s="66"/>
      <c r="P23" s="63"/>
      <c r="Q23" s="67"/>
      <c r="R23" s="62"/>
      <c r="S23" s="61"/>
    </row>
    <row r="24" spans="1:19" ht="19.8" x14ac:dyDescent="0.4">
      <c r="A24" s="68"/>
      <c r="B24" s="68"/>
      <c r="C24" s="188"/>
      <c r="D24" s="175"/>
      <c r="E24" s="82"/>
      <c r="F24" s="59"/>
      <c r="G24" s="60"/>
      <c r="H24" s="61"/>
      <c r="I24" s="62"/>
      <c r="J24" s="63"/>
      <c r="K24" s="64"/>
      <c r="L24" s="175"/>
      <c r="M24" s="180"/>
      <c r="N24" s="65"/>
      <c r="O24" s="66"/>
      <c r="P24" s="63"/>
      <c r="Q24" s="67"/>
      <c r="R24" s="62"/>
      <c r="S24" s="61"/>
    </row>
    <row r="25" spans="1:19" ht="19.8" x14ac:dyDescent="0.4">
      <c r="A25" s="68"/>
      <c r="B25" s="68"/>
      <c r="C25" s="188"/>
      <c r="D25" s="175"/>
      <c r="E25" s="82"/>
      <c r="F25" s="59"/>
      <c r="G25" s="60"/>
      <c r="H25" s="61"/>
      <c r="I25" s="62"/>
      <c r="J25" s="63"/>
      <c r="K25" s="64"/>
      <c r="L25" s="175"/>
      <c r="M25" s="180"/>
      <c r="N25" s="65"/>
      <c r="O25" s="66"/>
      <c r="P25" s="63"/>
      <c r="Q25" s="67"/>
      <c r="R25" s="62"/>
      <c r="S25" s="61"/>
    </row>
    <row r="26" spans="1:19" ht="19.8" x14ac:dyDescent="0.4">
      <c r="A26" s="68"/>
      <c r="B26" s="68"/>
      <c r="C26" s="188"/>
      <c r="D26" s="175"/>
      <c r="E26" s="82"/>
      <c r="F26" s="59"/>
      <c r="G26" s="60"/>
      <c r="H26" s="61"/>
      <c r="I26" s="62"/>
      <c r="J26" s="63"/>
      <c r="K26" s="64"/>
      <c r="L26" s="175"/>
      <c r="M26" s="180"/>
      <c r="N26" s="65"/>
      <c r="O26" s="66"/>
      <c r="P26" s="63"/>
      <c r="Q26" s="67"/>
      <c r="R26" s="62"/>
      <c r="S26" s="61"/>
    </row>
    <row r="27" spans="1:19" ht="19.8" x14ac:dyDescent="0.4">
      <c r="A27" s="68"/>
      <c r="B27" s="68"/>
      <c r="C27" s="188"/>
      <c r="D27" s="175"/>
      <c r="E27" s="82"/>
      <c r="F27" s="59"/>
      <c r="G27" s="60"/>
      <c r="H27" s="61"/>
      <c r="I27" s="62"/>
      <c r="J27" s="63"/>
      <c r="K27" s="64"/>
      <c r="L27" s="175"/>
      <c r="M27" s="180"/>
      <c r="N27" s="65"/>
      <c r="O27" s="66"/>
      <c r="P27" s="63"/>
      <c r="Q27" s="67"/>
      <c r="R27" s="62"/>
      <c r="S27" s="61"/>
    </row>
    <row r="28" spans="1:19" ht="19.8" x14ac:dyDescent="0.4">
      <c r="A28" s="68"/>
      <c r="B28" s="68"/>
      <c r="C28" s="188"/>
      <c r="D28" s="175"/>
      <c r="E28" s="82"/>
      <c r="F28" s="59"/>
      <c r="G28" s="60"/>
      <c r="H28" s="61"/>
      <c r="I28" s="62"/>
      <c r="J28" s="63"/>
      <c r="K28" s="64"/>
      <c r="L28" s="175"/>
      <c r="M28" s="180"/>
      <c r="N28" s="65"/>
      <c r="O28" s="66"/>
      <c r="P28" s="63"/>
      <c r="Q28" s="67"/>
      <c r="R28" s="62"/>
      <c r="S28" s="61"/>
    </row>
    <row r="29" spans="1:19" ht="19.8" x14ac:dyDescent="0.4">
      <c r="A29" s="68"/>
      <c r="B29" s="68"/>
      <c r="C29" s="188"/>
      <c r="D29" s="175"/>
      <c r="E29" s="82"/>
      <c r="F29" s="59"/>
      <c r="G29" s="60"/>
      <c r="H29" s="61"/>
      <c r="I29" s="62"/>
      <c r="J29" s="63"/>
      <c r="K29" s="64"/>
      <c r="L29" s="175"/>
      <c r="M29" s="180"/>
      <c r="N29" s="65"/>
      <c r="O29" s="66"/>
      <c r="P29" s="63"/>
      <c r="Q29" s="67"/>
      <c r="R29" s="62"/>
      <c r="S29" s="61"/>
    </row>
    <row r="30" spans="1:19" ht="19.8" x14ac:dyDescent="0.4">
      <c r="A30" s="68"/>
      <c r="B30" s="68"/>
      <c r="C30" s="188"/>
      <c r="D30" s="175"/>
      <c r="E30" s="82"/>
      <c r="F30" s="59"/>
      <c r="G30" s="60"/>
      <c r="H30" s="61"/>
      <c r="I30" s="62"/>
      <c r="J30" s="63"/>
      <c r="K30" s="64"/>
      <c r="L30" s="175"/>
      <c r="M30" s="180"/>
      <c r="N30" s="65"/>
      <c r="O30" s="66"/>
      <c r="P30" s="63"/>
      <c r="Q30" s="67"/>
      <c r="R30" s="62"/>
      <c r="S30" s="61"/>
    </row>
    <row r="31" spans="1:19" ht="19.8" x14ac:dyDescent="0.4">
      <c r="A31" s="68"/>
      <c r="B31" s="68"/>
      <c r="C31" s="188"/>
      <c r="D31" s="175"/>
      <c r="E31" s="82"/>
      <c r="F31" s="59"/>
      <c r="G31" s="60"/>
      <c r="H31" s="61"/>
      <c r="I31" s="62"/>
      <c r="J31" s="63"/>
      <c r="K31" s="64"/>
      <c r="L31" s="175"/>
      <c r="M31" s="180"/>
      <c r="N31" s="65"/>
      <c r="O31" s="66"/>
      <c r="P31" s="63"/>
      <c r="Q31" s="67"/>
      <c r="R31" s="62"/>
      <c r="S31" s="61"/>
    </row>
    <row r="32" spans="1:19" ht="19.8" x14ac:dyDescent="0.4">
      <c r="A32" s="68"/>
      <c r="B32" s="68"/>
      <c r="C32" s="188"/>
      <c r="D32" s="175"/>
      <c r="E32" s="82"/>
      <c r="F32" s="59"/>
      <c r="G32" s="60"/>
      <c r="H32" s="61"/>
      <c r="I32" s="62"/>
      <c r="J32" s="63"/>
      <c r="K32" s="64"/>
      <c r="L32" s="175"/>
      <c r="M32" s="180"/>
      <c r="N32" s="65"/>
      <c r="O32" s="66"/>
      <c r="P32" s="63"/>
      <c r="Q32" s="67"/>
      <c r="R32" s="62"/>
      <c r="S32" s="61"/>
    </row>
    <row r="33" spans="1:19" ht="19.8" x14ac:dyDescent="0.4">
      <c r="A33" s="68"/>
      <c r="B33" s="68"/>
      <c r="C33" s="188"/>
      <c r="D33" s="175"/>
      <c r="E33" s="82"/>
      <c r="F33" s="59"/>
      <c r="G33" s="60"/>
      <c r="H33" s="61"/>
      <c r="I33" s="62"/>
      <c r="J33" s="63"/>
      <c r="K33" s="64"/>
      <c r="L33" s="175"/>
      <c r="M33" s="180"/>
      <c r="N33" s="65"/>
      <c r="O33" s="66"/>
      <c r="P33" s="63"/>
      <c r="Q33" s="67"/>
      <c r="R33" s="62"/>
      <c r="S33" s="61"/>
    </row>
    <row r="34" spans="1:19" ht="19.8" x14ac:dyDescent="0.4">
      <c r="A34" s="68"/>
      <c r="B34" s="68"/>
      <c r="C34" s="188"/>
      <c r="D34" s="175"/>
      <c r="E34" s="82"/>
      <c r="F34" s="59"/>
      <c r="G34" s="60"/>
      <c r="H34" s="61"/>
      <c r="I34" s="62"/>
      <c r="J34" s="63"/>
      <c r="K34" s="64"/>
      <c r="L34" s="175"/>
      <c r="M34" s="180"/>
      <c r="N34" s="65"/>
      <c r="O34" s="66"/>
      <c r="P34" s="63"/>
      <c r="Q34" s="67"/>
      <c r="R34" s="62"/>
      <c r="S34" s="61"/>
    </row>
    <row r="35" spans="1:19" ht="19.8" x14ac:dyDescent="0.4">
      <c r="A35" s="68"/>
      <c r="B35" s="68"/>
      <c r="C35" s="188"/>
      <c r="D35" s="175"/>
      <c r="E35" s="82"/>
      <c r="F35" s="59"/>
      <c r="G35" s="60"/>
      <c r="H35" s="61"/>
      <c r="I35" s="62"/>
      <c r="J35" s="63"/>
      <c r="K35" s="64"/>
      <c r="L35" s="175"/>
      <c r="M35" s="180"/>
      <c r="N35" s="65"/>
      <c r="O35" s="66"/>
      <c r="P35" s="63"/>
      <c r="Q35" s="67"/>
      <c r="R35" s="62"/>
      <c r="S35" s="61"/>
    </row>
    <row r="36" spans="1:19" ht="19.8" x14ac:dyDescent="0.4">
      <c r="A36" s="68"/>
      <c r="B36" s="68"/>
      <c r="C36" s="188"/>
      <c r="D36" s="175"/>
      <c r="E36" s="82"/>
      <c r="F36" s="59"/>
      <c r="G36" s="60"/>
      <c r="H36" s="61"/>
      <c r="I36" s="62"/>
      <c r="J36" s="63"/>
      <c r="K36" s="64"/>
      <c r="L36" s="175"/>
      <c r="M36" s="180"/>
      <c r="N36" s="65"/>
      <c r="O36" s="66"/>
      <c r="P36" s="63"/>
      <c r="Q36" s="67"/>
      <c r="R36" s="62"/>
      <c r="S36" s="61"/>
    </row>
    <row r="37" spans="1:19" ht="19.8" x14ac:dyDescent="0.4">
      <c r="A37" s="68"/>
      <c r="B37" s="68"/>
      <c r="C37" s="188"/>
      <c r="D37" s="175"/>
      <c r="E37" s="82"/>
      <c r="F37" s="59"/>
      <c r="G37" s="60"/>
      <c r="H37" s="61"/>
      <c r="I37" s="62"/>
      <c r="J37" s="63"/>
      <c r="K37" s="64"/>
      <c r="L37" s="175"/>
      <c r="M37" s="180"/>
      <c r="N37" s="65"/>
      <c r="O37" s="66"/>
      <c r="P37" s="63"/>
      <c r="Q37" s="67"/>
      <c r="R37" s="62"/>
      <c r="S37" s="61"/>
    </row>
    <row r="38" spans="1:19" ht="19.8" x14ac:dyDescent="0.4">
      <c r="A38" s="69"/>
      <c r="B38" s="69"/>
      <c r="C38" s="189"/>
      <c r="D38" s="175"/>
      <c r="E38" s="82"/>
      <c r="F38" s="59"/>
      <c r="G38" s="60"/>
      <c r="H38" s="61"/>
      <c r="I38" s="62"/>
      <c r="J38" s="63"/>
      <c r="K38" s="64"/>
      <c r="L38" s="175"/>
      <c r="M38" s="180"/>
      <c r="N38" s="65"/>
      <c r="O38" s="66"/>
      <c r="P38" s="63"/>
      <c r="Q38" s="67"/>
      <c r="R38" s="62"/>
      <c r="S38" s="61"/>
    </row>
    <row r="39" spans="1:19" ht="19.8" x14ac:dyDescent="0.4">
      <c r="A39" s="69"/>
      <c r="B39" s="69"/>
      <c r="C39" s="189"/>
      <c r="D39" s="175"/>
      <c r="E39" s="82"/>
      <c r="F39" s="59"/>
      <c r="G39" s="60"/>
      <c r="H39" s="61"/>
      <c r="I39" s="62"/>
      <c r="J39" s="63"/>
      <c r="K39" s="64"/>
      <c r="L39" s="175"/>
      <c r="M39" s="180"/>
      <c r="N39" s="65"/>
      <c r="O39" s="66"/>
      <c r="P39" s="63"/>
      <c r="Q39" s="67"/>
      <c r="R39" s="62"/>
      <c r="S39" s="61"/>
    </row>
    <row r="40" spans="1:19" ht="19.8" x14ac:dyDescent="0.4">
      <c r="A40" s="69"/>
      <c r="B40" s="69"/>
      <c r="C40" s="189"/>
      <c r="D40" s="175"/>
      <c r="E40" s="82"/>
      <c r="F40" s="59"/>
      <c r="G40" s="60"/>
      <c r="H40" s="61"/>
      <c r="I40" s="62"/>
      <c r="J40" s="63"/>
      <c r="K40" s="64"/>
      <c r="L40" s="175"/>
      <c r="M40" s="180"/>
      <c r="N40" s="65"/>
      <c r="O40" s="66"/>
      <c r="P40" s="63"/>
      <c r="Q40" s="67"/>
      <c r="R40" s="62"/>
      <c r="S40" s="61"/>
    </row>
    <row r="41" spans="1:19" ht="19.8" x14ac:dyDescent="0.4">
      <c r="A41" s="69"/>
      <c r="B41" s="69"/>
      <c r="C41" s="189"/>
      <c r="D41" s="175"/>
      <c r="E41" s="82"/>
      <c r="F41" s="59"/>
      <c r="G41" s="60"/>
      <c r="H41" s="61"/>
      <c r="I41" s="62"/>
      <c r="J41" s="63"/>
      <c r="K41" s="64"/>
      <c r="L41" s="175"/>
      <c r="M41" s="180"/>
      <c r="N41" s="65"/>
      <c r="O41" s="66"/>
      <c r="P41" s="63"/>
      <c r="Q41" s="67"/>
      <c r="R41" s="62"/>
      <c r="S41" s="61"/>
    </row>
    <row r="42" spans="1:19" ht="19.8" x14ac:dyDescent="0.4">
      <c r="A42" s="69"/>
      <c r="B42" s="69"/>
      <c r="C42" s="189"/>
      <c r="D42" s="175"/>
      <c r="E42" s="82"/>
      <c r="F42" s="59"/>
      <c r="G42" s="60"/>
      <c r="H42" s="61"/>
      <c r="I42" s="62"/>
      <c r="J42" s="63"/>
      <c r="K42" s="64"/>
      <c r="L42" s="175"/>
      <c r="M42" s="180"/>
      <c r="N42" s="65"/>
      <c r="O42" s="66"/>
      <c r="P42" s="63"/>
      <c r="Q42" s="67"/>
      <c r="R42" s="62"/>
      <c r="S42" s="61"/>
    </row>
    <row r="43" spans="1:19" ht="19.8" x14ac:dyDescent="0.4">
      <c r="A43" s="69"/>
      <c r="B43" s="69"/>
      <c r="C43" s="189"/>
      <c r="D43" s="175"/>
      <c r="E43" s="82"/>
      <c r="F43" s="59"/>
      <c r="G43" s="60"/>
      <c r="H43" s="61"/>
      <c r="I43" s="62"/>
      <c r="J43" s="63"/>
      <c r="K43" s="64"/>
      <c r="L43" s="175"/>
      <c r="M43" s="180"/>
      <c r="N43" s="65"/>
      <c r="O43" s="66"/>
      <c r="P43" s="63"/>
      <c r="Q43" s="67"/>
      <c r="R43" s="62"/>
      <c r="S43" s="61"/>
    </row>
    <row r="44" spans="1:19" ht="19.8" x14ac:dyDescent="0.4">
      <c r="A44" s="69"/>
      <c r="B44" s="69"/>
      <c r="C44" s="189"/>
      <c r="D44" s="175"/>
      <c r="E44" s="82"/>
      <c r="F44" s="59"/>
      <c r="G44" s="60"/>
      <c r="H44" s="61"/>
      <c r="I44" s="62"/>
      <c r="J44" s="63"/>
      <c r="K44" s="64"/>
      <c r="L44" s="175"/>
      <c r="M44" s="180"/>
      <c r="N44" s="65"/>
      <c r="O44" s="66"/>
      <c r="P44" s="63"/>
      <c r="Q44" s="67"/>
      <c r="R44" s="62"/>
      <c r="S44" s="61"/>
    </row>
    <row r="45" spans="1:19" ht="19.8" x14ac:dyDescent="0.4">
      <c r="A45" s="69"/>
      <c r="B45" s="69"/>
      <c r="C45" s="189"/>
      <c r="D45" s="175"/>
      <c r="E45" s="82"/>
      <c r="F45" s="59"/>
      <c r="G45" s="60"/>
      <c r="H45" s="61"/>
      <c r="I45" s="62"/>
      <c r="J45" s="63"/>
      <c r="K45" s="64"/>
      <c r="L45" s="175"/>
      <c r="M45" s="180"/>
      <c r="N45" s="65"/>
      <c r="O45" s="66"/>
      <c r="P45" s="63"/>
      <c r="Q45" s="67"/>
      <c r="R45" s="62"/>
      <c r="S45" s="61"/>
    </row>
    <row r="46" spans="1:19" ht="19.8" x14ac:dyDescent="0.4">
      <c r="A46" s="69"/>
      <c r="B46" s="69"/>
      <c r="C46" s="189"/>
      <c r="D46" s="175"/>
      <c r="E46" s="82"/>
      <c r="F46" s="59"/>
      <c r="G46" s="60"/>
      <c r="H46" s="61"/>
      <c r="I46" s="62"/>
      <c r="J46" s="63"/>
      <c r="K46" s="64"/>
      <c r="L46" s="175"/>
      <c r="M46" s="180"/>
      <c r="N46" s="65"/>
      <c r="O46" s="66"/>
      <c r="P46" s="63"/>
      <c r="Q46" s="67"/>
      <c r="R46" s="62"/>
      <c r="S46" s="61"/>
    </row>
    <row r="47" spans="1:19" ht="19.8" x14ac:dyDescent="0.4">
      <c r="A47" s="69"/>
      <c r="B47" s="69"/>
      <c r="C47" s="189"/>
      <c r="D47" s="175"/>
      <c r="E47" s="82"/>
      <c r="F47" s="59"/>
      <c r="G47" s="60"/>
      <c r="H47" s="61"/>
      <c r="I47" s="62"/>
      <c r="J47" s="63"/>
      <c r="K47" s="64"/>
      <c r="L47" s="175"/>
      <c r="M47" s="180"/>
      <c r="N47" s="65"/>
      <c r="O47" s="66"/>
      <c r="P47" s="63"/>
      <c r="Q47" s="67"/>
      <c r="R47" s="62"/>
      <c r="S47" s="61"/>
    </row>
    <row r="48" spans="1:19" ht="19.8" x14ac:dyDescent="0.4">
      <c r="A48" s="69"/>
      <c r="B48" s="69"/>
      <c r="C48" s="189"/>
      <c r="D48" s="175"/>
      <c r="E48" s="82"/>
      <c r="F48" s="59"/>
      <c r="G48" s="60"/>
      <c r="H48" s="61"/>
      <c r="I48" s="62"/>
      <c r="J48" s="63"/>
      <c r="K48" s="64"/>
      <c r="L48" s="175"/>
      <c r="M48" s="180"/>
      <c r="N48" s="65"/>
      <c r="O48" s="66"/>
      <c r="P48" s="63"/>
      <c r="Q48" s="67"/>
      <c r="R48" s="62"/>
      <c r="S48" s="61"/>
    </row>
    <row r="49" spans="1:19" ht="19.8" x14ac:dyDescent="0.4">
      <c r="A49" s="69"/>
      <c r="B49" s="69"/>
      <c r="C49" s="189"/>
      <c r="D49" s="175"/>
      <c r="E49" s="82"/>
      <c r="F49" s="59"/>
      <c r="G49" s="60"/>
      <c r="H49" s="61"/>
      <c r="I49" s="62"/>
      <c r="J49" s="63"/>
      <c r="K49" s="64"/>
      <c r="L49" s="175"/>
      <c r="M49" s="180"/>
      <c r="N49" s="65"/>
      <c r="O49" s="66"/>
      <c r="P49" s="63"/>
      <c r="Q49" s="67"/>
      <c r="R49" s="62"/>
      <c r="S49" s="61"/>
    </row>
    <row r="50" spans="1:19" ht="19.8" x14ac:dyDescent="0.4">
      <c r="A50" s="69"/>
      <c r="B50" s="69"/>
      <c r="C50" s="189"/>
      <c r="D50" s="175"/>
      <c r="E50" s="82"/>
      <c r="F50" s="59"/>
      <c r="G50" s="60"/>
      <c r="H50" s="61"/>
      <c r="I50" s="62"/>
      <c r="J50" s="63"/>
      <c r="K50" s="64"/>
      <c r="L50" s="175"/>
      <c r="M50" s="180"/>
      <c r="N50" s="65"/>
      <c r="O50" s="66"/>
      <c r="P50" s="63"/>
      <c r="Q50" s="67"/>
      <c r="R50" s="62"/>
      <c r="S50" s="61"/>
    </row>
    <row r="51" spans="1:19" ht="19.8" x14ac:dyDescent="0.4">
      <c r="A51" s="69"/>
      <c r="B51" s="69"/>
      <c r="C51" s="189"/>
      <c r="D51" s="175"/>
      <c r="E51" s="82"/>
      <c r="F51" s="59"/>
      <c r="G51" s="60"/>
      <c r="H51" s="61"/>
      <c r="I51" s="62"/>
      <c r="J51" s="63"/>
      <c r="K51" s="64"/>
      <c r="L51" s="175"/>
      <c r="M51" s="180"/>
      <c r="N51" s="65"/>
      <c r="O51" s="66"/>
      <c r="P51" s="63"/>
      <c r="Q51" s="67"/>
      <c r="R51" s="62"/>
      <c r="S51" s="61"/>
    </row>
    <row r="52" spans="1:19" ht="19.8" x14ac:dyDescent="0.4">
      <c r="A52" s="69"/>
      <c r="B52" s="69"/>
      <c r="C52" s="189"/>
      <c r="D52" s="175"/>
      <c r="E52" s="82"/>
      <c r="F52" s="59"/>
      <c r="G52" s="60"/>
      <c r="H52" s="61"/>
      <c r="I52" s="62"/>
      <c r="J52" s="63"/>
      <c r="K52" s="64"/>
      <c r="L52" s="175"/>
      <c r="M52" s="180"/>
      <c r="N52" s="65"/>
      <c r="O52" s="66"/>
      <c r="P52" s="63"/>
      <c r="Q52" s="67"/>
      <c r="R52" s="62"/>
      <c r="S52" s="61"/>
    </row>
    <row r="53" spans="1:19" ht="19.8" x14ac:dyDescent="0.4">
      <c r="A53" s="69"/>
      <c r="B53" s="69"/>
      <c r="C53" s="189"/>
      <c r="D53" s="175"/>
      <c r="E53" s="82"/>
      <c r="F53" s="59"/>
      <c r="G53" s="60"/>
      <c r="H53" s="61"/>
      <c r="I53" s="62"/>
      <c r="J53" s="63"/>
      <c r="K53" s="64"/>
      <c r="L53" s="175"/>
      <c r="M53" s="180"/>
      <c r="N53" s="65"/>
      <c r="O53" s="66"/>
      <c r="P53" s="63"/>
      <c r="Q53" s="67"/>
      <c r="R53" s="62"/>
      <c r="S53" s="61"/>
    </row>
    <row r="54" spans="1:19" ht="19.8" x14ac:dyDescent="0.4">
      <c r="A54" s="69"/>
      <c r="B54" s="69"/>
      <c r="C54" s="189"/>
      <c r="D54" s="175"/>
      <c r="E54" s="82"/>
      <c r="F54" s="59"/>
      <c r="G54" s="60"/>
      <c r="H54" s="61"/>
      <c r="I54" s="62"/>
      <c r="J54" s="63"/>
      <c r="K54" s="64"/>
      <c r="L54" s="175"/>
      <c r="M54" s="180"/>
      <c r="N54" s="65"/>
      <c r="O54" s="66"/>
      <c r="P54" s="63"/>
      <c r="Q54" s="67"/>
      <c r="R54" s="62"/>
      <c r="S54" s="61"/>
    </row>
    <row r="55" spans="1:19" ht="19.8" x14ac:dyDescent="0.4">
      <c r="A55" s="69"/>
      <c r="B55" s="69"/>
      <c r="C55" s="189"/>
      <c r="D55" s="175"/>
      <c r="E55" s="82"/>
      <c r="F55" s="59"/>
      <c r="G55" s="60"/>
      <c r="H55" s="61"/>
      <c r="I55" s="62"/>
      <c r="J55" s="63"/>
      <c r="K55" s="64"/>
      <c r="L55" s="175"/>
      <c r="M55" s="180"/>
      <c r="N55" s="65"/>
      <c r="O55" s="66"/>
      <c r="P55" s="63"/>
      <c r="Q55" s="67"/>
      <c r="R55" s="62"/>
      <c r="S55" s="61"/>
    </row>
    <row r="56" spans="1:19" ht="19.8" x14ac:dyDescent="0.4">
      <c r="A56" s="69"/>
      <c r="B56" s="69"/>
      <c r="C56" s="189"/>
      <c r="D56" s="175"/>
      <c r="E56" s="82"/>
      <c r="F56" s="59"/>
      <c r="G56" s="60"/>
      <c r="H56" s="61"/>
      <c r="I56" s="62"/>
      <c r="J56" s="63"/>
      <c r="K56" s="64"/>
      <c r="L56" s="175"/>
      <c r="M56" s="180"/>
      <c r="N56" s="65"/>
      <c r="O56" s="66"/>
      <c r="P56" s="63"/>
      <c r="Q56" s="67"/>
      <c r="R56" s="62"/>
      <c r="S56" s="61"/>
    </row>
    <row r="57" spans="1:19" ht="19.8" x14ac:dyDescent="0.4">
      <c r="A57" s="69"/>
      <c r="B57" s="69"/>
      <c r="C57" s="189"/>
      <c r="D57" s="175"/>
      <c r="E57" s="82"/>
      <c r="F57" s="59"/>
      <c r="G57" s="60"/>
      <c r="H57" s="61"/>
      <c r="I57" s="62"/>
      <c r="J57" s="63"/>
      <c r="K57" s="64"/>
      <c r="L57" s="175"/>
      <c r="M57" s="180"/>
      <c r="N57" s="65"/>
      <c r="O57" s="66"/>
      <c r="P57" s="63"/>
      <c r="Q57" s="67"/>
      <c r="R57" s="62"/>
      <c r="S57" s="61"/>
    </row>
    <row r="58" spans="1:19" ht="19.8" x14ac:dyDescent="0.4">
      <c r="A58" s="69"/>
      <c r="B58" s="69"/>
      <c r="C58" s="189"/>
      <c r="D58" s="175"/>
      <c r="E58" s="82"/>
      <c r="F58" s="59"/>
      <c r="G58" s="60"/>
      <c r="H58" s="61"/>
      <c r="I58" s="62"/>
      <c r="J58" s="63"/>
      <c r="K58" s="64"/>
      <c r="L58" s="175"/>
      <c r="M58" s="180"/>
      <c r="N58" s="65"/>
      <c r="O58" s="66"/>
      <c r="P58" s="63"/>
      <c r="Q58" s="67"/>
      <c r="R58" s="62"/>
      <c r="S58" s="61"/>
    </row>
    <row r="59" spans="1:19" ht="19.8" x14ac:dyDescent="0.4">
      <c r="A59" s="69"/>
      <c r="B59" s="69"/>
      <c r="C59" s="189"/>
      <c r="D59" s="175"/>
      <c r="E59" s="82"/>
      <c r="F59" s="59"/>
      <c r="G59" s="60"/>
      <c r="H59" s="61"/>
      <c r="I59" s="62"/>
      <c r="J59" s="63"/>
      <c r="K59" s="64"/>
      <c r="L59" s="175"/>
      <c r="M59" s="180"/>
      <c r="N59" s="65"/>
      <c r="O59" s="66"/>
      <c r="P59" s="63"/>
      <c r="Q59" s="67"/>
      <c r="R59" s="62"/>
      <c r="S59" s="61"/>
    </row>
    <row r="60" spans="1:19" ht="19.8" x14ac:dyDescent="0.4">
      <c r="A60" s="69"/>
      <c r="B60" s="69"/>
      <c r="C60" s="189"/>
      <c r="D60" s="175"/>
      <c r="E60" s="82"/>
      <c r="F60" s="59"/>
      <c r="G60" s="60"/>
      <c r="H60" s="61"/>
      <c r="I60" s="62"/>
      <c r="J60" s="63"/>
      <c r="K60" s="64"/>
      <c r="L60" s="175"/>
      <c r="M60" s="180"/>
      <c r="N60" s="65"/>
      <c r="O60" s="66"/>
      <c r="P60" s="63"/>
      <c r="Q60" s="67"/>
      <c r="R60" s="62"/>
      <c r="S60" s="61"/>
    </row>
    <row r="61" spans="1:19" ht="19.8" x14ac:dyDescent="0.4">
      <c r="A61" s="69"/>
      <c r="B61" s="69"/>
      <c r="C61" s="189"/>
      <c r="D61" s="175"/>
      <c r="E61" s="82"/>
      <c r="F61" s="59"/>
      <c r="G61" s="60"/>
      <c r="H61" s="61"/>
      <c r="I61" s="62"/>
      <c r="J61" s="63"/>
      <c r="K61" s="64"/>
      <c r="L61" s="175"/>
      <c r="M61" s="180"/>
      <c r="N61" s="65"/>
      <c r="O61" s="66"/>
      <c r="P61" s="63"/>
      <c r="Q61" s="67"/>
      <c r="R61" s="62"/>
      <c r="S61" s="61"/>
    </row>
    <row r="62" spans="1:19" ht="19.8" x14ac:dyDescent="0.4">
      <c r="A62" s="69"/>
      <c r="B62" s="69"/>
      <c r="C62" s="189"/>
      <c r="D62" s="175"/>
      <c r="E62" s="82"/>
      <c r="F62" s="59"/>
      <c r="G62" s="60"/>
      <c r="H62" s="61"/>
      <c r="I62" s="62"/>
      <c r="J62" s="63"/>
      <c r="K62" s="64"/>
      <c r="L62" s="175"/>
      <c r="M62" s="180"/>
      <c r="N62" s="65"/>
      <c r="O62" s="66"/>
      <c r="P62" s="63"/>
      <c r="Q62" s="67"/>
      <c r="R62" s="62"/>
      <c r="S62" s="61"/>
    </row>
    <row r="63" spans="1:19" ht="19.8" x14ac:dyDescent="0.4">
      <c r="A63" s="69"/>
      <c r="B63" s="69"/>
      <c r="C63" s="189"/>
      <c r="D63" s="175"/>
      <c r="E63" s="82"/>
      <c r="F63" s="59"/>
      <c r="G63" s="60"/>
      <c r="H63" s="61"/>
      <c r="I63" s="62"/>
      <c r="J63" s="63"/>
      <c r="K63" s="64"/>
      <c r="L63" s="175"/>
      <c r="M63" s="180"/>
      <c r="N63" s="65"/>
      <c r="O63" s="66"/>
      <c r="P63" s="63"/>
      <c r="Q63" s="67"/>
      <c r="R63" s="62"/>
      <c r="S63" s="61"/>
    </row>
    <row r="64" spans="1:19" ht="19.8" x14ac:dyDescent="0.4">
      <c r="A64" s="69"/>
      <c r="B64" s="69"/>
      <c r="C64" s="189"/>
      <c r="D64" s="175"/>
      <c r="E64" s="82"/>
      <c r="F64" s="59"/>
      <c r="G64" s="60"/>
      <c r="H64" s="61"/>
      <c r="I64" s="62"/>
      <c r="J64" s="63"/>
      <c r="K64" s="64"/>
      <c r="L64" s="175"/>
      <c r="M64" s="180"/>
      <c r="N64" s="65"/>
      <c r="O64" s="66"/>
      <c r="P64" s="63"/>
      <c r="Q64" s="67"/>
      <c r="R64" s="62"/>
      <c r="S64" s="61"/>
    </row>
    <row r="65" spans="1:19" ht="19.8" x14ac:dyDescent="0.4">
      <c r="A65" s="69"/>
      <c r="B65" s="69"/>
      <c r="C65" s="189"/>
      <c r="D65" s="175"/>
      <c r="E65" s="82"/>
      <c r="F65" s="59"/>
      <c r="G65" s="60"/>
      <c r="H65" s="61"/>
      <c r="I65" s="62"/>
      <c r="J65" s="63"/>
      <c r="K65" s="64"/>
      <c r="L65" s="175"/>
      <c r="M65" s="180"/>
      <c r="N65" s="65"/>
      <c r="O65" s="66"/>
      <c r="P65" s="63"/>
      <c r="Q65" s="67"/>
      <c r="R65" s="62"/>
      <c r="S65" s="61"/>
    </row>
    <row r="66" spans="1:19" ht="19.8" x14ac:dyDescent="0.4">
      <c r="A66" s="69"/>
      <c r="B66" s="69"/>
      <c r="C66" s="189"/>
      <c r="D66" s="175"/>
      <c r="E66" s="82"/>
      <c r="F66" s="59"/>
      <c r="G66" s="60"/>
      <c r="H66" s="61"/>
      <c r="I66" s="62"/>
      <c r="J66" s="63"/>
      <c r="K66" s="64"/>
      <c r="L66" s="175"/>
      <c r="M66" s="180"/>
      <c r="N66" s="65"/>
      <c r="O66" s="66"/>
      <c r="P66" s="63"/>
      <c r="Q66" s="67"/>
      <c r="R66" s="62"/>
      <c r="S66" s="61"/>
    </row>
    <row r="67" spans="1:19" ht="19.8" x14ac:dyDescent="0.4">
      <c r="A67" s="69"/>
      <c r="B67" s="69"/>
      <c r="C67" s="189"/>
      <c r="D67" s="175"/>
      <c r="E67" s="82"/>
      <c r="F67" s="59"/>
      <c r="G67" s="60"/>
      <c r="H67" s="61"/>
      <c r="I67" s="62"/>
      <c r="J67" s="63"/>
      <c r="K67" s="64"/>
      <c r="L67" s="175"/>
      <c r="M67" s="180"/>
      <c r="N67" s="65"/>
      <c r="O67" s="66"/>
      <c r="P67" s="63"/>
      <c r="Q67" s="67"/>
      <c r="R67" s="62"/>
      <c r="S67" s="61"/>
    </row>
    <row r="68" spans="1:19" ht="19.8" x14ac:dyDescent="0.4">
      <c r="A68" s="69"/>
      <c r="B68" s="69"/>
      <c r="C68" s="189"/>
      <c r="D68" s="175"/>
      <c r="E68" s="82"/>
      <c r="F68" s="59"/>
      <c r="G68" s="60"/>
      <c r="H68" s="61"/>
      <c r="I68" s="62"/>
      <c r="J68" s="63"/>
      <c r="K68" s="64"/>
      <c r="L68" s="175"/>
      <c r="M68" s="180"/>
      <c r="N68" s="65"/>
      <c r="O68" s="66"/>
      <c r="P68" s="63"/>
      <c r="Q68" s="67"/>
      <c r="R68" s="62"/>
      <c r="S68" s="61"/>
    </row>
    <row r="69" spans="1:19" ht="19.8" x14ac:dyDescent="0.4">
      <c r="A69" s="69"/>
      <c r="B69" s="69"/>
      <c r="C69" s="189"/>
      <c r="D69" s="175"/>
      <c r="E69" s="82"/>
      <c r="F69" s="59"/>
      <c r="G69" s="60"/>
      <c r="H69" s="61"/>
      <c r="I69" s="62"/>
      <c r="J69" s="63"/>
      <c r="K69" s="64"/>
      <c r="L69" s="175"/>
      <c r="M69" s="180"/>
      <c r="N69" s="65"/>
      <c r="O69" s="66"/>
      <c r="P69" s="63"/>
      <c r="Q69" s="67"/>
      <c r="R69" s="62"/>
      <c r="S69" s="61"/>
    </row>
    <row r="70" spans="1:19" ht="19.8" x14ac:dyDescent="0.4">
      <c r="A70" s="69"/>
      <c r="B70" s="69"/>
      <c r="C70" s="189"/>
      <c r="D70" s="175"/>
      <c r="E70" s="82"/>
      <c r="F70" s="59"/>
      <c r="G70" s="60"/>
      <c r="H70" s="61"/>
      <c r="I70" s="62"/>
      <c r="J70" s="63"/>
      <c r="K70" s="64"/>
      <c r="L70" s="175"/>
      <c r="M70" s="180"/>
      <c r="N70" s="65"/>
      <c r="O70" s="66"/>
      <c r="P70" s="63"/>
      <c r="Q70" s="67"/>
      <c r="R70" s="62"/>
      <c r="S70" s="61"/>
    </row>
    <row r="71" spans="1:19" ht="19.8" x14ac:dyDescent="0.4">
      <c r="A71" s="69"/>
      <c r="B71" s="69"/>
      <c r="C71" s="189"/>
      <c r="D71" s="175"/>
      <c r="E71" s="82"/>
      <c r="F71" s="59"/>
      <c r="G71" s="60"/>
      <c r="H71" s="61"/>
      <c r="I71" s="62"/>
      <c r="J71" s="63"/>
      <c r="K71" s="64"/>
      <c r="L71" s="175"/>
      <c r="M71" s="180"/>
      <c r="N71" s="65"/>
      <c r="O71" s="66"/>
      <c r="P71" s="63"/>
      <c r="Q71" s="67"/>
      <c r="R71" s="62"/>
      <c r="S71" s="61"/>
    </row>
    <row r="72" spans="1:19" ht="19.8" x14ac:dyDescent="0.4">
      <c r="A72" s="69"/>
      <c r="B72" s="69"/>
      <c r="C72" s="189"/>
      <c r="D72" s="175"/>
      <c r="E72" s="82"/>
      <c r="F72" s="59"/>
      <c r="G72" s="60"/>
      <c r="H72" s="61"/>
      <c r="I72" s="62"/>
      <c r="J72" s="63"/>
      <c r="K72" s="64"/>
      <c r="L72" s="175"/>
      <c r="M72" s="180"/>
      <c r="N72" s="65"/>
      <c r="O72" s="66"/>
      <c r="P72" s="63"/>
      <c r="Q72" s="67"/>
      <c r="R72" s="62"/>
      <c r="S72" s="61"/>
    </row>
    <row r="73" spans="1:19" ht="19.8" x14ac:dyDescent="0.4">
      <c r="A73" s="69"/>
      <c r="B73" s="69"/>
      <c r="C73" s="189"/>
      <c r="D73" s="175"/>
      <c r="E73" s="82"/>
      <c r="F73" s="59"/>
      <c r="G73" s="60"/>
      <c r="H73" s="61"/>
      <c r="I73" s="62"/>
      <c r="J73" s="63"/>
      <c r="K73" s="64"/>
      <c r="L73" s="175"/>
      <c r="M73" s="180"/>
      <c r="N73" s="65"/>
      <c r="O73" s="66"/>
      <c r="P73" s="63"/>
      <c r="Q73" s="67"/>
      <c r="R73" s="62"/>
      <c r="S73" s="61"/>
    </row>
    <row r="74" spans="1:19" ht="19.8" x14ac:dyDescent="0.4">
      <c r="A74" s="69"/>
      <c r="B74" s="69"/>
      <c r="C74" s="189"/>
      <c r="D74" s="175"/>
      <c r="E74" s="82"/>
      <c r="F74" s="59"/>
      <c r="G74" s="60"/>
      <c r="H74" s="61"/>
      <c r="I74" s="62"/>
      <c r="J74" s="63"/>
      <c r="K74" s="64"/>
      <c r="L74" s="175"/>
      <c r="M74" s="180"/>
      <c r="N74" s="65"/>
      <c r="O74" s="66"/>
      <c r="P74" s="63"/>
      <c r="Q74" s="67"/>
      <c r="R74" s="62"/>
      <c r="S74" s="61"/>
    </row>
    <row r="75" spans="1:19" ht="19.8" x14ac:dyDescent="0.4">
      <c r="A75" s="69"/>
      <c r="B75" s="69"/>
      <c r="C75" s="189"/>
      <c r="D75" s="175"/>
      <c r="E75" s="82"/>
      <c r="F75" s="59"/>
      <c r="G75" s="60"/>
      <c r="H75" s="61"/>
      <c r="I75" s="62"/>
      <c r="J75" s="63"/>
      <c r="K75" s="64"/>
      <c r="L75" s="175"/>
      <c r="M75" s="180"/>
      <c r="N75" s="65"/>
      <c r="O75" s="66"/>
      <c r="P75" s="63"/>
      <c r="Q75" s="67"/>
      <c r="R75" s="62"/>
      <c r="S75" s="61"/>
    </row>
    <row r="76" spans="1:19" ht="19.8" x14ac:dyDescent="0.4">
      <c r="A76" s="69"/>
      <c r="B76" s="69"/>
      <c r="C76" s="189"/>
      <c r="D76" s="175"/>
      <c r="E76" s="82"/>
      <c r="F76" s="59"/>
      <c r="G76" s="60"/>
      <c r="H76" s="61"/>
      <c r="I76" s="62"/>
      <c r="J76" s="63"/>
      <c r="K76" s="64"/>
      <c r="L76" s="175"/>
      <c r="M76" s="180"/>
      <c r="N76" s="65"/>
      <c r="O76" s="66"/>
      <c r="P76" s="63"/>
      <c r="Q76" s="67"/>
      <c r="R76" s="62"/>
      <c r="S76" s="61"/>
    </row>
    <row r="77" spans="1:19" ht="19.8" x14ac:dyDescent="0.4">
      <c r="A77" s="69"/>
      <c r="B77" s="69"/>
      <c r="C77" s="189"/>
      <c r="D77" s="175"/>
      <c r="E77" s="82"/>
      <c r="F77" s="59"/>
      <c r="G77" s="60"/>
      <c r="H77" s="61"/>
      <c r="I77" s="62"/>
      <c r="J77" s="63"/>
      <c r="K77" s="64"/>
      <c r="L77" s="175"/>
      <c r="M77" s="180"/>
      <c r="N77" s="65"/>
      <c r="O77" s="66"/>
      <c r="P77" s="63"/>
      <c r="Q77" s="67"/>
      <c r="R77" s="62"/>
      <c r="S77" s="61"/>
    </row>
    <row r="78" spans="1:19" ht="19.8" x14ac:dyDescent="0.4">
      <c r="A78" s="69"/>
      <c r="B78" s="69"/>
      <c r="C78" s="189"/>
      <c r="D78" s="175"/>
      <c r="E78" s="82"/>
      <c r="F78" s="59"/>
      <c r="G78" s="60"/>
      <c r="H78" s="61"/>
      <c r="I78" s="62"/>
      <c r="J78" s="63"/>
      <c r="K78" s="64"/>
      <c r="L78" s="175"/>
      <c r="M78" s="180"/>
      <c r="N78" s="65"/>
      <c r="O78" s="66"/>
      <c r="P78" s="63"/>
      <c r="Q78" s="67"/>
      <c r="R78" s="62"/>
      <c r="S78" s="61"/>
    </row>
    <row r="79" spans="1:19" ht="19.8" x14ac:dyDescent="0.4">
      <c r="A79" s="69"/>
      <c r="B79" s="69"/>
      <c r="C79" s="189"/>
      <c r="D79" s="175"/>
      <c r="E79" s="82"/>
      <c r="F79" s="59"/>
      <c r="G79" s="60"/>
      <c r="H79" s="61"/>
      <c r="I79" s="62"/>
      <c r="J79" s="63"/>
      <c r="K79" s="64"/>
      <c r="L79" s="175"/>
      <c r="M79" s="180"/>
      <c r="N79" s="65"/>
      <c r="O79" s="66"/>
      <c r="P79" s="63"/>
      <c r="Q79" s="67"/>
      <c r="R79" s="62"/>
      <c r="S79" s="61"/>
    </row>
    <row r="80" spans="1:19" ht="19.8" x14ac:dyDescent="0.4">
      <c r="A80" s="69"/>
      <c r="B80" s="69"/>
      <c r="C80" s="189"/>
      <c r="D80" s="175"/>
      <c r="E80" s="82"/>
      <c r="F80" s="59"/>
      <c r="G80" s="60"/>
      <c r="H80" s="61"/>
      <c r="I80" s="62"/>
      <c r="J80" s="63"/>
      <c r="K80" s="64"/>
      <c r="L80" s="175"/>
      <c r="M80" s="180"/>
      <c r="N80" s="65"/>
      <c r="O80" s="66"/>
      <c r="P80" s="63"/>
      <c r="Q80" s="67"/>
      <c r="R80" s="62"/>
      <c r="S80" s="61"/>
    </row>
    <row r="81" spans="1:19" ht="19.8" x14ac:dyDescent="0.4">
      <c r="A81" s="69"/>
      <c r="B81" s="69"/>
      <c r="C81" s="189"/>
      <c r="D81" s="175"/>
      <c r="E81" s="82"/>
      <c r="F81" s="59"/>
      <c r="G81" s="60"/>
      <c r="H81" s="61"/>
      <c r="I81" s="62"/>
      <c r="J81" s="63"/>
      <c r="K81" s="64"/>
      <c r="L81" s="175"/>
      <c r="M81" s="180"/>
      <c r="N81" s="65"/>
      <c r="O81" s="66"/>
      <c r="P81" s="63"/>
      <c r="Q81" s="67"/>
      <c r="R81" s="62"/>
      <c r="S81" s="61"/>
    </row>
    <row r="82" spans="1:19" ht="19.8" x14ac:dyDescent="0.4">
      <c r="A82" s="69"/>
      <c r="B82" s="69"/>
      <c r="C82" s="189"/>
      <c r="D82" s="175"/>
      <c r="E82" s="82"/>
      <c r="F82" s="59"/>
      <c r="G82" s="60"/>
      <c r="H82" s="61"/>
      <c r="I82" s="62"/>
      <c r="J82" s="63"/>
      <c r="K82" s="64"/>
      <c r="L82" s="175"/>
      <c r="M82" s="180"/>
      <c r="N82" s="65"/>
      <c r="O82" s="66"/>
      <c r="P82" s="63"/>
      <c r="Q82" s="67"/>
      <c r="R82" s="62"/>
      <c r="S82" s="61"/>
    </row>
    <row r="83" spans="1:19" ht="19.8" x14ac:dyDescent="0.4">
      <c r="A83" s="69"/>
      <c r="B83" s="69"/>
      <c r="C83" s="189"/>
      <c r="D83" s="175"/>
      <c r="E83" s="82"/>
      <c r="F83" s="59"/>
      <c r="G83" s="60"/>
      <c r="H83" s="61"/>
      <c r="I83" s="62"/>
      <c r="J83" s="63"/>
      <c r="K83" s="64"/>
      <c r="L83" s="175"/>
      <c r="M83" s="180"/>
      <c r="N83" s="65"/>
      <c r="O83" s="66"/>
      <c r="P83" s="63"/>
      <c r="Q83" s="67"/>
      <c r="R83" s="62"/>
      <c r="S83" s="61"/>
    </row>
    <row r="84" spans="1:19" ht="19.8" x14ac:dyDescent="0.4">
      <c r="A84" s="69"/>
      <c r="B84" s="69"/>
      <c r="C84" s="189"/>
      <c r="D84" s="175"/>
      <c r="E84" s="82"/>
      <c r="F84" s="59"/>
      <c r="G84" s="60"/>
      <c r="H84" s="61"/>
      <c r="I84" s="62"/>
      <c r="J84" s="63"/>
      <c r="K84" s="64"/>
      <c r="L84" s="175"/>
      <c r="M84" s="180"/>
      <c r="N84" s="65"/>
      <c r="O84" s="66"/>
      <c r="P84" s="63"/>
      <c r="Q84" s="67"/>
      <c r="R84" s="62"/>
      <c r="S84" s="61"/>
    </row>
    <row r="85" spans="1:19" ht="19.8" x14ac:dyDescent="0.4">
      <c r="A85" s="69"/>
      <c r="B85" s="69"/>
      <c r="C85" s="189"/>
      <c r="D85" s="175"/>
      <c r="E85" s="82"/>
      <c r="F85" s="59"/>
      <c r="G85" s="60"/>
      <c r="H85" s="61"/>
      <c r="I85" s="62"/>
      <c r="J85" s="63"/>
      <c r="K85" s="64"/>
      <c r="L85" s="175"/>
      <c r="M85" s="180"/>
      <c r="N85" s="65"/>
      <c r="O85" s="66"/>
      <c r="P85" s="63"/>
      <c r="Q85" s="67"/>
      <c r="R85" s="62"/>
      <c r="S85" s="61"/>
    </row>
    <row r="86" spans="1:19" ht="19.8" x14ac:dyDescent="0.4">
      <c r="A86" s="69"/>
      <c r="B86" s="69"/>
      <c r="C86" s="189"/>
      <c r="D86" s="175"/>
      <c r="E86" s="82"/>
      <c r="F86" s="59"/>
      <c r="G86" s="60"/>
      <c r="H86" s="61"/>
      <c r="I86" s="62"/>
      <c r="J86" s="63"/>
      <c r="K86" s="64"/>
      <c r="L86" s="175"/>
      <c r="M86" s="180"/>
      <c r="N86" s="65"/>
      <c r="O86" s="66"/>
      <c r="P86" s="63"/>
      <c r="Q86" s="67"/>
      <c r="R86" s="62"/>
      <c r="S86" s="61"/>
    </row>
    <row r="87" spans="1:19" ht="19.8" x14ac:dyDescent="0.4">
      <c r="A87" s="69"/>
      <c r="B87" s="69"/>
      <c r="C87" s="189"/>
      <c r="D87" s="175"/>
      <c r="E87" s="82"/>
      <c r="F87" s="59"/>
      <c r="G87" s="60"/>
      <c r="H87" s="61"/>
      <c r="I87" s="62"/>
      <c r="J87" s="63"/>
      <c r="K87" s="64"/>
      <c r="L87" s="175"/>
      <c r="M87" s="180"/>
      <c r="N87" s="65"/>
      <c r="O87" s="66"/>
      <c r="P87" s="63"/>
      <c r="Q87" s="67"/>
      <c r="R87" s="62"/>
      <c r="S87" s="61"/>
    </row>
    <row r="88" spans="1:19" ht="19.8" x14ac:dyDescent="0.4">
      <c r="A88" s="69"/>
      <c r="B88" s="69"/>
      <c r="C88" s="189"/>
      <c r="D88" s="175"/>
      <c r="E88" s="82"/>
      <c r="F88" s="59"/>
      <c r="G88" s="60"/>
      <c r="H88" s="61"/>
      <c r="I88" s="62"/>
      <c r="J88" s="63"/>
      <c r="K88" s="64"/>
      <c r="L88" s="175"/>
      <c r="M88" s="180"/>
      <c r="N88" s="65"/>
      <c r="O88" s="66"/>
      <c r="P88" s="63"/>
      <c r="Q88" s="67"/>
      <c r="R88" s="62"/>
      <c r="S88" s="61"/>
    </row>
    <row r="89" spans="1:19" ht="19.8" x14ac:dyDescent="0.4">
      <c r="A89" s="69"/>
      <c r="B89" s="69"/>
      <c r="C89" s="189"/>
      <c r="D89" s="175"/>
      <c r="E89" s="82"/>
      <c r="F89" s="59"/>
      <c r="G89" s="60"/>
      <c r="H89" s="61"/>
      <c r="I89" s="62"/>
      <c r="J89" s="63"/>
      <c r="K89" s="64"/>
      <c r="L89" s="175"/>
      <c r="M89" s="180"/>
      <c r="N89" s="65"/>
      <c r="O89" s="66"/>
      <c r="P89" s="63"/>
      <c r="Q89" s="67"/>
      <c r="R89" s="62"/>
      <c r="S89" s="61"/>
    </row>
    <row r="90" spans="1:19" ht="19.8" x14ac:dyDescent="0.4">
      <c r="A90" s="69"/>
      <c r="B90" s="69"/>
      <c r="C90" s="189"/>
      <c r="D90" s="175"/>
      <c r="E90" s="82"/>
      <c r="F90" s="59"/>
      <c r="G90" s="60"/>
      <c r="H90" s="61"/>
      <c r="I90" s="62"/>
      <c r="J90" s="63"/>
      <c r="K90" s="64"/>
      <c r="L90" s="175"/>
      <c r="M90" s="180"/>
      <c r="N90" s="65"/>
      <c r="O90" s="66"/>
      <c r="P90" s="63"/>
      <c r="Q90" s="67"/>
      <c r="R90" s="62"/>
      <c r="S90" s="61"/>
    </row>
    <row r="91" spans="1:19" ht="19.8" x14ac:dyDescent="0.4">
      <c r="A91" s="69"/>
      <c r="B91" s="69"/>
      <c r="C91" s="189"/>
      <c r="D91" s="175"/>
      <c r="E91" s="82"/>
      <c r="F91" s="59"/>
      <c r="G91" s="60"/>
      <c r="H91" s="61"/>
      <c r="I91" s="62"/>
      <c r="J91" s="63"/>
      <c r="K91" s="64"/>
      <c r="L91" s="175"/>
      <c r="M91" s="180"/>
      <c r="N91" s="65"/>
      <c r="O91" s="66"/>
      <c r="P91" s="63"/>
      <c r="Q91" s="67"/>
      <c r="R91" s="62"/>
      <c r="S91" s="61"/>
    </row>
    <row r="92" spans="1:19" ht="19.8" x14ac:dyDescent="0.4">
      <c r="A92" s="69"/>
      <c r="B92" s="69"/>
      <c r="C92" s="189"/>
      <c r="D92" s="175"/>
      <c r="E92" s="82"/>
      <c r="F92" s="59"/>
      <c r="G92" s="60"/>
      <c r="H92" s="61"/>
      <c r="I92" s="62"/>
      <c r="J92" s="63"/>
      <c r="K92" s="64"/>
      <c r="L92" s="175"/>
      <c r="M92" s="180"/>
      <c r="N92" s="65"/>
      <c r="O92" s="66"/>
      <c r="P92" s="63"/>
      <c r="Q92" s="67"/>
      <c r="R92" s="62"/>
      <c r="S92" s="61"/>
    </row>
    <row r="93" spans="1:19" ht="19.8" x14ac:dyDescent="0.4">
      <c r="A93" s="69"/>
      <c r="B93" s="69"/>
      <c r="C93" s="189"/>
      <c r="D93" s="175"/>
      <c r="E93" s="82"/>
      <c r="F93" s="59"/>
      <c r="G93" s="60"/>
      <c r="H93" s="61"/>
      <c r="I93" s="62"/>
      <c r="J93" s="63"/>
      <c r="K93" s="64"/>
      <c r="L93" s="175"/>
      <c r="M93" s="180"/>
      <c r="N93" s="65"/>
      <c r="O93" s="66"/>
      <c r="P93" s="63"/>
      <c r="Q93" s="67"/>
      <c r="R93" s="62"/>
      <c r="S93" s="61"/>
    </row>
    <row r="94" spans="1:19" ht="19.8" x14ac:dyDescent="0.4">
      <c r="A94" s="23"/>
      <c r="B94" s="23"/>
      <c r="C94" s="190"/>
      <c r="D94" s="175"/>
      <c r="E94" s="82"/>
      <c r="F94" s="59"/>
      <c r="G94" s="60"/>
      <c r="H94" s="61"/>
      <c r="I94" s="62"/>
      <c r="J94" s="63"/>
      <c r="K94" s="64"/>
      <c r="L94" s="175"/>
      <c r="M94" s="180"/>
      <c r="N94" s="65"/>
      <c r="O94" s="66"/>
      <c r="P94" s="63"/>
      <c r="Q94" s="67"/>
      <c r="R94" s="62"/>
      <c r="S94" s="61"/>
    </row>
    <row r="95" spans="1:19" ht="19.8" x14ac:dyDescent="0.4">
      <c r="A95" s="23"/>
      <c r="B95" s="23"/>
      <c r="C95" s="190"/>
      <c r="D95" s="175"/>
      <c r="E95" s="82"/>
      <c r="F95" s="59"/>
      <c r="G95" s="60"/>
      <c r="H95" s="61"/>
      <c r="I95" s="62"/>
      <c r="J95" s="63"/>
      <c r="K95" s="64"/>
      <c r="L95" s="175"/>
      <c r="M95" s="180"/>
      <c r="N95" s="65"/>
      <c r="O95" s="66"/>
      <c r="P95" s="63"/>
      <c r="Q95" s="67"/>
      <c r="R95" s="62"/>
      <c r="S95" s="61"/>
    </row>
    <row r="96" spans="1:19" ht="19.8" x14ac:dyDescent="0.4">
      <c r="A96" s="23"/>
      <c r="B96" s="23"/>
      <c r="C96" s="190"/>
      <c r="D96" s="175"/>
      <c r="E96" s="82"/>
      <c r="F96" s="59"/>
      <c r="G96" s="60"/>
      <c r="H96" s="61"/>
      <c r="I96" s="62"/>
      <c r="J96" s="63"/>
      <c r="K96" s="64"/>
      <c r="L96" s="175"/>
      <c r="M96" s="180"/>
      <c r="N96" s="65"/>
      <c r="O96" s="66"/>
      <c r="P96" s="63"/>
      <c r="Q96" s="67"/>
      <c r="R96" s="62"/>
      <c r="S96" s="61"/>
    </row>
    <row r="97" spans="1:19" ht="19.8" x14ac:dyDescent="0.4">
      <c r="A97" s="23"/>
      <c r="B97" s="23"/>
      <c r="C97" s="190"/>
      <c r="D97" s="175"/>
      <c r="E97" s="82"/>
      <c r="F97" s="59"/>
      <c r="G97" s="60"/>
      <c r="H97" s="61"/>
      <c r="I97" s="62"/>
      <c r="J97" s="63"/>
      <c r="K97" s="64"/>
      <c r="L97" s="175"/>
      <c r="M97" s="180"/>
      <c r="N97" s="65"/>
      <c r="O97" s="66"/>
      <c r="P97" s="63"/>
      <c r="Q97" s="67"/>
      <c r="R97" s="62"/>
      <c r="S97" s="61"/>
    </row>
    <row r="98" spans="1:19" ht="19.8" x14ac:dyDescent="0.4">
      <c r="A98" s="23"/>
      <c r="B98" s="23"/>
      <c r="C98" s="190"/>
      <c r="D98" s="175"/>
      <c r="E98" s="82"/>
      <c r="F98" s="59"/>
      <c r="G98" s="60"/>
      <c r="H98" s="61"/>
      <c r="I98" s="62"/>
      <c r="J98" s="63"/>
      <c r="K98" s="64"/>
      <c r="L98" s="175"/>
      <c r="M98" s="180"/>
      <c r="N98" s="65"/>
      <c r="O98" s="66"/>
      <c r="P98" s="63"/>
      <c r="Q98" s="67"/>
      <c r="R98" s="62"/>
      <c r="S98" s="61"/>
    </row>
    <row r="99" spans="1:19" ht="19.8" x14ac:dyDescent="0.4">
      <c r="A99" s="23"/>
      <c r="B99" s="23"/>
      <c r="C99" s="190"/>
      <c r="D99" s="175"/>
      <c r="E99" s="82"/>
      <c r="F99" s="59"/>
      <c r="G99" s="60"/>
      <c r="H99" s="61"/>
      <c r="I99" s="62"/>
      <c r="J99" s="63"/>
      <c r="K99" s="64"/>
      <c r="L99" s="175"/>
      <c r="M99" s="180"/>
      <c r="N99" s="65"/>
      <c r="O99" s="66"/>
      <c r="P99" s="63"/>
      <c r="Q99" s="67"/>
      <c r="R99" s="62"/>
      <c r="S99" s="61"/>
    </row>
    <row r="100" spans="1:19" ht="19.8" x14ac:dyDescent="0.4">
      <c r="A100" s="23"/>
      <c r="B100" s="23"/>
      <c r="C100" s="190"/>
      <c r="D100" s="175"/>
      <c r="E100" s="82"/>
      <c r="F100" s="59"/>
      <c r="G100" s="60"/>
      <c r="H100" s="61"/>
      <c r="I100" s="62"/>
      <c r="J100" s="63"/>
      <c r="K100" s="64"/>
      <c r="L100" s="175"/>
      <c r="M100" s="180"/>
      <c r="N100" s="65"/>
      <c r="O100" s="66"/>
      <c r="P100" s="63"/>
      <c r="Q100" s="67"/>
      <c r="R100" s="62"/>
      <c r="S100" s="61"/>
    </row>
    <row r="101" spans="1:19" ht="19.8" x14ac:dyDescent="0.4">
      <c r="A101" s="23"/>
      <c r="B101" s="23"/>
      <c r="C101" s="190"/>
      <c r="D101" s="175"/>
      <c r="E101" s="82"/>
      <c r="F101" s="59"/>
      <c r="G101" s="60"/>
      <c r="H101" s="61"/>
      <c r="I101" s="62"/>
      <c r="J101" s="63"/>
      <c r="K101" s="64"/>
      <c r="L101" s="175"/>
      <c r="M101" s="180"/>
      <c r="N101" s="65"/>
      <c r="O101" s="66"/>
      <c r="P101" s="63"/>
      <c r="Q101" s="67"/>
      <c r="R101" s="62"/>
      <c r="S101" s="61"/>
    </row>
    <row r="102" spans="1:19" ht="19.8" x14ac:dyDescent="0.4">
      <c r="A102" s="23"/>
      <c r="B102" s="23"/>
      <c r="C102" s="190"/>
      <c r="D102" s="175"/>
      <c r="E102" s="82"/>
      <c r="F102" s="59"/>
      <c r="G102" s="60"/>
      <c r="H102" s="61"/>
      <c r="I102" s="62"/>
      <c r="J102" s="63"/>
      <c r="K102" s="64"/>
      <c r="L102" s="175"/>
      <c r="M102" s="180"/>
      <c r="N102" s="65"/>
      <c r="O102" s="66"/>
      <c r="P102" s="63"/>
      <c r="Q102" s="67"/>
      <c r="R102" s="62"/>
      <c r="S102" s="61"/>
    </row>
    <row r="103" spans="1:19" ht="19.8" x14ac:dyDescent="0.4">
      <c r="A103" s="23"/>
      <c r="B103" s="23"/>
      <c r="C103" s="190"/>
      <c r="D103" s="175"/>
      <c r="E103" s="82"/>
      <c r="F103" s="59"/>
      <c r="G103" s="60"/>
      <c r="H103" s="61"/>
      <c r="I103" s="62"/>
      <c r="J103" s="63"/>
      <c r="K103" s="64"/>
      <c r="L103" s="175"/>
      <c r="M103" s="180"/>
      <c r="N103" s="65"/>
      <c r="O103" s="66"/>
      <c r="P103" s="63"/>
      <c r="Q103" s="67"/>
      <c r="R103" s="62"/>
      <c r="S103" s="61"/>
    </row>
    <row r="104" spans="1:19" ht="19.8" x14ac:dyDescent="0.4">
      <c r="A104" s="23"/>
      <c r="B104" s="23"/>
      <c r="C104" s="190"/>
      <c r="D104" s="175"/>
      <c r="E104" s="82"/>
      <c r="F104" s="59"/>
      <c r="G104" s="60"/>
      <c r="H104" s="61"/>
      <c r="I104" s="62"/>
      <c r="J104" s="63"/>
      <c r="K104" s="64"/>
      <c r="L104" s="175"/>
      <c r="M104" s="180"/>
      <c r="N104" s="65"/>
      <c r="O104" s="66"/>
      <c r="P104" s="63"/>
      <c r="Q104" s="67"/>
      <c r="R104" s="62"/>
      <c r="S104" s="61"/>
    </row>
    <row r="105" spans="1:19" ht="19.8" x14ac:dyDescent="0.4">
      <c r="A105" s="23"/>
      <c r="B105" s="23"/>
      <c r="C105" s="190"/>
      <c r="D105" s="175"/>
      <c r="E105" s="82"/>
      <c r="F105" s="59"/>
      <c r="G105" s="60"/>
      <c r="H105" s="61"/>
      <c r="I105" s="62"/>
      <c r="J105" s="63"/>
      <c r="K105" s="64"/>
      <c r="L105" s="175"/>
      <c r="M105" s="180"/>
      <c r="N105" s="65"/>
      <c r="O105" s="66"/>
      <c r="P105" s="63"/>
      <c r="Q105" s="67"/>
      <c r="R105" s="62"/>
      <c r="S105" s="61"/>
    </row>
    <row r="106" spans="1:19" ht="19.8" x14ac:dyDescent="0.4">
      <c r="A106" s="23"/>
      <c r="B106" s="23"/>
      <c r="C106" s="190"/>
      <c r="D106" s="175"/>
      <c r="E106" s="82"/>
      <c r="F106" s="59"/>
      <c r="G106" s="60"/>
      <c r="H106" s="61"/>
      <c r="I106" s="62"/>
      <c r="J106" s="63"/>
      <c r="K106" s="64"/>
      <c r="L106" s="175"/>
      <c r="M106" s="180"/>
      <c r="N106" s="65"/>
      <c r="O106" s="66"/>
      <c r="P106" s="63"/>
      <c r="Q106" s="67"/>
      <c r="R106" s="62"/>
      <c r="S106" s="61"/>
    </row>
    <row r="107" spans="1:19" ht="19.8" x14ac:dyDescent="0.4">
      <c r="A107" s="23"/>
      <c r="B107" s="23"/>
      <c r="C107" s="190"/>
      <c r="D107" s="175"/>
      <c r="E107" s="82"/>
      <c r="F107" s="59"/>
      <c r="G107" s="60"/>
      <c r="H107" s="61"/>
      <c r="I107" s="62"/>
      <c r="J107" s="63"/>
      <c r="K107" s="64"/>
      <c r="L107" s="175"/>
      <c r="M107" s="180"/>
      <c r="N107" s="65"/>
      <c r="O107" s="66"/>
      <c r="P107" s="63"/>
      <c r="Q107" s="67"/>
      <c r="R107" s="62"/>
      <c r="S107" s="61"/>
    </row>
    <row r="108" spans="1:19" ht="19.8" x14ac:dyDescent="0.4">
      <c r="A108" s="23"/>
      <c r="B108" s="23"/>
      <c r="C108" s="190"/>
      <c r="D108" s="175"/>
      <c r="E108" s="82"/>
      <c r="F108" s="59"/>
      <c r="G108" s="60"/>
      <c r="H108" s="61"/>
      <c r="I108" s="62"/>
      <c r="J108" s="63"/>
      <c r="K108" s="64"/>
      <c r="L108" s="175"/>
      <c r="M108" s="180"/>
      <c r="N108" s="65"/>
      <c r="O108" s="66"/>
      <c r="P108" s="63"/>
      <c r="Q108" s="67"/>
      <c r="R108" s="62"/>
      <c r="S108" s="61"/>
    </row>
    <row r="109" spans="1:19" ht="19.8" x14ac:dyDescent="0.4">
      <c r="A109" s="23"/>
      <c r="B109" s="23"/>
      <c r="C109" s="190"/>
      <c r="D109" s="175"/>
      <c r="E109" s="82"/>
      <c r="F109" s="59"/>
      <c r="G109" s="60"/>
      <c r="H109" s="61"/>
      <c r="I109" s="62"/>
      <c r="J109" s="63"/>
      <c r="K109" s="64"/>
      <c r="L109" s="175"/>
      <c r="M109" s="180"/>
      <c r="N109" s="65"/>
      <c r="O109" s="66"/>
      <c r="P109" s="63"/>
      <c r="Q109" s="67"/>
      <c r="R109" s="62"/>
      <c r="S109" s="61"/>
    </row>
    <row r="110" spans="1:19" ht="19.8" x14ac:dyDescent="0.4">
      <c r="A110" s="23"/>
      <c r="B110" s="23"/>
      <c r="C110" s="190"/>
      <c r="D110" s="175"/>
      <c r="E110" s="82"/>
      <c r="F110" s="59"/>
      <c r="G110" s="60"/>
      <c r="H110" s="61"/>
      <c r="I110" s="62"/>
      <c r="J110" s="63"/>
      <c r="K110" s="64"/>
      <c r="L110" s="175"/>
      <c r="M110" s="180"/>
      <c r="N110" s="65"/>
      <c r="O110" s="66"/>
      <c r="P110" s="63"/>
      <c r="Q110" s="67"/>
      <c r="R110" s="62"/>
      <c r="S110" s="61"/>
    </row>
    <row r="111" spans="1:19" ht="19.8" x14ac:dyDescent="0.4">
      <c r="A111" s="23"/>
      <c r="B111" s="23"/>
      <c r="C111" s="190"/>
      <c r="D111" s="175"/>
      <c r="E111" s="82"/>
      <c r="F111" s="59"/>
      <c r="G111" s="60"/>
      <c r="H111" s="61"/>
      <c r="I111" s="62"/>
      <c r="J111" s="63"/>
      <c r="K111" s="64"/>
      <c r="L111" s="175"/>
      <c r="M111" s="180"/>
      <c r="N111" s="65"/>
      <c r="O111" s="66"/>
      <c r="P111" s="63"/>
      <c r="Q111" s="67"/>
      <c r="R111" s="62"/>
      <c r="S111" s="61"/>
    </row>
    <row r="112" spans="1:19" ht="19.8" x14ac:dyDescent="0.4">
      <c r="A112" s="23"/>
      <c r="B112" s="23"/>
      <c r="C112" s="190"/>
      <c r="D112" s="175"/>
      <c r="E112" s="82"/>
      <c r="F112" s="59"/>
      <c r="G112" s="60"/>
      <c r="H112" s="61"/>
      <c r="I112" s="62"/>
      <c r="J112" s="63"/>
      <c r="K112" s="64"/>
      <c r="L112" s="175"/>
      <c r="M112" s="180"/>
      <c r="N112" s="65"/>
      <c r="O112" s="66"/>
      <c r="P112" s="63"/>
      <c r="Q112" s="67"/>
      <c r="R112" s="62"/>
      <c r="S112" s="61"/>
    </row>
    <row r="113" spans="1:19" ht="19.8" x14ac:dyDescent="0.4">
      <c r="A113" s="23"/>
      <c r="B113" s="23"/>
      <c r="C113" s="190"/>
      <c r="D113" s="175"/>
      <c r="E113" s="82"/>
      <c r="F113" s="59"/>
      <c r="G113" s="60"/>
      <c r="H113" s="61"/>
      <c r="I113" s="62"/>
      <c r="J113" s="63"/>
      <c r="K113" s="64"/>
      <c r="L113" s="175"/>
      <c r="M113" s="180"/>
      <c r="N113" s="65"/>
      <c r="O113" s="66"/>
      <c r="P113" s="63"/>
      <c r="Q113" s="67"/>
      <c r="R113" s="62"/>
      <c r="S113" s="61"/>
    </row>
    <row r="114" spans="1:19" ht="19.8" x14ac:dyDescent="0.4">
      <c r="A114" s="23"/>
      <c r="B114" s="23"/>
      <c r="C114" s="190"/>
      <c r="D114" s="175"/>
      <c r="E114" s="82"/>
      <c r="F114" s="59"/>
      <c r="G114" s="60"/>
      <c r="H114" s="61"/>
      <c r="I114" s="62"/>
      <c r="J114" s="63"/>
      <c r="K114" s="64"/>
      <c r="L114" s="175"/>
      <c r="M114" s="180"/>
      <c r="N114" s="65"/>
      <c r="O114" s="66"/>
      <c r="P114" s="63"/>
      <c r="Q114" s="67"/>
      <c r="R114" s="62"/>
      <c r="S114" s="61"/>
    </row>
    <row r="115" spans="1:19" ht="19.8" x14ac:dyDescent="0.4">
      <c r="A115" s="23"/>
      <c r="B115" s="23"/>
      <c r="C115" s="190"/>
      <c r="D115" s="175"/>
      <c r="E115" s="82"/>
      <c r="F115" s="59"/>
      <c r="G115" s="60"/>
      <c r="H115" s="61"/>
      <c r="I115" s="62"/>
      <c r="J115" s="63"/>
      <c r="K115" s="64"/>
      <c r="L115" s="175"/>
      <c r="M115" s="180"/>
      <c r="N115" s="65"/>
      <c r="O115" s="66"/>
      <c r="P115" s="63"/>
      <c r="Q115" s="67"/>
      <c r="R115" s="62"/>
      <c r="S115" s="61"/>
    </row>
    <row r="116" spans="1:19" ht="19.8" x14ac:dyDescent="0.4">
      <c r="A116" s="23"/>
      <c r="B116" s="23"/>
      <c r="C116" s="190"/>
      <c r="D116" s="175"/>
      <c r="E116" s="82"/>
      <c r="F116" s="59"/>
      <c r="G116" s="60"/>
      <c r="H116" s="61"/>
      <c r="I116" s="62"/>
      <c r="J116" s="63"/>
      <c r="K116" s="64"/>
      <c r="L116" s="175"/>
      <c r="M116" s="180"/>
      <c r="N116" s="65"/>
      <c r="O116" s="66"/>
      <c r="P116" s="63"/>
      <c r="Q116" s="67"/>
      <c r="R116" s="62"/>
      <c r="S116" s="61"/>
    </row>
    <row r="117" spans="1:19" ht="19.8" x14ac:dyDescent="0.4">
      <c r="A117" s="23"/>
      <c r="B117" s="23"/>
      <c r="C117" s="190"/>
      <c r="D117" s="175"/>
      <c r="E117" s="82"/>
      <c r="F117" s="59"/>
      <c r="G117" s="60"/>
      <c r="H117" s="61"/>
      <c r="I117" s="62"/>
      <c r="J117" s="63"/>
      <c r="K117" s="64"/>
      <c r="L117" s="175"/>
      <c r="M117" s="180"/>
      <c r="N117" s="65"/>
      <c r="O117" s="66"/>
      <c r="P117" s="63"/>
      <c r="Q117" s="67"/>
      <c r="R117" s="62"/>
      <c r="S117" s="61"/>
    </row>
    <row r="118" spans="1:19" ht="19.8" x14ac:dyDescent="0.4">
      <c r="A118" s="23"/>
      <c r="B118" s="23"/>
      <c r="C118" s="190"/>
      <c r="D118" s="175"/>
      <c r="E118" s="82"/>
      <c r="F118" s="59"/>
      <c r="G118" s="60"/>
      <c r="H118" s="61"/>
      <c r="I118" s="62"/>
      <c r="J118" s="63"/>
      <c r="K118" s="64"/>
      <c r="L118" s="175"/>
      <c r="M118" s="180"/>
      <c r="N118" s="65"/>
      <c r="O118" s="66"/>
      <c r="P118" s="63"/>
      <c r="Q118" s="67"/>
      <c r="R118" s="62"/>
      <c r="S118" s="61"/>
    </row>
    <row r="119" spans="1:19" ht="19.8" x14ac:dyDescent="0.4">
      <c r="A119" s="23"/>
      <c r="B119" s="23"/>
      <c r="C119" s="190"/>
      <c r="D119" s="175"/>
      <c r="E119" s="82"/>
      <c r="F119" s="59"/>
      <c r="G119" s="60"/>
      <c r="H119" s="61"/>
      <c r="I119" s="62"/>
      <c r="J119" s="63"/>
      <c r="K119" s="64"/>
      <c r="L119" s="175"/>
      <c r="M119" s="180"/>
      <c r="N119" s="65"/>
      <c r="O119" s="66"/>
      <c r="P119" s="63"/>
      <c r="Q119" s="67"/>
      <c r="R119" s="62"/>
      <c r="S119" s="61"/>
    </row>
    <row r="120" spans="1:19" ht="19.8" x14ac:dyDescent="0.4">
      <c r="A120" s="23"/>
      <c r="B120" s="23"/>
      <c r="C120" s="190"/>
      <c r="D120" s="175"/>
      <c r="E120" s="82"/>
      <c r="F120" s="59"/>
      <c r="G120" s="60"/>
      <c r="H120" s="61"/>
      <c r="I120" s="62"/>
      <c r="J120" s="63"/>
      <c r="K120" s="64"/>
      <c r="L120" s="175"/>
      <c r="M120" s="180"/>
      <c r="N120" s="65"/>
      <c r="O120" s="66"/>
      <c r="P120" s="63"/>
      <c r="Q120" s="67"/>
      <c r="R120" s="62"/>
      <c r="S120" s="61"/>
    </row>
    <row r="121" spans="1:19" ht="19.8" x14ac:dyDescent="0.4">
      <c r="A121" s="23"/>
      <c r="B121" s="23"/>
      <c r="C121" s="190"/>
      <c r="D121" s="175"/>
      <c r="E121" s="82"/>
      <c r="F121" s="59"/>
      <c r="G121" s="60"/>
      <c r="H121" s="61"/>
      <c r="I121" s="62"/>
      <c r="J121" s="63"/>
      <c r="K121" s="64"/>
      <c r="L121" s="175"/>
      <c r="M121" s="180"/>
      <c r="N121" s="65"/>
      <c r="O121" s="66"/>
      <c r="P121" s="63"/>
      <c r="Q121" s="67"/>
      <c r="R121" s="62"/>
      <c r="S121" s="61"/>
    </row>
    <row r="122" spans="1:19" ht="19.8" x14ac:dyDescent="0.4">
      <c r="A122" s="23"/>
      <c r="B122" s="23"/>
      <c r="C122" s="190"/>
      <c r="D122" s="175"/>
      <c r="E122" s="82"/>
      <c r="F122" s="59"/>
      <c r="G122" s="60"/>
      <c r="H122" s="61"/>
      <c r="I122" s="62"/>
      <c r="J122" s="63"/>
      <c r="K122" s="64"/>
      <c r="L122" s="175"/>
      <c r="M122" s="180"/>
      <c r="N122" s="65"/>
      <c r="O122" s="66"/>
      <c r="P122" s="63"/>
      <c r="Q122" s="67"/>
      <c r="R122" s="62"/>
      <c r="S122" s="61"/>
    </row>
    <row r="123" spans="1:19" ht="19.8" x14ac:dyDescent="0.4">
      <c r="A123" s="23"/>
      <c r="B123" s="23"/>
      <c r="C123" s="190"/>
      <c r="D123" s="175"/>
      <c r="E123" s="82"/>
      <c r="F123" s="59"/>
      <c r="G123" s="60"/>
      <c r="H123" s="61"/>
      <c r="I123" s="62"/>
      <c r="J123" s="63"/>
      <c r="K123" s="64"/>
      <c r="L123" s="175"/>
      <c r="M123" s="180"/>
      <c r="N123" s="65"/>
      <c r="O123" s="66"/>
      <c r="P123" s="63"/>
      <c r="Q123" s="67"/>
      <c r="R123" s="62"/>
      <c r="S123" s="61"/>
    </row>
    <row r="124" spans="1:19" ht="19.8" x14ac:dyDescent="0.4">
      <c r="A124" s="23"/>
      <c r="B124" s="23"/>
      <c r="C124" s="190"/>
      <c r="D124" s="175"/>
      <c r="E124" s="82"/>
      <c r="F124" s="59"/>
      <c r="G124" s="60"/>
      <c r="H124" s="61"/>
      <c r="I124" s="62"/>
      <c r="J124" s="63"/>
      <c r="K124" s="64"/>
      <c r="L124" s="175"/>
      <c r="M124" s="180"/>
      <c r="N124" s="65"/>
      <c r="O124" s="66"/>
      <c r="P124" s="63"/>
      <c r="Q124" s="67"/>
      <c r="R124" s="62"/>
      <c r="S124" s="61"/>
    </row>
    <row r="125" spans="1:19" ht="19.8" x14ac:dyDescent="0.4">
      <c r="A125" s="23"/>
      <c r="B125" s="23"/>
      <c r="C125" s="190"/>
      <c r="D125" s="175"/>
      <c r="E125" s="82"/>
      <c r="F125" s="59"/>
      <c r="G125" s="60"/>
      <c r="H125" s="61"/>
      <c r="I125" s="62"/>
      <c r="J125" s="63"/>
      <c r="K125" s="64"/>
      <c r="L125" s="175"/>
      <c r="M125" s="180"/>
      <c r="N125" s="65"/>
      <c r="O125" s="66"/>
      <c r="P125" s="63"/>
      <c r="Q125" s="67"/>
      <c r="R125" s="62"/>
      <c r="S125" s="61"/>
    </row>
    <row r="126" spans="1:19" ht="19.8" x14ac:dyDescent="0.4">
      <c r="A126" s="23"/>
      <c r="B126" s="23"/>
      <c r="C126" s="190"/>
      <c r="D126" s="175"/>
      <c r="E126" s="82"/>
      <c r="F126" s="59"/>
      <c r="G126" s="60"/>
      <c r="H126" s="61"/>
      <c r="I126" s="62"/>
      <c r="J126" s="63"/>
      <c r="K126" s="64"/>
      <c r="L126" s="175"/>
      <c r="M126" s="180"/>
      <c r="N126" s="65"/>
      <c r="O126" s="66"/>
      <c r="P126" s="63"/>
      <c r="Q126" s="67"/>
      <c r="R126" s="62"/>
      <c r="S126" s="61"/>
    </row>
    <row r="127" spans="1:19" ht="19.8" x14ac:dyDescent="0.4">
      <c r="A127" s="23"/>
      <c r="B127" s="23"/>
      <c r="C127" s="190"/>
      <c r="D127" s="175"/>
      <c r="E127" s="82"/>
      <c r="F127" s="59"/>
      <c r="G127" s="60"/>
      <c r="H127" s="61"/>
      <c r="I127" s="62"/>
      <c r="J127" s="63"/>
      <c r="K127" s="64"/>
      <c r="L127" s="175"/>
      <c r="M127" s="180"/>
      <c r="N127" s="65"/>
      <c r="O127" s="66"/>
      <c r="P127" s="63"/>
      <c r="Q127" s="67"/>
      <c r="R127" s="62"/>
      <c r="S127" s="61"/>
    </row>
    <row r="128" spans="1:19" ht="19.8" x14ac:dyDescent="0.4">
      <c r="A128" s="23"/>
      <c r="B128" s="23"/>
      <c r="C128" s="190"/>
      <c r="D128" s="175"/>
      <c r="E128" s="82"/>
      <c r="F128" s="59"/>
      <c r="G128" s="60"/>
      <c r="H128" s="61"/>
      <c r="I128" s="62"/>
      <c r="J128" s="63"/>
      <c r="K128" s="64"/>
      <c r="L128" s="175"/>
      <c r="M128" s="180"/>
      <c r="N128" s="65"/>
      <c r="O128" s="66"/>
      <c r="P128" s="63"/>
      <c r="Q128" s="67"/>
      <c r="R128" s="62"/>
      <c r="S128" s="61"/>
    </row>
    <row r="129" spans="1:19" ht="19.8" x14ac:dyDescent="0.4">
      <c r="A129" s="23"/>
      <c r="B129" s="23"/>
      <c r="C129" s="190"/>
      <c r="D129" s="175"/>
      <c r="E129" s="82"/>
      <c r="F129" s="59"/>
      <c r="G129" s="60"/>
      <c r="H129" s="61"/>
      <c r="I129" s="62"/>
      <c r="J129" s="63"/>
      <c r="K129" s="64"/>
      <c r="L129" s="175"/>
      <c r="M129" s="180"/>
      <c r="N129" s="65"/>
      <c r="O129" s="66"/>
      <c r="P129" s="63"/>
      <c r="Q129" s="67"/>
      <c r="R129" s="62"/>
      <c r="S129" s="61"/>
    </row>
    <row r="130" spans="1:19" ht="19.8" x14ac:dyDescent="0.4">
      <c r="A130" s="23"/>
      <c r="B130" s="23"/>
      <c r="C130" s="190"/>
      <c r="D130" s="175"/>
      <c r="E130" s="82"/>
      <c r="F130" s="59"/>
      <c r="G130" s="60"/>
      <c r="H130" s="61"/>
      <c r="I130" s="62"/>
      <c r="J130" s="63"/>
      <c r="K130" s="64"/>
      <c r="L130" s="175"/>
      <c r="M130" s="180"/>
      <c r="N130" s="65"/>
      <c r="O130" s="66"/>
      <c r="P130" s="63"/>
      <c r="Q130" s="67"/>
      <c r="R130" s="62"/>
      <c r="S130" s="61"/>
    </row>
    <row r="131" spans="1:19" ht="19.8" x14ac:dyDescent="0.4">
      <c r="A131" s="23"/>
      <c r="B131" s="23"/>
      <c r="C131" s="190"/>
      <c r="D131" s="175"/>
      <c r="E131" s="82"/>
      <c r="F131" s="59"/>
      <c r="G131" s="60"/>
      <c r="H131" s="61"/>
      <c r="I131" s="62"/>
      <c r="J131" s="63"/>
      <c r="K131" s="64"/>
      <c r="L131" s="175"/>
      <c r="M131" s="180"/>
      <c r="N131" s="65"/>
      <c r="O131" s="66"/>
      <c r="P131" s="63"/>
      <c r="Q131" s="67"/>
      <c r="R131" s="62"/>
      <c r="S131" s="61"/>
    </row>
    <row r="132" spans="1:19" ht="19.8" x14ac:dyDescent="0.4">
      <c r="A132" s="23"/>
      <c r="B132" s="23"/>
      <c r="C132" s="190"/>
      <c r="D132" s="175"/>
      <c r="E132" s="82"/>
      <c r="F132" s="59"/>
      <c r="G132" s="60"/>
      <c r="H132" s="61"/>
      <c r="I132" s="62"/>
      <c r="J132" s="63"/>
      <c r="K132" s="64"/>
      <c r="L132" s="175"/>
      <c r="M132" s="180"/>
      <c r="N132" s="65"/>
      <c r="O132" s="66"/>
      <c r="P132" s="63"/>
      <c r="Q132" s="67"/>
      <c r="R132" s="62"/>
      <c r="S132" s="61"/>
    </row>
    <row r="133" spans="1:19" ht="19.8" x14ac:dyDescent="0.4">
      <c r="A133" s="23"/>
      <c r="B133" s="23"/>
      <c r="C133" s="190"/>
      <c r="D133" s="175"/>
      <c r="E133" s="82"/>
      <c r="F133" s="59"/>
      <c r="G133" s="60"/>
      <c r="H133" s="61"/>
      <c r="I133" s="62"/>
      <c r="J133" s="63"/>
      <c r="K133" s="64"/>
      <c r="L133" s="175"/>
      <c r="M133" s="180"/>
      <c r="N133" s="65"/>
      <c r="O133" s="66"/>
      <c r="P133" s="63"/>
      <c r="Q133" s="67"/>
      <c r="R133" s="62"/>
      <c r="S133" s="61"/>
    </row>
    <row r="134" spans="1:19" ht="19.8" x14ac:dyDescent="0.4">
      <c r="A134" s="23"/>
      <c r="B134" s="23"/>
      <c r="C134" s="190"/>
      <c r="D134" s="175"/>
      <c r="E134" s="82"/>
      <c r="F134" s="59"/>
      <c r="G134" s="60"/>
      <c r="H134" s="61"/>
      <c r="I134" s="62"/>
      <c r="J134" s="63"/>
      <c r="K134" s="64"/>
      <c r="L134" s="175"/>
      <c r="M134" s="180"/>
      <c r="N134" s="65"/>
      <c r="O134" s="66"/>
      <c r="P134" s="63"/>
      <c r="Q134" s="67"/>
      <c r="R134" s="62"/>
      <c r="S134" s="61"/>
    </row>
    <row r="135" spans="1:19" ht="19.8" x14ac:dyDescent="0.4">
      <c r="A135" s="23"/>
      <c r="B135" s="23"/>
      <c r="C135" s="190"/>
      <c r="D135" s="175"/>
      <c r="E135" s="82"/>
      <c r="F135" s="59"/>
      <c r="G135" s="60"/>
      <c r="H135" s="61"/>
      <c r="I135" s="62"/>
      <c r="J135" s="63"/>
      <c r="K135" s="64"/>
      <c r="L135" s="175"/>
      <c r="M135" s="180"/>
      <c r="N135" s="65"/>
      <c r="O135" s="66"/>
      <c r="P135" s="63"/>
      <c r="Q135" s="67"/>
      <c r="R135" s="62"/>
      <c r="S135" s="61"/>
    </row>
    <row r="136" spans="1:19" ht="19.8" x14ac:dyDescent="0.4">
      <c r="A136" s="23"/>
      <c r="B136" s="23"/>
      <c r="C136" s="190"/>
      <c r="D136" s="175"/>
      <c r="E136" s="82"/>
      <c r="F136" s="59"/>
      <c r="G136" s="60"/>
      <c r="H136" s="61"/>
      <c r="I136" s="62"/>
      <c r="J136" s="63"/>
      <c r="K136" s="64"/>
      <c r="L136" s="175"/>
      <c r="M136" s="180"/>
      <c r="N136" s="65"/>
      <c r="O136" s="66"/>
      <c r="P136" s="63"/>
      <c r="Q136" s="67"/>
      <c r="R136" s="62"/>
      <c r="S136" s="61"/>
    </row>
    <row r="137" spans="1:19" ht="19.8" x14ac:dyDescent="0.4">
      <c r="A137" s="23"/>
      <c r="B137" s="23"/>
      <c r="C137" s="190"/>
      <c r="D137" s="175"/>
      <c r="E137" s="82"/>
      <c r="F137" s="59"/>
      <c r="G137" s="60"/>
      <c r="H137" s="61"/>
      <c r="I137" s="62"/>
      <c r="J137" s="63"/>
      <c r="K137" s="64"/>
      <c r="L137" s="175"/>
      <c r="M137" s="180"/>
      <c r="N137" s="65"/>
      <c r="O137" s="66"/>
      <c r="P137" s="63"/>
      <c r="Q137" s="67"/>
      <c r="R137" s="62"/>
      <c r="S137" s="61"/>
    </row>
    <row r="138" spans="1:19" ht="19.8" x14ac:dyDescent="0.4">
      <c r="A138" s="23"/>
      <c r="B138" s="23"/>
      <c r="C138" s="190"/>
      <c r="D138" s="175"/>
      <c r="E138" s="82"/>
      <c r="F138" s="59"/>
      <c r="G138" s="60"/>
      <c r="H138" s="61"/>
      <c r="I138" s="62"/>
      <c r="J138" s="63"/>
      <c r="K138" s="64"/>
      <c r="L138" s="175"/>
      <c r="M138" s="180"/>
      <c r="N138" s="65"/>
      <c r="O138" s="66"/>
      <c r="P138" s="63"/>
      <c r="Q138" s="67"/>
      <c r="R138" s="62"/>
      <c r="S138" s="61"/>
    </row>
    <row r="139" spans="1:19" ht="19.8" x14ac:dyDescent="0.4">
      <c r="A139" s="23"/>
      <c r="B139" s="23"/>
      <c r="C139" s="190"/>
      <c r="D139" s="175"/>
      <c r="E139" s="82"/>
      <c r="F139" s="59"/>
      <c r="G139" s="60"/>
      <c r="H139" s="61"/>
      <c r="I139" s="62"/>
      <c r="J139" s="63"/>
      <c r="K139" s="64"/>
      <c r="L139" s="175"/>
      <c r="M139" s="180"/>
      <c r="N139" s="65"/>
      <c r="O139" s="66"/>
      <c r="P139" s="63"/>
      <c r="Q139" s="67"/>
      <c r="R139" s="62"/>
      <c r="S139" s="61"/>
    </row>
    <row r="140" spans="1:19" ht="19.8" x14ac:dyDescent="0.4">
      <c r="A140" s="23"/>
      <c r="B140" s="23"/>
      <c r="C140" s="190"/>
      <c r="D140" s="175"/>
      <c r="E140" s="82"/>
      <c r="F140" s="59"/>
      <c r="G140" s="60"/>
      <c r="H140" s="61"/>
      <c r="I140" s="62"/>
      <c r="J140" s="63"/>
      <c r="K140" s="64"/>
      <c r="L140" s="175"/>
      <c r="M140" s="180"/>
      <c r="N140" s="65"/>
      <c r="O140" s="66"/>
      <c r="P140" s="63"/>
      <c r="Q140" s="67"/>
      <c r="R140" s="62"/>
      <c r="S140" s="61"/>
    </row>
    <row r="141" spans="1:19" ht="19.8" x14ac:dyDescent="0.4">
      <c r="A141" s="23"/>
      <c r="B141" s="23"/>
      <c r="C141" s="190"/>
      <c r="D141" s="175"/>
      <c r="E141" s="82"/>
      <c r="F141" s="59"/>
      <c r="G141" s="60"/>
      <c r="H141" s="61"/>
      <c r="I141" s="62"/>
      <c r="J141" s="63"/>
      <c r="K141" s="64"/>
      <c r="L141" s="175"/>
      <c r="M141" s="180"/>
      <c r="N141" s="65"/>
      <c r="O141" s="66"/>
      <c r="P141" s="63"/>
      <c r="Q141" s="67"/>
      <c r="R141" s="62"/>
      <c r="S141" s="61"/>
    </row>
    <row r="142" spans="1:19" ht="19.8" x14ac:dyDescent="0.4">
      <c r="A142" s="23"/>
      <c r="B142" s="23"/>
      <c r="C142" s="190"/>
      <c r="D142" s="175"/>
      <c r="E142" s="82"/>
      <c r="F142" s="59"/>
      <c r="G142" s="60"/>
      <c r="H142" s="61"/>
      <c r="I142" s="62"/>
      <c r="J142" s="63"/>
      <c r="K142" s="64"/>
      <c r="L142" s="175"/>
      <c r="M142" s="180"/>
      <c r="N142" s="65"/>
      <c r="O142" s="66"/>
      <c r="P142" s="63"/>
      <c r="Q142" s="67"/>
      <c r="R142" s="62"/>
      <c r="S142" s="61"/>
    </row>
    <row r="143" spans="1:19" ht="19.8" x14ac:dyDescent="0.4">
      <c r="A143" s="23"/>
      <c r="B143" s="23"/>
      <c r="C143" s="190"/>
      <c r="D143" s="175"/>
      <c r="E143" s="82"/>
      <c r="F143" s="59"/>
      <c r="G143" s="60"/>
      <c r="H143" s="61"/>
      <c r="I143" s="62"/>
      <c r="J143" s="63"/>
      <c r="K143" s="64"/>
      <c r="L143" s="175"/>
      <c r="M143" s="180"/>
      <c r="N143" s="65"/>
      <c r="O143" s="66"/>
      <c r="P143" s="63"/>
      <c r="Q143" s="67"/>
      <c r="R143" s="62"/>
      <c r="S143" s="61"/>
    </row>
    <row r="144" spans="1:19" ht="19.8" x14ac:dyDescent="0.4">
      <c r="A144" s="23"/>
      <c r="B144" s="23"/>
      <c r="C144" s="190"/>
      <c r="D144" s="175"/>
      <c r="E144" s="82"/>
      <c r="F144" s="59"/>
      <c r="G144" s="60"/>
      <c r="H144" s="61"/>
      <c r="I144" s="62"/>
      <c r="J144" s="63"/>
      <c r="K144" s="64"/>
      <c r="L144" s="175"/>
      <c r="M144" s="180"/>
      <c r="N144" s="65"/>
      <c r="O144" s="66"/>
      <c r="P144" s="63"/>
      <c r="Q144" s="67"/>
      <c r="R144" s="62"/>
      <c r="S144" s="61"/>
    </row>
    <row r="145" spans="1:19" ht="19.8" x14ac:dyDescent="0.4">
      <c r="A145" s="23"/>
      <c r="B145" s="23"/>
      <c r="C145" s="190"/>
      <c r="D145" s="175"/>
      <c r="E145" s="82"/>
      <c r="F145" s="59"/>
      <c r="G145" s="60"/>
      <c r="H145" s="61"/>
      <c r="I145" s="62"/>
      <c r="J145" s="63"/>
      <c r="K145" s="64"/>
      <c r="L145" s="175"/>
      <c r="M145" s="180"/>
      <c r="N145" s="65"/>
      <c r="O145" s="66"/>
      <c r="P145" s="63"/>
      <c r="Q145" s="67"/>
      <c r="R145" s="62"/>
      <c r="S145" s="61"/>
    </row>
    <row r="146" spans="1:19" ht="19.8" x14ac:dyDescent="0.4">
      <c r="A146" s="23"/>
      <c r="B146" s="23"/>
      <c r="C146" s="190"/>
      <c r="D146" s="175"/>
      <c r="E146" s="82"/>
      <c r="F146" s="59"/>
      <c r="G146" s="60"/>
      <c r="H146" s="61"/>
      <c r="I146" s="62"/>
      <c r="J146" s="63"/>
      <c r="K146" s="64"/>
      <c r="L146" s="175"/>
      <c r="M146" s="180"/>
      <c r="N146" s="65"/>
      <c r="O146" s="66"/>
      <c r="P146" s="63"/>
      <c r="Q146" s="67"/>
      <c r="R146" s="62"/>
      <c r="S146" s="61"/>
    </row>
    <row r="147" spans="1:19" ht="19.8" x14ac:dyDescent="0.4">
      <c r="A147" s="23"/>
      <c r="B147" s="23"/>
      <c r="C147" s="190"/>
      <c r="D147" s="175"/>
      <c r="E147" s="82"/>
      <c r="F147" s="59"/>
      <c r="G147" s="60"/>
      <c r="H147" s="61"/>
      <c r="I147" s="62"/>
      <c r="J147" s="63"/>
      <c r="K147" s="64"/>
      <c r="L147" s="175"/>
      <c r="M147" s="180"/>
      <c r="N147" s="65"/>
      <c r="O147" s="66"/>
      <c r="P147" s="63"/>
      <c r="Q147" s="67"/>
      <c r="R147" s="62"/>
      <c r="S147" s="61"/>
    </row>
    <row r="148" spans="1:19" ht="19.8" x14ac:dyDescent="0.4">
      <c r="A148" s="23"/>
      <c r="B148" s="23"/>
      <c r="C148" s="190"/>
      <c r="D148" s="175"/>
      <c r="E148" s="82"/>
      <c r="F148" s="59"/>
      <c r="G148" s="60"/>
      <c r="H148" s="61"/>
      <c r="I148" s="62"/>
      <c r="J148" s="63"/>
      <c r="K148" s="64"/>
      <c r="L148" s="175"/>
      <c r="M148" s="180"/>
      <c r="N148" s="65"/>
      <c r="O148" s="66"/>
      <c r="P148" s="63"/>
      <c r="Q148" s="67"/>
      <c r="R148" s="62"/>
      <c r="S148" s="61"/>
    </row>
    <row r="149" spans="1:19" ht="19.8" x14ac:dyDescent="0.4">
      <c r="A149" s="23"/>
      <c r="B149" s="23"/>
      <c r="C149" s="190"/>
      <c r="D149" s="175"/>
      <c r="E149" s="82"/>
      <c r="F149" s="59"/>
      <c r="G149" s="60"/>
      <c r="H149" s="61"/>
      <c r="I149" s="62"/>
      <c r="J149" s="63"/>
      <c r="K149" s="64"/>
      <c r="L149" s="175"/>
      <c r="M149" s="180"/>
      <c r="N149" s="65"/>
      <c r="O149" s="66"/>
      <c r="P149" s="63"/>
      <c r="Q149" s="67"/>
      <c r="R149" s="62"/>
      <c r="S149" s="61"/>
    </row>
    <row r="150" spans="1:19" ht="19.8" x14ac:dyDescent="0.4">
      <c r="A150" s="23"/>
      <c r="B150" s="23"/>
      <c r="C150" s="190"/>
      <c r="D150" s="175"/>
      <c r="E150" s="82"/>
      <c r="F150" s="59"/>
      <c r="G150" s="60"/>
      <c r="H150" s="61"/>
      <c r="I150" s="62"/>
      <c r="J150" s="63"/>
      <c r="K150" s="64"/>
      <c r="L150" s="175"/>
      <c r="M150" s="180"/>
      <c r="N150" s="65"/>
      <c r="O150" s="66"/>
      <c r="P150" s="63"/>
      <c r="Q150" s="67"/>
      <c r="R150" s="62"/>
      <c r="S150" s="61"/>
    </row>
    <row r="151" spans="1:19" ht="19.8" x14ac:dyDescent="0.4">
      <c r="A151" s="23"/>
      <c r="B151" s="23"/>
      <c r="C151" s="190"/>
      <c r="D151" s="175"/>
      <c r="E151" s="82"/>
      <c r="F151" s="59"/>
      <c r="G151" s="60"/>
      <c r="H151" s="61"/>
      <c r="I151" s="62"/>
      <c r="J151" s="63"/>
      <c r="K151" s="64"/>
      <c r="L151" s="175"/>
      <c r="M151" s="180"/>
      <c r="N151" s="65"/>
      <c r="O151" s="66"/>
      <c r="P151" s="63"/>
      <c r="Q151" s="67"/>
      <c r="R151" s="62"/>
      <c r="S151" s="61"/>
    </row>
    <row r="152" spans="1:19" ht="19.8" x14ac:dyDescent="0.4">
      <c r="A152" s="23"/>
      <c r="B152" s="23"/>
      <c r="C152" s="190"/>
      <c r="D152" s="175"/>
      <c r="E152" s="82"/>
      <c r="F152" s="59"/>
      <c r="G152" s="60"/>
      <c r="H152" s="61"/>
      <c r="I152" s="62"/>
      <c r="J152" s="63"/>
      <c r="K152" s="64"/>
      <c r="L152" s="175"/>
      <c r="M152" s="180"/>
      <c r="N152" s="65"/>
      <c r="O152" s="66"/>
      <c r="P152" s="63"/>
      <c r="Q152" s="67"/>
      <c r="R152" s="62"/>
      <c r="S152" s="61"/>
    </row>
    <row r="153" spans="1:19" ht="19.8" x14ac:dyDescent="0.4">
      <c r="A153" s="23"/>
      <c r="B153" s="23"/>
      <c r="C153" s="190"/>
      <c r="D153" s="175"/>
      <c r="E153" s="82"/>
      <c r="F153" s="59"/>
      <c r="G153" s="60"/>
      <c r="H153" s="61"/>
      <c r="I153" s="62"/>
      <c r="J153" s="63"/>
      <c r="K153" s="64"/>
      <c r="L153" s="175"/>
      <c r="M153" s="180"/>
      <c r="N153" s="65"/>
      <c r="O153" s="66"/>
      <c r="P153" s="63"/>
      <c r="Q153" s="67"/>
      <c r="R153" s="62"/>
      <c r="S153" s="61"/>
    </row>
    <row r="154" spans="1:19" ht="19.8" x14ac:dyDescent="0.4">
      <c r="A154" s="23"/>
      <c r="B154" s="23"/>
      <c r="C154" s="190"/>
      <c r="D154" s="175"/>
      <c r="E154" s="82"/>
      <c r="F154" s="59"/>
      <c r="G154" s="60"/>
      <c r="H154" s="61"/>
      <c r="I154" s="62"/>
      <c r="J154" s="63"/>
      <c r="K154" s="64"/>
      <c r="L154" s="175"/>
      <c r="M154" s="180"/>
      <c r="N154" s="65"/>
      <c r="O154" s="66"/>
      <c r="P154" s="63"/>
      <c r="Q154" s="67"/>
      <c r="R154" s="62"/>
      <c r="S154" s="61"/>
    </row>
    <row r="155" spans="1:19" ht="19.8" x14ac:dyDescent="0.4">
      <c r="A155" s="70"/>
      <c r="B155" s="70"/>
      <c r="C155" s="81"/>
      <c r="D155" s="175"/>
      <c r="E155" s="82"/>
      <c r="F155" s="59"/>
      <c r="G155" s="60"/>
      <c r="H155" s="61"/>
      <c r="I155" s="62"/>
      <c r="J155" s="63"/>
      <c r="K155" s="64"/>
      <c r="L155" s="175"/>
      <c r="M155" s="180"/>
      <c r="N155" s="65"/>
      <c r="O155" s="66"/>
      <c r="P155" s="63"/>
      <c r="Q155" s="67"/>
      <c r="R155" s="62"/>
      <c r="S155" s="61"/>
    </row>
    <row r="156" spans="1:19" ht="19.8" x14ac:dyDescent="0.4">
      <c r="A156" s="70"/>
      <c r="B156" s="70"/>
      <c r="C156" s="81"/>
      <c r="D156" s="175"/>
      <c r="E156" s="82"/>
      <c r="F156" s="59"/>
      <c r="G156" s="60"/>
      <c r="H156" s="61"/>
      <c r="I156" s="62"/>
      <c r="J156" s="63"/>
      <c r="K156" s="64"/>
      <c r="L156" s="175"/>
      <c r="M156" s="180"/>
      <c r="N156" s="65"/>
      <c r="O156" s="66"/>
      <c r="P156" s="63"/>
      <c r="Q156" s="67"/>
      <c r="R156" s="62"/>
      <c r="S156" s="61"/>
    </row>
    <row r="157" spans="1:19" ht="19.8" x14ac:dyDescent="0.4">
      <c r="A157" s="70"/>
      <c r="B157" s="70"/>
      <c r="C157" s="81"/>
      <c r="D157" s="175"/>
      <c r="E157" s="82"/>
      <c r="F157" s="59"/>
      <c r="G157" s="60"/>
      <c r="H157" s="61"/>
      <c r="I157" s="62"/>
      <c r="J157" s="63"/>
      <c r="K157" s="64"/>
      <c r="L157" s="175"/>
      <c r="M157" s="180"/>
      <c r="N157" s="65"/>
      <c r="O157" s="66"/>
      <c r="P157" s="63"/>
      <c r="Q157" s="67"/>
      <c r="R157" s="62"/>
      <c r="S157" s="61"/>
    </row>
    <row r="158" spans="1:19" ht="19.8" x14ac:dyDescent="0.4">
      <c r="A158" s="70"/>
      <c r="B158" s="70"/>
      <c r="C158" s="81"/>
      <c r="D158" s="175"/>
      <c r="E158" s="82"/>
      <c r="F158" s="59"/>
      <c r="G158" s="60"/>
      <c r="H158" s="61"/>
      <c r="I158" s="62"/>
      <c r="J158" s="63"/>
      <c r="K158" s="64"/>
      <c r="L158" s="175"/>
      <c r="M158" s="180"/>
      <c r="N158" s="65"/>
      <c r="O158" s="66"/>
      <c r="P158" s="63"/>
      <c r="Q158" s="67"/>
      <c r="R158" s="62"/>
      <c r="S158" s="61"/>
    </row>
    <row r="159" spans="1:19" ht="19.8" x14ac:dyDescent="0.4">
      <c r="A159" s="70"/>
      <c r="B159" s="70"/>
      <c r="C159" s="81"/>
      <c r="D159" s="175"/>
      <c r="E159" s="82"/>
      <c r="F159" s="59"/>
      <c r="G159" s="60"/>
      <c r="H159" s="61"/>
      <c r="I159" s="62"/>
      <c r="J159" s="63"/>
      <c r="K159" s="64"/>
      <c r="L159" s="175"/>
      <c r="M159" s="180"/>
      <c r="N159" s="65"/>
      <c r="O159" s="66"/>
      <c r="P159" s="63"/>
      <c r="Q159" s="67"/>
      <c r="R159" s="62"/>
      <c r="S159" s="61"/>
    </row>
    <row r="160" spans="1:19" ht="19.8" x14ac:dyDescent="0.4">
      <c r="A160" s="70"/>
      <c r="B160" s="70"/>
      <c r="C160" s="81"/>
      <c r="D160" s="175"/>
      <c r="E160" s="82"/>
      <c r="F160" s="59"/>
      <c r="G160" s="60"/>
      <c r="H160" s="61"/>
      <c r="I160" s="62"/>
      <c r="J160" s="63"/>
      <c r="K160" s="64"/>
      <c r="L160" s="175"/>
      <c r="M160" s="180"/>
      <c r="N160" s="65"/>
      <c r="O160" s="66"/>
      <c r="P160" s="63"/>
      <c r="Q160" s="67"/>
      <c r="R160" s="62"/>
      <c r="S160" s="61"/>
    </row>
    <row r="161" spans="1:19" ht="19.8" x14ac:dyDescent="0.4">
      <c r="A161" s="70"/>
      <c r="B161" s="70"/>
      <c r="C161" s="81"/>
      <c r="D161" s="175"/>
      <c r="E161" s="82"/>
      <c r="F161" s="59"/>
      <c r="G161" s="60"/>
      <c r="H161" s="61"/>
      <c r="I161" s="62"/>
      <c r="J161" s="63"/>
      <c r="K161" s="64"/>
      <c r="L161" s="175"/>
      <c r="M161" s="180"/>
      <c r="N161" s="65"/>
      <c r="O161" s="66"/>
      <c r="P161" s="63"/>
      <c r="Q161" s="67"/>
      <c r="R161" s="62"/>
      <c r="S161" s="61"/>
    </row>
    <row r="162" spans="1:19" ht="19.8" x14ac:dyDescent="0.4">
      <c r="A162" s="70"/>
      <c r="B162" s="70"/>
      <c r="C162" s="81"/>
      <c r="D162" s="175"/>
      <c r="E162" s="82"/>
      <c r="F162" s="59"/>
      <c r="G162" s="60"/>
      <c r="H162" s="61"/>
      <c r="I162" s="62"/>
      <c r="J162" s="63"/>
      <c r="K162" s="64"/>
      <c r="L162" s="175"/>
      <c r="M162" s="180"/>
      <c r="N162" s="65"/>
      <c r="O162" s="66"/>
      <c r="P162" s="63"/>
      <c r="Q162" s="67"/>
      <c r="R162" s="62"/>
      <c r="S162" s="61"/>
    </row>
    <row r="163" spans="1:19" ht="19.8" x14ac:dyDescent="0.4">
      <c r="A163" s="70"/>
      <c r="B163" s="70"/>
      <c r="C163" s="81"/>
      <c r="D163" s="175"/>
      <c r="E163" s="82"/>
      <c r="F163" s="59"/>
      <c r="G163" s="60"/>
      <c r="H163" s="61"/>
      <c r="I163" s="62"/>
      <c r="J163" s="63"/>
      <c r="K163" s="64"/>
      <c r="L163" s="175"/>
      <c r="M163" s="180"/>
      <c r="N163" s="65"/>
      <c r="O163" s="66"/>
      <c r="P163" s="63"/>
      <c r="Q163" s="67"/>
      <c r="R163" s="62"/>
      <c r="S163" s="61"/>
    </row>
    <row r="164" spans="1:19" ht="19.8" x14ac:dyDescent="0.4">
      <c r="A164" s="70"/>
      <c r="B164" s="70"/>
      <c r="C164" s="81"/>
      <c r="D164" s="175"/>
      <c r="E164" s="82"/>
      <c r="F164" s="59"/>
      <c r="G164" s="60"/>
      <c r="H164" s="61"/>
      <c r="I164" s="62"/>
      <c r="J164" s="63"/>
      <c r="K164" s="64"/>
      <c r="L164" s="175"/>
      <c r="M164" s="180"/>
      <c r="N164" s="65"/>
      <c r="O164" s="66"/>
      <c r="P164" s="63"/>
      <c r="Q164" s="67"/>
      <c r="R164" s="62"/>
      <c r="S164" s="61"/>
    </row>
    <row r="165" spans="1:19" ht="19.8" x14ac:dyDescent="0.4">
      <c r="A165" s="70"/>
      <c r="B165" s="70"/>
      <c r="C165" s="81"/>
      <c r="D165" s="175"/>
      <c r="E165" s="82"/>
      <c r="F165" s="59"/>
      <c r="G165" s="60"/>
      <c r="H165" s="61"/>
      <c r="I165" s="62"/>
      <c r="J165" s="63"/>
      <c r="K165" s="64"/>
      <c r="L165" s="175"/>
      <c r="M165" s="180"/>
      <c r="N165" s="65"/>
      <c r="O165" s="66"/>
      <c r="P165" s="63"/>
      <c r="Q165" s="67"/>
      <c r="R165" s="62"/>
      <c r="S165" s="61"/>
    </row>
    <row r="166" spans="1:19" ht="19.8" x14ac:dyDescent="0.4">
      <c r="A166" s="70"/>
      <c r="B166" s="70"/>
      <c r="C166" s="81"/>
      <c r="D166" s="175"/>
      <c r="E166" s="82"/>
      <c r="F166" s="59"/>
      <c r="G166" s="60"/>
      <c r="H166" s="61"/>
      <c r="I166" s="62"/>
      <c r="J166" s="63"/>
      <c r="K166" s="64"/>
      <c r="L166" s="175"/>
      <c r="M166" s="180"/>
      <c r="N166" s="65"/>
      <c r="O166" s="66"/>
      <c r="P166" s="63"/>
      <c r="Q166" s="67"/>
      <c r="R166" s="62"/>
      <c r="S166" s="61"/>
    </row>
    <row r="167" spans="1:19" ht="19.8" x14ac:dyDescent="0.4">
      <c r="A167" s="70"/>
      <c r="B167" s="70"/>
      <c r="C167" s="81"/>
      <c r="D167" s="175"/>
      <c r="E167" s="82"/>
      <c r="F167" s="59"/>
      <c r="G167" s="60"/>
      <c r="H167" s="61"/>
      <c r="I167" s="62"/>
      <c r="J167" s="63"/>
      <c r="K167" s="64"/>
      <c r="L167" s="175"/>
      <c r="M167" s="180"/>
      <c r="N167" s="65"/>
      <c r="O167" s="66"/>
      <c r="P167" s="63"/>
      <c r="Q167" s="67"/>
      <c r="R167" s="62"/>
      <c r="S167" s="61"/>
    </row>
    <row r="168" spans="1:19" ht="19.8" x14ac:dyDescent="0.4">
      <c r="A168" s="70"/>
      <c r="B168" s="70"/>
      <c r="C168" s="81"/>
      <c r="D168" s="175"/>
      <c r="E168" s="82"/>
      <c r="F168" s="59"/>
      <c r="G168" s="60"/>
      <c r="H168" s="61"/>
      <c r="I168" s="62"/>
      <c r="J168" s="63"/>
      <c r="K168" s="64"/>
      <c r="L168" s="175"/>
      <c r="M168" s="180"/>
      <c r="N168" s="65"/>
      <c r="O168" s="66"/>
      <c r="P168" s="63"/>
      <c r="Q168" s="67"/>
      <c r="R168" s="62"/>
      <c r="S168" s="61"/>
    </row>
    <row r="169" spans="1:19" ht="19.8" x14ac:dyDescent="0.4">
      <c r="A169" s="70"/>
      <c r="B169" s="70"/>
      <c r="C169" s="81"/>
      <c r="D169" s="175"/>
      <c r="E169" s="82"/>
      <c r="F169" s="59"/>
      <c r="G169" s="60"/>
      <c r="H169" s="61"/>
      <c r="I169" s="62"/>
      <c r="J169" s="63"/>
      <c r="K169" s="64"/>
      <c r="L169" s="175"/>
      <c r="M169" s="180"/>
      <c r="N169" s="65"/>
      <c r="O169" s="66"/>
      <c r="P169" s="63"/>
      <c r="Q169" s="67"/>
      <c r="R169" s="62"/>
      <c r="S169" s="61"/>
    </row>
    <row r="170" spans="1:19" ht="19.8" x14ac:dyDescent="0.4">
      <c r="A170" s="70"/>
      <c r="B170" s="70"/>
      <c r="C170" s="81"/>
      <c r="D170" s="175"/>
      <c r="E170" s="82"/>
      <c r="F170" s="59"/>
      <c r="G170" s="60"/>
      <c r="H170" s="61"/>
      <c r="I170" s="62"/>
      <c r="J170" s="63"/>
      <c r="K170" s="64"/>
      <c r="L170" s="175"/>
      <c r="M170" s="180"/>
      <c r="N170" s="65"/>
      <c r="O170" s="66"/>
      <c r="P170" s="63"/>
      <c r="Q170" s="67"/>
      <c r="R170" s="62"/>
      <c r="S170" s="61"/>
    </row>
    <row r="171" spans="1:19" ht="19.8" x14ac:dyDescent="0.4">
      <c r="A171" s="70"/>
      <c r="B171" s="70"/>
      <c r="C171" s="81"/>
      <c r="D171" s="175"/>
      <c r="E171" s="82"/>
      <c r="F171" s="59"/>
      <c r="G171" s="60"/>
      <c r="H171" s="61"/>
      <c r="I171" s="62"/>
      <c r="J171" s="63"/>
      <c r="K171" s="64"/>
      <c r="L171" s="175"/>
      <c r="M171" s="180"/>
      <c r="N171" s="65"/>
      <c r="O171" s="66"/>
      <c r="P171" s="63"/>
      <c r="Q171" s="67"/>
      <c r="R171" s="62"/>
      <c r="S171" s="61"/>
    </row>
    <row r="172" spans="1:19" ht="19.8" x14ac:dyDescent="0.4">
      <c r="A172" s="70"/>
      <c r="B172" s="70"/>
      <c r="C172" s="81"/>
      <c r="D172" s="175"/>
      <c r="E172" s="82"/>
      <c r="F172" s="59"/>
      <c r="G172" s="60"/>
      <c r="H172" s="61"/>
      <c r="I172" s="62"/>
      <c r="J172" s="63"/>
      <c r="K172" s="64"/>
      <c r="L172" s="175"/>
      <c r="M172" s="180"/>
      <c r="N172" s="65"/>
      <c r="O172" s="66"/>
      <c r="P172" s="63"/>
      <c r="Q172" s="67"/>
      <c r="R172" s="62"/>
      <c r="S172" s="61"/>
    </row>
    <row r="173" spans="1:19" ht="19.8" x14ac:dyDescent="0.4">
      <c r="A173" s="70"/>
      <c r="B173" s="70"/>
      <c r="C173" s="81"/>
      <c r="D173" s="175"/>
      <c r="E173" s="82"/>
      <c r="F173" s="59"/>
      <c r="G173" s="60"/>
      <c r="H173" s="61"/>
      <c r="I173" s="62"/>
      <c r="J173" s="63"/>
      <c r="K173" s="64"/>
      <c r="L173" s="175"/>
      <c r="M173" s="180"/>
      <c r="N173" s="65"/>
      <c r="O173" s="66"/>
      <c r="P173" s="63"/>
      <c r="Q173" s="67"/>
      <c r="R173" s="62"/>
      <c r="S173" s="61"/>
    </row>
    <row r="174" spans="1:19" ht="19.8" x14ac:dyDescent="0.4">
      <c r="A174" s="70"/>
      <c r="B174" s="70"/>
      <c r="C174" s="81"/>
      <c r="D174" s="175"/>
      <c r="E174" s="82"/>
      <c r="F174" s="59"/>
      <c r="G174" s="60"/>
      <c r="H174" s="61"/>
      <c r="I174" s="62"/>
      <c r="J174" s="63"/>
      <c r="K174" s="64"/>
      <c r="L174" s="175"/>
      <c r="M174" s="180"/>
      <c r="N174" s="65"/>
      <c r="O174" s="66"/>
      <c r="P174" s="63"/>
      <c r="Q174" s="67"/>
      <c r="R174" s="62"/>
      <c r="S174" s="61"/>
    </row>
    <row r="175" spans="1:19" ht="19.8" x14ac:dyDescent="0.4">
      <c r="A175" s="70"/>
      <c r="B175" s="70"/>
      <c r="C175" s="81"/>
      <c r="D175" s="175"/>
      <c r="E175" s="82"/>
      <c r="F175" s="59"/>
      <c r="G175" s="60"/>
      <c r="H175" s="61"/>
      <c r="I175" s="62"/>
      <c r="J175" s="63"/>
      <c r="K175" s="64"/>
      <c r="L175" s="175"/>
      <c r="M175" s="180"/>
      <c r="N175" s="65"/>
      <c r="O175" s="66"/>
      <c r="P175" s="63"/>
      <c r="Q175" s="67"/>
      <c r="R175" s="62"/>
      <c r="S175" s="61"/>
    </row>
    <row r="176" spans="1:19" ht="19.8" x14ac:dyDescent="0.4">
      <c r="A176" s="70"/>
      <c r="B176" s="70"/>
      <c r="C176" s="81"/>
      <c r="D176" s="175"/>
      <c r="E176" s="82"/>
      <c r="F176" s="59"/>
      <c r="G176" s="60"/>
      <c r="H176" s="61"/>
      <c r="I176" s="62"/>
      <c r="J176" s="63"/>
      <c r="K176" s="64"/>
      <c r="L176" s="175"/>
      <c r="M176" s="180"/>
      <c r="N176" s="65"/>
      <c r="O176" s="66"/>
      <c r="P176" s="63"/>
      <c r="Q176" s="67"/>
      <c r="R176" s="62"/>
      <c r="S176" s="61"/>
    </row>
    <row r="177" spans="1:19" ht="19.8" x14ac:dyDescent="0.4">
      <c r="A177" s="70"/>
      <c r="B177" s="70"/>
      <c r="C177" s="81"/>
      <c r="D177" s="175"/>
      <c r="E177" s="82"/>
      <c r="F177" s="59"/>
      <c r="G177" s="60"/>
      <c r="H177" s="61"/>
      <c r="I177" s="62"/>
      <c r="J177" s="63"/>
      <c r="K177" s="64"/>
      <c r="L177" s="175"/>
      <c r="M177" s="180"/>
      <c r="N177" s="65"/>
      <c r="O177" s="66"/>
      <c r="P177" s="63"/>
      <c r="Q177" s="67"/>
      <c r="R177" s="62"/>
      <c r="S177" s="61"/>
    </row>
    <row r="178" spans="1:19" ht="19.8" x14ac:dyDescent="0.4">
      <c r="A178" s="70"/>
      <c r="B178" s="70"/>
      <c r="C178" s="81"/>
      <c r="D178" s="175"/>
      <c r="E178" s="82"/>
      <c r="F178" s="59"/>
      <c r="G178" s="60"/>
      <c r="H178" s="61"/>
      <c r="I178" s="62"/>
      <c r="J178" s="63"/>
      <c r="K178" s="64"/>
      <c r="L178" s="175"/>
      <c r="M178" s="180"/>
      <c r="N178" s="65"/>
      <c r="O178" s="66"/>
      <c r="P178" s="63"/>
      <c r="Q178" s="67"/>
      <c r="R178" s="62"/>
      <c r="S178" s="61"/>
    </row>
    <row r="179" spans="1:19" ht="19.8" x14ac:dyDescent="0.4">
      <c r="A179" s="70"/>
      <c r="B179" s="70"/>
      <c r="C179" s="81"/>
      <c r="D179" s="175"/>
      <c r="E179" s="82"/>
      <c r="F179" s="59"/>
      <c r="G179" s="60"/>
      <c r="H179" s="61"/>
      <c r="I179" s="62"/>
      <c r="J179" s="63"/>
      <c r="K179" s="64"/>
      <c r="L179" s="175"/>
      <c r="M179" s="180"/>
      <c r="N179" s="65"/>
      <c r="O179" s="66"/>
      <c r="P179" s="63"/>
      <c r="Q179" s="67"/>
      <c r="R179" s="62"/>
      <c r="S179" s="61"/>
    </row>
    <row r="180" spans="1:19" ht="19.8" x14ac:dyDescent="0.4">
      <c r="A180" s="70"/>
      <c r="B180" s="70"/>
      <c r="C180" s="81"/>
      <c r="D180" s="175"/>
      <c r="E180" s="82"/>
      <c r="F180" s="59"/>
      <c r="G180" s="60"/>
      <c r="H180" s="61"/>
      <c r="I180" s="62"/>
      <c r="J180" s="63"/>
      <c r="K180" s="64"/>
      <c r="L180" s="175"/>
      <c r="M180" s="180"/>
      <c r="N180" s="65"/>
      <c r="O180" s="66"/>
      <c r="P180" s="63"/>
      <c r="Q180" s="67"/>
      <c r="R180" s="62"/>
      <c r="S180" s="61"/>
    </row>
    <row r="181" spans="1:19" ht="19.8" x14ac:dyDescent="0.4">
      <c r="A181" s="70"/>
      <c r="B181" s="70"/>
      <c r="C181" s="81"/>
      <c r="D181" s="175"/>
      <c r="E181" s="82"/>
      <c r="F181" s="59"/>
      <c r="G181" s="60"/>
      <c r="H181" s="61"/>
      <c r="I181" s="62"/>
      <c r="J181" s="63"/>
      <c r="K181" s="64"/>
      <c r="L181" s="175"/>
      <c r="M181" s="180"/>
      <c r="N181" s="65"/>
      <c r="O181" s="66"/>
      <c r="P181" s="63"/>
      <c r="Q181" s="67"/>
      <c r="R181" s="62"/>
      <c r="S181" s="61"/>
    </row>
    <row r="182" spans="1:19" ht="19.8" x14ac:dyDescent="0.4">
      <c r="A182" s="70"/>
      <c r="B182" s="70"/>
      <c r="C182" s="81"/>
      <c r="D182" s="175"/>
      <c r="E182" s="82"/>
      <c r="F182" s="59"/>
      <c r="G182" s="60"/>
      <c r="H182" s="61"/>
      <c r="I182" s="62"/>
      <c r="J182" s="63"/>
      <c r="K182" s="64"/>
      <c r="L182" s="175"/>
      <c r="M182" s="180"/>
      <c r="N182" s="65"/>
      <c r="O182" s="66"/>
      <c r="P182" s="63"/>
      <c r="Q182" s="67"/>
      <c r="R182" s="62"/>
      <c r="S182" s="61"/>
    </row>
    <row r="183" spans="1:19" ht="19.8" x14ac:dyDescent="0.4">
      <c r="A183" s="70"/>
      <c r="B183" s="70"/>
      <c r="C183" s="81"/>
      <c r="D183" s="175"/>
      <c r="E183" s="82"/>
      <c r="F183" s="59"/>
      <c r="G183" s="60"/>
      <c r="H183" s="61"/>
      <c r="I183" s="62"/>
      <c r="J183" s="63"/>
      <c r="K183" s="64"/>
      <c r="L183" s="175"/>
      <c r="M183" s="180"/>
      <c r="N183" s="65"/>
      <c r="O183" s="66"/>
      <c r="P183" s="63"/>
      <c r="Q183" s="67"/>
      <c r="R183" s="62"/>
      <c r="S183" s="61"/>
    </row>
    <row r="184" spans="1:19" ht="19.8" x14ac:dyDescent="0.4">
      <c r="A184" s="70"/>
      <c r="B184" s="70"/>
      <c r="C184" s="81"/>
      <c r="D184" s="175"/>
      <c r="E184" s="82"/>
      <c r="F184" s="59"/>
      <c r="G184" s="60"/>
      <c r="H184" s="61"/>
      <c r="I184" s="62"/>
      <c r="J184" s="63"/>
      <c r="K184" s="64"/>
      <c r="L184" s="175"/>
      <c r="M184" s="180"/>
      <c r="N184" s="65"/>
      <c r="O184" s="66"/>
      <c r="P184" s="63"/>
      <c r="Q184" s="67"/>
      <c r="R184" s="62"/>
      <c r="S184" s="61"/>
    </row>
    <row r="185" spans="1:19" ht="20.399999999999999" thickBot="1" x14ac:dyDescent="0.45">
      <c r="A185" s="70"/>
      <c r="B185" s="70"/>
      <c r="C185" s="81"/>
      <c r="D185" s="176"/>
      <c r="E185" s="82"/>
      <c r="F185" s="59"/>
      <c r="G185" s="60"/>
      <c r="H185" s="61"/>
      <c r="I185" s="62"/>
      <c r="J185" s="63"/>
      <c r="K185" s="64"/>
      <c r="L185" s="176"/>
      <c r="M185" s="180"/>
      <c r="N185" s="65"/>
      <c r="O185" s="66"/>
      <c r="P185" s="63"/>
      <c r="Q185" s="67"/>
      <c r="R185" s="62"/>
      <c r="S185" s="61"/>
    </row>
  </sheetData>
  <mergeCells count="5">
    <mergeCell ref="A1:D1"/>
    <mergeCell ref="E1:K1"/>
    <mergeCell ref="M1:S1"/>
    <mergeCell ref="E2:K2"/>
    <mergeCell ref="M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1317-4F2F-499E-95F4-2130A86F7887}">
  <dimension ref="A1:AR986"/>
  <sheetViews>
    <sheetView workbookViewId="0">
      <selection activeCell="U10" sqref="U10"/>
    </sheetView>
  </sheetViews>
  <sheetFormatPr defaultRowHeight="14.4" x14ac:dyDescent="0.3"/>
  <cols>
    <col min="6" max="6" width="35.5546875" customWidth="1"/>
  </cols>
  <sheetData>
    <row r="1" spans="1:44" ht="15" thickBot="1" x14ac:dyDescent="0.35">
      <c r="A1" t="s">
        <v>35</v>
      </c>
      <c r="B1" t="s">
        <v>0</v>
      </c>
      <c r="C1" t="s">
        <v>1</v>
      </c>
      <c r="D1" t="s">
        <v>2</v>
      </c>
      <c r="E1" s="146" t="s">
        <v>79</v>
      </c>
      <c r="F1" s="146" t="s">
        <v>97</v>
      </c>
      <c r="G1" t="s">
        <v>5</v>
      </c>
      <c r="H1" t="s">
        <v>6</v>
      </c>
      <c r="I1" s="29" t="s">
        <v>36</v>
      </c>
      <c r="J1" s="30" t="s">
        <v>25</v>
      </c>
      <c r="K1" s="31" t="s">
        <v>23</v>
      </c>
      <c r="L1" s="32" t="s">
        <v>24</v>
      </c>
      <c r="M1" s="33" t="s">
        <v>22</v>
      </c>
      <c r="N1" s="34" t="s">
        <v>29</v>
      </c>
      <c r="O1" s="35" t="s">
        <v>27</v>
      </c>
      <c r="P1" t="s">
        <v>7</v>
      </c>
      <c r="Q1" t="s">
        <v>8</v>
      </c>
      <c r="R1" s="36" t="s">
        <v>20</v>
      </c>
      <c r="S1" s="37" t="s">
        <v>26</v>
      </c>
      <c r="T1" s="38" t="s">
        <v>18</v>
      </c>
      <c r="U1" s="39" t="s">
        <v>28</v>
      </c>
      <c r="V1" s="40" t="s">
        <v>39</v>
      </c>
      <c r="W1" s="41" t="s">
        <v>30</v>
      </c>
      <c r="X1" s="42" t="s">
        <v>38</v>
      </c>
      <c r="Y1" t="s">
        <v>9</v>
      </c>
      <c r="Z1" t="s">
        <v>10</v>
      </c>
      <c r="AA1" t="s">
        <v>32</v>
      </c>
      <c r="AC1" s="146" t="s">
        <v>103</v>
      </c>
      <c r="AD1" s="84"/>
      <c r="AE1" s="83"/>
    </row>
    <row r="2" spans="1:44" ht="15.6" thickTop="1" thickBot="1" x14ac:dyDescent="0.35">
      <c r="Y2" s="230"/>
      <c r="AA2" s="230"/>
      <c r="AC2" s="85" t="s">
        <v>64</v>
      </c>
      <c r="AD2" s="86" t="s">
        <v>53</v>
      </c>
      <c r="AE2" s="87" t="s">
        <v>147</v>
      </c>
      <c r="AF2" s="88" t="s">
        <v>148</v>
      </c>
      <c r="AG2" s="89" t="s">
        <v>149</v>
      </c>
      <c r="AH2" s="90" t="s">
        <v>150</v>
      </c>
      <c r="AI2" s="91" t="s">
        <v>65</v>
      </c>
      <c r="AJ2" s="91" t="s">
        <v>66</v>
      </c>
      <c r="AK2" s="91" t="s">
        <v>67</v>
      </c>
      <c r="AL2" s="92" t="s">
        <v>68</v>
      </c>
      <c r="AM2" s="92" t="s">
        <v>69</v>
      </c>
      <c r="AN2" s="92" t="s">
        <v>70</v>
      </c>
      <c r="AO2" s="93" t="s">
        <v>71</v>
      </c>
      <c r="AP2" s="93" t="s">
        <v>72</v>
      </c>
      <c r="AQ2" t="s">
        <v>98</v>
      </c>
      <c r="AR2" t="s">
        <v>99</v>
      </c>
    </row>
    <row r="3" spans="1:44" ht="15.6" thickTop="1" thickBot="1" x14ac:dyDescent="0.35">
      <c r="AA3" s="230"/>
      <c r="AC3" s="94">
        <v>4</v>
      </c>
      <c r="AD3" s="95">
        <f>COUNTIFS(Table1[Gluten Free], "", Table1[Size], "4", Table1[Meals], "*red*")</f>
        <v>0</v>
      </c>
      <c r="AE3" s="87">
        <f>COUNTIFS(Table1[Gluten Free], "", Table1[Size], "4", Table1[Meals], "*teal*")</f>
        <v>0</v>
      </c>
      <c r="AF3" s="88">
        <f>COUNTIFS(Table1[Gluten Free], "", Table1[Size], "4", Table1[Meals], "*green*")</f>
        <v>0</v>
      </c>
      <c r="AG3" s="89">
        <f>COUNTIFS(Table1[Gluten Free], "", Table1[Size], "4", Table1[Meals], "*yellow*")</f>
        <v>0</v>
      </c>
      <c r="AH3" s="90">
        <f>COUNTIFS(Table1[Gluten Free], "", Table1[Size], "4", Table1[Meals], "*blue*")</f>
        <v>0</v>
      </c>
      <c r="AI3" s="91">
        <f>COUNTIFS(Table1[Gluten Free], "", Table1[Size], "4", Table1[Meals], "*B-Tacos*")</f>
        <v>0</v>
      </c>
      <c r="AJ3" s="91">
        <f>COUNTIFS(Table1[Gluten Free], "", Table1[Size], "4", Table1[Meals], "*T-Tacos*")</f>
        <v>0</v>
      </c>
      <c r="AK3" s="91">
        <f>COUNTIFS(Table1[Gluten Free], "", Table1[Size], "4", Table1[Meals], "*V-Tacos*")</f>
        <v>0</v>
      </c>
      <c r="AL3" s="92">
        <f>COUNTIFS(Table1[Gluten Free], "", Table1[Size], "4", Table1[Meals], "*B-Burg*")</f>
        <v>0</v>
      </c>
      <c r="AM3" s="92">
        <f>COUNTIFS(Table1[Gluten Free], "", Table1[Size], "4", Table1[Meals], "*T-Burg*")</f>
        <v>0</v>
      </c>
      <c r="AN3" s="92">
        <f>COUNTIFS(Table1[Gluten Free], "", Table1[Size], "4", Table1[Meals], "*V-Burg*")</f>
        <v>0</v>
      </c>
      <c r="AO3" s="93">
        <f>AR3-AP3</f>
        <v>0</v>
      </c>
      <c r="AP3" s="93">
        <f>COUNTIFS(Table1[Gluten Free], "", Table1[Size], "4", Table1[Meals], "*V-Pizza*")</f>
        <v>0</v>
      </c>
      <c r="AR3">
        <f>COUNTIFS(Table1[Gluten Free], "", Table1[Size], "4", Table1[Meals], "*Pizza*")</f>
        <v>0</v>
      </c>
    </row>
    <row r="4" spans="1:44" ht="15.6" thickTop="1" thickBot="1" x14ac:dyDescent="0.35">
      <c r="AA4" s="230"/>
      <c r="AC4" s="96">
        <v>3</v>
      </c>
      <c r="AD4" s="86">
        <f>COUNTIFS(Table1[Gluten Free], "", Table1[Size], "3", Table1[Meals], "*red*")</f>
        <v>0</v>
      </c>
      <c r="AE4" s="87">
        <f>COUNTIFS(Table1[Gluten Free], "", Table1[Size], "3", Table1[Meals], "*teal*")</f>
        <v>0</v>
      </c>
      <c r="AF4" s="88">
        <f>COUNTIFS(Table1[Gluten Free], "", Table1[Size], "3", Table1[Meals], "*green*")</f>
        <v>0</v>
      </c>
      <c r="AG4" s="89">
        <f>COUNTIFS(Table1[Gluten Free], "", Table1[Size], "3", Table1[Meals], "*yellow*")</f>
        <v>0</v>
      </c>
      <c r="AH4" s="90">
        <f>COUNTIFS(Table1[Gluten Free], "", Table1[Size], "3", Table1[Meals], "*blue*")</f>
        <v>0</v>
      </c>
      <c r="AI4" s="91">
        <f>COUNTIFS(Table1[Gluten Free], "", Table1[Size], "3", Table1[Meals], "*B-Tacos*")</f>
        <v>0</v>
      </c>
      <c r="AJ4" s="91">
        <f>COUNTIFS(Table1[Gluten Free], "", Table1[Size], "3", Table1[Meals], "*T-Tacos*")</f>
        <v>0</v>
      </c>
      <c r="AK4" s="91">
        <f>COUNTIFS(Table1[Gluten Free], "", Table1[Size], "3", Table1[Meals], "*V-Tacos*")</f>
        <v>0</v>
      </c>
      <c r="AL4" s="92">
        <f>COUNTIFS(Table1[Gluten Free], "", Table1[Size], "3", Table1[Meals], "*B-Burg*")</f>
        <v>0</v>
      </c>
      <c r="AM4" s="92">
        <f>COUNTIFS(Table1[Gluten Free], "", Table1[Size], "3", Table1[Meals], "*T-Burg*")</f>
        <v>0</v>
      </c>
      <c r="AN4" s="92">
        <f>COUNTIFS(Table1[Gluten Free], "", Table1[Size], "3", Table1[Meals], "*V-Burg*")</f>
        <v>0</v>
      </c>
      <c r="AO4" s="93">
        <f>AR4-AP4</f>
        <v>0</v>
      </c>
      <c r="AP4" s="93">
        <f>COUNTIFS(Table1[Gluten Free], "", Table1[Size], "3", Table1[Meals], "*V-Pizza*")</f>
        <v>0</v>
      </c>
      <c r="AR4">
        <f>COUNTIFS(Table1[Gluten Free], "", Table1[Size], "3", Table1[Meals], "*Pizza*")</f>
        <v>0</v>
      </c>
    </row>
    <row r="5" spans="1:44" ht="15.6" thickTop="1" thickBot="1" x14ac:dyDescent="0.35">
      <c r="Y5" s="230"/>
      <c r="AA5" s="230"/>
      <c r="AC5" s="97">
        <v>2</v>
      </c>
      <c r="AD5" s="86">
        <f>COUNTIFS(Table1[Gluten Free], "", Table1[Size], "2", Table1[Meals], "*red*")</f>
        <v>0</v>
      </c>
      <c r="AE5" s="87">
        <f>COUNTIFS(Table1[Gluten Free], "", Table1[Size], "2", Table1[Meals], "*teal*")</f>
        <v>0</v>
      </c>
      <c r="AF5" s="88">
        <f>COUNTIFS(Table1[Gluten Free], "", Table1[Size], "2", Table1[Meals], "*green*")</f>
        <v>0</v>
      </c>
      <c r="AG5" s="89">
        <f>COUNTIFS(Table1[Gluten Free], "", Table1[Size], "2", Table1[Meals], "*yellow*")</f>
        <v>0</v>
      </c>
      <c r="AH5" s="90">
        <f>COUNTIFS(Table1[Gluten Free], "", Table1[Size], "2", Table1[Meals], "*blue*")</f>
        <v>0</v>
      </c>
      <c r="AI5" s="91">
        <f>COUNTIFS(Table1[Gluten Free], "", Table1[Size], "2", Table1[Meals], "*B-Tacos*")</f>
        <v>0</v>
      </c>
      <c r="AJ5" s="91">
        <f>COUNTIFS(Table1[Gluten Free], "", Table1[Size], "2", Table1[Meals], "*T-Tacos*")</f>
        <v>0</v>
      </c>
      <c r="AK5" s="91">
        <f>COUNTIFS(Table1[Gluten Free], "", Table1[Size], "2", Table1[Meals], "*V-Tacos*")</f>
        <v>0</v>
      </c>
      <c r="AL5" s="92">
        <f>COUNTIFS(Table1[Gluten Free], "", Table1[Size], "2", Table1[Meals], "*B-Burg*")</f>
        <v>0</v>
      </c>
      <c r="AM5" s="92">
        <f>COUNTIFS(Table1[Gluten Free], "", Table1[Size], "2", Table1[Meals], "*T-Burg*")</f>
        <v>0</v>
      </c>
      <c r="AN5" s="92">
        <f>COUNTIFS(Table1[Gluten Free], "", Table1[Size], "2", Table1[Meals], "*V-Burg*")</f>
        <v>0</v>
      </c>
      <c r="AO5" s="93">
        <f>AR5-AP5</f>
        <v>0</v>
      </c>
      <c r="AP5" s="93">
        <f>COUNTIFS(Table1[Gluten Free], "", Table1[Size], "2", Table1[Meals], "*V-Pizza*")</f>
        <v>0</v>
      </c>
      <c r="AR5">
        <f>COUNTIFS(Table1[Gluten Free], "", Table1[Size], "2", Table1[Meals], "*Pizza*")</f>
        <v>0</v>
      </c>
    </row>
    <row r="6" spans="1:44" ht="15.6" thickTop="1" thickBot="1" x14ac:dyDescent="0.35">
      <c r="AA6" s="230"/>
      <c r="AC6" s="98">
        <v>1</v>
      </c>
      <c r="AD6" s="86">
        <f>COUNTIFS(Table1[Gluten Free], "", Table1[Size], "1", Table1[Meals], "*red*")</f>
        <v>0</v>
      </c>
      <c r="AE6" s="87">
        <f>COUNTIFS(Table1[Gluten Free], "", Table1[Size], "1", Table1[Meals], "*teal*")</f>
        <v>0</v>
      </c>
      <c r="AF6" s="88">
        <f>COUNTIFS(Table1[Gluten Free], "", Table1[Size], "1", Table1[Meals], "*green*")</f>
        <v>0</v>
      </c>
      <c r="AG6" s="89">
        <f>COUNTIFS(Table1[Gluten Free], "", Table1[Size], "1", Table1[Meals], "*yellow*")</f>
        <v>0</v>
      </c>
      <c r="AH6" s="90">
        <f>COUNTIFS(Table1[Gluten Free], "", Table1[Size], "1", Table1[Meals], "*blue*")</f>
        <v>0</v>
      </c>
      <c r="AI6" s="91">
        <f>COUNTIFS(Table1[Gluten Free], "", Table1[Size], "1", Table1[Meals], "*B-Tacos*")</f>
        <v>0</v>
      </c>
      <c r="AJ6" s="91">
        <f>COUNTIFS(Table1[Gluten Free], "", Table1[Size], "1", Table1[Meals], "*T-Tacos*")</f>
        <v>0</v>
      </c>
      <c r="AK6" s="91">
        <f>COUNTIFS(Table1[Gluten Free], "", Table1[Size], "1", Table1[Meals], "*V-Tacos*")</f>
        <v>0</v>
      </c>
      <c r="AL6" s="92">
        <f>COUNTIFS(Table1[Gluten Free], "", Table1[Size], "1", Table1[Meals], "*B-Burg*")</f>
        <v>0</v>
      </c>
      <c r="AM6" s="92">
        <f>COUNTIFS(Table1[Gluten Free], "", Table1[Size], "1", Table1[Meals], "*T-Burg*")</f>
        <v>0</v>
      </c>
      <c r="AN6" s="92">
        <f>COUNTIFS(Table1[Gluten Free], "", Table1[Size], "1", Table1[Meals], "*V-Burg*")</f>
        <v>0</v>
      </c>
      <c r="AO6" s="93">
        <f>AR6-AP6</f>
        <v>0</v>
      </c>
      <c r="AP6" s="93">
        <f>COUNTIFS(Table1[Gluten Free], "", Table1[Size], "1", Table1[Meals], "*V-Pizza*")</f>
        <v>0</v>
      </c>
      <c r="AR6">
        <f>COUNTIFS(Table1[Gluten Free], "", Table1[Size], "1", Table1[Meals], "*Pizza*")</f>
        <v>0</v>
      </c>
    </row>
    <row r="7" spans="1:44" ht="15.6" thickTop="1" thickBot="1" x14ac:dyDescent="0.35">
      <c r="B7" s="230"/>
      <c r="C7" s="230"/>
      <c r="D7" s="230"/>
      <c r="F7" s="230"/>
      <c r="Y7" s="230"/>
      <c r="AA7" s="230"/>
      <c r="AC7" s="99">
        <v>0</v>
      </c>
      <c r="AD7" s="86">
        <f>COUNTIFS(Table1[Gluten Free], "", Table1[Size], "0", Table1[Meals], "*red*")</f>
        <v>0</v>
      </c>
      <c r="AE7" s="87">
        <f>COUNTIFS(Table1[Gluten Free], "", Table1[Size], "0", Table1[Meals], "*teal*")</f>
        <v>0</v>
      </c>
      <c r="AF7" s="88">
        <f>COUNTIFS(Table1[Gluten Free], "", Table1[Size], "0", Table1[Meals], "*green*")</f>
        <v>0</v>
      </c>
      <c r="AG7" s="89">
        <f>COUNTIFS(Table1[Gluten Free], "", Table1[Size], "0", Table1[Meals], "*yellow*")</f>
        <v>0</v>
      </c>
      <c r="AH7" s="90">
        <f>COUNTIFS(Table1[Gluten Free], "", Table1[Size], "0", Table1[Meals], "*blue*")</f>
        <v>0</v>
      </c>
      <c r="AI7" s="91">
        <f>COUNTIFS(Table1[Gluten Free], "", Table1[Size], "0", Table1[Meals], "*B-Tacos*")</f>
        <v>0</v>
      </c>
      <c r="AJ7" s="91">
        <f>COUNTIFS(Table1[Gluten Free], "", Table1[Size], "0", Table1[Meals], "*T-Tacos*")</f>
        <v>0</v>
      </c>
      <c r="AK7" s="91">
        <f>COUNTIFS(Table1[Gluten Free], "", Table1[Size], "0", Table1[Meals], "*V-Tacos*")</f>
        <v>0</v>
      </c>
      <c r="AL7" s="100">
        <f>COUNTIFS(Table1[Gluten Free], "", Table1[Size], "0", Table1[Meals], "*B-Burg*")</f>
        <v>0</v>
      </c>
      <c r="AM7" s="100">
        <f>COUNTIFS(Table1[Gluten Free], "", Table1[Size], "0", Table1[Meals], "*T-Burg*")</f>
        <v>0</v>
      </c>
      <c r="AN7" s="100">
        <f>COUNTIFS(Table1[Gluten Free], "", Table1[Size], "0", Table1[Meals], "*V-Burg*")</f>
        <v>0</v>
      </c>
      <c r="AO7" s="93">
        <f>AR7-AP7</f>
        <v>0</v>
      </c>
      <c r="AP7" s="93">
        <f>COUNTIFS(Table1[Gluten Free], "", Table1[Size], "0", Table1[Meals], "*V-Pizza*")</f>
        <v>0</v>
      </c>
      <c r="AR7">
        <f>COUNTIFS(Table1[Gluten Free], "", Table1[Size], "0", Table1[Meals], "*Pizza*")</f>
        <v>0</v>
      </c>
    </row>
    <row r="8" spans="1:44" ht="15.6" thickTop="1" thickBot="1" x14ac:dyDescent="0.35">
      <c r="B8" s="237"/>
      <c r="D8" s="230"/>
      <c r="F8" s="230"/>
      <c r="Z8" s="230"/>
      <c r="AA8" s="230"/>
      <c r="AC8" s="101" t="s">
        <v>73</v>
      </c>
      <c r="AD8" s="102">
        <f t="shared" ref="AD8:AN8" si="0">SUM(AD3:AD7)</f>
        <v>0</v>
      </c>
      <c r="AE8" s="103">
        <f t="shared" si="0"/>
        <v>0</v>
      </c>
      <c r="AF8" s="104">
        <f t="shared" si="0"/>
        <v>0</v>
      </c>
      <c r="AG8" s="105">
        <f t="shared" si="0"/>
        <v>0</v>
      </c>
      <c r="AH8" s="106">
        <f t="shared" si="0"/>
        <v>0</v>
      </c>
      <c r="AI8" s="107">
        <f t="shared" si="0"/>
        <v>0</v>
      </c>
      <c r="AJ8" s="107">
        <f t="shared" si="0"/>
        <v>0</v>
      </c>
      <c r="AK8" s="107">
        <f t="shared" si="0"/>
        <v>0</v>
      </c>
      <c r="AL8" s="108">
        <f t="shared" si="0"/>
        <v>0</v>
      </c>
      <c r="AM8" s="108">
        <f t="shared" si="0"/>
        <v>0</v>
      </c>
      <c r="AN8" s="108">
        <f t="shared" si="0"/>
        <v>0</v>
      </c>
      <c r="AO8" s="93">
        <f>SUM(AO3:AO7)</f>
        <v>0</v>
      </c>
      <c r="AP8" s="93">
        <f t="shared" ref="AP8" si="1">SUM(AP3:AP7)</f>
        <v>0</v>
      </c>
      <c r="AR8">
        <f>SUM(AR3:AR7)</f>
        <v>0</v>
      </c>
    </row>
    <row r="9" spans="1:44" ht="15.6" thickTop="1" thickBot="1" x14ac:dyDescent="0.35">
      <c r="Z9" s="230"/>
      <c r="AA9" s="230"/>
      <c r="AC9" s="110" t="s">
        <v>74</v>
      </c>
      <c r="AD9" s="111"/>
      <c r="AE9" s="111"/>
      <c r="AF9" s="111"/>
      <c r="AG9" s="111"/>
      <c r="AH9" s="111"/>
      <c r="AI9" s="111"/>
      <c r="AJ9" s="111"/>
      <c r="AK9" s="111"/>
      <c r="AL9" s="112"/>
      <c r="AM9" s="112"/>
      <c r="AN9" s="112"/>
      <c r="AO9" s="93"/>
      <c r="AP9" s="93"/>
    </row>
    <row r="10" spans="1:44" ht="15.6" thickTop="1" thickBot="1" x14ac:dyDescent="0.35">
      <c r="Z10" s="230"/>
      <c r="AA10" s="230"/>
      <c r="AC10" s="94">
        <v>4</v>
      </c>
      <c r="AD10" s="86">
        <f>COUNTIFS(Table1[Gluten Free], "gluten free", Table1[Size], "4", Table1[Meals], "*red*")</f>
        <v>0</v>
      </c>
      <c r="AE10" s="87">
        <f>COUNTIFS(Table1[Gluten Free], "gluten free", Table1[Size], "4", Table1[Meals], "*teal*")</f>
        <v>0</v>
      </c>
      <c r="AF10" s="88">
        <f>COUNTIFS(Table1[Gluten Free], "gluten free", Table1[Size], "4", Table1[Meals], "*green*")</f>
        <v>0</v>
      </c>
      <c r="AG10" s="89">
        <f>COUNTIFS(Table1[Gluten Free], "gluten free", Table1[Size], "4", Table1[Meals], "*yellow*")</f>
        <v>0</v>
      </c>
      <c r="AH10" s="90">
        <f>COUNTIFS(Table1[Gluten Free], "gluten free", Table1[Size], "4", Table1[Meals], "*blue*")</f>
        <v>0</v>
      </c>
      <c r="AI10" s="91">
        <f>COUNTIFS(Table1[Gluten Free], "gluten free", Table1[Size], "4", Table1[Meals], "*B-Tacos*")</f>
        <v>0</v>
      </c>
      <c r="AJ10" s="91">
        <f>COUNTIFS(Table1[Gluten Free], "gluten free", Table1[Size], "4", Table1[Meals], "*T-Tacos*")</f>
        <v>0</v>
      </c>
      <c r="AK10" s="91">
        <f>COUNTIFS(Table1[Gluten Free], "gluten free", Table1[Size], "4", Table1[Meals], "*V-Tacos*")</f>
        <v>0</v>
      </c>
      <c r="AL10" s="92">
        <f>COUNTIFS(Table1[Gluten Free], "gluten free", Table1[Size], "4", Table1[Meals], "*B-Burg*")</f>
        <v>0</v>
      </c>
      <c r="AM10" s="92">
        <f>COUNTIFS(Table1[Gluten Free], "gluten free", Table1[Size], "4", Table1[Meals], "*T-Burg*")</f>
        <v>0</v>
      </c>
      <c r="AN10" s="92">
        <f>COUNTIFS(Table1[Gluten Free], "gluten free", Table1[Size], "4", Table1[Meals], "*V-Burg*")</f>
        <v>0</v>
      </c>
      <c r="AO10" s="93">
        <f>AR10-AP10</f>
        <v>0</v>
      </c>
      <c r="AP10" s="93">
        <f>COUNTIFS(Table1[Gluten Free], "gluten free", Table1[Size], "4", Table1[Meals], "*V-Pizza*")</f>
        <v>0</v>
      </c>
      <c r="AR10">
        <f>COUNTIFS(Table1[Gluten Free], "gluten free", Table1[Size], "4", Table1[Meals], "*Pizza*")</f>
        <v>0</v>
      </c>
    </row>
    <row r="11" spans="1:44" ht="15.6" thickTop="1" thickBot="1" x14ac:dyDescent="0.35">
      <c r="AA11" s="230"/>
      <c r="AC11" s="96">
        <v>3</v>
      </c>
      <c r="AD11" s="86">
        <f>COUNTIFS(Table1[Gluten Free], "gluten free", Table1[Size], "3", Table1[Meals], "*red*")</f>
        <v>0</v>
      </c>
      <c r="AE11" s="87">
        <f>COUNTIFS(Table1[Gluten Free], "gluten free", Table1[Size], "3", Table1[Meals], "*teal*")</f>
        <v>0</v>
      </c>
      <c r="AF11" s="88">
        <f>COUNTIFS(Table1[Gluten Free], "gluten free", Table1[Size], "3", Table1[Meals], "*green*")</f>
        <v>0</v>
      </c>
      <c r="AG11" s="89">
        <f>COUNTIFS(Table1[Gluten Free], "gluten free", Table1[Size], "3", Table1[Meals], "*yellow*")</f>
        <v>0</v>
      </c>
      <c r="AH11" s="90">
        <f>COUNTIFS(Table1[Gluten Free], "gluten free", Table1[Size], "3", Table1[Meals], "*blue*")</f>
        <v>0</v>
      </c>
      <c r="AI11" s="91">
        <f>COUNTIFS(Table1[Gluten Free], "gluten free", Table1[Size], "3", Table1[Meals], "*B-Tacos*")</f>
        <v>0</v>
      </c>
      <c r="AJ11" s="91">
        <f>COUNTIFS(Table1[Gluten Free], "gluten free", Table1[Size], "3", Table1[Meals], "*T-Tacos*")</f>
        <v>0</v>
      </c>
      <c r="AK11" s="91">
        <f>COUNTIFS(Table1[Gluten Free], "gluten free", Table1[Size], "3", Table1[Meals], "*V-Tacos*")</f>
        <v>0</v>
      </c>
      <c r="AL11" s="92">
        <f>COUNTIFS(Table1[Gluten Free], "gluten free", Table1[Size], "3", Table1[Meals], "*B-Burg*")</f>
        <v>0</v>
      </c>
      <c r="AM11" s="92">
        <f>COUNTIFS(Table1[Gluten Free], "gluten free", Table1[Size], "3", Table1[Meals], "*T-Burg*")</f>
        <v>0</v>
      </c>
      <c r="AN11" s="92">
        <f>COUNTIFS(Table1[Gluten Free], "gluten free", Table1[Size], "3", Table1[Meals], "*V-Burg*")</f>
        <v>0</v>
      </c>
      <c r="AO11" s="93">
        <f>AR11-AP11</f>
        <v>0</v>
      </c>
      <c r="AP11" s="93">
        <f>COUNTIFS(Table1[Gluten Free], "gluten free", Table1[Size], "3", Table1[Meals], "*V-Pizza*")</f>
        <v>0</v>
      </c>
      <c r="AR11">
        <f>COUNTIFS(Table1[Gluten Free], "gluten free", Table1[Size], "3", Table1[Meals], "*Pizza*")</f>
        <v>0</v>
      </c>
    </row>
    <row r="12" spans="1:44" ht="15.6" thickTop="1" thickBot="1" x14ac:dyDescent="0.35">
      <c r="AA12" s="230"/>
      <c r="AC12" s="97">
        <v>2</v>
      </c>
      <c r="AD12" s="86">
        <f>COUNTIFS(Table1[Gluten Free], "gluten free", Table1[Size], "2", Table1[Meals], "*red*")</f>
        <v>0</v>
      </c>
      <c r="AE12" s="87">
        <f>COUNTIFS(Table1[Gluten Free], "gluten free", Table1[Size], "2", Table1[Meals], "*teal*")</f>
        <v>0</v>
      </c>
      <c r="AF12" s="88">
        <f>COUNTIFS(Table1[Gluten Free], "gluten free", Table1[Size], "2", Table1[Meals], "*green*")</f>
        <v>0</v>
      </c>
      <c r="AG12" s="89">
        <f>COUNTIFS(Table1[Gluten Free], "gluten free", Table1[Size], "2", Table1[Meals], "*yellow*")</f>
        <v>0</v>
      </c>
      <c r="AH12" s="90">
        <f>COUNTIFS(Table1[Gluten Free], "gluten free", Table1[Size], "2", Table1[Meals], "*blue*")</f>
        <v>0</v>
      </c>
      <c r="AI12" s="91">
        <f>COUNTIFS(Table1[Gluten Free], "gluten free", Table1[Size], "2", Table1[Meals], "*B-Tacos*")</f>
        <v>0</v>
      </c>
      <c r="AJ12" s="91">
        <f>COUNTIFS(Table1[Gluten Free], "gluten free", Table1[Size], "2", Table1[Meals], "*T-Tacos*")</f>
        <v>0</v>
      </c>
      <c r="AK12" s="91">
        <f>COUNTIFS(Table1[Gluten Free], "gluten free", Table1[Size], "2", Table1[Meals], "*V-Tacos*")</f>
        <v>0</v>
      </c>
      <c r="AL12" s="92">
        <f>COUNTIFS(Table1[Gluten Free], "gluten free", Table1[Size], "2", Table1[Meals], "*B-Burg*")</f>
        <v>0</v>
      </c>
      <c r="AM12" s="92">
        <f>COUNTIFS(Table1[Gluten Free], "gluten free", Table1[Size], "2", Table1[Meals], "*T-Burg*")</f>
        <v>0</v>
      </c>
      <c r="AN12" s="92">
        <f>COUNTIFS(Table1[Gluten Free], "gluten free", Table1[Size], "2", Table1[Meals], "*V-Burg*")</f>
        <v>0</v>
      </c>
      <c r="AO12" s="93">
        <f>AR12-AP12</f>
        <v>0</v>
      </c>
      <c r="AP12" s="93">
        <f>COUNTIFS(Table1[Gluten Free], "gluten free", Table1[Size], "2", Table1[Meals], "*V-Pizza*")</f>
        <v>0</v>
      </c>
      <c r="AR12">
        <f>COUNTIFS(Table1[Gluten Free], "gluten free", Table1[Size], "2", Table1[Meals], "*Pizza*")</f>
        <v>0</v>
      </c>
    </row>
    <row r="13" spans="1:44" ht="15.6" thickTop="1" thickBot="1" x14ac:dyDescent="0.35">
      <c r="AA13" s="230"/>
      <c r="AC13" s="98">
        <v>1</v>
      </c>
      <c r="AD13" s="86">
        <f>COUNTIFS(Table1[Gluten Free], "gluten free", Table1[Size], "1", Table1[Meals], "*red*")</f>
        <v>0</v>
      </c>
      <c r="AE13" s="87">
        <f>COUNTIFS(Table1[Gluten Free], "gluten free", Table1[Size], "1", Table1[Meals], "*teal*")</f>
        <v>0</v>
      </c>
      <c r="AF13" s="88">
        <f>COUNTIFS(Table1[Gluten Free], "gluten free", Table1[Size], "1", Table1[Meals], "*green*")</f>
        <v>0</v>
      </c>
      <c r="AG13" s="89">
        <f>COUNTIFS(Table1[Gluten Free], "gluten free", Table1[Size], "1", Table1[Meals], "*yellow*")</f>
        <v>0</v>
      </c>
      <c r="AH13" s="90">
        <f>COUNTIFS(Table1[Gluten Free], "gluten free", Table1[Size], "1", Table1[Meals], "*blue*")</f>
        <v>0</v>
      </c>
      <c r="AI13" s="91">
        <f>COUNTIFS(Table1[Gluten Free], "gluten free", Table1[Size], "1", Table1[Meals], "*B-Tacos*")</f>
        <v>0</v>
      </c>
      <c r="AJ13" s="91">
        <f>COUNTIFS(Table1[Gluten Free], "gluten free", Table1[Size], "1", Table1[Meals], "*T-Tacos*")</f>
        <v>0</v>
      </c>
      <c r="AK13" s="91">
        <f>COUNTIFS(Table1[Gluten Free], "gluten free", Table1[Size], "1", Table1[Meals], "*V-Tacos*")</f>
        <v>0</v>
      </c>
      <c r="AL13" s="92">
        <f>COUNTIFS(Table1[Gluten Free], "gluten free", Table1[Size], "1", Table1[Meals], "*B-Burg*")</f>
        <v>0</v>
      </c>
      <c r="AM13" s="92">
        <f>COUNTIFS(Table1[Gluten Free], "gluten free", Table1[Size], "1", Table1[Meals], "*T-Burg*")</f>
        <v>0</v>
      </c>
      <c r="AN13" s="92">
        <f>COUNTIFS(Table1[Gluten Free], "gluten free", Table1[Size], "1", Table1[Meals], "*V-Burg*")</f>
        <v>0</v>
      </c>
      <c r="AO13" s="93">
        <f>AR13-AP13</f>
        <v>0</v>
      </c>
      <c r="AP13" s="93">
        <f>COUNTIFS(Table1[Gluten Free], "gluten free", Table1[Size], "1", Table1[Meals], "*V-Pizza*")</f>
        <v>0</v>
      </c>
      <c r="AR13">
        <f>COUNTIFS(Table1[Gluten Free], "gluten free", Table1[Size], "1", Table1[Meals], "*Pizza*")</f>
        <v>0</v>
      </c>
    </row>
    <row r="14" spans="1:44" ht="15.6" thickTop="1" thickBot="1" x14ac:dyDescent="0.35">
      <c r="AA14" s="230"/>
      <c r="AC14" s="99">
        <v>0</v>
      </c>
      <c r="AD14" s="86">
        <f>COUNTIFS(Table1[Gluten Free], "gluten free", Table1[Size], "0", Table1[Meals], "*red*")</f>
        <v>0</v>
      </c>
      <c r="AE14" s="87">
        <f>COUNTIFS(Table1[Gluten Free], "gluten free", Table1[Size], "0", Table1[Meals], "*teal*")</f>
        <v>0</v>
      </c>
      <c r="AF14" s="88">
        <f>COUNTIFS(Table1[Gluten Free], "gluten free", Table1[Size], "0", Table1[Meals], "*green*")</f>
        <v>0</v>
      </c>
      <c r="AG14" s="89">
        <f>COUNTIFS(Table1[Gluten Free], "gluten free", Table1[Size], "0", Table1[Meals], "*yellow*")</f>
        <v>0</v>
      </c>
      <c r="AH14" s="90">
        <f>COUNTIFS(Table1[Gluten Free], "gluten free", Table1[Size], "0", Table1[Meals], "*blue*")</f>
        <v>0</v>
      </c>
      <c r="AI14" s="91">
        <f>COUNTIFS(Table1[Gluten Free], "gluten free", Table1[Size], "0", Table1[Meals], "*B-Tacos*")</f>
        <v>0</v>
      </c>
      <c r="AJ14" s="91">
        <f>COUNTIFS(Table1[Gluten Free], "gluten free", Table1[Size], "0", Table1[Meals], "*T-Tacos*")</f>
        <v>0</v>
      </c>
      <c r="AK14" s="91">
        <f>COUNTIFS(Table1[Gluten Free], "gluten free", Table1[Size], "0", Table1[Meals], "*V-Tacos*")</f>
        <v>0</v>
      </c>
      <c r="AL14" s="100">
        <f>COUNTIFS(Table1[Gluten Free], "gluten free", Table1[Size], "0", Table1[Meals], "*B-Burg*")</f>
        <v>0</v>
      </c>
      <c r="AM14" s="100">
        <f>COUNTIFS(Table1[Gluten Free], "gluten free", Table1[Size], "0", Table1[Meals], "*T-Burg*")</f>
        <v>0</v>
      </c>
      <c r="AN14" s="100">
        <f>COUNTIFS(Table1[Gluten Free], "gluten free", Table1[Size], "0", Table1[Meals], "*V-Burg*")</f>
        <v>0</v>
      </c>
      <c r="AO14" s="93">
        <f>AR14-AP14</f>
        <v>0</v>
      </c>
      <c r="AP14" s="93">
        <f>COUNTIFS(Table1[Gluten Free], "gluten free", Table1[Size], "0", Table1[Meals], "*V-Pizza*")</f>
        <v>0</v>
      </c>
      <c r="AR14">
        <f>COUNTIFS(Table1[Gluten Free], "gluten free", Table1[Size], "0", Table1[Meals], "*Pizza*")</f>
        <v>0</v>
      </c>
    </row>
    <row r="15" spans="1:44" ht="15.6" thickTop="1" thickBot="1" x14ac:dyDescent="0.35">
      <c r="AA15" s="230"/>
      <c r="AC15" s="101" t="s">
        <v>75</v>
      </c>
      <c r="AD15" s="102">
        <f t="shared" ref="AD15:AO15" si="2">SUM(AD10:AD14)</f>
        <v>0</v>
      </c>
      <c r="AE15" s="103">
        <f t="shared" si="2"/>
        <v>0</v>
      </c>
      <c r="AF15" s="104">
        <f t="shared" si="2"/>
        <v>0</v>
      </c>
      <c r="AG15" s="105">
        <f t="shared" si="2"/>
        <v>0</v>
      </c>
      <c r="AH15" s="106">
        <f t="shared" si="2"/>
        <v>0</v>
      </c>
      <c r="AI15" s="107">
        <f t="shared" si="2"/>
        <v>0</v>
      </c>
      <c r="AJ15" s="107">
        <f t="shared" si="2"/>
        <v>0</v>
      </c>
      <c r="AK15" s="107">
        <f t="shared" si="2"/>
        <v>0</v>
      </c>
      <c r="AL15" s="108">
        <f t="shared" si="2"/>
        <v>0</v>
      </c>
      <c r="AM15" s="108">
        <f t="shared" si="2"/>
        <v>0</v>
      </c>
      <c r="AN15" s="108">
        <f t="shared" si="2"/>
        <v>0</v>
      </c>
      <c r="AO15" s="93">
        <f t="shared" si="2"/>
        <v>0</v>
      </c>
      <c r="AP15" s="93">
        <f>SUM(AP10:AP14)</f>
        <v>0</v>
      </c>
      <c r="AR15">
        <f>SUM(AR10:AR14)</f>
        <v>0</v>
      </c>
    </row>
    <row r="16" spans="1:44" ht="15" thickBot="1" x14ac:dyDescent="0.35">
      <c r="AA16" s="230"/>
      <c r="AC16" s="113" t="s">
        <v>76</v>
      </c>
      <c r="AD16" s="114">
        <f t="shared" ref="AD16:AP16" si="3">SUM(AD3:AD7,AD10:AD14)</f>
        <v>0</v>
      </c>
      <c r="AE16" s="115">
        <f t="shared" si="3"/>
        <v>0</v>
      </c>
      <c r="AF16" s="116">
        <f t="shared" si="3"/>
        <v>0</v>
      </c>
      <c r="AG16" s="117">
        <f t="shared" si="3"/>
        <v>0</v>
      </c>
      <c r="AH16" s="118">
        <f t="shared" si="3"/>
        <v>0</v>
      </c>
      <c r="AI16" s="119">
        <f t="shared" si="3"/>
        <v>0</v>
      </c>
      <c r="AJ16" s="119">
        <f t="shared" si="3"/>
        <v>0</v>
      </c>
      <c r="AK16" s="119">
        <f t="shared" si="3"/>
        <v>0</v>
      </c>
      <c r="AL16" s="120">
        <f t="shared" si="3"/>
        <v>0</v>
      </c>
      <c r="AM16" s="120">
        <f t="shared" si="3"/>
        <v>0</v>
      </c>
      <c r="AN16" s="120">
        <f t="shared" si="3"/>
        <v>0</v>
      </c>
      <c r="AO16" s="121">
        <f t="shared" si="3"/>
        <v>0</v>
      </c>
      <c r="AP16" s="121">
        <f t="shared" si="3"/>
        <v>0</v>
      </c>
      <c r="AR16">
        <f>SUM(AR3:AR7,AR10:AR14)</f>
        <v>0</v>
      </c>
    </row>
    <row r="17" spans="1:42" ht="15" thickBot="1" x14ac:dyDescent="0.35">
      <c r="AA17" s="230"/>
      <c r="AC17" s="163" t="s">
        <v>102</v>
      </c>
      <c r="AD17" s="164">
        <f>COUNTIFS(Table1[Internal Reference], "2 Day")</f>
        <v>0</v>
      </c>
    </row>
    <row r="18" spans="1:42" ht="15.6" thickTop="1" thickBot="1" x14ac:dyDescent="0.35">
      <c r="AA18" s="230"/>
      <c r="AC18" s="165" t="s">
        <v>84</v>
      </c>
      <c r="AD18" s="166">
        <f>SUM(AD19:AD34)</f>
        <v>0</v>
      </c>
      <c r="AH18" t="s">
        <v>80</v>
      </c>
      <c r="AI18" t="s">
        <v>81</v>
      </c>
      <c r="AM18" s="122" t="s">
        <v>64</v>
      </c>
      <c r="AN18" s="123" t="s">
        <v>77</v>
      </c>
      <c r="AO18" s="124" t="s">
        <v>78</v>
      </c>
      <c r="AP18" s="93" t="s">
        <v>71</v>
      </c>
    </row>
    <row r="19" spans="1:42" ht="15.6" thickTop="1" thickBot="1" x14ac:dyDescent="0.35">
      <c r="Y19" s="230"/>
      <c r="AA19" s="230"/>
      <c r="AC19" s="162" t="s">
        <v>15</v>
      </c>
      <c r="AD19">
        <f>COUNTIFS(Table1[Delivery Route], "Pasadena")</f>
        <v>0</v>
      </c>
      <c r="AH19" s="127" t="s">
        <v>36</v>
      </c>
      <c r="AI19">
        <f>SUM(I:I)</f>
        <v>0</v>
      </c>
      <c r="AM19" s="125">
        <v>4</v>
      </c>
      <c r="AN19" s="126">
        <f>SUM(AI3:AK3)</f>
        <v>0</v>
      </c>
      <c r="AO19" s="92">
        <f>SUM(AL3:AN3)</f>
        <v>0</v>
      </c>
      <c r="AP19" s="93">
        <f>SUM(AO3:AP3)</f>
        <v>0</v>
      </c>
    </row>
    <row r="20" spans="1:42" ht="15.6" thickTop="1" thickBot="1" x14ac:dyDescent="0.35">
      <c r="AA20" s="230"/>
      <c r="AC20" s="147" t="s">
        <v>86</v>
      </c>
      <c r="AD20">
        <f>COUNTIFS(Table1[Delivery Route], "Manhattan Beach")</f>
        <v>0</v>
      </c>
      <c r="AH20" s="129" t="s">
        <v>82</v>
      </c>
      <c r="AI20">
        <f>SUM(J:J)</f>
        <v>0</v>
      </c>
      <c r="AM20" s="128">
        <v>3</v>
      </c>
      <c r="AN20" s="126">
        <f>SUM(AI4:AK4)</f>
        <v>0</v>
      </c>
      <c r="AO20" s="92">
        <f>SUM(AL4:AN4)</f>
        <v>0</v>
      </c>
      <c r="AP20" s="93">
        <f>SUM(AO4:AP4)</f>
        <v>0</v>
      </c>
    </row>
    <row r="21" spans="1:42" ht="15.6" thickTop="1" thickBot="1" x14ac:dyDescent="0.35">
      <c r="AA21" s="230"/>
      <c r="AC21" s="147" t="s">
        <v>87</v>
      </c>
      <c r="AD21">
        <f>COUNTIFS(Table1[Delivery Route],  "Woodland Hills")</f>
        <v>0</v>
      </c>
      <c r="AH21" s="131" t="s">
        <v>23</v>
      </c>
      <c r="AI21">
        <f>SUM(K:K)</f>
        <v>0</v>
      </c>
      <c r="AM21" s="130">
        <v>2</v>
      </c>
      <c r="AN21" s="126">
        <f>SUM(AI5:AK5)</f>
        <v>0</v>
      </c>
      <c r="AO21" s="92">
        <f>SUM(AL5:AN5)</f>
        <v>0</v>
      </c>
      <c r="AP21" s="93">
        <f>SUM(AO5:AP5)</f>
        <v>0</v>
      </c>
    </row>
    <row r="22" spans="1:42" ht="15.6" thickTop="1" thickBot="1" x14ac:dyDescent="0.35">
      <c r="Y22" s="230"/>
      <c r="AA22" s="230"/>
      <c r="AC22" s="147" t="s">
        <v>89</v>
      </c>
      <c r="AD22">
        <f>COUNTIFS(Table1[Delivery Route], "Studio City")</f>
        <v>0</v>
      </c>
      <c r="AH22" s="133" t="s">
        <v>24</v>
      </c>
      <c r="AI22">
        <f>SUM(L:L)</f>
        <v>0</v>
      </c>
      <c r="AM22" s="132">
        <v>1</v>
      </c>
      <c r="AN22" s="126">
        <f>SUM(AI6:AK6)</f>
        <v>0</v>
      </c>
      <c r="AO22" s="92">
        <f>SUM(AL6:AN6)</f>
        <v>0</v>
      </c>
      <c r="AP22" s="93">
        <f>SUM(AO6:AP6)</f>
        <v>0</v>
      </c>
    </row>
    <row r="23" spans="1:42" ht="15.6" thickTop="1" thickBot="1" x14ac:dyDescent="0.35">
      <c r="Z23" s="230"/>
      <c r="AA23" s="230"/>
      <c r="AC23" s="147" t="s">
        <v>21</v>
      </c>
      <c r="AD23">
        <f>COUNTIFS(Table1[Delivery Route], "Brentwood")</f>
        <v>0</v>
      </c>
      <c r="AH23" s="136" t="s">
        <v>22</v>
      </c>
      <c r="AI23">
        <f>SUM(M:M)</f>
        <v>0</v>
      </c>
      <c r="AM23" s="134">
        <v>0</v>
      </c>
      <c r="AN23" s="126">
        <f>SUM(AI7:AK7)</f>
        <v>0</v>
      </c>
      <c r="AO23" s="92">
        <f>SUM(AL7:AN7)</f>
        <v>0</v>
      </c>
      <c r="AP23" s="135">
        <f>SUM(AO7:AP7)</f>
        <v>0</v>
      </c>
    </row>
    <row r="24" spans="1:42" ht="15" thickBot="1" x14ac:dyDescent="0.35">
      <c r="F24" s="230"/>
      <c r="Z24" s="230"/>
      <c r="AA24" s="230"/>
      <c r="AC24" s="147" t="s">
        <v>92</v>
      </c>
      <c r="AD24">
        <f>COUNTIFS(Table1[Delivery Route], "Culver City")</f>
        <v>0</v>
      </c>
      <c r="AH24" s="139" t="s">
        <v>29</v>
      </c>
      <c r="AI24">
        <f>SUM(N:N)</f>
        <v>0</v>
      </c>
      <c r="AM24" s="137" t="s">
        <v>73</v>
      </c>
      <c r="AN24" s="138">
        <f t="shared" ref="AN24:AO24" si="4">SUM(AN19:AN23)</f>
        <v>0</v>
      </c>
      <c r="AO24" s="108">
        <f t="shared" si="4"/>
        <v>0</v>
      </c>
      <c r="AP24" s="109">
        <f>SUM(AP19:AP23)</f>
        <v>0</v>
      </c>
    </row>
    <row r="25" spans="1:42" ht="15" thickBot="1" x14ac:dyDescent="0.35">
      <c r="AA25" s="230"/>
      <c r="AC25" s="156">
        <v>90004</v>
      </c>
      <c r="AD25">
        <f>COUNTIFS(Table1[Delivery Route], "Los Angeles 04")</f>
        <v>0</v>
      </c>
      <c r="AH25" s="144" t="s">
        <v>83</v>
      </c>
      <c r="AI25">
        <f>SUM(O:O)</f>
        <v>0</v>
      </c>
      <c r="AM25" s="140" t="s">
        <v>74</v>
      </c>
      <c r="AN25" s="141"/>
      <c r="AO25" s="142"/>
      <c r="AP25" s="143"/>
    </row>
    <row r="26" spans="1:42" ht="16.8" thickTop="1" thickBot="1" x14ac:dyDescent="0.35">
      <c r="A26" s="230"/>
      <c r="B26" s="237"/>
      <c r="D26" s="230"/>
      <c r="F26" s="230"/>
      <c r="AA26" s="230"/>
      <c r="AC26" s="147" t="s">
        <v>11</v>
      </c>
      <c r="AD26">
        <f>COUNTIFS(Table1[Delivery Route],  "Santa Monica")</f>
        <v>0</v>
      </c>
      <c r="AH26" s="145" t="s">
        <v>85</v>
      </c>
      <c r="AI26" s="146">
        <f>SUM(AI19:AI25)</f>
        <v>0</v>
      </c>
      <c r="AM26" s="125">
        <v>4</v>
      </c>
      <c r="AN26" s="126">
        <f>SUM(AI10:AK10)</f>
        <v>0</v>
      </c>
      <c r="AO26" s="92">
        <f>SUM(AL10:AN10)</f>
        <v>0</v>
      </c>
      <c r="AP26" s="93">
        <f>SUM(AO10:AP10)</f>
        <v>0</v>
      </c>
    </row>
    <row r="27" spans="1:42" ht="15.6" thickTop="1" thickBot="1" x14ac:dyDescent="0.35">
      <c r="A27" s="230"/>
      <c r="B27" s="237"/>
      <c r="D27" s="230"/>
      <c r="F27" s="230"/>
      <c r="H27" s="230"/>
      <c r="Y27" s="230"/>
      <c r="AA27" s="230"/>
      <c r="AC27" s="147" t="s">
        <v>17</v>
      </c>
      <c r="AD27">
        <f>COUNTIFS(Table1[Delivery Route], "Los Angeles")</f>
        <v>0</v>
      </c>
      <c r="AM27" s="128">
        <v>3</v>
      </c>
      <c r="AN27" s="126">
        <f>SUM(AI11:AK11)</f>
        <v>0</v>
      </c>
      <c r="AO27" s="92">
        <f>SUM(AL11:AN11)</f>
        <v>0</v>
      </c>
      <c r="AP27" s="93">
        <f>SUM(AO11:AP11)</f>
        <v>0</v>
      </c>
    </row>
    <row r="28" spans="1:42" ht="15.6" thickTop="1" thickBot="1" x14ac:dyDescent="0.3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31"/>
      <c r="AA28" s="231"/>
      <c r="AB28" s="28"/>
      <c r="AC28" s="147" t="s">
        <v>13</v>
      </c>
      <c r="AD28">
        <f>COUNTIFS(Table1[Delivery Route],  "Hollywood")</f>
        <v>0</v>
      </c>
      <c r="AH28" t="s">
        <v>48</v>
      </c>
      <c r="AI28" t="s">
        <v>81</v>
      </c>
      <c r="AM28" s="130">
        <v>2</v>
      </c>
      <c r="AN28" s="126">
        <f>SUM(AI12:AK12)</f>
        <v>0</v>
      </c>
      <c r="AO28" s="92">
        <f>SUM(AL12:AN12)</f>
        <v>0</v>
      </c>
      <c r="AP28" s="93">
        <f>SUM(AO12:AP12)</f>
        <v>0</v>
      </c>
    </row>
    <row r="29" spans="1:42" ht="15.6" thickTop="1" thickBot="1" x14ac:dyDescent="0.3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31"/>
      <c r="AA29" s="231"/>
      <c r="AB29" s="28"/>
      <c r="AC29" s="156" t="s">
        <v>101</v>
      </c>
      <c r="AD29">
        <f>COUNTIFS(Table1[Delivery Route],  "Valley2")</f>
        <v>0</v>
      </c>
      <c r="AH29" s="148" t="s">
        <v>88</v>
      </c>
      <c r="AI29">
        <f>SUM(R:R)</f>
        <v>0</v>
      </c>
      <c r="AM29" s="132">
        <v>1</v>
      </c>
      <c r="AN29" s="126">
        <f>SUM(AI13:AK13)</f>
        <v>0</v>
      </c>
      <c r="AO29" s="92">
        <f>SUM(AL13:AN13)</f>
        <v>0</v>
      </c>
      <c r="AP29" s="93">
        <f>SUM(AO13:AP13)</f>
        <v>0</v>
      </c>
    </row>
    <row r="30" spans="1:42" ht="15.6" thickTop="1" thickBot="1" x14ac:dyDescent="0.35">
      <c r="A30" s="230"/>
      <c r="B30" s="237"/>
      <c r="D30" s="230"/>
      <c r="F30" s="230"/>
      <c r="H30" s="230"/>
      <c r="Q30" s="230"/>
      <c r="Y30" s="230"/>
      <c r="AA30" s="230"/>
      <c r="AC30" s="156" t="s">
        <v>12</v>
      </c>
      <c r="AD30">
        <f>COUNTIFS(Table1[Delivery Route], "Valley")</f>
        <v>0</v>
      </c>
      <c r="AH30" s="149" t="s">
        <v>90</v>
      </c>
      <c r="AI30">
        <f>SUM(S:S)</f>
        <v>0</v>
      </c>
      <c r="AM30" s="134">
        <v>0</v>
      </c>
      <c r="AN30" s="126">
        <f>SUM(AI14:AK14)</f>
        <v>0</v>
      </c>
      <c r="AO30" s="92">
        <f>SUM(AL14:AN14)</f>
        <v>0</v>
      </c>
      <c r="AP30" s="135">
        <f>SUM(AO14:AP14)</f>
        <v>0</v>
      </c>
    </row>
    <row r="31" spans="1:42" ht="15" thickBot="1" x14ac:dyDescent="0.35">
      <c r="A31" s="28"/>
      <c r="AA31" s="28"/>
      <c r="AC31" s="160" t="s">
        <v>19</v>
      </c>
      <c r="AD31">
        <f>COUNTIFS(Table1[Delivery Route],  "Long Beach")</f>
        <v>0</v>
      </c>
      <c r="AH31" s="150" t="s">
        <v>91</v>
      </c>
      <c r="AI31">
        <f>SUM(T:T)</f>
        <v>0</v>
      </c>
      <c r="AM31" s="137" t="s">
        <v>75</v>
      </c>
      <c r="AN31" s="138">
        <f t="shared" ref="AN31:AP31" si="5">SUM(AN26:AN30)</f>
        <v>0</v>
      </c>
      <c r="AO31" s="108">
        <f t="shared" si="5"/>
        <v>0</v>
      </c>
      <c r="AP31" s="109">
        <f t="shared" si="5"/>
        <v>0</v>
      </c>
    </row>
    <row r="32" spans="1:42" x14ac:dyDescent="0.3">
      <c r="AC32" s="160" t="s">
        <v>16</v>
      </c>
      <c r="AD32">
        <f>COUNTIFS(Table1[Delivery Route], "Orange County")</f>
        <v>0</v>
      </c>
      <c r="AH32" s="155" t="s">
        <v>93</v>
      </c>
      <c r="AI32">
        <f>SUM(U:U)</f>
        <v>0</v>
      </c>
      <c r="AM32" s="151" t="s">
        <v>76</v>
      </c>
      <c r="AN32" s="152">
        <f t="shared" ref="AN32:AP32" si="6">SUM(AN19:AN23,AN26:AN30)</f>
        <v>0</v>
      </c>
      <c r="AO32" s="153">
        <f t="shared" si="6"/>
        <v>0</v>
      </c>
      <c r="AP32" s="154">
        <f t="shared" si="6"/>
        <v>0</v>
      </c>
    </row>
    <row r="33" spans="1:35" ht="15" thickBot="1" x14ac:dyDescent="0.35">
      <c r="AC33" s="160" t="s">
        <v>14</v>
      </c>
      <c r="AD33">
        <f>COUNTIFS(Table1[Delivery Route], "Beverly Hills")</f>
        <v>0</v>
      </c>
      <c r="AH33" s="157" t="s">
        <v>94</v>
      </c>
      <c r="AI33">
        <f>SUM(V:V)</f>
        <v>0</v>
      </c>
    </row>
    <row r="34" spans="1:35" ht="15" thickBot="1" x14ac:dyDescent="0.35">
      <c r="AC34" s="147" t="s">
        <v>100</v>
      </c>
      <c r="AD34">
        <f>COUNTIFS(Table1[Delivery Route], "Studio City 2")</f>
        <v>0</v>
      </c>
      <c r="AH34" s="158" t="s">
        <v>95</v>
      </c>
      <c r="AI34">
        <f>SUM(W:W)</f>
        <v>0</v>
      </c>
    </row>
    <row r="35" spans="1:35" x14ac:dyDescent="0.3">
      <c r="AH35" s="159" t="s">
        <v>96</v>
      </c>
      <c r="AI35">
        <f>SUM(X:X)</f>
        <v>0</v>
      </c>
    </row>
    <row r="36" spans="1:35" ht="15.6" x14ac:dyDescent="0.3">
      <c r="AH36" s="145" t="s">
        <v>85</v>
      </c>
      <c r="AI36" s="146">
        <f>SUM(AI29:AI35)</f>
        <v>0</v>
      </c>
    </row>
    <row r="38" spans="1:35" x14ac:dyDescent="0.3">
      <c r="A38" s="28"/>
    </row>
    <row r="39" spans="1:35" x14ac:dyDescent="0.3">
      <c r="A39" s="28"/>
    </row>
    <row r="40" spans="1:35" x14ac:dyDescent="0.3">
      <c r="A40" s="28"/>
    </row>
    <row r="41" spans="1:35" x14ac:dyDescent="0.3">
      <c r="A41" s="28"/>
    </row>
    <row r="42" spans="1:35" x14ac:dyDescent="0.3">
      <c r="A42" s="28"/>
    </row>
    <row r="966" spans="5:26" x14ac:dyDescent="0.3">
      <c r="E966" s="161"/>
      <c r="G966" s="161"/>
      <c r="H966" s="161"/>
      <c r="I966" s="161"/>
      <c r="J966" s="161"/>
      <c r="K966" s="161"/>
      <c r="L966" s="161"/>
      <c r="M966" s="161"/>
      <c r="N966" s="161"/>
      <c r="O966" s="161"/>
      <c r="P966" s="161"/>
      <c r="Q966" s="161"/>
      <c r="R966" s="161"/>
      <c r="S966" s="161"/>
      <c r="T966" s="161"/>
      <c r="U966" s="161"/>
      <c r="V966" s="161"/>
      <c r="W966" s="161"/>
      <c r="X966" s="161"/>
      <c r="Y966" s="161"/>
      <c r="Z966" s="161"/>
    </row>
    <row r="967" spans="5:26" x14ac:dyDescent="0.3">
      <c r="E967" s="161"/>
      <c r="G967" s="161"/>
      <c r="H967" s="161"/>
      <c r="I967" s="161"/>
      <c r="J967" s="161"/>
      <c r="K967" s="161"/>
      <c r="L967" s="161"/>
      <c r="M967" s="161"/>
      <c r="N967" s="161"/>
      <c r="O967" s="161"/>
      <c r="P967" s="161"/>
      <c r="Q967" s="161"/>
      <c r="R967" s="161"/>
      <c r="S967" s="161"/>
      <c r="T967" s="161"/>
      <c r="U967" s="161"/>
      <c r="V967" s="161"/>
      <c r="W967" s="161"/>
      <c r="X967" s="161"/>
      <c r="Y967" s="161"/>
      <c r="Z967" s="161"/>
    </row>
    <row r="968" spans="5:26" x14ac:dyDescent="0.3">
      <c r="E968" s="161"/>
      <c r="G968" s="161"/>
      <c r="H968" s="161"/>
      <c r="I968" s="161"/>
      <c r="J968" s="161"/>
      <c r="K968" s="161"/>
      <c r="L968" s="161"/>
      <c r="M968" s="161"/>
      <c r="N968" s="161"/>
      <c r="O968" s="161"/>
      <c r="P968" s="161"/>
      <c r="Q968" s="161"/>
      <c r="R968" s="161"/>
      <c r="S968" s="161"/>
      <c r="T968" s="161"/>
      <c r="U968" s="161"/>
      <c r="V968" s="161"/>
      <c r="W968" s="161"/>
      <c r="X968" s="161"/>
      <c r="Y968" s="161"/>
      <c r="Z968" s="161"/>
    </row>
    <row r="969" spans="5:26" x14ac:dyDescent="0.3">
      <c r="E969" s="161"/>
      <c r="G969" s="161"/>
      <c r="H969" s="161"/>
      <c r="I969" s="161"/>
      <c r="J969" s="161"/>
      <c r="K969" s="161"/>
      <c r="L969" s="161"/>
      <c r="M969" s="161"/>
      <c r="N969" s="161"/>
      <c r="O969" s="161"/>
      <c r="P969" s="161"/>
      <c r="Q969" s="161"/>
      <c r="R969" s="161"/>
      <c r="S969" s="161"/>
      <c r="T969" s="161"/>
      <c r="U969" s="161"/>
      <c r="V969" s="161"/>
      <c r="W969" s="161"/>
      <c r="X969" s="161"/>
      <c r="Y969" s="161"/>
      <c r="Z969" s="161"/>
    </row>
    <row r="970" spans="5:26" x14ac:dyDescent="0.3">
      <c r="E970" s="161"/>
      <c r="G970" s="161"/>
      <c r="H970" s="161"/>
      <c r="I970" s="161"/>
      <c r="J970" s="161"/>
      <c r="K970" s="161"/>
      <c r="L970" s="161"/>
      <c r="M970" s="161"/>
      <c r="N970" s="161"/>
      <c r="O970" s="161"/>
      <c r="P970" s="161"/>
      <c r="Q970" s="161"/>
      <c r="R970" s="161"/>
      <c r="S970" s="161"/>
      <c r="T970" s="161"/>
      <c r="U970" s="161"/>
      <c r="V970" s="161"/>
      <c r="W970" s="161"/>
      <c r="X970" s="161"/>
      <c r="Y970" s="161"/>
      <c r="Z970" s="161"/>
    </row>
    <row r="971" spans="5:26" x14ac:dyDescent="0.3">
      <c r="E971" s="161"/>
      <c r="G971" s="161"/>
      <c r="H971" s="161"/>
      <c r="I971" s="161"/>
      <c r="J971" s="161"/>
      <c r="K971" s="161"/>
      <c r="L971" s="161"/>
      <c r="M971" s="161"/>
      <c r="N971" s="161"/>
      <c r="O971" s="161"/>
      <c r="P971" s="161"/>
      <c r="Q971" s="161"/>
      <c r="R971" s="161"/>
      <c r="S971" s="161"/>
      <c r="T971" s="161"/>
      <c r="U971" s="161"/>
      <c r="V971" s="161"/>
      <c r="W971" s="161"/>
      <c r="X971" s="161"/>
      <c r="Y971" s="161"/>
      <c r="Z971" s="161"/>
    </row>
    <row r="972" spans="5:26" x14ac:dyDescent="0.3">
      <c r="E972" s="161"/>
      <c r="G972" s="161"/>
      <c r="H972" s="161"/>
      <c r="I972" s="161"/>
      <c r="J972" s="161"/>
      <c r="K972" s="161"/>
      <c r="L972" s="161"/>
      <c r="M972" s="161"/>
      <c r="N972" s="161"/>
      <c r="O972" s="161"/>
      <c r="P972" s="161"/>
      <c r="Q972" s="161"/>
      <c r="R972" s="161"/>
      <c r="S972" s="161"/>
      <c r="T972" s="161"/>
      <c r="U972" s="161"/>
      <c r="V972" s="161"/>
      <c r="W972" s="161"/>
      <c r="X972" s="161"/>
      <c r="Y972" s="161"/>
      <c r="Z972" s="161"/>
    </row>
    <row r="973" spans="5:26" x14ac:dyDescent="0.3">
      <c r="E973" s="161"/>
      <c r="G973" s="161"/>
      <c r="H973" s="161"/>
      <c r="I973" s="161"/>
      <c r="J973" s="161"/>
      <c r="K973" s="161"/>
      <c r="L973" s="161"/>
      <c r="M973" s="161"/>
      <c r="N973" s="161"/>
      <c r="O973" s="161"/>
      <c r="P973" s="161"/>
      <c r="Q973" s="161"/>
      <c r="R973" s="161"/>
      <c r="S973" s="161"/>
      <c r="T973" s="161"/>
      <c r="U973" s="161"/>
      <c r="V973" s="161"/>
      <c r="W973" s="161"/>
      <c r="X973" s="161"/>
      <c r="Y973" s="161"/>
      <c r="Z973" s="161"/>
    </row>
    <row r="974" spans="5:26" x14ac:dyDescent="0.3">
      <c r="E974" s="161"/>
      <c r="G974" s="161"/>
      <c r="H974" s="161"/>
      <c r="I974" s="161"/>
      <c r="J974" s="161"/>
      <c r="K974" s="161"/>
      <c r="L974" s="161"/>
      <c r="M974" s="161"/>
      <c r="N974" s="161"/>
      <c r="O974" s="161"/>
      <c r="P974" s="161"/>
      <c r="Q974" s="161"/>
      <c r="R974" s="161"/>
      <c r="S974" s="161"/>
      <c r="T974" s="161"/>
      <c r="U974" s="161"/>
      <c r="V974" s="161"/>
      <c r="W974" s="161"/>
      <c r="X974" s="161"/>
      <c r="Y974" s="161"/>
      <c r="Z974" s="161"/>
    </row>
    <row r="975" spans="5:26" x14ac:dyDescent="0.3">
      <c r="E975" s="161"/>
      <c r="G975" s="161"/>
      <c r="H975" s="161"/>
      <c r="I975" s="161"/>
      <c r="J975" s="161"/>
      <c r="K975" s="161"/>
      <c r="L975" s="161"/>
      <c r="M975" s="161"/>
      <c r="N975" s="161"/>
      <c r="O975" s="161"/>
      <c r="P975" s="161"/>
      <c r="Q975" s="161"/>
      <c r="R975" s="161"/>
      <c r="S975" s="161"/>
      <c r="T975" s="161"/>
      <c r="U975" s="161"/>
      <c r="V975" s="161"/>
      <c r="W975" s="161"/>
      <c r="X975" s="161"/>
      <c r="Y975" s="161"/>
      <c r="Z975" s="161"/>
    </row>
    <row r="976" spans="5:26" x14ac:dyDescent="0.3">
      <c r="E976" s="161"/>
      <c r="G976" s="161"/>
      <c r="H976" s="161"/>
      <c r="I976" s="161"/>
      <c r="J976" s="161"/>
      <c r="K976" s="161"/>
      <c r="L976" s="161"/>
      <c r="M976" s="161"/>
      <c r="N976" s="161"/>
      <c r="O976" s="161"/>
      <c r="P976" s="161"/>
      <c r="Q976" s="161"/>
      <c r="R976" s="161"/>
      <c r="S976" s="161"/>
      <c r="T976" s="161"/>
      <c r="U976" s="161"/>
      <c r="V976" s="161"/>
      <c r="W976" s="161"/>
      <c r="X976" s="161"/>
      <c r="Y976" s="161"/>
      <c r="Z976" s="161"/>
    </row>
    <row r="977" spans="5:26" x14ac:dyDescent="0.3">
      <c r="E977" s="161"/>
      <c r="G977" s="161"/>
      <c r="H977" s="161"/>
      <c r="I977" s="161"/>
      <c r="J977" s="161"/>
      <c r="K977" s="161"/>
      <c r="L977" s="161"/>
      <c r="M977" s="161"/>
      <c r="N977" s="161"/>
      <c r="O977" s="161"/>
      <c r="P977" s="161"/>
      <c r="Q977" s="161"/>
      <c r="R977" s="161"/>
      <c r="S977" s="161"/>
      <c r="T977" s="161"/>
      <c r="U977" s="161"/>
      <c r="V977" s="161"/>
      <c r="W977" s="161"/>
      <c r="X977" s="161"/>
      <c r="Y977" s="161"/>
      <c r="Z977" s="161"/>
    </row>
    <row r="978" spans="5:26" x14ac:dyDescent="0.3">
      <c r="E978" s="161"/>
      <c r="G978" s="161"/>
      <c r="H978" s="161"/>
      <c r="I978" s="161"/>
      <c r="J978" s="161"/>
      <c r="K978" s="161"/>
      <c r="L978" s="161"/>
      <c r="M978" s="161"/>
      <c r="N978" s="161"/>
      <c r="O978" s="161"/>
      <c r="P978" s="161"/>
      <c r="Q978" s="161"/>
      <c r="R978" s="161"/>
      <c r="S978" s="161"/>
      <c r="T978" s="161"/>
      <c r="U978" s="161"/>
      <c r="V978" s="161"/>
      <c r="W978" s="161"/>
      <c r="X978" s="161"/>
      <c r="Y978" s="161"/>
      <c r="Z978" s="161"/>
    </row>
    <row r="979" spans="5:26" x14ac:dyDescent="0.3">
      <c r="E979" s="161"/>
      <c r="G979" s="161"/>
      <c r="H979" s="161"/>
      <c r="I979" s="161"/>
      <c r="J979" s="161"/>
      <c r="K979" s="161"/>
      <c r="L979" s="161"/>
      <c r="M979" s="161"/>
      <c r="N979" s="161"/>
      <c r="O979" s="161"/>
      <c r="P979" s="161"/>
      <c r="Q979" s="161"/>
      <c r="R979" s="161"/>
      <c r="S979" s="161"/>
      <c r="T979" s="161"/>
      <c r="U979" s="161"/>
      <c r="V979" s="161"/>
      <c r="W979" s="161"/>
      <c r="X979" s="161"/>
      <c r="Y979" s="161"/>
      <c r="Z979" s="161"/>
    </row>
    <row r="980" spans="5:26" x14ac:dyDescent="0.3">
      <c r="E980" s="161"/>
      <c r="G980" s="161"/>
      <c r="H980" s="161"/>
      <c r="I980" s="161"/>
      <c r="J980" s="161"/>
      <c r="K980" s="161"/>
      <c r="L980" s="161"/>
      <c r="M980" s="161"/>
      <c r="N980" s="161"/>
      <c r="O980" s="161"/>
      <c r="P980" s="161"/>
      <c r="Q980" s="161"/>
      <c r="R980" s="161"/>
      <c r="S980" s="161"/>
      <c r="T980" s="161"/>
      <c r="U980" s="161"/>
      <c r="V980" s="161"/>
      <c r="W980" s="161"/>
      <c r="X980" s="161"/>
      <c r="Y980" s="161"/>
      <c r="Z980" s="161"/>
    </row>
    <row r="981" spans="5:26" x14ac:dyDescent="0.3">
      <c r="E981" s="161"/>
      <c r="G981" s="161"/>
      <c r="H981" s="161"/>
      <c r="I981" s="161"/>
      <c r="J981" s="161"/>
      <c r="K981" s="161"/>
      <c r="L981" s="161"/>
      <c r="M981" s="161"/>
      <c r="N981" s="161"/>
      <c r="O981" s="161"/>
      <c r="P981" s="161"/>
      <c r="Q981" s="161"/>
      <c r="R981" s="161"/>
      <c r="S981" s="161"/>
      <c r="T981" s="161"/>
      <c r="U981" s="161"/>
      <c r="V981" s="161"/>
      <c r="W981" s="161"/>
      <c r="X981" s="161"/>
      <c r="Y981" s="161"/>
      <c r="Z981" s="161"/>
    </row>
    <row r="982" spans="5:26" x14ac:dyDescent="0.3">
      <c r="E982" s="161"/>
      <c r="G982" s="161"/>
      <c r="H982" s="161"/>
      <c r="I982" s="161"/>
      <c r="J982" s="161"/>
      <c r="K982" s="161"/>
      <c r="L982" s="161"/>
      <c r="M982" s="161"/>
      <c r="N982" s="161"/>
      <c r="O982" s="161"/>
      <c r="P982" s="161"/>
      <c r="Q982" s="161"/>
      <c r="R982" s="161"/>
      <c r="S982" s="161"/>
      <c r="T982" s="161"/>
      <c r="U982" s="161"/>
      <c r="V982" s="161"/>
      <c r="W982" s="161"/>
      <c r="X982" s="161"/>
      <c r="Y982" s="161"/>
      <c r="Z982" s="161"/>
    </row>
    <row r="983" spans="5:26" x14ac:dyDescent="0.3">
      <c r="E983" s="161"/>
      <c r="G983" s="161"/>
      <c r="H983" s="161"/>
      <c r="I983" s="161"/>
      <c r="J983" s="161"/>
      <c r="K983" s="161"/>
      <c r="L983" s="161"/>
      <c r="M983" s="161"/>
      <c r="N983" s="161"/>
      <c r="O983" s="161"/>
      <c r="P983" s="161"/>
      <c r="Q983" s="161"/>
      <c r="R983" s="161"/>
      <c r="S983" s="161"/>
      <c r="T983" s="161"/>
      <c r="U983" s="161"/>
      <c r="V983" s="161"/>
      <c r="W983" s="161"/>
      <c r="X983" s="161"/>
      <c r="Y983" s="161"/>
      <c r="Z983" s="161"/>
    </row>
    <row r="984" spans="5:26" x14ac:dyDescent="0.3">
      <c r="E984" s="161"/>
      <c r="G984" s="161"/>
      <c r="H984" s="161"/>
      <c r="I984" s="161"/>
      <c r="J984" s="161"/>
      <c r="K984" s="161"/>
      <c r="L984" s="161"/>
      <c r="M984" s="161"/>
      <c r="N984" s="161"/>
      <c r="O984" s="161"/>
      <c r="P984" s="161"/>
      <c r="Q984" s="161"/>
      <c r="R984" s="161"/>
      <c r="S984" s="161"/>
      <c r="T984" s="161"/>
      <c r="U984" s="161"/>
      <c r="V984" s="161"/>
      <c r="W984" s="161"/>
      <c r="X984" s="161"/>
      <c r="Y984" s="161"/>
      <c r="Z984" s="161"/>
    </row>
    <row r="985" spans="5:26" x14ac:dyDescent="0.3">
      <c r="E985" s="161"/>
      <c r="G985" s="161"/>
      <c r="H985" s="161"/>
      <c r="I985" s="161"/>
      <c r="J985" s="161"/>
      <c r="K985" s="161"/>
      <c r="L985" s="161"/>
      <c r="M985" s="161"/>
      <c r="N985" s="161"/>
      <c r="O985" s="161"/>
      <c r="P985" s="161"/>
      <c r="Q985" s="161"/>
      <c r="R985" s="161"/>
      <c r="S985" s="161"/>
      <c r="T985" s="161"/>
      <c r="U985" s="161"/>
      <c r="V985" s="161"/>
      <c r="W985" s="161"/>
      <c r="X985" s="161"/>
      <c r="Y985" s="161"/>
      <c r="Z985" s="161"/>
    </row>
    <row r="986" spans="5:26" x14ac:dyDescent="0.3">
      <c r="E986" s="161"/>
      <c r="G986" s="161"/>
      <c r="H986" s="161"/>
      <c r="I986" s="161"/>
      <c r="J986" s="161"/>
      <c r="K986" s="161"/>
      <c r="L986" s="161"/>
      <c r="M986" s="161"/>
      <c r="N986" s="161"/>
      <c r="O986" s="161"/>
      <c r="P986" s="161"/>
      <c r="Q986" s="161"/>
      <c r="R986" s="161"/>
      <c r="S986" s="161"/>
      <c r="T986" s="161"/>
      <c r="U986" s="161"/>
      <c r="V986" s="161"/>
      <c r="W986" s="161"/>
      <c r="X986" s="161"/>
      <c r="Y986" s="161"/>
      <c r="Z986" s="161"/>
    </row>
  </sheetData>
  <phoneticPr fontId="18" type="noConversion"/>
  <conditionalFormatting sqref="B27:B28">
    <cfRule type="duplicateValues" dxfId="6" priority="9"/>
  </conditionalFormatting>
  <conditionalFormatting sqref="B29:B31">
    <cfRule type="duplicateValues" dxfId="5" priority="6"/>
  </conditionalFormatting>
  <conditionalFormatting sqref="B94">
    <cfRule type="duplicateValues" dxfId="4" priority="3"/>
  </conditionalFormatting>
  <conditionalFormatting sqref="B32:B93 B95:B131">
    <cfRule type="duplicateValues" dxfId="3" priority="4"/>
  </conditionalFormatting>
  <conditionalFormatting sqref="B155:B251">
    <cfRule type="duplicateValues" dxfId="2" priority="2"/>
  </conditionalFormatting>
  <conditionalFormatting sqref="B252"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ShipRep_VIP</vt:lpstr>
      <vt:lpstr>ShipRep_GF</vt:lpstr>
      <vt:lpstr>ShipRep_REG</vt:lpstr>
      <vt:lpstr>VIP_LIST</vt:lpstr>
      <vt:lpstr>GF_LIST</vt:lpstr>
      <vt:lpstr>REG_LIST</vt:lpstr>
      <vt:lpstr>VIP.GF_ADDONS</vt:lpstr>
      <vt:lpstr>REG_ADDONS</vt:lpstr>
      <vt:lpstr>TOTAL_NUMBERS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Enokinda</dc:creator>
  <cp:lastModifiedBy>Momo Enokinda</cp:lastModifiedBy>
  <cp:lastPrinted>2020-09-10T22:55:43Z</cp:lastPrinted>
  <dcterms:created xsi:type="dcterms:W3CDTF">2020-07-08T19:01:31Z</dcterms:created>
  <dcterms:modified xsi:type="dcterms:W3CDTF">2020-10-15T21:03:12Z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