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ustomProperty3.bin" ContentType="application/vnd.openxmlformats-officedocument.spreadsheetml.customProperty"/>
  <Override PartName="/xl/customProperty4.bin" ContentType="application/vnd.openxmlformats-officedocument.spreadsheetml.customPropert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customProperty1.bin" ContentType="application/vnd.openxmlformats-officedocument.spreadsheetml.customProperty"/>
  <Override PartName="/xl/customProperty2.bin" ContentType="application/vnd.openxmlformats-officedocument.spreadsheetml.customProperty"/>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EstaPasta_de_trabalho" defaultThemeVersion="124226"/>
  <bookViews>
    <workbookView xWindow="240" yWindow="48" windowWidth="16608" windowHeight="7992"/>
  </bookViews>
  <sheets>
    <sheet name="Plan1" sheetId="1" r:id="rId1"/>
    <sheet name="Plan2" sheetId="2" r:id="rId2"/>
    <sheet name="Plan3" sheetId="3" r:id="rId3"/>
    <sheet name="DV-IDENTITY-0" sheetId="4" state="veryHidden" r:id="rId4"/>
  </sheets>
  <definedNames>
    <definedName name="arquivo" localSheetId="0">Plan1!$A$2:$G$1508</definedName>
  </definedNames>
  <calcPr calcId="125725"/>
</workbook>
</file>

<file path=xl/calcChain.xml><?xml version="1.0" encoding="utf-8"?>
<calcChain xmlns="http://schemas.openxmlformats.org/spreadsheetml/2006/main">
  <c r="A43" i="4"/>
  <c r="B43"/>
  <c r="C43"/>
  <c r="D43"/>
  <c r="E43"/>
  <c r="F43"/>
  <c r="G4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O42"/>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A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A8"/>
  <c r="B8"/>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A7"/>
  <c r="B7"/>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A6"/>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A5"/>
  <c r="B5"/>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alcChain>
</file>

<file path=xl/connections.xml><?xml version="1.0" encoding="utf-8"?>
<connections xmlns="http://schemas.openxmlformats.org/spreadsheetml/2006/main">
  <connection id="1" name="arquivo" type="6" refreshedVersion="3" background="1" saveData="1">
    <textPr sourceFile="C:\Users\moacir junior\Desktop\arquivo.csv" decimal="," thousands="." tab="0" delimiter="|">
      <textFields count="7">
        <textField/>
        <textField/>
        <textField/>
        <textField/>
        <textField/>
        <textField/>
        <textField/>
      </textFields>
    </textPr>
  </connection>
</connections>
</file>

<file path=xl/sharedStrings.xml><?xml version="1.0" encoding="utf-8"?>
<sst xmlns="http://schemas.openxmlformats.org/spreadsheetml/2006/main" count="7542" uniqueCount="4624">
  <si>
    <t>Investigating social network patterns within an empathic online community for older people</t>
  </si>
  <si>
    <t>Ulrike Pfeil, Panayiotis Zaphiris</t>
  </si>
  <si>
    <t>Computers in Human Behavior</t>
  </si>
  <si>
    <t>http://pdn.sciencedirect.com/science?_ob=MiamiImageURL&amp;_cid=271802&amp;_user=686465&amp;_pii=S0747563209000697&amp;_check=y&amp;_origin=search&amp;_zone=rslt_list_item&amp;_coverDate=2009-09-30&amp;wchp=dGLzVlt-zSkWb&amp;md5=1b8607edaa6f49a6e01c236a50d2a3d9&amp;pid=1-s2.0-S0747563209000697-main.pdf</t>
  </si>
  <si>
    <t>ScienceDirect - 1980 a 2010 - Page 1.htm</t>
  </si>
  <si>
    <t>Recommending trusted online auction sellers using social network analysis</t>
  </si>
  <si>
    <t>Jyun-Cheng Wang, Chui-Chen Chiu</t>
  </si>
  <si>
    <t>Expert Systems with Applications</t>
  </si>
  <si>
    <t>http://pdn.sciencedirect.com/science?_ob=MiamiImageURL&amp;_cid=271506&amp;_user=686465&amp;_pii=S0957417407000437&amp;_check=y&amp;_origin=search&amp;_zone=rslt_list_item&amp;_coverDate=2008-04-30&amp;wchp=dGLzVlt-zSkWb&amp;md5=4dac0cfaa7cec6f94d129bf8106a1cb7&amp;pid=1-s2.0-S0957417407000437-main.pdf</t>
  </si>
  <si>
    <t>Analysis of virtual communities supporting OSS projects using social network analysis</t>
  </si>
  <si>
    <t>S.L. Toral, M.R. Mart&amp;iacute;nez-Torres, F. Barrero</t>
  </si>
  <si>
    <t>Information and Software Technology</t>
  </si>
  <si>
    <t>http://pdn.sciencedirect.com/science?_ob=MiamiImageURL&amp;_cid=271539&amp;_user=686465&amp;_pii=S0950584909001888&amp;_check=y&amp;_origin=search&amp;_zone=rslt_list_item&amp;_coverDate=2010-03-31&amp;wchp=dGLzVlt-zSkWb&amp;md5=b0258b99ea867fc17deaa4e5e33ac1a6&amp;pid=1-s2.0-S0950584909001888-main.pdf</t>
  </si>
  <si>
    <t>Improving the quality of collaboration requirements for information management through social networks analysis</t>
  </si>
  <si>
    <t>Carla Sofia Pereira, Ant&amp;oacute;nio Lucas Soares</t>
  </si>
  <si>
    <t>International Journal of Information Management</t>
  </si>
  <si>
    <t>http://pdn.sciencedirect.com/science?_ob=MiamiImageURL&amp;_cid=271677&amp;_user=686465&amp;_pii=S0268401206001228&amp;_check=y&amp;_origin=search&amp;_zone=rslt_list_item&amp;_coverDate=2007-04-30&amp;wchp=dGLzVlt-zSkWb&amp;md5=04baebf52326203e03f84051cb643485&amp;pid=1-s2.0-S0268401206001228-main.pdf</t>
  </si>
  <si>
    <t>Exploratory study on the patterns of online interaction and knowledge co-construction in project-based learning</t>
  </si>
  <si>
    <t>Heeok Heo, Kyu Yon Lim, Youngsoo Kim</t>
  </si>
  <si>
    <t>Computers &amp; Education</t>
  </si>
  <si>
    <t>http://pdn.sciencedirect.com/science?_ob=MiamiImageURL&amp;_cid=271849&amp;_user=686465&amp;_pii=S0360131510001727&amp;_check=y&amp;_origin=search&amp;_zone=rslt_list_item&amp;_coverDate=2010-11-30&amp;wchp=dGLzVlt-zSkWb&amp;md5=b4beaa83d67b106283398f5df85ba83b&amp;pid=1-s2.0-S0360131510001727-main.pdf</t>
  </si>
  <si>
    <t>Word of mouth communication within online communities: Conceptualizing the online social network</t>
  </si>
  <si>
    <t>Jo Brown, Amanda J. Broderick, Nick Lee</t>
  </si>
  <si>
    <t>Journal of Interactive Marketing</t>
  </si>
  <si>
    <t>http://pdn.sciencedirect.com/science?_ob=MiamiImageURL&amp;_cid=277809&amp;_user=686465&amp;_pii=S1094996807700300&amp;_check=y&amp;_origin=search&amp;_zone=rslt_list_item&amp;_coverDate=2007-12-31&amp;wchp=dGLzVlt-zSkWb&amp;md5=312c5f1e1e3cdbc30c295b88339cf576&amp;pid=1-s2.0-S1094996807700300-main.pdf</t>
  </si>
  <si>
    <t>Polyvore Collaboration: Innovation in Informal Online Affiliation Networks</t>
  </si>
  <si>
    <t>Andrew Feldstein, Brent Wilson</t>
  </si>
  <si>
    <t>Procedia - Social and Behavioral Sciences</t>
  </si>
  <si>
    <t>http://pdn.sciencedirect.com/science?_ob=MiamiImageURL&amp;_cid=277811&amp;_user=686465&amp;_pii=S1877042810011249&amp;_check=y&amp;_origin=search&amp;_zone=rslt_list_item&amp;_coverDate=2010-12-31&amp;wchp=dGLzVlt-zSkWb&amp;md5=151beab8f6cc179e91286ec29c711b14&amp;pid=1-s2.0-S1877042810011249-main.pdf</t>
  </si>
  <si>
    <t>A layered framework for evaluating on-line collaborative learning interactions</t>
  </si>
  <si>
    <t>Thanasis Daradoumis, Alejandra Mart&amp;iacute;nez-Mon&amp;eacute;s, Fatos Xhafa</t>
  </si>
  <si>
    <t>International Journal of Human-Computer Studies</t>
  </si>
  <si>
    <t>http://pdn.sciencedirect.com/science?_ob=MiamiImageURL&amp;_cid=272548&amp;_user=686465&amp;_pii=S1071581906000176&amp;_check=y&amp;_origin=search&amp;_zone=rslt_list_item&amp;_coverDate=2006-07-31&amp;wchp=dGLzVlt-zSkWb&amp;md5=9d99a2a5394181826f01eb880cf5b804&amp;pid=1-s2.0-S1071581906000176-main.pdf</t>
  </si>
  <si>
    <t>Data for free: Using LMS activity logs to measure community in online courses</t>
  </si>
  <si>
    <t>Erik W. Black, Kara Dawson, Jason Priem</t>
  </si>
  <si>
    <t>The Internet and Higher Education</t>
  </si>
  <si>
    <t>http://pdn.sciencedirect.com/science?_ob=MiamiImageURL&amp;_cid=272103&amp;_user=686465&amp;_pii=S1096751608000195&amp;_check=y&amp;_origin=search&amp;_zone=rslt_list_item&amp;_coverDate=2008-12-31&amp;wchp=dGLzVlt-zSkWb&amp;md5=5b33129aedad12b7989e74a4286fea60&amp;pid=1-s2.0-S1096751608000195-main.pdf</t>
  </si>
  <si>
    <t>What is online learner participation? A literature review</t>
  </si>
  <si>
    <t>Stefan Hrastinski</t>
  </si>
  <si>
    <t>http://pdn.sciencedirect.com/science?_ob=MiamiImageURL&amp;_cid=271849&amp;_user=686465&amp;_pii=S0360131508000791&amp;_check=y&amp;_origin=search&amp;_zone=rslt_list_item&amp;_coverDate=2008-12-31&amp;wchp=dGLzVlt-zSkWb&amp;md5=1bd96aa9201be2fe30d09cce2e51731b&amp;pid=1-s2.0-S0360131508000791-main.pdf</t>
  </si>
  <si>
    <t>Mining communities and their relationships in blogs: A study of online hate groups</t>
  </si>
  <si>
    <t>Michael Chau, Jennifer Xu</t>
  </si>
  <si>
    <t>http://pdn.sciencedirect.com/science?_ob=MiamiImageURL&amp;_cid=272548&amp;_user=686465&amp;_pii=S1071581906001248&amp;_check=y&amp;_origin=search&amp;_zone=rslt_list_item&amp;_coverDate=2007-01-31&amp;wchp=dGLzVlt-zSkWb&amp;md5=9cb0c22c1329731dc4e3ee0e02ab78b1&amp;pid=1-s2.0-S1071581906001248-main.pdf</t>
  </si>
  <si>
    <t>Analyzing the Creative Editing Behavior of Wikipedia Editors: Through Dynamic Social Network Analysis</t>
  </si>
  <si>
    <t>Takashi Iba, Keiichi Nemoto, Bernd Peters, Peter A. Gloor</t>
  </si>
  <si>
    <t>http://pdn.sciencedirect.com/science?_ob=MiamiImageURL&amp;_cid=277811&amp;_user=686465&amp;_pii=S1877042810011122&amp;_check=y&amp;_origin=search&amp;_zone=rslt_list_item&amp;_coverDate=2010-12-31&amp;wchp=dGLzVlt-zSkWb&amp;md5=013af79c0a1dba16e651642edc794fff&amp;pid=1-s2.0-S1877042810011122-main.pdf</t>
  </si>
  <si>
    <t>The effects of different instructor facilitation approaches on students’ interactions during asynchronous online discussions</t>
  </si>
  <si>
    <t>Heejung An, Sunghee Shin, Keol Lim</t>
  </si>
  <si>
    <t>http://pdn.sciencedirect.com/science?_ob=MiamiImageURL&amp;_cid=271849&amp;_user=686465&amp;_pii=S0360131509001079&amp;_check=y&amp;_origin=search&amp;_zone=rslt_list_item&amp;_coverDate=2009-11-30&amp;wchp=dGLzVlt-zSkWb&amp;md5=abd0be369136e849832b599f908db4d9&amp;pid=1-s2.0-S0360131509001079-main.pdf</t>
  </si>
  <si>
    <t>Social networks, communication styles, and learning performance in a CSCL community</t>
  </si>
  <si>
    <t>Hichang Cho, Geri Gay, Barry Davidson, Anthony Ingraffea</t>
  </si>
  <si>
    <t>http://pdn.sciencedirect.com/science?_ob=MiamiImageURL&amp;_cid=271849&amp;_user=686465&amp;_pii=S0360131505001272&amp;_check=y&amp;_origin=search&amp;_zone=rslt_list_item&amp;_coverDate=2007-09-30&amp;wchp=dGLzVlt-zSkWb&amp;md5=5ad9c06c1f6a71e4cdd95c3af9ed6aad&amp;pid=1-s2.0-S0360131505001272-main.pdf</t>
  </si>
  <si>
    <t>Connecting the invisible dots: Reaching lesbian, gay, and bisexual adolescents and young adults at risk for suicide through online social networks</t>
  </si>
  <si>
    <t>Vincent M.B. Silenzio, Paul R. Duberstein, Wan Tang, Naiji Lu, Xin Tu, Christopher M. Homan</t>
  </si>
  <si>
    <t>Social Science &amp; Medicine</t>
  </si>
  <si>
    <t>http://pdn.sciencedirect.com/science?_ob=MiamiImageURL&amp;_cid=271821&amp;_user=686465&amp;_pii=S0277953609003256&amp;_check=y&amp;_origin=search&amp;_zone=rslt_list_item&amp;_coverDate=2009-08-31&amp;wchp=dGLzVlt-zSkWb&amp;md5=00b434b5cdb39fe4074eac4ab525408d&amp;pid=1-s2.0-S0277953609003256-main.pdf</t>
  </si>
  <si>
    <t>The three T's of the structure of online collaborative activities</t>
  </si>
  <si>
    <t>Donatella Persico, Francesca Pozzi</t>
  </si>
  <si>
    <t>http://pdn.sciencedirect.com/science?_ob=MiamiImageURL&amp;_cid=277811&amp;_user=686465&amp;_pii=S1877042810004222&amp;_check=y&amp;_origin=search&amp;_zone=rslt_list_item&amp;_coverDate=2010-12-31&amp;wchp=dGLzVlt-zSkWb&amp;md5=c46d899fc30778b0aee0e2d8a41d2930&amp;pid=1-s2.0-S1877042810004222-main.pdf</t>
  </si>
  <si>
    <t>Swedish BioTech SMEs: The veiled values in online networks</t>
  </si>
  <si>
    <t>Leyland Pitt, Rian van der Merwe, Pierre Berthon, Esmail Salehi-Sangari, Bradley R. Barnes</t>
  </si>
  <si>
    <t>Technovation</t>
  </si>
  <si>
    <t>http://pdn.sciencedirect.com/science?_ob=MiamiImageURL&amp;_cid=271734&amp;_user=686465&amp;_pii=S0166497205001252&amp;_check=y&amp;_origin=search&amp;_zone=rslt_list_item&amp;_coverDate=2006-06-30&amp;wchp=dGLzVlt-zSkWb&amp;md5=12c25e8a907048f07bc95f72b0045e87&amp;pid=1-s2.0-S0166497205001252-main.pdf</t>
  </si>
  <si>
    <t>Social Networks and the Education of Children and Youth</t>
  </si>
  <si>
    <t>B. Schneider, T.G. Ford, L. Perez-Felkner</t>
  </si>
  <si>
    <t>International Encyclopedia of Education (Third Edition)</t>
  </si>
  <si>
    <t>sem Link para download</t>
  </si>
  <si>
    <t>Social network analysis in virtual learning community at faculty of information technologies (fit), Mostar</t>
  </si>
  <si>
    <t>Indira Hamulic, Nina Bijedic</t>
  </si>
  <si>
    <t>http://pdn.sciencedirect.com/science?_ob=MiamiImageURL&amp;_cid=277811&amp;_user=686465&amp;_pii=S1877042809004029&amp;_check=y&amp;_origin=search&amp;_zone=rslt_list_item&amp;_coverDate=2009-12-31&amp;wchp=dGLzVlt-zSkWb&amp;md5=885ffea167a44e2455d4d32ae6341018&amp;pid=1-s2.0-S1877042809004029-main.pdf</t>
  </si>
  <si>
    <t>Questions on ethics for research in the virtually connected world</t>
  </si>
  <si>
    <t>Bettina Hoser, Tanja Nitschke</t>
  </si>
  <si>
    <t>Social Networks</t>
  </si>
  <si>
    <t>http://pdn.sciencedirect.com/science?_ob=MiamiImageURL&amp;_cid=271850&amp;_user=686465&amp;_pii=S0378873309000550&amp;_check=y&amp;_origin=search&amp;_zone=rslt_list_item&amp;_coverDate=2010-07-31&amp;wchp=dGLzVlt-zSkWb&amp;md5=e3db56e2cd664938cdead0db9b3fc9d4&amp;pid=1-s2.0-S0378873309000550-main.pdf</t>
  </si>
  <si>
    <t>Mobile E-commerce model based on social network analysis</t>
  </si>
  <si>
    <t>Ya-li CAI, Wen-dong WANG, Xiang-yang GONG, Yu-hong LI, Can-feng CHEN, Jian MA</t>
  </si>
  <si>
    <t>The Journal of China Universities of Posts and Telecommunications</t>
  </si>
  <si>
    <t>http://pdn.sciencedirect.com/science?_ob=MiamiImageURL&amp;_cid=274164&amp;_user=686465&amp;_pii=S1005888508601600&amp;_check=y&amp;_origin=search&amp;_zone=rslt_list_item&amp;_coverDate=2008-09-30&amp;wchp=dGLzVlt-zSkWb&amp;md5=1cbe5d33b51c12c57e6162bb0c4002fa&amp;pid=1-s2.0-S1005888508601600-main.pdf</t>
  </si>
  <si>
    <t>The role of academic motivation in Computer-Supported Collaborative Learning</t>
  </si>
  <si>
    <t>Bart Rienties, Dirk Tempelaar, Piet Van den Bossche, Wim Gijselaers, Mien Segers</t>
  </si>
  <si>
    <t>http://pdn.sciencedirect.com/science?_ob=MiamiImageURL&amp;_cid=271802&amp;_user=686465&amp;_pii=S0747563209000946&amp;_check=y&amp;_origin=search&amp;_zone=rslt_list_item&amp;_coverDate=2009-11-30&amp;wchp=dGLzVlt-zSkWb&amp;md5=9b9d7cb10c1158d7311a04296b635279&amp;pid=1-s2.0-S0747563209000946-main.pdf</t>
  </si>
  <si>
    <t>Reflection of @SCAD.edu - A virtual mirror on E-mail communication at an art and design university</t>
  </si>
  <si>
    <t>Marc Egger, Hauke Fuehres</t>
  </si>
  <si>
    <t>http://pdn.sciencedirect.com/science?_ob=MiamiImageURL&amp;_cid=277811&amp;_user=686465&amp;_pii=S1877042810011079&amp;_check=y&amp;_origin=search&amp;_zone=rslt_list_item&amp;_coverDate=2010-12-31&amp;wchp=dGLzVlt-zSkWb&amp;md5=479e377cfb8a2b163b2da938f89e894f&amp;pid=1-s2.0-S1877042810011079-main.pdf</t>
  </si>
  <si>
    <t>Team structure and team performance in IS development: a social network perspective</t>
  </si>
  <si>
    <t>Heng-Li Yang, Jih-Hsin Tang</t>
  </si>
  <si>
    <t>Information &amp; Management</t>
  </si>
  <si>
    <t>http://pdn.sciencedirect.com/science?_ob=MiamiImageURL&amp;_cid=271670&amp;_user=686465&amp;_pii=S0378720603000788&amp;_check=y&amp;_origin=search&amp;_zone=rslt_list_item&amp;_coverDate=2004-01-31&amp;wchp=dGLzVlt-zSkWb&amp;md5=8a5c6ed438892b9068606a1232843236&amp;pid=1-s2.0-S0378720603000788-main.pdf</t>
  </si>
  <si>
    <t>The provision of online public goods: Examining social structure in an electronic network of practice</t>
  </si>
  <si>
    <t>Molly McLure Wasko, Robin Teigland, Samer Faraj</t>
  </si>
  <si>
    <t>Decision Support Systems</t>
  </si>
  <si>
    <t>http://pdn.sciencedirect.com/science?_ob=MiamiImageURL&amp;_cid=271653&amp;_user=686465&amp;_pii=S0167923609000621&amp;_check=y&amp;_origin=search&amp;_zone=rslt_list_item&amp;_coverDate=2009-06-30&amp;wchp=dGLzVlt-zSkWb&amp;md5=12400c8a3c85bd8e7090608f81035f6b&amp;pid=1-s2.0-S0167923609000621-main.pdf</t>
  </si>
  <si>
    <t>Discovering company revenue relations from news: A network approach</t>
  </si>
  <si>
    <t>Zhongming Ma, Olivia R.L. Sheng, Gautam Pant</t>
  </si>
  <si>
    <t>http://pdn.sciencedirect.com/science?_ob=MiamiImageURL&amp;_cid=271653&amp;_user=686465&amp;_pii=S0167923609000906&amp;_check=y&amp;_origin=search&amp;_zone=rslt_list_item&amp;_coverDate=2009-11-30&amp;wchp=dGLzVlt-zSkWb&amp;md5=098e26ddc9012bf0fa354df1a4438827&amp;pid=1-s2.0-S0167923609000906-main.pdf</t>
  </si>
  <si>
    <t>A re-examination of the community of inquiry framework: Social network and content analysis</t>
  </si>
  <si>
    <t>Peter Shea, Suzanne Hayes, Jason Vickers, Mary Gozza-Cohen, Sedef Uzuner, Ruchi Mehta, Anna Valchova, Prahalad Rangan</t>
  </si>
  <si>
    <t>http://pdn.sciencedirect.com/science?_ob=MiamiImageURL&amp;_cid=272103&amp;_user=686465&amp;_pii=S1096751609000682&amp;_check=y&amp;_origin=search&amp;_zone=rslt_list_item&amp;_coverDate=2010-01-31&amp;wchp=dGLzVlt-zSkWb&amp;md5=7d6391e88024d35571cbe9679f20caab&amp;pid=1-s2.0-S1096751609000682-main.pdf</t>
  </si>
  <si>
    <t>Social grid platform for collaborative online learning on blogosphere: A case study of eLearning@BlogGrid</t>
  </si>
  <si>
    <t>Jason J. Jung</t>
  </si>
  <si>
    <t>http://pdn.sciencedirect.com/science?_ob=MiamiImageURL&amp;_cid=271506&amp;_user=686465&amp;_pii=S0957417407006549&amp;_check=y&amp;_origin=search&amp;_zone=rslt_list_item&amp;_coverDate=2009-03-31&amp;wchp=dGLzVlt-zSkWb&amp;md5=1283533cb783d0845edec8cd6c77463d&amp;pid=1-s2.0-S0957417407006549-main.pdf</t>
  </si>
  <si>
    <t>A socio-cognitive analysis of online design discussions in an Open Source Software community</t>
  </si>
  <si>
    <t>Flore Barcellini, Fran&amp;ccedil;oise D&amp;eacute;tienne, Jean-Marie Burkhardt, Warren Sack</t>
  </si>
  <si>
    <t>Interacting with Computers</t>
  </si>
  <si>
    <t>http://pdn.sciencedirect.com/science?_ob=MiamiImageURL&amp;_cid=271616&amp;_user=686465&amp;_pii=S0953543807000793&amp;_check=y&amp;_origin=search&amp;_zone=rslt_list_item&amp;_coverDate=2008-01-31&amp;wchp=dGLzVlt-zSkWb&amp;md5=157d406092542ce968bd44088877462b&amp;pid=1-s2.0-S0953543807000793-main.pdf</t>
  </si>
  <si>
    <t>Introduction: Applications of Social Network Analysis</t>
  </si>
  <si>
    <t>Christian Hirschi</t>
  </si>
  <si>
    <t>http://pdn.sciencedirect.com/science?_ob=MiamiImageURL&amp;_cid=277811&amp;_user=686465&amp;_pii=S1877042810018513&amp;_check=y&amp;_origin=search&amp;_zone=rslt_list_item&amp;_coverDate=2010-12-31&amp;wchp=dGLzVlt-zSkWb&amp;md5=147c1885955f4a35a03d871f40a5d926&amp;pid=1-s2.0-S1877042810018513-main.pdf</t>
  </si>
  <si>
    <t>12 - Application of Social Network Analysis to the Study of Open Source Software</t>
  </si>
  <si>
    <t>Jin Xu, Scott Christley, Gregory Madey</t>
  </si>
  <si>
    <t>The Economics of Open Source Software Development</t>
  </si>
  <si>
    <t>http://pdn.sciencedirect.com/science?_ob=MiamiImageURL&amp;_cid=274601&amp;_user=686465&amp;_pii=B9780444527691500123&amp;_check=y&amp;_origin=search&amp;_zone=rslt_list_item&amp;_coverDate=2006-12-31&amp;wchp=dGLzVlt-zSkWb&amp;md5=81dd37e708f54ee818870b7265ec22b5&amp;pid=3-s2.0-B9780444527691500123-main.pdf</t>
  </si>
  <si>
    <t>Flink: Semantic Web technology for the extraction and analysis of social networks</t>
  </si>
  <si>
    <t>Peter Mika</t>
  </si>
  <si>
    <t>Web Semantics: Science, Services and Agents on the World Wide Web</t>
  </si>
  <si>
    <t>http://pdn.sciencedirect.com/science?_ob=MiamiImageURL&amp;_cid=272989&amp;_user=686465&amp;_pii=S1570826805000089&amp;_check=y&amp;_origin=search&amp;_zone=rslt_list_item&amp;_coverDate=2005-10-31&amp;wchp=dGLzVlt-zSkWb&amp;md5=db9ac07df5b96ec3b5995eb3d4c53c34&amp;pid=1-s2.0-S1570826805000089-main.pdf</t>
  </si>
  <si>
    <t>The man whose web expanded: Network dynamics in Manchester's post/punk music scene 1976–1980</t>
  </si>
  <si>
    <t>Nick Crossley</t>
  </si>
  <si>
    <t>Poetics</t>
  </si>
  <si>
    <t>http://pdn.sciencedirect.com/science?_ob=MiamiImageURL&amp;_cid=271764&amp;_user=686465&amp;_pii=S0304422X08000661&amp;_check=y&amp;_origin=search&amp;_zone=rslt_list_item&amp;_coverDate=2009-02-28&amp;wchp=dGLzVlt-zSkWb&amp;md5=daa215f6a994ef6bdb8ffe2f99f6786a&amp;pid=1-s2.0-S0304422X08000661-main.pdf</t>
  </si>
  <si>
    <t>A new variant of the Pathfinder algorithm to generate large visual science maps in cubic time</t>
  </si>
  <si>
    <t>A. Quirin, O. Cord&amp;oacute;n, J. Santamar&amp;iacute;a, B. Vargas-Quesada, F. Moya-Aneg&amp;oacute;n</t>
  </si>
  <si>
    <t>Information Processing &amp; Management</t>
  </si>
  <si>
    <t>http://pdn.sciencedirect.com/science?_ob=MiamiImageURL&amp;_cid=271647&amp;_user=686465&amp;_pii=S0306457307001707&amp;_check=y&amp;_origin=search&amp;_zone=rslt_list_item&amp;_coverDate=2008-07-31&amp;wchp=dGLzVlt-zSkWb&amp;md5=dd6a690fe1952cf6805accb7a9d2bea4&amp;pid=1-s2.0-S0306457307001707-main.pdf</t>
  </si>
  <si>
    <t>A Longitudinal Social Network Analysis of the Editorial Boards of Medical Informatics and Bioinformatics Journals</t>
  </si>
  <si>
    <t>Bradley Malin, Kathleen Carley</t>
  </si>
  <si>
    <t>Journal of the American Medical Informatics Association</t>
  </si>
  <si>
    <t>http://pdn.sciencedirect.com/science?_ob=MiamiImageURL&amp;_cid=273565&amp;_user=686465&amp;_pii=S1067502707000497&amp;_check=y&amp;_origin=search&amp;_zone=rslt_list_item&amp;_coverDate=2007-06-30&amp;wchp=dGLzVlt-zSkWb&amp;md5=b568fa1fdd581eafaaea49071cf79a3a&amp;pid=1-s2.0-S1067502707000497-main.pdf</t>
  </si>
  <si>
    <t>A synthesis of semantic social network and attraction theory for innovating community-based e-service</t>
  </si>
  <si>
    <t>Soe-Tysr Yuan, Yan-Lin Fei</t>
  </si>
  <si>
    <t>http://pdn.sciencedirect.com/science?_ob=MiamiImageURL&amp;_cid=271506&amp;_user=686465&amp;_pii=S0957417409008999&amp;_check=y&amp;_origin=search&amp;_zone=rslt_list_item&amp;_coverDate=2010-05-31&amp;wchp=dGLzVlt-zSkWb&amp;md5=f0e6cf53e8c1e7b5329f5fe2c7d376e4&amp;pid=1-s2.0-S0957417409008999-main.pdf</t>
  </si>
  <si>
    <t>Introducing an informal synchronous medium in a distance learning course: How is participation affected?</t>
  </si>
  <si>
    <t>http://pdn.sciencedirect.com/science?_ob=MiamiImageURL&amp;_cid=272103&amp;_user=686465&amp;_pii=S1096751606000194&amp;_check=y&amp;_origin=search&amp;_zone=rslt_list_item&amp;_coverDate=2006-06-30&amp;wchp=dGLzVlt-zSkWb&amp;md5=d7f0eea8b556b4072452c8294877fc2e&amp;pid=1-s2.0-S1096751606000194-main.pdf</t>
  </si>
  <si>
    <t>Looking for evidence of learning: Assessment and analysis methods for online discourse</t>
  </si>
  <si>
    <t>Vanessa Paz Dennen</t>
  </si>
  <si>
    <t>http://pdn.sciencedirect.com/science?_ob=MiamiImageURL&amp;_cid=271802&amp;_user=686465&amp;_pii=S0747563207000118&amp;_check=y&amp;_origin=search&amp;_zone=rslt_list_item&amp;_coverDate=2008-03-31&amp;wchp=dGLzVlt-zSkWb&amp;md5=db03ee6bf8fec5d43d4873e134c5d665&amp;pid=1-s2.0-S0747563207000118-main.pdf</t>
  </si>
  <si>
    <t>Social network analysis with respondent-driven sampling data: A study of racial integration on campus</t>
  </si>
  <si>
    <t>Cyprian Wejnert</t>
  </si>
  <si>
    <t>http://pdn.sciencedirect.com/science?_ob=MiamiImageURL&amp;_cid=271850&amp;_user=686465&amp;_pii=S0378873309000501&amp;_check=y&amp;_origin=search&amp;_zone=rslt_list_item&amp;_coverDate=2010-05-31&amp;wchp=dGLzVlt-zSkWb&amp;md5=359a402186bc1303f89a3a5e4b52b139&amp;pid=1-s2.0-S0378873309000501-main.pdf</t>
  </si>
  <si>
    <t>From participation to dropout: Quantitative participation patterns in online university courses</t>
  </si>
  <si>
    <t>Nicolae Nistor, Katrin Neubauer</t>
  </si>
  <si>
    <t>http://pdn.sciencedirect.com/science?_ob=MiamiImageURL&amp;_cid=271849&amp;_user=686465&amp;_pii=S0360131510000692&amp;_check=y&amp;_origin=search&amp;_zone=rslt_list_item&amp;_coverDate=2010-09-30&amp;wchp=dGLzVlt-zSkWb&amp;md5=23479825df3ce73f2b116f680be6eadf&amp;pid=1-s2.0-S0360131510000692-main.pdf</t>
  </si>
  <si>
    <t>Comparing the structure of virtual entrepreneur networks with business effectiveness</t>
  </si>
  <si>
    <t>Stefan Nann, Jonas Krauss, Michael Schober, Peter A. Gloor, Kai Fischbach, Hauke F&amp;uuml;hres</t>
  </si>
  <si>
    <t>http://pdn.sciencedirect.com/science?_ob=MiamiImageURL&amp;_cid=277811&amp;_user=686465&amp;_pii=S187704281001116X&amp;_check=y&amp;_origin=search&amp;_zone=rslt_list_item&amp;_coverDate=2010-12-31&amp;wchp=dGLzVlt-zSkWb&amp;md5=cf0a93aae49fa8bf96a2523d5eee7554&amp;pid=1-s2.0-S187704281001116X-main.pdf</t>
  </si>
  <si>
    <t>W. de Nooy, A. Mrvar, V. Batagelj, Exploratory Social Network Analysis with Pajek (2005) Cambridge University Press,New York.</t>
  </si>
  <si>
    <t>Patrick Doreian</t>
  </si>
  <si>
    <t>http://pdn.sciencedirect.com/science?_ob=MiamiImageURL&amp;_cid=271850&amp;_user=686465&amp;_pii=S0378873305000900&amp;_check=y&amp;_origin=search&amp;_zone=rslt_list_item&amp;_coverDate=2006-07-31&amp;wchp=dGLzVlt-zSkWb&amp;md5=bba7e72dbd33173857e0dba70e46dbdb&amp;pid=1-s2.0-S0378873305000900-main.pdf</t>
  </si>
  <si>
    <t>Chapter 4 The Future of Social Web Sites: Sharing Data and Trusted Applications with Semantics</t>
  </si>
  <si>
    <t>Sheila Kinsella, Alexandre Passant, John G. Breslin, Stefan Decker, Ajit Jaokar</t>
  </si>
  <si>
    <t>Advances in Computers</t>
  </si>
  <si>
    <t>Trends in online networking among South Korean politicians — A mixed-method approach</t>
  </si>
  <si>
    <t>Han Woo Park, Randolph Kluver</t>
  </si>
  <si>
    <t>Government Information Quarterly</t>
  </si>
  <si>
    <t>http://pdn.sciencedirect.com/science?_ob=MiamiImageURL&amp;_cid=272070&amp;_user=686465&amp;_pii=S0740624X09000586&amp;_check=y&amp;_origin=search&amp;_zone=rslt_list_item&amp;_coverDate=2009-07-31&amp;wchp=dGLzVlt-zSkWb&amp;md5=621b64b1f3bdd602a690d502d47d56ce&amp;pid=1-s2.0-S0740624X09000586-main.pdf</t>
  </si>
  <si>
    <t>Computing core/periphery structures and permutation tests for social relations data</t>
  </si>
  <si>
    <t>John P. Boyd, William J. Fitzgerald, Robert J. Beck</t>
  </si>
  <si>
    <t>http://pdn.sciencedirect.com/science?_ob=MiamiImageURL&amp;_cid=271850&amp;_user=686465&amp;_pii=S0378873305000456&amp;_check=y&amp;_origin=search&amp;_zone=rslt_list_item&amp;_coverDate=2006-05-31&amp;wchp=dGLzVlt-zSkWb&amp;md5=8d645a9e5a88415ce2a74aafa78ada19&amp;pid=1-s2.0-S0378873305000456-main.pdf</t>
  </si>
  <si>
    <t>Paradox and Promise: MySpace, Facebook, and the Sociopolitics of Social Networking in the Writing Classroom</t>
  </si>
  <si>
    <t>Gina Maranto, Matt Barton</t>
  </si>
  <si>
    <t>Computers and Composition</t>
  </si>
  <si>
    <t>http://pdn.sciencedirect.com/science?_ob=MiamiImageURL&amp;_cid=272079&amp;_user=686465&amp;_pii=S8755461509000838&amp;_check=y&amp;_origin=search&amp;_zone=rslt_list_item&amp;_coverDate=2010-03-31&amp;wchp=dGLzVlt-zSkWb&amp;md5=45290615b0bbe098cd729eee55c63420&amp;pid=1-s2.0-S8755461509000838-main.pdf</t>
  </si>
  <si>
    <t>The effect of social grounding on collaboration in a computer-mediated small group discussion</t>
  </si>
  <si>
    <t>Terence C. Ahern, Julie A. Thomas, Mary K. Tallent-Runnels, William Y. Lan, Sandra Cooper, Xiaoming Lu, Jacqui Cyrus</t>
  </si>
  <si>
    <t>http://pdn.sciencedirect.com/science?_ob=MiamiImageURL&amp;_cid=272103&amp;_user=686465&amp;_pii=S1096751605000801&amp;_check=y&amp;_origin=search&amp;_zone=rslt_list_item&amp;_coverDate=2006-03-31&amp;wchp=dGLzVlt-zSkWb&amp;md5=a8c3005b1c39bfcd94c6110dc09d704c&amp;pid=1-s2.0-S1096751605000801-main.pdf</t>
  </si>
  <si>
    <t>The Development of Social Network Analysis in the Spanish-Speaking World: A Spanish Chronicle, version 2b, J.L. Molina (2006)</t>
  </si>
  <si>
    <t>Jos&amp;eacute; Luis Molina</t>
  </si>
  <si>
    <t>http://pdn.sciencedirect.com/science?_ob=MiamiImageURL&amp;_cid=271850&amp;_user=686465&amp;_pii=S0378873306000360&amp;_check=y&amp;_origin=search&amp;_zone=rslt_list_item&amp;_coverDate=2007-05-31&amp;wchp=dGLzVlt-zSkWb&amp;md5=854e7ee50837f10dc8f0b1110384430e&amp;pid=1-s2.0-S0378873306000360-main.pdf</t>
  </si>
  <si>
    <t>The SocialTrust framework for trusted social information management: Architecture and algorithms</t>
  </si>
  <si>
    <t>James Caverlee, Ling Liu, Steve Webb</t>
  </si>
  <si>
    <t>Information Sciences</t>
  </si>
  <si>
    <t>http://pdn.sciencedirect.com/science?_ob=MiamiImageURL&amp;_cid=271625&amp;_user=686465&amp;_pii=S0020025509002928&amp;_check=y&amp;_origin=search&amp;_zone=rslt_list_item&amp;_coverDate=2010-01-02&amp;wchp=dGLzVlt-zSkWb&amp;md5=f489a46fe2e96b8c17a20e193adedaaa&amp;pid=1-s2.0-S0020025509002928-main.pdf</t>
  </si>
  <si>
    <t>The structure of educational research: The role of multivocality in promoting cohesion in an article interlock network</t>
  </si>
  <si>
    <t>Brian V. Carolan</t>
  </si>
  <si>
    <t>http://pdn.sciencedirect.com/science?_ob=MiamiImageURL&amp;_cid=271850&amp;_user=686465&amp;_pii=S0378873307000585&amp;_check=y&amp;_origin=search&amp;_zone=rslt_list_item&amp;_coverDate=2008-01-31&amp;wchp=dGLzVlt-zSkWb&amp;md5=ff4600a2a056400ecf4410a810cc6e76&amp;pid=1-s2.0-S0378873307000585-main.pdf</t>
  </si>
  <si>
    <t>Data mining in course management systems: Moodle case study and tutorial</t>
  </si>
  <si>
    <t>Crist&amp;oacute;bal Romero, Sebasti&amp;aacute;n Ventura, Enrique Garc&amp;iacute;a</t>
  </si>
  <si>
    <t>http://pdn.sciencedirect.com/science?_ob=MiamiImageURL&amp;_cid=271849&amp;_user=686465&amp;_pii=S0360131507000590&amp;_check=y&amp;_origin=search&amp;_zone=rslt_list_item&amp;_coverDate=2008-08-31&amp;wchp=dGLzVlt-zSkWb&amp;md5=e1332a2cc4a7d606e03583d5516b1a3f&amp;pid=1-s2.0-S0360131507000590-main.pdf</t>
  </si>
  <si>
    <t>Appropriating the use of a Moo for collaborative learning</t>
  </si>
  <si>
    <t>Teresa Cerratto Pargman, Yvonne W&amp;aelig;rn</t>
  </si>
  <si>
    <t>http://pdn.sciencedirect.com/science?_ob=MiamiImageURL&amp;_cid=271616&amp;_user=686465&amp;_pii=S0953543803000754&amp;_check=y&amp;_origin=search&amp;_zone=rslt_list_item&amp;_coverDate=2003-12-31&amp;wchp=dGLzVlt-zSkWb&amp;md5=410c96628340b9746b478a1b9f3c4906&amp;pid=1-s2.0-S0953543803000754-main.pdf</t>
  </si>
  <si>
    <t>Ego network properties as a way to reveal conflict in collaboration's clothing</t>
  </si>
  <si>
    <t>Bethany B. Cutts, Tischa Mu&amp;ntilde;oz-Erickson, Kate J. Darby, Mark Neff, Elisabeth K. Larson, Bob Bolin, Amber Wutich</t>
  </si>
  <si>
    <t>http://pdn.sciencedirect.com/science?_ob=MiamiImageURL&amp;_cid=277811&amp;_user=686465&amp;_pii=S1877042810018604&amp;_check=y&amp;_origin=search&amp;_zone=rslt_list_item&amp;_coverDate=2010-12-31&amp;wchp=dGLzVlt-zSkWb&amp;md5=04d13aebccb4ad7860523acd8cb689d0&amp;pid=1-s2.0-S1877042810018604-main.pdf</t>
  </si>
  <si>
    <t>You can’t teach understanding, you construct it: Applying social network analysis to organizational learning</t>
  </si>
  <si>
    <t>Michael von Kutzschenbach, Carl Br&amp;oslash;nn</t>
  </si>
  <si>
    <t>http://pdn.sciencedirect.com/science?_ob=MiamiImageURL&amp;_cid=277811&amp;_user=686465&amp;_pii=S1877042810018598&amp;_check=y&amp;_origin=search&amp;_zone=rslt_list_item&amp;_coverDate=2010-12-31&amp;wchp=dGLzVlt-zSkWb&amp;md5=39d2dc21fdb0e47fd54c53782914d886&amp;pid=1-s2.0-S1877042810018598-main.pdf</t>
  </si>
  <si>
    <t>Methods for reporting on the targets of links from national systems of university Web sites</t>
  </si>
  <si>
    <t>Mike Thelwall</t>
  </si>
  <si>
    <t>http://pdn.sciencedirect.com/science?_ob=MiamiImageURL&amp;_cid=271647&amp;_user=686465&amp;_pii=S0306457302000833&amp;_check=y&amp;_origin=search&amp;_zone=rslt_list_item&amp;_coverDate=2004-01-31&amp;wchp=dGLzVlt-zSkWb&amp;md5=892f9142c24aa7965ce48f0586414b39&amp;pid=1-s2.0-S0306457302000833-main.pdf</t>
  </si>
  <si>
    <t>Community detection in graphs</t>
  </si>
  <si>
    <t>Santo Fortunato</t>
  </si>
  <si>
    <t>Physics Reports</t>
  </si>
  <si>
    <t>http://pdn.sciencedirect.com/science?_ob=MiamiImageURL&amp;_cid=271542&amp;_user=686465&amp;_pii=S0370157309002841&amp;_check=y&amp;_origin=search&amp;_zone=rslt_list_item&amp;_coverDate=2010-02-28&amp;wchp=dGLzVlt-zSkWb&amp;md5=3794be62239c4f1185431a0a4b964f6a&amp;pid=1-s2.0-S0370157309002841-main.pdf</t>
  </si>
  <si>
    <t>Tastes, ties, and time: A new social network dataset using Facebook.com</t>
  </si>
  <si>
    <t>Kevin Lewis, Jason Kaufman, Marco Gonzalez, Andreas Wimmer, Nicholas Christakis</t>
  </si>
  <si>
    <t>http://pdn.sciencedirect.com/science?_ob=MiamiImageURL&amp;_cid=271850&amp;_user=686465&amp;_pii=S0378873308000385&amp;_check=y&amp;_origin=search&amp;_zone=rslt_list_item&amp;_coverDate=2008-10-31&amp;wchp=dGLzVlt-zSkWb&amp;md5=8b11b875ccc250c4decbd97388680a41&amp;pid=1-s2.0-S0378873308000385-main.pdf</t>
  </si>
  <si>
    <t>Visual assessment of software evolution</t>
  </si>
  <si>
    <t>Lucian Voinea, Johan Lukkien, Alexandru Telea</t>
  </si>
  <si>
    <t>Science of Computer Programming</t>
  </si>
  <si>
    <t>http://pdn.sciencedirect.com/science?_ob=MiamiImageURL&amp;_cid=271600&amp;_user=686465&amp;_pii=S0167642306002061&amp;_check=y&amp;_origin=search&amp;_zone=rslt_list_item&amp;_coverDate=2007-04-01&amp;wchp=dGLzVlt-zSkWb&amp;md5=480894ca91775e4f4984a6fd5cdc2188&amp;pid=1-s2.0-S0167642306002061-main.pdf</t>
  </si>
  <si>
    <t>Network Analysis in Marketing</t>
  </si>
  <si>
    <t>Cynthia M. Webster, Pamela D. Morrison</t>
  </si>
  <si>
    <t>Australasian Marketing Journal (AMJ)</t>
  </si>
  <si>
    <t>http://pdn.sciencedirect.com/science?_ob=MiamiImageURL&amp;_cid=278544&amp;_user=686465&amp;_pii=S1441358204700944&amp;_check=y&amp;_origin=search&amp;_zone=rslt_list_item&amp;_coverDate=2004-12-31&amp;wchp=dGLzVlt-zSkWb&amp;md5=d0c6ef201b959a1f4a9f5c92c7deedcb&amp;pid=1-s2.0-S1441358204700944-main.pdf</t>
  </si>
  <si>
    <t>A selective analysis of empirical findings in networked learning research in higher education: Questing for coherence</t>
  </si>
  <si>
    <t>Maarten de Laat, Victor Lally, Robert-Jan Simons, Etienne Wenger</t>
  </si>
  <si>
    <t>Educational Research Review</t>
  </si>
  <si>
    <t>http://pdn.sciencedirect.com/science?_ob=MiamiImageURL&amp;_cid=273542&amp;_user=686465&amp;_pii=S1747938X06000273&amp;_check=y&amp;_origin=search&amp;_zone=rslt_list_item&amp;_coverDate=2006-12-31&amp;wchp=dGLzVlt-zSkWb&amp;md5=a4a7790cae879350eabfcde3b7730d32&amp;pid=1-s2.0-S1747938X06000273-main.pdf</t>
  </si>
  <si>
    <t>A social interaction analysis methodology for improving E-collaboration over the Internet</t>
  </si>
  <si>
    <t>Jian Cai</t>
  </si>
  <si>
    <t>Electronic Commerce Research and Applications</t>
  </si>
  <si>
    <t>http://pdn.sciencedirect.com/science?_ob=MiamiImageURL&amp;_cid=272634&amp;_user=686465&amp;_pii=S1567422304000420&amp;_check=y&amp;_origin=search&amp;_zone=rslt_list_item&amp;_coverDate=2005-08-31&amp;wchp=dGLzVlt-zSkWb&amp;md5=0ead60ad01e78f5b140f60a54acc727a&amp;pid=1-s2.0-S1567422304000420-main.pdf</t>
  </si>
  <si>
    <t>Exploring user acceptance of technology using social networks</t>
  </si>
  <si>
    <t>Liaquat Hossain, Anjali de Silva</t>
  </si>
  <si>
    <t>The Journal of High Technology Management Research</t>
  </si>
  <si>
    <t>http://pdn.sciencedirect.com/science?_ob=MiamiImageURL&amp;_cid=272085&amp;_user=686465&amp;_pii=S1047831009000029&amp;_check=y&amp;_origin=search&amp;_zone=rslt_list_item&amp;_coverDate=2009-12-31&amp;wchp=dGLzVlt-zSkWb&amp;md5=9496eea4c27113076a88778da8e5f840&amp;pid=1-s2.0-S1047831009000029-main.pdf</t>
  </si>
  <si>
    <t>Informetrics at the beginning of the 21st century—A review</t>
  </si>
  <si>
    <t>Judit Bar-Ilan</t>
  </si>
  <si>
    <t>Journal of Informetrics</t>
  </si>
  <si>
    <t>http://pdn.sciencedirect.com/science?_ob=MiamiImageURL&amp;_cid=273584&amp;_user=686465&amp;_pii=S1751157707000740&amp;_check=y&amp;_origin=search&amp;_zone=rslt_list_item&amp;_coverDate=2008-01-31&amp;wchp=dGLzVlt-zSkWb&amp;md5=179b8a82e620d0f07222faf3a51e799e&amp;pid=1-s2.0-S1751157707000740-main.pdf</t>
  </si>
  <si>
    <t>Mining LMS data to develop an “early warning system” for educators: A proof of concept</t>
  </si>
  <si>
    <t>Leah P. Macfadyen, Shane Dawson</t>
  </si>
  <si>
    <t>http://pdn.sciencedirect.com/science?_ob=MiamiImageURL&amp;_cid=271849&amp;_user=686465&amp;_pii=S0360131509002486&amp;_check=y&amp;_origin=search&amp;_zone=rslt_list_item&amp;_coverDate=2010-02-28&amp;wchp=dGLzVlt-zSkWb&amp;md5=07ceecb56b86d70bcef458cb91cdf45b&amp;pid=1-s2.0-S0360131509002486-main.pdf</t>
  </si>
  <si>
    <t>Promoting social network awareness: A social network monitoring system</t>
  </si>
  <si>
    <t>Rita Cadima, Carlos Ferreira, Josep Monguet, Jordi Ojeda, Joaquin Fernandez</t>
  </si>
  <si>
    <t>http://pdn.sciencedirect.com/science?_ob=MiamiImageURL&amp;_cid=271849&amp;_user=686465&amp;_pii=S0360131509003297&amp;_check=y&amp;_origin=search&amp;_zone=rslt_list_item&amp;_coverDate=2010-05-31&amp;wchp=dGLzVlt-zSkWb&amp;md5=e9d56cfd203cb586ccef1612a5da4044&amp;pid=1-s2.0-S0360131509003297-main.pdf</t>
  </si>
  <si>
    <t>Global alliance networks: A comparison of biotech SMEs in Sweden and Australia</t>
  </si>
  <si>
    <t>Leyland Pitt, Rian van der Merwe, Pierre Berthon, Esmail Salehi-Sangari, Albert Caruana</t>
  </si>
  <si>
    <t>Industrial Marketing Management</t>
  </si>
  <si>
    <t>http://pdn.sciencedirect.com/science?_ob=MiamiImageURL&amp;_cid=271714&amp;_user=686465&amp;_pii=S0019850106000496&amp;_check=y&amp;_origin=search&amp;_zone=rslt_list_item&amp;_coverDate=2006-07-31&amp;wchp=dGLzVlt-zSkWb&amp;md5=00c67ab375198503e36ed0d613bd2a27&amp;pid=1-s2.0-S0019850106000496-main.pdf</t>
  </si>
  <si>
    <t>A probabilistic reputation model based on transaction ratings</t>
  </si>
  <si>
    <t>http://pdn.sciencedirect.com/science?_ob=MiamiImageURL&amp;_cid=271625&amp;_user=686465&amp;_pii=S0020025510000344&amp;_check=y&amp;_origin=search&amp;_zone=rslt_list_item&amp;_coverDate=2010-06-01&amp;wchp=dGLzVlt-zSkWb&amp;md5=1cf0fb4c35c1f9f79a650bbc653021f7&amp;pid=1-s2.0-S0020025510000344-main.pdf</t>
  </si>
  <si>
    <t>Measuring the value of electronic word of mouth and its impact in consumer communities</t>
  </si>
  <si>
    <t>Paul Dwyer</t>
  </si>
  <si>
    <t>http://pdn.sciencedirect.com/science?_ob=MiamiImageURL&amp;_cid=277809&amp;_user=686465&amp;_pii=S1094996807700294&amp;_check=y&amp;_origin=search&amp;_zone=rslt_list_item&amp;_coverDate=2007-12-31&amp;wchp=dGLzVlt-zSkWb&amp;md5=f562fb0215ac1837b4cbf75ae4a1bcf3&amp;pid=1-s2.0-S1094996807700294-main.pdf</t>
  </si>
  <si>
    <t>Focused crawling: a new approach to topic-specific Web resource discovery</t>
  </si>
  <si>
    <t>Soumen Chakrabarti, Martin van den Berg, Byron Dom</t>
  </si>
  <si>
    <t>Computer Networks</t>
  </si>
  <si>
    <t>http://pdn.sciencedirect.com/science?_ob=MiamiImageURL&amp;_cid=271990&amp;_user=686465&amp;_pii=S1389128699000523&amp;_check=y&amp;_origin=search&amp;_zone=rslt_list_item&amp;_coverDate=1999-05-17&amp;wchp=dGLzVlt-zSkWb&amp;md5=10daa5336469c91bb70d81d71a52fbd7&amp;pid=1-s2.0-S1389128699000523-main.pdf</t>
  </si>
  <si>
    <t>The role of network centrality in the flow of consumer influence</t>
  </si>
  <si>
    <t>Seung Hwan (Mark) Lee, June Cotte, Theodore J. Noseworthy</t>
  </si>
  <si>
    <t>Journal of Consumer Psychology</t>
  </si>
  <si>
    <t>http://pdn.sciencedirect.com/science?_ob=MiamiImageURL&amp;_cid=276838&amp;_user=686465&amp;_pii=S1057740809001132&amp;_check=y&amp;_origin=search&amp;_zone=rslt_list_item&amp;_coverDate=2010-01-31&amp;wchp=dGLzVlt-zSkWb&amp;md5=af1e67fe2bc5b5f72031e068d49fcea2&amp;pid=1-s2.0-S1057740809001132-main.pdf</t>
  </si>
  <si>
    <t>Media ownership and communications: Enriching the research agenda</t>
  </si>
  <si>
    <t>D. Linda Garcia, Ellen Surles</t>
  </si>
  <si>
    <t>Telecommunications Policy</t>
  </si>
  <si>
    <t>http://pdn.sciencedirect.com/science?_ob=MiamiImageURL&amp;_cid=271735&amp;_user=686465&amp;_pii=S0308596107000523&amp;_check=y&amp;_origin=search&amp;_zone=rslt_list_item&amp;_coverDate=2007-10-31&amp;wchp=dGLzVlt-zSkWb&amp;md5=9b269f1c87e6664b4a4b625d53bc07d6&amp;pid=1-s2.0-S0308596107000523-main.pdf</t>
  </si>
  <si>
    <t>Ontologies are us: A unified model of social networks and semantics</t>
  </si>
  <si>
    <t>http://pdn.sciencedirect.com/science?_ob=MiamiImageURL&amp;_cid=272989&amp;_user=686465&amp;_pii=S1570826806000552&amp;_check=y&amp;_origin=search&amp;_zone=rslt_list_item&amp;_coverDate=2007-03-31&amp;wchp=dGLzVlt-zSkWb&amp;md5=ccdc6b48f6d23a3d9c5b747e77566f3a&amp;pid=1-s2.0-S1570826806000552-main.pdf</t>
  </si>
  <si>
    <t>Physician utilization of computers in medical practice: Policy implications based on a structural model</t>
  </si>
  <si>
    <t>James G. Anderson, Stephen J. Jay, Harlan M. Schweer, Marilyn M. Anderson</t>
  </si>
  <si>
    <t>http://pdn.sciencedirect.com/science?_ob=MiamiImageURL&amp;_cid=271821&amp;_user=686465&amp;_pii=0277953686903461&amp;_check=y&amp;_origin=search&amp;_zone=rslt_list_item&amp;_coverDate=1986-12-31&amp;wchp=dGLzVlt-zSkWb&amp;md5=08f9de3bf9da67e4a4a0c2c6b7a88096&amp;pid=1-s2.0-0277953686903461-main.pdf</t>
  </si>
  <si>
    <t>The language of the Southey–Coleridge Circle</t>
  </si>
  <si>
    <t>Lynda Pratt, David Denison</t>
  </si>
  <si>
    <t>Language Sciences</t>
  </si>
  <si>
    <t>http://pdn.sciencedirect.com/science?_ob=MiamiImageURL&amp;_cid=271777&amp;_user=686465&amp;_pii=S0388000100000139&amp;_check=y&amp;_origin=search&amp;_zone=rslt_list_item&amp;_coverDate=2000-07-01&amp;wchp=dGLzVlt-zSkWb&amp;md5=13e4c84c66dc7dac5e3f143495d2f7ff&amp;pid=1-s2.0-S0388000100000139-main.pdf</t>
  </si>
  <si>
    <t>An Integrated Human Information Behavior Research Framework for Information Studies</t>
  </si>
  <si>
    <t>Diane H Sonnenwald, Mirja Iivonen</t>
  </si>
  <si>
    <t>Library &amp; Information Science Research</t>
  </si>
  <si>
    <t>http://pdn.sciencedirect.com/science?_ob=MiamiImageURL&amp;_cid=272068&amp;_user=686465&amp;_pii=S0740818899000237&amp;_check=y&amp;_origin=search&amp;_zone=rslt_list_item&amp;_coverDate=1999-11-30&amp;wchp=dGLzVlt-zSkWb&amp;md5=855999e9ba99b4d48cf1e45aecf0a823&amp;pid=1-s2.0-S0740818899000237-main.pdf</t>
  </si>
  <si>
    <t>Patterns of participation and discourse in elementary students’ computer-supported collaborative learning</t>
  </si>
  <si>
    <t>Lasse Lipponen, Marjaana Rahikainen, Jiri Lallimo, Kai Hakkarainen</t>
  </si>
  <si>
    <t>Learning and Instruction</t>
  </si>
  <si>
    <t>http://pdn.sciencedirect.com/science?_ob=MiamiImageURL&amp;_cid=271828&amp;_user=686465&amp;_pii=S0959475202000427&amp;_check=y&amp;_origin=search&amp;_zone=rslt_list_item&amp;_coverDate=2003-10-31&amp;wchp=dGLzVlt-zSkWb&amp;md5=a6c9bd657cab896a3d75b77c587a23db&amp;pid=1-s2.0-S0959475202000427-main.pdf</t>
  </si>
  <si>
    <t>Computers and clinical judgement: The role of physician networks</t>
  </si>
  <si>
    <t>James G. Anderson, Stephen J. Jay</t>
  </si>
  <si>
    <t>http://pdn.sciencedirect.com/science?_ob=MiamiImageURL&amp;_cid=271821&amp;_user=686465&amp;_pii=0277953685902539&amp;_check=y&amp;_origin=search&amp;_zone=rslt_list_item&amp;_coverDate=1985-12-31&amp;wchp=dGLzVlt-zSkWb&amp;md5=59084e0552dabb38640aaa38c2980b9b&amp;pid=1-s2.0-0277953685902539-main.pdf</t>
  </si>
  <si>
    <t>On representation and aggregation of social evaluations in computational trust and reputation models</t>
  </si>
  <si>
    <t>Jordi Sabater-Mir, Mario Paolucci</t>
  </si>
  <si>
    <t>International Journal of Approximate Reasoning</t>
  </si>
  <si>
    <t>http://pdn.sciencedirect.com/science?_ob=MiamiImageURL&amp;_cid=271876&amp;_user=686465&amp;_pii=S0888613X07000059&amp;_check=y&amp;_origin=search&amp;_zone=rslt_list_item&amp;_coverDate=2007-12-31&amp;wchp=dGLzVlt-zSkWb&amp;md5=6fb951efcdada4a844f5c4674afc3018&amp;pid=1-s2.0-S0888613X07000059-main.pdf</t>
  </si>
  <si>
    <t>Modelling user experience – An agenda for research and practice</t>
  </si>
  <si>
    <t>Effie L.-C. Law, Paul van Schaik</t>
  </si>
  <si>
    <t>http://pdn.sciencedirect.com/science?_ob=MiamiImageURL&amp;_cid=271616&amp;_user=686465&amp;_pii=S0953543810000408&amp;_check=y&amp;_origin=search&amp;_zone=rslt_list_item&amp;_coverDate=2010-09-30&amp;wchp=dGLzVlt-zSkWb&amp;md5=724c3a1c91c2a38d8f362d1adfffb5c8&amp;pid=1-s2.0-S0953543810000408-main.pdf</t>
  </si>
  <si>
    <t>Stakeholder participation for environmental management: A literature review</t>
  </si>
  <si>
    <t>Mark S. Reed</t>
  </si>
  <si>
    <t>Biological Conservation</t>
  </si>
  <si>
    <t>http://pdn.sciencedirect.com/science?_ob=MiamiImageURL&amp;_cid=271811&amp;_user=686465&amp;_pii=S0006320708002693&amp;_check=y&amp;_origin=search&amp;_zone=rslt_list_item&amp;_coverDate=2008-10-31&amp;wchp=dGLzVlt-zSkWb&amp;md5=154d229c8ea3988154ab95646a0d7522&amp;pid=1-s2.0-S0006320708002693-main.pdf</t>
  </si>
  <si>
    <t>Borrowed theory: Applying exchange theories in information science research</t>
  </si>
  <si>
    <t>Hazel Hall</t>
  </si>
  <si>
    <t>http://pdn.sciencedirect.com/science?_ob=MiamiImageURL&amp;_cid=272068&amp;_user=686465&amp;_pii=S0740818803000318&amp;_check=y&amp;_origin=search&amp;_zone=rslt_list_item&amp;_coverDate=2003-11-30&amp;wchp=dGLzVlt-zSkWb&amp;md5=e4b3f6eee364a911388351a6f2274bae&amp;pid=1-s2.0-S0740818803000318-main.pdf</t>
  </si>
  <si>
    <t>Clustering in weighted networks</t>
  </si>
  <si>
    <t>Tore Opsahl, Pietro Panzarasa</t>
  </si>
  <si>
    <t>http://pdn.sciencedirect.com/science?_ob=MiamiImageURL&amp;_cid=271850&amp;_user=686465&amp;_pii=S0378873309000070&amp;_check=y&amp;_origin=search&amp;_zone=rslt_list_item&amp;_coverDate=2009-05-31&amp;wchp=dGLzVlt-zSkWb&amp;md5=fba13ffd7a9e4d373f927c92b2d35159&amp;pid=1-s2.0-S0378873309000070-main.pdf</t>
  </si>
  <si>
    <t>Computing in clinical departments: Implications for the design of hospital information systems</t>
  </si>
  <si>
    <t>D.G. Wastell, E.J. Acheson, L. Cotter, W. Schady, S.B.L. Lucas, E. Cronin</t>
  </si>
  <si>
    <t>Health Policy</t>
  </si>
  <si>
    <t>http://pdn.sciencedirect.com/science?_ob=MiamiImageURL&amp;_cid=271761&amp;_user=686465&amp;_pii=0168851087900108&amp;_check=y&amp;_origin=search&amp;_zone=rslt_list_item&amp;_coverDate=1987-12-31&amp;wchp=dGLzVlt-zSkWb&amp;md5=56c559f9e23467126af4cd0c12a3f475&amp;pid=1-s2.0-0168851087900108-main.pdf</t>
  </si>
  <si>
    <t>New Directions in Graph Theory (With an Emphasis on the Role of Applications)</t>
  </si>
  <si>
    <t>Fred S. Roberts</t>
  </si>
  <si>
    <t>Annals of Discrete Mathematics</t>
  </si>
  <si>
    <t>http://pdn.sciencedirect.com/science?_ob=MiamiImageURL&amp;_cid=276009&amp;_user=686465&amp;_pii=S016750600870373X&amp;_check=y&amp;_origin=search&amp;_zone=rslt_list_item&amp;_coverDate=1993-12-31&amp;wchp=dGLzVlt-zSkWb&amp;md5=9edeb73ebeceb41c257288b2502c33e6&amp;pid=1-s2.0-S016750600870373X-main.pdf</t>
  </si>
  <si>
    <t>Improving peer-to-peer search performance through intelligent social search</t>
  </si>
  <si>
    <t>Stephen J.H. Yang, Jia Zhang, Leon Lin, Jeffrey J.P. Tsai</t>
  </si>
  <si>
    <t>http://pdn.sciencedirect.com/science?_ob=MiamiImageURL&amp;_cid=271506&amp;_user=686465&amp;_pii=S0957417409000918&amp;_check=y&amp;_origin=search&amp;_zone=rslt_list_item&amp;_coverDate=2009-09-30&amp;wchp=dGLzVlt-zSkWb&amp;md5=7f9848e76ca06f6ce49f144a0d5ca966&amp;pid=1-s2.0-S0957417409000918-main.pdf</t>
  </si>
  <si>
    <t>Centers and peripheries: Network roles in language change</t>
  </si>
  <si>
    <t>Zsuzsanna Fagyal, Samarth Swarup, Anna Mar&amp;iacute;a Escobar, Les Gasser, Kiran Lakkaraju</t>
  </si>
  <si>
    <t>Lingua</t>
  </si>
  <si>
    <t>http://pdn.sciencedirect.com/science?_ob=MiamiImageURL&amp;_cid=271778&amp;_user=686465&amp;_pii=S0024384110000203&amp;_check=y&amp;_origin=search&amp;_zone=rslt_list_item&amp;_coverDate=2010-08-31&amp;wchp=dGLzVlt-zSkWb&amp;md5=817c84f10a0e0d9bbf2df8322291967c&amp;pid=1-s2.0-S0024384110000203-main.pdf</t>
  </si>
  <si>
    <t>A toolkit for analyzing corporate cultural toolkits</t>
  </si>
  <si>
    <t>Klaus Weber</t>
  </si>
  <si>
    <t>http://pdn.sciencedirect.com/science?_ob=MiamiImageURL&amp;_cid=271764&amp;_user=686465&amp;_pii=S0304422X05000392&amp;_check=y&amp;_origin=search&amp;_zone=rslt_list_item&amp;_coverDate=2005-08-31&amp;wchp=dGLzVlt-zSkWb&amp;md5=a628c0f6291b410ddf2685cad1862510&amp;pid=1-s2.0-S0304422X05000392-main.pdf</t>
  </si>
  <si>
    <t>Visual data mining and analysis of software repositories</t>
  </si>
  <si>
    <t>Lucian Voinea, Alexandru Telea</t>
  </si>
  <si>
    <t>Computers &amp; Graphics</t>
  </si>
  <si>
    <t>http://pdn.sciencedirect.com/science?_ob=MiamiImageURL&amp;_cid=271576&amp;_user=686465&amp;_pii=S0097849307000623&amp;_check=y&amp;_origin=search&amp;_zone=rslt_list_item&amp;_coverDate=2007-06-30&amp;wchp=dGLzVlt-zSkWb&amp;md5=dc54ac2b779456ff6d42fdad07574f18&amp;pid=1-s2.0-S0097849307000623-main.pdf</t>
  </si>
  <si>
    <t>Reconfiguring public Internet access in Austin, TX: Wi-Fi's promise and broadband divides</t>
  </si>
  <si>
    <t>Martha Fuentes-Bautista, Nobuya Inagaki</t>
  </si>
  <si>
    <t>http://pdn.sciencedirect.com/science?_ob=MiamiImageURL&amp;_cid=272070&amp;_user=686465&amp;_pii=S0740624X06001262&amp;_check=y&amp;_origin=search&amp;_zone=rslt_list_item&amp;_coverDate=2006-12-31&amp;wchp=dGLzVlt-zSkWb&amp;md5=96db260d3cdc16cedabe315826d1d0fe&amp;pid=1-s2.0-S0740624X06001262-main.pdf</t>
  </si>
  <si>
    <t>Seeking peer assistance: Use of e-mail to consult weak and latent ties</t>
  </si>
  <si>
    <t>David A. Flynn</t>
  </si>
  <si>
    <t>http://pdn.sciencedirect.com/science?_ob=MiamiImageURL&amp;_cid=272068&amp;_user=686465&amp;_pii=S0740818804000842&amp;_check=y&amp;_origin=search&amp;_zone=rslt_list_item&amp;_coverDate=2006-02-28&amp;wchp=dGLzVlt-zSkWb&amp;md5=750ef3154114f95dc39c86efc93fe906&amp;pid=1-s2.0-S0740818804000842-main.pdf</t>
  </si>
  <si>
    <t>Dismantling terrorist networks: Evaluating strategic options using agent-based modeling</t>
  </si>
  <si>
    <t>Jared P. Keller, Kevin C. Desouza, Yuan Lin</t>
  </si>
  <si>
    <t>Technological Forecasting and Social Change</t>
  </si>
  <si>
    <t>http://pdn.sciencedirect.com/science?_ob=MiamiImageURL&amp;_cid=271733&amp;_user=686465&amp;_pii=S0040162510000363&amp;_check=y&amp;_origin=search&amp;_zone=rslt_list_item&amp;_coverDate=2010-09-30&amp;wchp=dGLzVlt-zSkWb&amp;md5=7eab7bb057f4b26c64da8a2964e8a27e&amp;pid=1-s2.0-S0040162510000363-main.pdf</t>
  </si>
  <si>
    <t>Social and semantic coevolution in knowledge networks</t>
  </si>
  <si>
    <t>Camille Roth, Jean-Philippe Cointet</t>
  </si>
  <si>
    <t>http://pdn.sciencedirect.com/science?_ob=MiamiImageURL&amp;_cid=271850&amp;_user=686465&amp;_pii=S0378873309000215&amp;_check=y&amp;_origin=search&amp;_zone=rslt_list_item&amp;_coverDate=2010-01-31&amp;wchp=dGLzVlt-zSkWb&amp;md5=3b51dc59c8c29781e23c4aa3b0b2415d&amp;pid=1-s2.0-S0378873309000215-main.pdf</t>
  </si>
  <si>
    <t>References</t>
  </si>
  <si>
    <t>Sem Autor</t>
  </si>
  <si>
    <t>Strategies for Growth in SMEs</t>
  </si>
  <si>
    <t>http://pdn.sciencedirect.com/science?_ob=MiamiImageURL&amp;_cid=274887&amp;_user=686465&amp;_pii=B9780750663519500255&amp;_check=y&amp;_origin=search&amp;_zone=rslt_list_item&amp;_coverDate=2005-12-31&amp;wchp=dGLzVlt-zSkWb&amp;md5=0fde238767944d2cb2ec78ee0242d946&amp;pid=3-s2.0-B9780750663519500255-main.pdf</t>
  </si>
  <si>
    <t>A man on the inside: Unlocking communities as complementary assets</t>
  </si>
  <si>
    <t>Linus Dahlander, Martin W. Wallin</t>
  </si>
  <si>
    <t>Research Policy</t>
  </si>
  <si>
    <t>http://pdn.sciencedirect.com/science?_ob=MiamiImageURL&amp;_cid=271666&amp;_user=686465&amp;_pii=S0048733306001387&amp;_check=y&amp;_origin=search&amp;_zone=rslt_list_item&amp;_coverDate=2006-10-31&amp;wchp=dGLzVlt-zSkWb&amp;md5=7e17af34bf5dc56c253328667863ab18&amp;pid=1-s2.0-S0048733306001387-main.pdf</t>
  </si>
  <si>
    <t>Decision support for team staffing: An automated relational recommendation approach</t>
  </si>
  <si>
    <t>Jochen Malinowski, Tim Weitzel, Tobias Keim</t>
  </si>
  <si>
    <t>http://pdn.sciencedirect.com/science?_ob=MiamiImageURL&amp;_cid=271653&amp;_user=686465&amp;_pii=S0167923607000838&amp;_check=y&amp;_origin=search&amp;_zone=rslt_list_item&amp;_coverDate=2008-06-30&amp;wchp=dGLzVlt-zSkWb&amp;md5=e5a06f23d19f706ab09b4535462ff5fc&amp;pid=1-s2.0-S0167923607000838-main.pdf</t>
  </si>
  <si>
    <t>Identification of influencers — Measuring influence in customer networks</t>
  </si>
  <si>
    <t>Christine Kiss, Martin Bichler</t>
  </si>
  <si>
    <t>http://pdn.sciencedirect.com/science?_ob=MiamiImageURL&amp;_cid=271653&amp;_user=686465&amp;_pii=S0167923608001231&amp;_check=y&amp;_origin=search&amp;_zone=rslt_list_item&amp;_coverDate=2008-12-31&amp;wchp=dGLzVlt-zSkWb&amp;md5=0a28afcbc549fb64d4494533f66ed55a&amp;pid=1-s2.0-S0167923608001231-main.pdf</t>
  </si>
  <si>
    <t>A relational database for bibliometric analysis</t>
  </si>
  <si>
    <t>Nicolai Mallig</t>
  </si>
  <si>
    <t>http://pdn.sciencedirect.com/science?_ob=MiamiImageURL&amp;_cid=273584&amp;_user=686465&amp;_pii=S1751157710000611&amp;_check=y&amp;_origin=search&amp;_zone=rslt_list_item&amp;_coverDate=2010-10-31&amp;wchp=dGLzVlt-zSkWb&amp;md5=912869e0bf921830e77aabec37bed9c1&amp;pid=1-s2.0-S1751157710000611-main.pdf</t>
  </si>
  <si>
    <t>Mining the Web</t>
  </si>
  <si>
    <t>http://pdn.sciencedirect.com/science?_ob=MiamiImageURL&amp;_cid=275412&amp;_user=686465&amp;_pii=B9781558607545500112&amp;_check=y&amp;_origin=search&amp;_zone=rslt_list_item&amp;_coverDate=2003-12-31&amp;wchp=dGLzVlt-zSkWb&amp;md5=29ebed5be945dc818a304f2eb05a67a9&amp;pid=3-s2.0-B9781558607545500112-main.pdf</t>
  </si>
  <si>
    <t>7 - Descriptions of Methods and Techniques</t>
  </si>
  <si>
    <t>Jytte Brender</t>
  </si>
  <si>
    <t>Handbook of Evaluation Methods for Health Informatics</t>
  </si>
  <si>
    <t>http://pdn.sciencedirect.com/science?_ob=MiamiImageURL&amp;_cid=273921&amp;_user=686465&amp;_pii=B9780123704641500071&amp;_check=y&amp;_origin=search&amp;_zone=rslt_list_item&amp;_coverDate=2006-12-31&amp;wchp=dGLzVlt-zSkWb&amp;md5=778a7d4f245097af17db617573221479&amp;pid=3-s2.0-B9780123704641500071-main.pdf</t>
  </si>
  <si>
    <t>Virtual communities and society: Toward an integrative three phase model</t>
  </si>
  <si>
    <t>C. Romm, N. Pliskin, R. Clarke</t>
  </si>
  <si>
    <t>http://pdn.sciencedirect.com/science?_ob=MiamiImageURL&amp;_cid=271677&amp;_user=686465&amp;_pii=S0268401297000042&amp;_check=y&amp;_origin=search&amp;_zone=rslt_list_item&amp;_coverDate=1997-08-31&amp;wchp=dGLzVlt-zSkWb&amp;md5=50f6cfbcc068e510e2a98ec74e0b6bd8&amp;pid=1-s2.0-S0268401297000042-main.pdf</t>
  </si>
  <si>
    <t>The influence of collaborative technology knowledge on advice network structures</t>
  </si>
  <si>
    <t>Mark Keith, Haluk Demirkan, Michael Goul</t>
  </si>
  <si>
    <t>http://pdn.sciencedirect.com/science?_ob=MiamiImageURL&amp;_cid=271653&amp;_user=686465&amp;_pii=S0167923610001168&amp;_check=y&amp;_origin=search&amp;_zone=rslt_list_item&amp;_coverDate=2010-12-31&amp;wchp=dGLzVlt-zSkWb&amp;md5=c0c66acd4332dceba297ea5571f4580b&amp;pid=1-s2.0-S0167923610001168-main.pdf</t>
  </si>
  <si>
    <t>A New Ecology</t>
  </si>
  <si>
    <t>http://pdn.sciencedirect.com/science?_ob=MiamiImageURL&amp;_cid=276691&amp;_user=686465&amp;_pii=B9780444531605500118&amp;_check=y&amp;_origin=search&amp;_zone=rslt_list_item&amp;_coverDate=2007-12-31&amp;wchp=dGLzVlt-zSkWb&amp;md5=deaf306bff66eebee6f7f992cc702050&amp;pid=3-s2.0-B9780444531605500118-main.pdf</t>
  </si>
  <si>
    <t>Empirical analysis of the worldwide maritime transportation network</t>
  </si>
  <si>
    <t>Yihong Hu, Daoli Zhu</t>
  </si>
  <si>
    <t>Physica A: Statistical Mechanics and its Applications</t>
  </si>
  <si>
    <t>http://pdn.sciencedirect.com/science?_ob=MiamiImageURL&amp;_cid=271529&amp;_user=686465&amp;_pii=S0378437108010273&amp;_check=y&amp;_origin=search&amp;_zone=rslt_list_item&amp;_coverDate=2009-05-15&amp;wchp=dGLzVlt-zSkWb&amp;md5=99fb624bf29fd6a6d6ac30468b120706&amp;pid=1-s2.0-S0378437108010273-main.pdf</t>
  </si>
  <si>
    <t>Dynamic organizations. How to measure evolution and change in organizations by analyzing email communication networks</t>
  </si>
  <si>
    <t>Lukas Zenk, Christoph Stadtfeld</t>
  </si>
  <si>
    <t>http://pdn.sciencedirect.com/science?_ob=MiamiImageURL&amp;_cid=277811&amp;_user=686465&amp;_pii=S1877042810018537&amp;_check=y&amp;_origin=search&amp;_zone=rslt_list_item&amp;_coverDate=2010-12-31&amp;wchp=dGLzVlt-zSkWb&amp;md5=88e09b03856450389cc79e1981b96420&amp;pid=1-s2.0-S1877042810018537-main.pdf</t>
  </si>
  <si>
    <t>Multi-professional patterns and methods of communication during patient handoffs</t>
  </si>
  <si>
    <t>Marge M. Benham-Hutchins, Judith A. Effken</t>
  </si>
  <si>
    <t>International Journal of Medical Informatics</t>
  </si>
  <si>
    <t>http://pdn.sciencedirect.com/science?_ob=MiamiImageURL&amp;_cid=271161&amp;_user=686465&amp;_pii=S1386505609001932&amp;_check=y&amp;_origin=search&amp;_zone=rslt_list_item&amp;_coverDate=2010-04-30&amp;wchp=dGLzVlt-zSkWb&amp;md5=d5ce7d5556db2c4384c99a7806a56a51&amp;pid=1-s2.0-S1386505609001932-main.pdf</t>
  </si>
  <si>
    <t>Arachne—adaptive network strategy in a business environment</t>
  </si>
  <si>
    <t>Petri Vasara, Valdis Krebs, Laura Peuhkuri, Eero Eloranta</t>
  </si>
  <si>
    <t>Computers in Industry</t>
  </si>
  <si>
    <t>http://pdn.sciencedirect.com/science?_ob=MiamiImageURL&amp;_cid=271439&amp;_user=686465&amp;_pii=S016636150200115X&amp;_check=y&amp;_origin=search&amp;_zone=rslt_list_item&amp;_coverDate=2003-02-28&amp;wchp=dGLzVlt-zSkWb&amp;md5=e07c074101963280691ade1767d8010d&amp;pid=1-s2.0-S016636150200115X-main.pdf</t>
  </si>
  <si>
    <t>Utility of social network analysis for primate behavioral management and well-being</t>
  </si>
  <si>
    <t>Brenda McCowan, Kristen Anderson, Allison Heagarty, Ashley Cameron</t>
  </si>
  <si>
    <t>Applied Animal Behaviour Science</t>
  </si>
  <si>
    <t>http://pdn.sciencedirect.com/science?_ob=MiamiImageURL&amp;_cid=271155&amp;_user=686465&amp;_pii=S0168159107000676&amp;_check=y&amp;_origin=search&amp;_zone=rslt_list_item&amp;_coverDate=2008-02-29&amp;wchp=dGLzVlt-zSkWb&amp;md5=beef82d5599c85e4aeaa2a5f409ec90f&amp;pid=1-s2.0-S0168159107000676-main.pdf</t>
  </si>
  <si>
    <t>Innovator networks and regional knowledge base</t>
  </si>
  <si>
    <t>Uwe Cantner, Andreas Meder, Anne L.J. ter Wal</t>
  </si>
  <si>
    <t>http://pdn.sciencedirect.com/science?_ob=MiamiImageURL&amp;_cid=271734&amp;_user=686465&amp;_pii=S0166497210000507&amp;_check=y&amp;_origin=search&amp;_zone=rslt_list_item&amp;_coverDate=2010-10-31&amp;wchp=dGLzVlt-zSkWb&amp;md5=0dc3ebdc76e7e8063c85dcf20cfb76f2&amp;pid=1-s2.0-S0166497210000507-main.pdf</t>
  </si>
  <si>
    <t>Fourth-generation warfare: Jihadist networks and percolation</t>
  </si>
  <si>
    <t>Juan Jos&amp;eacute; Miralles Canals</t>
  </si>
  <si>
    <t>Mathematical and Computer Modelling</t>
  </si>
  <si>
    <t>http://pdn.sciencedirect.com/science?_ob=MiamiImageURL&amp;_cid=271552&amp;_user=686465&amp;_pii=S0895717709001526&amp;_check=y&amp;_origin=search&amp;_zone=rslt_list_item&amp;_coverDate=2009-09-30&amp;wchp=dGLzVlt-zSkWb&amp;md5=a06ff73b4a6479c371d9218650a0bb49&amp;pid=1-s2.0-S0895717709001526-main.pdf</t>
  </si>
  <si>
    <t>Networking relations of using ICT within a teacher community</t>
  </si>
  <si>
    <t>Essi Ryymin, Tuire Palonen, Kai Hakkarainen</t>
  </si>
  <si>
    <t>http://pdn.sciencedirect.com/science?_ob=MiamiImageURL&amp;_cid=271849&amp;_user=686465&amp;_pii=S0360131507001479&amp;_check=y&amp;_origin=search&amp;_zone=rslt_list_item&amp;_coverDate=2008-11-30&amp;wchp=dGLzVlt-zSkWb&amp;md5=e03364c72acbdf8ed22b95510deb4de5&amp;pid=1-s2.0-S0360131507001479-main.pdf</t>
  </si>
  <si>
    <t>Trustworthy knowledge diffusion model based on risk discovery on peer-to-peer networks</t>
  </si>
  <si>
    <t>http://pdn.sciencedirect.com/science?_ob=MiamiImageURL&amp;_cid=271506&amp;_user=686465&amp;_pii=S0957417408005770&amp;_check=y&amp;_origin=search&amp;_zone=rslt_list_item&amp;_coverDate=2009-04-30&amp;wchp=dGLzVlt-zSkWb&amp;md5=1ae381aa90d66162ed2457c0a7c06841&amp;pid=1-s2.0-S0957417408005770-main.pdf</t>
  </si>
  <si>
    <t>Visualizing social network concepts</t>
  </si>
  <si>
    <t>Bin Zhu, Stephanie Watts, Hsinchun Chen</t>
  </si>
  <si>
    <t>http://pdn.sciencedirect.com/science?_ob=MiamiImageURL&amp;_cid=271653&amp;_user=686465&amp;_pii=S0167923610000266&amp;_check=y&amp;_origin=search&amp;_zone=rslt_list_item&amp;_coverDate=2010-05-31&amp;wchp=dGLzVlt-zSkWb&amp;md5=527fbab121ebbf7cba95809c48f86ff8&amp;pid=1-s2.0-S0167923610000266-main.pdf</t>
  </si>
  <si>
    <t>Toward alternative metrics of journal impact: A comparison of download and citation data</t>
  </si>
  <si>
    <t>Johan Bollen, Herbert Van de Sompel, Joan A. Smith, Rick Luce</t>
  </si>
  <si>
    <t>http://pdn.sciencedirect.com/science?_ob=MiamiImageURL&amp;_cid=271647&amp;_user=686465&amp;_pii=S0306457305000324&amp;_check=y&amp;_origin=search&amp;_zone=rslt_list_item&amp;_coverDate=2005-12-31&amp;wchp=dGLzVlt-zSkWb&amp;md5=9e1c94f059a4fd3066d5d3470fe9dc36&amp;pid=1-s2.0-S0306457305000324-main.pdf</t>
  </si>
  <si>
    <t>How do technology clusters emerge and become sustainable?: Social network formation and inter-firm mobility within the San Diego biotechnology cluster</t>
  </si>
  <si>
    <t>Steven Casper</t>
  </si>
  <si>
    <t>http://pdn.sciencedirect.com/science?_ob=MiamiImageURL&amp;_cid=271666&amp;_user=686465&amp;_pii=S0048733307000510&amp;_check=y&amp;_origin=search&amp;_zone=rslt_list_item&amp;_coverDate=2007-05-31&amp;wchp=dGLzVlt-zSkWb&amp;md5=fabce3379ba6e31b400a5c69141c0709&amp;pid=1-s2.0-S0048733307000510-main.pdf</t>
  </si>
  <si>
    <t>Exploring connections to unrelated social clusters in a socio temporal communication network</t>
  </si>
  <si>
    <t>Liaquat Hossain, Anna Oboukhova</t>
  </si>
  <si>
    <t>http://pdn.sciencedirect.com/science?_ob=MiamiImageURL&amp;_cid=272085&amp;_user=686465&amp;_pii=S1047831009000200&amp;_check=y&amp;_origin=search&amp;_zone=rslt_list_item&amp;_coverDate=2009-12-31&amp;wchp=dGLzVlt-zSkWb&amp;md5=cfb5fa512a8ebd9e1d1237b40c52b923&amp;pid=1-s2.0-S1047831009000200-main.pdf</t>
  </si>
  <si>
    <t>Analyzing the Flow of Knowledge with Sociometric Badges</t>
  </si>
  <si>
    <t>Kai Fischbach, Peter A. Gloor, Casper Lassenius, Daniel Olguin Olguin, Alex (Sandy) Pentland, Johannes Putzke, Detlef Schoder</t>
  </si>
  <si>
    <t>http://pdn.sciencedirect.com/science?_ob=MiamiImageURL&amp;_cid=277811&amp;_user=686465&amp;_pii=S1877042810011067&amp;_check=y&amp;_origin=search&amp;_zone=rslt_list_item&amp;_coverDate=2010-12-31&amp;wchp=dGLzVlt-zSkWb&amp;md5=5ea6b2bdbb611a859ff5db72b227e5ba&amp;pid=1-s2.0-S1877042810011067-main.pdf</t>
  </si>
  <si>
    <t>Social network effects on the adoption of agroforestry species: Preliminary results of a study on differences on adoption patterns in Southern Ecuador</t>
  </si>
  <si>
    <t>Vladimir Gonzalez Gamboa, Jan Barkmann, Rainer Marggraf</t>
  </si>
  <si>
    <t>http://pdn.sciencedirect.com/science?_ob=MiamiImageURL&amp;_cid=277811&amp;_user=686465&amp;_pii=S1877042810018586&amp;_check=y&amp;_origin=search&amp;_zone=rslt_list_item&amp;_coverDate=2010-12-31&amp;wchp=dGLzVlt-zSkWb&amp;md5=002c693c0d07c05af61d3feb2205e1b3&amp;pid=1-s2.0-S1877042810018586-main.pdf</t>
  </si>
  <si>
    <t>How to analyze dynamic network patterns of high performing teams</t>
  </si>
  <si>
    <t>Lukas Zenk, Christoph Stadtfeld, Florian Windhager</t>
  </si>
  <si>
    <t>http://pdn.sciencedirect.com/science?_ob=MiamiImageURL&amp;_cid=277811&amp;_user=686465&amp;_pii=S1877042810011092&amp;_check=y&amp;_origin=search&amp;_zone=rslt_list_item&amp;_coverDate=2010-12-31&amp;wchp=dGLzVlt-zSkWb&amp;md5=b19a58aaf11169f1a43202d3f1ce06eb&amp;pid=1-s2.0-S1877042810011092-main.pdf</t>
  </si>
  <si>
    <t>Preservation of knowledge through networking with retirees</t>
  </si>
  <si>
    <t>A.C.O. Barroso, J.S.B. Reis-Junior, C.A. Monteiro, A. Seary</t>
  </si>
  <si>
    <t>http://pdn.sciencedirect.com/science?_ob=MiamiImageURL&amp;_cid=277811&amp;_user=686465&amp;_pii=S1877042810011158&amp;_check=y&amp;_origin=search&amp;_zone=rslt_list_item&amp;_coverDate=2010-12-31&amp;wchp=dGLzVlt-zSkWb&amp;md5=4a3ccbd90951d4c4c5803426b6785d15&amp;pid=1-s2.0-S1877042810011158-main.pdf</t>
  </si>
  <si>
    <t>Networks and the future: A new methodological approach to envision and create the network society of tomorrow</t>
  </si>
  <si>
    <t>Jos&amp;eacute; A. Rodr&amp;iacute;guez D&amp;iacute;az</t>
  </si>
  <si>
    <t>Futures</t>
  </si>
  <si>
    <t>http://pdn.sciencedirect.com/science?_ob=MiamiImageURL&amp;_cid=271788&amp;_user=686465&amp;_pii=S0016328709000081&amp;_check=y&amp;_origin=search&amp;_zone=rslt_list_item&amp;_coverDate=2009-09-30&amp;wchp=dGLzVlt-zSkWb&amp;md5=a3a41c45d21dbcf2e628b714781df16e&amp;pid=1-s2.0-S0016328709000081-main.pdf</t>
  </si>
  <si>
    <t>Too Much E-Mail Decreases Job Satisfaction</t>
  </si>
  <si>
    <t>Frank Merten, Peter Gloor</t>
  </si>
  <si>
    <t>http://pdn.sciencedirect.com/science?_ob=MiamiImageURL&amp;_cid=277811&amp;_user=686465&amp;_pii=S1877042810011134&amp;_check=y&amp;_origin=search&amp;_zone=rslt_list_item&amp;_coverDate=2010-12-31&amp;wchp=dGLzVlt-zSkWb&amp;md5=c86ffa9275c953b1a2768772315d565e&amp;pid=1-s2.0-S1877042810011134-main.pdf</t>
  </si>
  <si>
    <t>Translating evidence into practice: A shared priority in public health?</t>
  </si>
  <si>
    <t>H. McAneney, J.F. McCann, L. Prior, J. Wilde, F. Kee</t>
  </si>
  <si>
    <t>http://pdn.sciencedirect.com/science?_ob=MiamiImageURL&amp;_cid=271821&amp;_user=686465&amp;_pii=S0277953610001218&amp;_check=y&amp;_origin=search&amp;_zone=rslt_list_item&amp;_coverDate=2010-05-31&amp;wchp=dGLzVlt-zSkWb&amp;md5=490b0a26b1f5f6a63da497d9f2babed6&amp;pid=1-s2.0-S0277953610001218-main.pdf</t>
  </si>
  <si>
    <t>Management of technology: themes, concepts and relationships</t>
  </si>
  <si>
    <t>Alan Pilkington, Thorsten Teichert</t>
  </si>
  <si>
    <t>http://pdn.sciencedirect.com/science?_ob=MiamiImageURL&amp;_cid=271734&amp;_user=686465&amp;_pii=S0166497205000465&amp;_check=y&amp;_origin=search&amp;_zone=rslt_list_item&amp;_coverDate=2006-03-31&amp;wchp=dGLzVlt-zSkWb&amp;md5=c1ae8105eab5c075e9ef0be1dc411a0f&amp;pid=1-s2.0-S0166497205000465-main.pdf</t>
  </si>
  <si>
    <t>A social network analysis of acting white</t>
  </si>
  <si>
    <t>Na’im Madyun, MooSung Lee, Mustafa Jumale</t>
  </si>
  <si>
    <t>http://pdn.sciencedirect.com/science?_ob=MiamiImageURL&amp;_cid=277811&amp;_user=686465&amp;_pii=S1877042810005331&amp;_check=y&amp;_origin=search&amp;_zone=rslt_list_item&amp;_coverDate=2010-12-31&amp;wchp=dGLzVlt-zSkWb&amp;md5=ee3f409939af2597288ba81f846ad8c4&amp;pid=1-s2.0-S1877042810005331-main.pdf</t>
  </si>
  <si>
    <t>The effect of density on the level of bias in the network autocorrelation model Supplementary content </t>
  </si>
  <si>
    <t>Mark S. Mizruchi, Eric J. Neuman</t>
  </si>
  <si>
    <t>http://pdn.sciencedirect.com/science?_ob=MiamiImageURL&amp;_cid=271850&amp;_user=686465&amp;_pii=S0378873308000129&amp;_check=y&amp;_origin=search&amp;_zone=rslt_list_item&amp;_coverDate=2008-07-31&amp;wchp=dGLzVlt-zSkWb&amp;md5=6eed9c85548b9da9a7019391f9577ada&amp;pid=1-s2.0-S0378873308000129-main.pdf</t>
  </si>
  <si>
    <t>Academic inventors as brokers</t>
  </si>
  <si>
    <t>Francesco Lissoni</t>
  </si>
  <si>
    <t>http://pdn.sciencedirect.com/science?_ob=MiamiImageURL&amp;_cid=271666&amp;_user=686465&amp;_pii=S0048733310001095&amp;_check=y&amp;_origin=search&amp;_zone=rslt_list_item&amp;_coverDate=2010-09-30&amp;wchp=dGLzVlt-zSkWb&amp;md5=def03fc8d982af751e17972b0b290945&amp;pid=1-s2.0-S0048733310001095-main.pdf</t>
  </si>
  <si>
    <t>Alzheimer's Disease Research: A COIN Study Using Co-authorship Network Analytics</t>
  </si>
  <si>
    <t>Aaron A. Sorensen, Andrew Seary, Kenneth Riopelle</t>
  </si>
  <si>
    <t>http://pdn.sciencedirect.com/science?_ob=MiamiImageURL&amp;_cid=277811&amp;_user=686465&amp;_pii=S1877042810011262&amp;_check=y&amp;_origin=search&amp;_zone=rslt_list_item&amp;_coverDate=2010-12-31&amp;wchp=dGLzVlt-zSkWb&amp;md5=1f6a1387e25afb5c3afe7e04f35d019a&amp;pid=1-s2.0-S1877042810011262-main.pdf</t>
  </si>
  <si>
    <t>Tracing the links between science and technology: An exploratory analysis of scientists’ and inventors’ networks</t>
  </si>
  <si>
    <t>Stefano Breschi, Christian Catalini</t>
  </si>
  <si>
    <t>http://pdn.sciencedirect.com/science?_ob=MiamiImageURL&amp;_cid=271666&amp;_user=686465&amp;_pii=S004873330900208X&amp;_check=y&amp;_origin=search&amp;_zone=rslt_list_item&amp;_coverDate=2010-02-28&amp;wchp=dGLzVlt-zSkWb&amp;md5=92cc4483894f39de6f5f86665552d7d2&amp;pid=1-s2.0-S004873330900208X-main.pdf</t>
  </si>
  <si>
    <t>Knowledge transfer in MNCs: Examining how intrinsic motivations and knowledge sourcing impact individual centrality and performance</t>
  </si>
  <si>
    <t>Robin Teigland, Molly Wasko</t>
  </si>
  <si>
    <t>Journal of International Management</t>
  </si>
  <si>
    <t>http://pdn.sciencedirect.com/science?_ob=MiamiImageURL&amp;_cid=272013&amp;_user=686465&amp;_pii=S1075425308001038&amp;_check=y&amp;_origin=search&amp;_zone=rslt_list_item&amp;_coverDate=2009-03-31&amp;wchp=dGLzVlt-zSkWb&amp;md5=6ccea32df9ae3bd93bb8b3300dc124e4&amp;pid=1-s2.0-S1075425308001038-main.pdf</t>
  </si>
  <si>
    <t>A social network perspective of tourism research collaborations</t>
  </si>
  <si>
    <t>Pradeep Racherla, Clark Hu</t>
  </si>
  <si>
    <t>Annals of Tourism Research</t>
  </si>
  <si>
    <t>http://pdn.sciencedirect.com/science?_ob=MiamiImageURL&amp;_cid=271796&amp;_user=686465&amp;_pii=S0160738310000411&amp;_check=y&amp;_origin=search&amp;_zone=rslt_list_item&amp;_coverDate=2010-10-31&amp;wchp=dGLzVlt-zSkWb&amp;md5=84c28f67bd1b2b15f66eae7f7a0ec5e1&amp;pid=1-s2.0-S0160738310000411-main.pdf</t>
  </si>
  <si>
    <t>A framework for WWW user activity analysis based on user interest</t>
  </si>
  <si>
    <t>Jianping Zeng, Shiyong Zhang, Chengrong Wu</t>
  </si>
  <si>
    <t>Knowledge-Based Systems</t>
  </si>
  <si>
    <t>http://pdn.sciencedirect.com/science?_ob=MiamiImageURL&amp;_cid=271505&amp;_user=686465&amp;_pii=S0950705108001007&amp;_check=y&amp;_origin=search&amp;_zone=rslt_list_item&amp;_coverDate=2008-12-31&amp;wchp=dGLzVlt-zSkWb&amp;md5=21af206c4d88824110201b840a1d4f55&amp;pid=1-s2.0-S0950705108001007-main.pdf</t>
  </si>
  <si>
    <t>Identifying knowledge brokers that yield software engineering knowledge in OSS projects</t>
  </si>
  <si>
    <t>Sulayman Sowe, Ioannis Stamelos, Lefteris Angelis</t>
  </si>
  <si>
    <t>http://pdn.sciencedirect.com/science?_ob=MiamiImageURL&amp;_cid=271539&amp;_user=686465&amp;_pii=S0950584906000073&amp;_check=y&amp;_origin=search&amp;_zone=rslt_list_item&amp;_coverDate=2006-11-30&amp;wchp=dGLzVlt-zSkWb&amp;md5=c25ff17c952de143eb462dcfa17a706f&amp;pid=1-s2.0-S0950584906000073-main.pdf</t>
  </si>
  <si>
    <t>Imposing structures: Narrative analysis and the design of information systems</t>
  </si>
  <si>
    <t>Rich Gazan</t>
  </si>
  <si>
    <t>http://pdn.sciencedirect.com/science?_ob=MiamiImageURL&amp;_cid=272068&amp;_user=686465&amp;_pii=S0740818805000356&amp;_check=y&amp;_origin=search&amp;_zone=rslt_list_item&amp;_coverDate=2005-08-31&amp;wchp=dGLzVlt-zSkWb&amp;md5=4c54c224c02a9f37b508d71e73b6b236&amp;pid=1-s2.0-S0740818805000356-main.pdf</t>
  </si>
  <si>
    <t>Social network research and human subjects protection: Towards more effective infectious disease control</t>
  </si>
  <si>
    <t>Alden S. Klovdahl</t>
  </si>
  <si>
    <t>http://pdn.sciencedirect.com/science?_ob=MiamiImageURL&amp;_cid=271850&amp;_user=686465&amp;_pii=S0378873305000158&amp;_check=y&amp;_origin=search&amp;_zone=rslt_list_item&amp;_coverDate=2005-05-31&amp;wchp=dGLzVlt-zSkWb&amp;md5=2eaee9230f54a8c10bcf0ac70c49a365&amp;pid=1-s2.0-S0378873305000158-main.pdf</t>
  </si>
  <si>
    <t>Mapping the contemporary terrorism research domain</t>
  </si>
  <si>
    <t>Edna F. Reid, Hsinchun Chen</t>
  </si>
  <si>
    <t>http://pdn.sciencedirect.com/science?_ob=MiamiImageURL&amp;_cid=272548&amp;_user=686465&amp;_pii=S1071581906001273&amp;_check=y&amp;_origin=search&amp;_zone=rslt_list_item&amp;_coverDate=2007-01-31&amp;wchp=dGLzVlt-zSkWb&amp;md5=c94e2325014c45f71993375134ffb5f5&amp;pid=1-s2.0-S1071581906001273-main.pdf</t>
  </si>
  <si>
    <t>Horizons of long-distance intimacies: Reciprocity, contribution and disjuncture in Cape Verde</t>
  </si>
  <si>
    <t>Heike Drotbohm</t>
  </si>
  <si>
    <t>The History of the Family</t>
  </si>
  <si>
    <t>http://pdn.sciencedirect.com/science?_ob=MiamiImageURL&amp;_cid=272082&amp;_user=686465&amp;_pii=S1081602X09000049&amp;_check=y&amp;_origin=search&amp;_zone=rslt_list_item&amp;_coverDate=2009-12-31&amp;wchp=dGLzVlt-zSkWb&amp;md5=91d90ce3793c299a29e3efa7fdcdf220&amp;pid=1-s2.0-S1081602X09000049-main.pdf</t>
  </si>
  <si>
    <t>What makes mobile computer supported cooperative work mobile? Towards a better understanding of cooperative mobile interactions</t>
  </si>
  <si>
    <t>Gregor Schrott, Johannes Gl&amp;uuml;ckler</t>
  </si>
  <si>
    <t>http://pdn.sciencedirect.com/science?_ob=MiamiImageURL&amp;_cid=272548&amp;_user=686465&amp;_pii=S1071581903002155&amp;_check=y&amp;_origin=search&amp;_zone=rslt_list_item&amp;_coverDate=2004-05-31&amp;wchp=dGLzVlt-zSkWb&amp;md5=186a5185b620d87663357fd32430827c&amp;pid=1-s2.0-S1071581903002155-main.pdf</t>
  </si>
  <si>
    <t>Profiling the non-user: Rethinking policy initiatives stimulating ICT acceptance</t>
  </si>
  <si>
    <t>Pieter Verdegem, Pascal Verhoest</t>
  </si>
  <si>
    <t>http://pdn.sciencedirect.com/science?_ob=MiamiImageURL&amp;_cid=271735&amp;_user=686465&amp;_pii=S0308596109000974&amp;_check=y&amp;_origin=search&amp;_zone=rslt_list_item&amp;_coverDate=2009-12-31&amp;wchp=dGLzVlt-zSkWb&amp;md5=f0543b0814e114950f2c9b74edf76137&amp;pid=1-s2.0-S0308596109000974-main.pdf</t>
  </si>
  <si>
    <t>The social networks of collaborative process</t>
  </si>
  <si>
    <t>Liaquat Hossain, Daniel Fazio</t>
  </si>
  <si>
    <t>http://pdn.sciencedirect.com/science?_ob=MiamiImageURL&amp;_cid=272085&amp;_user=686465&amp;_pii=S104783100900025X&amp;_check=y&amp;_origin=search&amp;_zone=rslt_list_item&amp;_coverDate=2009-12-31&amp;wchp=dGLzVlt-zSkWb&amp;md5=903116426d05d074e7428932381eae96&amp;pid=1-s2.0-S104783100900025X-main.pdf</t>
  </si>
  <si>
    <t>Social network analysis: An approach and technique for the study of information exchange</t>
  </si>
  <si>
    <t>Caroline Haythornthwaite</t>
  </si>
  <si>
    <t>http://pdn.sciencedirect.com/science?_ob=MiamiImageURL&amp;_cid=272068&amp;_user=686465&amp;_pii=S0740818896900031&amp;_check=y&amp;_origin=search&amp;_zone=rslt_list_item&amp;_coverDate=1996-11-30&amp;wchp=dGLzVlt-zSkWb&amp;md5=9f9585993091436336d340de551d4053&amp;pid=1-s2.0-S0740818896900031-main.pdf</t>
  </si>
  <si>
    <t>Combining text and link analysis for focused crawling—An application for vertical search engines</t>
  </si>
  <si>
    <t>G. Almpanidis, C. Kotropoulos, I. Pitas</t>
  </si>
  <si>
    <t>Information Systems</t>
  </si>
  <si>
    <t>http://pdn.sciencedirect.com/science?_ob=MiamiImageURL&amp;_cid=271528&amp;_user=686465&amp;_pii=S0306437906000792&amp;_check=y&amp;_origin=search&amp;_zone=rslt_list_item&amp;_coverDate=2007-09-30&amp;wchp=dGLzVlt-zSkWb&amp;md5=af7eafa5672386a9b38cf2b1cbb1ce4d&amp;pid=1-s2.0-S0306437906000792-main.pdf</t>
  </si>
  <si>
    <t>Web Hyperlink Analysis</t>
  </si>
  <si>
    <t>Liwen Vaughan</t>
  </si>
  <si>
    <t>Encyclopedia of Social Measurement</t>
  </si>
  <si>
    <t>http://pdn.sciencedirect.com/science?_ob=MiamiImageURL&amp;_cid=273418&amp;_user=686465&amp;_pii=B0123693985005041&amp;_check=y&amp;_origin=search&amp;_zone=rslt_list_item&amp;_coverDate=2005-12-31&amp;wchp=dGLzVlt-zSkWb&amp;md5=8fa79dc426134b069b8d75795fe9df43&amp;pid=3-s2.0-B0123693985005041-main.pdf</t>
  </si>
  <si>
    <t>An empirical enquiry into co-patent networks and their stars: The case of cardiac pacemaker technology</t>
  </si>
  <si>
    <t>Christiane Goetze</t>
  </si>
  <si>
    <t>http://pdn.sciencedirect.com/science?_ob=MiamiImageURL&amp;_cid=271734&amp;_user=686465&amp;_pii=S0166497210000428&amp;_check=y&amp;_origin=search&amp;_zone=rslt_list_item&amp;_coverDate=2010-08-31&amp;wchp=dGLzVlt-zSkWb&amp;md5=e80128b44493484680981d802491ff42&amp;pid=1-s2.0-S0166497210000428-main.pdf</t>
  </si>
  <si>
    <t>Network science: A Review Focused on Tourism</t>
  </si>
  <si>
    <t>Rodolfo Baggio, Noel Scott, Chris Cooper</t>
  </si>
  <si>
    <t>http://pdn.sciencedirect.com/science?_ob=MiamiImageURL&amp;_cid=271796&amp;_user=686465&amp;_pii=S0160738310000307&amp;_check=y&amp;_origin=search&amp;_zone=rslt_list_item&amp;_coverDate=2010-07-31&amp;wchp=dGLzVlt-zSkWb&amp;md5=7e0cbec378fc50f6c33e25c2de2aab98&amp;pid=1-s2.0-S0160738310000307-main.pdf</t>
  </si>
  <si>
    <t>Intercultural network theory: a cross-paradigmatic approach to acculturation</t>
  </si>
  <si>
    <t>L.Ripley Smith</t>
  </si>
  <si>
    <t>International Journal of Intercultural Relations</t>
  </si>
  <si>
    <t>http://pdn.sciencedirect.com/science?_ob=MiamiImageURL&amp;_cid=272065&amp;_user=686465&amp;_pii=S0147176799000139&amp;_check=y&amp;_origin=search&amp;_zone=rslt_list_item&amp;_coverDate=1999-08-31&amp;wchp=dGLzVlt-zSkWb&amp;md5=d5f42563a9d6720d83b2a72138dc8ed1&amp;pid=1-s2.0-S0147176799000139-main.pdf</t>
  </si>
  <si>
    <t>Graph theoretic modeling of large-scale semantic networks</t>
  </si>
  <si>
    <t>Michael E. Bales, Stephen B. Johnson</t>
  </si>
  <si>
    <t>Journal of Biomedical Informatics</t>
  </si>
  <si>
    <t>http://pdn.sciencedirect.com/science?_ob=MiamiImageURL&amp;_cid=272371&amp;_user=686465&amp;_pii=S1532046405001103&amp;_check=y&amp;_origin=search&amp;_zone=rslt_list_item&amp;_coverDate=2006-08-31&amp;wchp=dGLzVlt-zSkWb&amp;md5=1b65eef4e5c265d1d3f22d6200042260&amp;pid=1-s2.0-S1532046405001103-main.pdf</t>
  </si>
  <si>
    <t>Who's in and why? A typology of stakeholder analysis methods for natural resource management</t>
  </si>
  <si>
    <t>Mark S. Reed, Anil Graves, Norman Dandy, Helena Posthumus, Klaus Hubacek, Joe Morris, Christina Prell, Claire H. Quinn, Lindsay C. Stringer</t>
  </si>
  <si>
    <t>Journal of Environmental Management</t>
  </si>
  <si>
    <t>http://pdn.sciencedirect.com/science?_ob=MiamiImageURL&amp;_cid=272592&amp;_user=686465&amp;_pii=S0301479709000024&amp;_check=y&amp;_origin=search&amp;_zone=rslt_list_item&amp;_coverDate=2009-04-30&amp;wchp=dGLzVlt-zSkWb&amp;md5=38fdcb7b9ec72a065fa00e5b68947be0&amp;pid=1-s2.0-S0301479709000024-main.pdf</t>
  </si>
  <si>
    <t>Psychological predispositions and network structure: The relationship between individual predispositions, structural holes and network closure</t>
  </si>
  <si>
    <t>Yuval Kalish, Garry Robins</t>
  </si>
  <si>
    <t>http://pdn.sciencedirect.com/science?_ob=MiamiImageURL&amp;_cid=271850&amp;_user=686465&amp;_pii=S037887330500033X&amp;_check=y&amp;_origin=search&amp;_zone=rslt_list_item&amp;_coverDate=2006-01-31&amp;wchp=dGLzVlt-zSkWb&amp;md5=878577109e48fba4eb3dbe4aefea2138&amp;pid=1-s2.0-S037887330500033X-main.pdf</t>
  </si>
  <si>
    <t>Serving members and reaching others: The performance and social networks of a landowner cooperative</t>
  </si>
  <si>
    <t>Mark Rickenbach</t>
  </si>
  <si>
    <t>Forest Policy and Economics</t>
  </si>
  <si>
    <t>http://pdn.sciencedirect.com/science?_ob=MiamiImageURL&amp;_cid=272157&amp;_user=686465&amp;_pii=S1389934109000902&amp;_check=y&amp;_origin=search&amp;_zone=rslt_list_item&amp;_coverDate=2009-12-31&amp;wchp=dGLzVlt-zSkWb&amp;md5=e266f10abb32491718b49c4c4704434b&amp;pid=1-s2.0-S1389934109000902-main.pdf</t>
  </si>
  <si>
    <t>Who benefits from network analysis: ethics of social network research</t>
  </si>
  <si>
    <t>Charles Kadushin</t>
  </si>
  <si>
    <t>http://pdn.sciencedirect.com/science?_ob=MiamiImageURL&amp;_cid=271850&amp;_user=686465&amp;_pii=S037887330500016X&amp;_check=y&amp;_origin=search&amp;_zone=rslt_list_item&amp;_coverDate=2005-05-31&amp;wchp=dGLzVlt-zSkWb&amp;md5=e5954eaa43db00b3f2f29536caea29b7&amp;pid=1-s2.0-S037887330500016X-main.pdf</t>
  </si>
  <si>
    <t>Networks of accounting research: A citation-based structural and network analysis</t>
  </si>
  <si>
    <t>Robin Wakefield</t>
  </si>
  <si>
    <t>The British Accounting Review</t>
  </si>
  <si>
    <t>http://pdn.sciencedirect.com/science?_ob=MiamiImageURL&amp;_cid=272517&amp;_user=686465&amp;_pii=S0890838908000395&amp;_check=y&amp;_origin=search&amp;_zone=rslt_list_item&amp;_coverDate=2008-09-30&amp;wchp=dGLzVlt-zSkWb&amp;md5=c9c12b6dc9e8add0a2fcfac5bbc6a584&amp;pid=1-s2.0-S0890838908000395-main.pdf</t>
  </si>
  <si>
    <t>RETRACTED: Social networks of author–coauthor relationships</t>
  </si>
  <si>
    <t>Yasmin H. Said, Edward J. Wegman, Walid K. Sharabati, John T. Rigsby</t>
  </si>
  <si>
    <t>Computational Statistics &amp; Data Analysis</t>
  </si>
  <si>
    <t>http://pdn.sciencedirect.com/science?_ob=MiamiImageURL&amp;_cid=271708&amp;_user=686465&amp;_pii=S0167947307002861&amp;_check=y&amp;_origin=search&amp;_zone=rslt_list_item&amp;_coverDate=2008-01-10&amp;_docsubtype=ret&amp;wchp=dGLzVlt-zSkWb&amp;md5=d8cacccbd96d741fa92ab99b410ba81c&amp;pid=1-s2.0-S0167947307002861-main.pdf</t>
  </si>
  <si>
    <t>Social network analysis and the evaluation of leadership networks</t>
  </si>
  <si>
    <t>Bruce Hoppe, Claire Reinelt</t>
  </si>
  <si>
    <t>The Leadership Quarterly</t>
  </si>
  <si>
    <t>http://pdn.sciencedirect.com/science?_ob=MiamiImageURL&amp;_cid=272081&amp;_user=686465&amp;_pii=S1048984310000901&amp;_check=y&amp;_origin=search&amp;_zone=rslt_list_item&amp;_coverDate=2010-08-31&amp;wchp=dGLzVlt-zSkWb&amp;md5=67ab397df62c33288e930c89dd67717e&amp;pid=1-s2.0-S1048984310000901-main.pdf</t>
  </si>
  <si>
    <t>Centrality in affiliation networks</t>
  </si>
  <si>
    <t>Katherine Faust</t>
  </si>
  <si>
    <t>http://pdn.sciencedirect.com/science?_ob=MiamiImageURL&amp;_cid=271850&amp;_user=686465&amp;_pii=S0378873396003000&amp;_check=y&amp;_origin=search&amp;_zone=rslt_list_item&amp;_coverDate=1997-04-30&amp;wchp=dGLzVlt-zSkWb&amp;md5=6e9b0fc5b06abcea2da27ed20f5e4450&amp;pid=1-s2.0-S0378873396003000-main.pdf</t>
  </si>
  <si>
    <t>On the greatest solutions to weakly linear systems of fuzzy relation inequalities and equations</t>
  </si>
  <si>
    <t>Fuzzy Sets and Systems</t>
  </si>
  <si>
    <t>http://pdn.sciencedirect.com/science?_ob=MiamiImageURL&amp;_cid=271522&amp;_user=686465&amp;_pii=S0165011410003118&amp;_check=y&amp;_origin=search&amp;_zone=rslt_list_item&amp;_coverDate=2010-12-16&amp;wchp=dGLzVlt-zSkWb&amp;md5=14f570578ea18a12f8df00ba2b66faae&amp;pid=1-s2.0-S0165011410003118-main.pdf</t>
  </si>
  <si>
    <t>Synthetic hybrid indicators based on scientific collaboration to quantify and evaluate individual research results</t>
  </si>
  <si>
    <t>Antonio Perianes-Rodr&amp;iacute;guez, Zaida Chinchilla-Rodr&amp;iacute;guez, Benjam&amp;iacute;n Vargas-Quesada, Carlos Olmeda G&amp;oacute;mez, F&amp;eacute;lix Moya-Aneg&amp;oacute;n</t>
  </si>
  <si>
    <t>http://pdn.sciencedirect.com/science?_ob=MiamiImageURL&amp;_cid=273584&amp;_user=686465&amp;_pii=S1751157708000722&amp;_check=y&amp;_origin=search&amp;_zone=rslt_list_item&amp;_coverDate=2009-04-30&amp;wchp=dGLzVlt-zSkWb&amp;md5=a9e0c8168e605c4358aaec6efbb12c72&amp;pid=1-s2.0-S1751157708000722-main.pdf</t>
  </si>
  <si>
    <t>Social signal processing: Survey of an emerging domain</t>
  </si>
  <si>
    <t>Alessandro Vinciarelli, Maja Pantic, Herv&amp;eacute; Bourlard</t>
  </si>
  <si>
    <t>Image and Vision Computing</t>
  </si>
  <si>
    <t>http://pdn.sciencedirect.com/science?_ob=MiamiImageURL&amp;_cid=271526&amp;_user=686465&amp;_pii=S0262885608002485&amp;_check=y&amp;_origin=search&amp;_zone=rslt_list_item&amp;_coverDate=2009-11-30&amp;wchp=dGLzVlt-zSkWb&amp;md5=e5707b8c8797147e1a4f6b8d6704fe27&amp;pid=1-s2.0-S0262885608002485-main.pdf</t>
  </si>
  <si>
    <t>Integrated knowledge management model and system for construction projects</t>
  </si>
  <si>
    <t>L. Kanapeckiene, A. Kaklauskas, E.K. Zavadskas, M. Seniut</t>
  </si>
  <si>
    <t>Engineering Applications of Artificial Intelligence</t>
  </si>
  <si>
    <t>http://pdn.sciencedirect.com/science?_ob=MiamiImageURL&amp;_cid=271095&amp;_user=686465&amp;_pii=S0952197610000710&amp;_check=y&amp;_origin=search&amp;_zone=rslt_list_item&amp;_coverDate=2010-10-31&amp;wchp=dGLzVlt-zSkWb&amp;md5=4afc0e5a11252881092779f757fc560f&amp;pid=1-s2.0-S0952197610000710-main.pdf</t>
  </si>
  <si>
    <t>Chapter 7 - Social Network Analysis</t>
  </si>
  <si>
    <t>Soumen Chakrabarti</t>
  </si>
  <si>
    <t>http://pdn.sciencedirect.com/science?_ob=MiamiImageURL&amp;_cid=275412&amp;_user=686465&amp;_pii=B9781558607545500082&amp;_check=y&amp;_origin=search&amp;_zone=rslt_list_item&amp;_coverDate=2003-12-31&amp;wchp=dGLzVlt-zSkWb&amp;md5=f01a94f1cfb9056fd0860f234e12a4d3&amp;pid=3-s2.0-B9781558607545500082-main.pdf</t>
  </si>
  <si>
    <t>Inter-organizational collaborative research networks in semiconductor lasers 1975–1994</t>
  </si>
  <si>
    <t>Hiroshi Shimizu, Takashi Hirao</t>
  </si>
  <si>
    <t>The Social Science Journal</t>
  </si>
  <si>
    <t>http://pdn.sciencedirect.com/science?_ob=MiamiImageURL&amp;_cid=272214&amp;_user=686465&amp;_pii=S036233190900041X&amp;_check=y&amp;_origin=search&amp;_zone=rslt_list_item&amp;_coverDate=2009-06-30&amp;wchp=dGLzVlt-zSkWb&amp;md5=a431f4072e67244b99e16214b878b848&amp;pid=1-s2.0-S036233190900041X-main.pdf</t>
  </si>
  <si>
    <t>Learning to Collaborate in COINs: Insights from a multidisciplinary global virtual collaboration</t>
  </si>
  <si>
    <t>Christine Z. Miller, Saad Aqeel-Alzrooni, R Wade Campbell</t>
  </si>
  <si>
    <t>http://pdn.sciencedirect.com/science?_ob=MiamiImageURL&amp;_cid=277811&amp;_user=686465&amp;_pii=S1877042810011225&amp;_check=y&amp;_origin=search&amp;_zone=rslt_list_item&amp;_coverDate=2010-12-31&amp;wchp=dGLzVlt-zSkWb&amp;md5=101d5d526d62450d368aab2fb0b6d917&amp;pid=1-s2.0-S1877042810011225-main.pdf</t>
  </si>
  <si>
    <t>Tourism Policy in the Making: An Australian Network Study</t>
  </si>
  <si>
    <t>Christof Pforr</t>
  </si>
  <si>
    <t>http://pdn.sciencedirect.com/science?_ob=MiamiImageURL&amp;_cid=271796&amp;_user=686465&amp;_pii=S0160738305000903&amp;_check=y&amp;_origin=search&amp;_zone=rslt_list_item&amp;_coverDate=2006-01-31&amp;wchp=dGLzVlt-zSkWb&amp;md5=a1543ae2766f903ef66982bf7e75b536&amp;pid=1-s2.0-S0160738305000903-main.pdf</t>
  </si>
  <si>
    <t>Complex networks: Structure and dynamics</t>
  </si>
  <si>
    <t>S. Boccaletti, V. Latora, Y. Moreno, M. Chavez, D.-U. Hwang</t>
  </si>
  <si>
    <t>http://pdn.sciencedirect.com/science?_ob=MiamiImageURL&amp;_cid=271542&amp;_user=686465&amp;_pii=S037015730500462X&amp;_check=y&amp;_origin=search&amp;_zone=rslt_list_item&amp;_coverDate=2006-02-28&amp;wchp=dGLzVlt-zSkWb&amp;md5=b0f10ef55f56c1afdc9cb2cbc88f1af8&amp;pid=1-s2.0-S037015730500462X-main.pdf</t>
  </si>
  <si>
    <t>Listening to the global grapevine: SME export managers’ personal contacts as a vehicle for export information generation</t>
  </si>
  <si>
    <t>Poul Houman Andersen</t>
  </si>
  <si>
    <t>Journal of World Business</t>
  </si>
  <si>
    <t>http://pdn.sciencedirect.com/science?_ob=MiamiImageURL&amp;_cid=272083&amp;_user=686465&amp;_pii=S109095160500074X&amp;_check=y&amp;_origin=search&amp;_zone=rslt_list_item&amp;_coverDate=2006-02-28&amp;wchp=dGLzVlt-zSkWb&amp;md5=619cde63601a6051d0bab1b8a4091eb6&amp;pid=1-s2.0-S109095160500074X-main.pdf</t>
  </si>
  <si>
    <t>Network approach for understanding small-scale fisheries governance: The case of the Chilean coastal co-management system</t>
  </si>
  <si>
    <t>Andr&amp;eacute;s Mar&amp;iacute;n, Fikret Berkes</t>
  </si>
  <si>
    <t>Marine Policy</t>
  </si>
  <si>
    <t>http://pdn.sciencedirect.com/science?_ob=MiamiImageURL&amp;_cid=271824&amp;_user=686465&amp;_pii=S0308597X10000084&amp;_check=y&amp;_origin=search&amp;_zone=rslt_list_item&amp;_coverDate=2010-09-30&amp;wchp=dGLzVlt-zSkWb&amp;md5=d4b49deed1ce152e5fe4aaf8e56d7b51&amp;pid=1-s2.0-S0308597X10000084-main.pdf</t>
  </si>
  <si>
    <t>Multicity trip patterns: Tourists to the United States</t>
  </si>
  <si>
    <t>Yeong-Hyeon Hwang, Ulrike Gretzel, Daniel R. Fesenmaier</t>
  </si>
  <si>
    <t>http://pdn.sciencedirect.com/science?_ob=MiamiImageURL&amp;_cid=271796&amp;_user=686465&amp;_pii=S0160738306000569&amp;_check=y&amp;_origin=search&amp;_zone=rslt_list_item&amp;_coverDate=2006-10-31&amp;wchp=dGLzVlt-zSkWb&amp;md5=460d47624eb82b07c546d3a51cb5c7e8&amp;pid=1-s2.0-S0160738306000569-main.pdf</t>
  </si>
  <si>
    <t>Relational Leadership Theory: Exploring the social processes of leadership and organizing</t>
  </si>
  <si>
    <t>Mary Uhl-Bien</t>
  </si>
  <si>
    <t>http://pdn.sciencedirect.com/science?_ob=MiamiImageURL&amp;_cid=272081&amp;_user=686465&amp;_pii=S1048984306001135&amp;_check=y&amp;_origin=search&amp;_zone=rslt_list_item&amp;_coverDate=2006-12-31&amp;wchp=dGLzVlt-zSkWb&amp;md5=6ac2affc56b7c58eb5af098d7c5139ab&amp;pid=1-s2.0-S1048984306001135-main.pdf</t>
  </si>
  <si>
    <t>Academic research networks: Accessing resources for English-medium publishing</t>
  </si>
  <si>
    <t>Mary Jane Curry, Theresa M. Lillis</t>
  </si>
  <si>
    <t>English for Specific Purposes</t>
  </si>
  <si>
    <t>http://pdn.sciencedirect.com/science?_ob=MiamiImageURL&amp;_cid=271831&amp;_user=686465&amp;_pii=S088949061000030X&amp;_check=y&amp;_origin=search&amp;_zone=rslt_list_item&amp;_coverDate=2010-10-31&amp;wchp=dGLzVlt-zSkWb&amp;md5=c289d2208f1c2528848afbceee6583ba&amp;pid=1-s2.0-S088949061000030X-main.pdf</t>
  </si>
  <si>
    <t>An evolutionary approach to network enabled capability</t>
  </si>
  <si>
    <t>Guy H. Walker, Neville A. Stanton, Paul M. Salmon, Daniel P. Jenkins</t>
  </si>
  <si>
    <t>International Journal of Industrial Ergonomics</t>
  </si>
  <si>
    <t>http://pdn.sciencedirect.com/science?_ob=MiamiImageURL&amp;_cid=271473&amp;_user=686465&amp;_pii=S0169814108000644&amp;_check=y&amp;_origin=search&amp;_zone=rslt_list_item&amp;_coverDate=2009-03-31&amp;wchp=dGLzVlt-zSkWb&amp;md5=9baa1377dde525b0fcea342a885e842a&amp;pid=1-s2.0-S0169814108000644-main.pdf</t>
  </si>
  <si>
    <t>Evolutionary optimization of a technological knowledge network</t>
  </si>
  <si>
    <t>Juneseuk Shin, Yongtae Park</t>
  </si>
  <si>
    <t>http://pdn.sciencedirect.com/science?_ob=MiamiImageURL&amp;_cid=271734&amp;_user=686465&amp;_pii=S0166497210000672&amp;_check=y&amp;_origin=search&amp;_zone=rslt_list_item&amp;_coverDate=2010-12-31&amp;wchp=dGLzVlt-zSkWb&amp;md5=53b78848c75d1f4c864de9d5ab196157&amp;pid=1-s2.0-S0166497210000672-main.pdf</t>
  </si>
  <si>
    <t>Measurement and assessment in computer-supported collaborative learning</t>
  </si>
  <si>
    <t>Carmen L.Z. Gress, Meghann Fior, Allyson F. Hadwin, Philip H. Winne</t>
  </si>
  <si>
    <t>http://pdn.sciencedirect.com/science?_ob=MiamiImageURL&amp;_cid=271802&amp;_user=686465&amp;_pii=S0747563207001239&amp;_check=y&amp;_origin=search&amp;_zone=rslt_list_item&amp;_coverDate=2010-09-30&amp;wchp=dGLzVlt-zSkWb&amp;md5=336c7f9552775b78cd8b0272f2477d2a&amp;pid=1-s2.0-S0747563207001239-main.pdf</t>
  </si>
  <si>
    <t>Exploring the role of auction markets in cattle movements within Great Britain</t>
  </si>
  <si>
    <t>S.E. Robinson, R.M. Christley</t>
  </si>
  <si>
    <t>Preventive Veterinary Medicine</t>
  </si>
  <si>
    <t>http://pdn.sciencedirect.com/science?_ob=MiamiImageURL&amp;_cid=271186&amp;_user=686465&amp;_pii=S0167587707000827&amp;_check=y&amp;_origin=search&amp;_zone=rslt_list_item&amp;_coverDate=2007-09-14&amp;wchp=dGLzVlt-zSkWb&amp;md5=d8f07c8ce6bab390a7169a6168ac6eac&amp;pid=1-s2.0-S0167587707000827-main.pdf</t>
  </si>
  <si>
    <t>Managing prison gangs: Results from a survey of U.S. prison systems</t>
  </si>
  <si>
    <t>John Winterdyk, Rick Ruddell</t>
  </si>
  <si>
    <t>Journal of Criminal Justice</t>
  </si>
  <si>
    <t>http://pdn.sciencedirect.com/science?_ob=MiamiImageURL&amp;_cid=271758&amp;_user=686465&amp;_pii=S0047235210001029&amp;_check=y&amp;_origin=search&amp;_zone=rslt_list_item&amp;_coverDate=2010-08-31&amp;wchp=dGLzVlt-zSkWb&amp;md5=88919ec893be33c7b838ff556ccb8db7&amp;pid=1-s2.0-S0047235210001029-main.pdf</t>
  </si>
  <si>
    <t>Longitudinal analysis of personal networks. The case of Argentinean migrants in Spain</t>
  </si>
  <si>
    <t>Miranda J. Lubbers, Jos&amp;eacute; Luis Molina, J&amp;uuml;rgen Lerner, Ulrik Brandes, Javier &amp;Aacute;vila, Christopher McCarty</t>
  </si>
  <si>
    <t>http://pdn.sciencedirect.com/science?_ob=MiamiImageURL&amp;_cid=271850&amp;_user=686465&amp;_pii=S0378873309000227&amp;_check=y&amp;_origin=search&amp;_zone=rslt_list_item&amp;_coverDate=2010-01-31&amp;wchp=dGLzVlt-zSkWb&amp;md5=a94f0032618b9fc020b828a12ce19eaa&amp;pid=1-s2.0-S0378873309000227-main.pdf</t>
  </si>
  <si>
    <t>New indicators for gender studies in Web networks</t>
  </si>
  <si>
    <t>Hildrun Kretschmer, Isidro F. Aguillo</t>
  </si>
  <si>
    <t>http://pdn.sciencedirect.com/science?_ob=MiamiImageURL&amp;_cid=271647&amp;_user=686465&amp;_pii=S0306457305000300&amp;_check=y&amp;_origin=search&amp;_zone=rslt_list_item&amp;_coverDate=2005-12-31&amp;wchp=dGLzVlt-zSkWb&amp;md5=62f22b2f789a905b276e930b459957be&amp;pid=1-s2.0-S0306457305000300-main.pdf</t>
  </si>
  <si>
    <t>Multimethod Evaluation of Information and Communication Technologies in Health in the Context of Wicked Problems and Sociotechnical Theory</t>
  </si>
  <si>
    <t>Johanna I. Westbrook, Jeffrey Braithwaite, Andrew Georgiou, Amanda Ampt, Nerida Creswick, Enrico Coiera, Rick Iedema</t>
  </si>
  <si>
    <t>http://pdn.sciencedirect.com/science?_ob=MiamiImageURL&amp;_cid=273565&amp;_user=686465&amp;_pii=S106750270700240X&amp;_check=y&amp;_origin=search&amp;_zone=rslt_list_item&amp;_coverDate=2007-12-31&amp;wchp=dGLzVlt-zSkWb&amp;md5=546c661d6c1e11d08446a665ffcee4cb&amp;pid=1-s2.0-S106750270700240X-main.pdf</t>
  </si>
  <si>
    <t>Switchings under uncertainty: The coming and becoming of meanings</t>
  </si>
  <si>
    <t>Fr&amp;eacute;d&amp;eacute;ric C. Godart, Harrison C. White</t>
  </si>
  <si>
    <t>http://pdn.sciencedirect.com/science?_ob=MiamiImageURL&amp;_cid=271764&amp;_user=686465&amp;_pii=S0304422X10000562&amp;_check=y&amp;_origin=search&amp;_zone=rslt_list_item&amp;_coverDate=2010-12-31&amp;wchp=dGLzVlt-zSkWb&amp;md5=3b1ff616b0e8e02b8ccefd32dc8ef798&amp;pid=1-s2.0-S0304422X10000562-main.pdf</t>
  </si>
  <si>
    <t>Theory driven research designs for explaining behavioural health risk transitions: The case of smoking</t>
  </si>
  <si>
    <t>Jane Dixon, Cathy Banwell</t>
  </si>
  <si>
    <t>http://pdn.sciencedirect.com/science?_ob=MiamiImageURL&amp;_cid=271821&amp;_user=686465&amp;_pii=S0277953609001865&amp;_check=y&amp;_origin=search&amp;_zone=rslt_list_item&amp;_coverDate=2009-06-30&amp;wchp=dGLzVlt-zSkWb&amp;md5=50dc9669e27da97f983133ccd7db14a4&amp;pid=1-s2.0-S0277953609001865-main.pdf</t>
  </si>
  <si>
    <t>A Study of the Bibliometry and Areas of the Research Groups of Archivos de Bronconeumología (2003–2007)</t>
  </si>
  <si>
    <t>Gregorio Gonz&amp;aacute;lez-Alcaidea, Rafael Aleixandre-Benavent, Jos&amp;eacute; Ignacio De Granda-Orive</t>
  </si>
  <si>
    <t>Archivos de Bronconeumología ((English Edition))</t>
  </si>
  <si>
    <t>http://pdn.sciencedirect.com/science?_ob=MiamiImageURL&amp;_cid=273556&amp;_user=686465&amp;_pii=S1579212910700197&amp;_check=y&amp;_origin=search&amp;_zone=rslt_list_item&amp;_coverDate=2010-02-28&amp;wchp=dGLzVlt-zSkWb&amp;md5=aa3a1a47aef4fa43dea744f9e3aeb5e1&amp;pid=1-s2.0-S1579212910700197-main.pdf</t>
  </si>
  <si>
    <t>Association patterns and foraging behaviour in natural and artificial guppy shoals</t>
  </si>
  <si>
    <t>Lesley J. Morrell, Darren P. Croft, John R.G. Dyer, Ben B. Chapman, Jennifer L. Kelley, Kevin N. Laland, Jens Krause</t>
  </si>
  <si>
    <t>Animal Behaviour</t>
  </si>
  <si>
    <t>http://pdn.sciencedirect.com/science?_ob=MiamiImageURL&amp;_cid=272524&amp;_user=686465&amp;_pii=S0003347208002212&amp;_check=y&amp;_origin=search&amp;_zone=rslt_list_item&amp;_coverDate=2008-09-30&amp;wchp=dGLzVlt-zSkWb&amp;md5=5e28ad1ceb1cacc1555869cd9f409a6e&amp;pid=1-s2.0-S0003347208002212-main.pdf</t>
  </si>
  <si>
    <t>Careers and clusters: analyzing the career network dynamic of biotechnology clusters</t>
  </si>
  <si>
    <t>Steven Casper, Fiona Murray</t>
  </si>
  <si>
    <t>Journal of Engineering and Technology Management</t>
  </si>
  <si>
    <t>http://pdn.sciencedirect.com/science?_ob=MiamiImageURL&amp;_cid=271651&amp;_user=686465&amp;_pii=S0923474804000669&amp;_check=y&amp;_origin=search&amp;_zone=rslt_list_item&amp;_coverDate=2005-06-30&amp;wchp=dGLzVlt-zSkWb&amp;md5=0993d4ae0cc882cc539cb338c52c4a5c&amp;pid=1-s2.0-S0923474804000669-main.pdf</t>
  </si>
  <si>
    <t>Measuring social dynamics in a massive multiplayer online game</t>
  </si>
  <si>
    <t>Michael Szell, Stefan Thurner</t>
  </si>
  <si>
    <t>http://pdn.sciencedirect.com/science?_ob=MiamiImageURL&amp;_cid=271850&amp;_user=686465&amp;_pii=S0378873310000316&amp;_check=y&amp;_origin=search&amp;_zone=rslt_list_item&amp;_coverDate=2010-10-31&amp;wchp=dGLzVlt-zSkWb&amp;md5=87e4b531cb3919219f564c2481ef3430&amp;pid=1-s2.0-S0378873310000316-main.pdf</t>
  </si>
  <si>
    <t>Collecting data on leisure travel: The link between leisure contacts and social interactions</t>
  </si>
  <si>
    <t>Matthias Kowald, Andreas Frei, Jeremy K. Hackney, J. Illenberger, Kay W. Axhausen</t>
  </si>
  <si>
    <t>http://pdn.sciencedirect.com/science?_ob=MiamiImageURL&amp;_cid=277811&amp;_user=686465&amp;_pii=S1877042810018550&amp;_check=y&amp;_origin=search&amp;_zone=rslt_list_item&amp;_coverDate=2010-12-31&amp;wchp=dGLzVlt-zSkWb&amp;md5=f7828ef1deffa78f09a11160195870a0&amp;pid=1-s2.0-S1877042810018550-main.pdf</t>
  </si>
  <si>
    <t>A theoretical investigation of regular equivalences for fuzzy graphs</t>
  </si>
  <si>
    <t>Tuan-Fang Fan, Churn-Jung Liau, Tsau-Young Lin</t>
  </si>
  <si>
    <t>http://pdn.sciencedirect.com/science?_ob=MiamiImageURL&amp;_cid=271876&amp;_user=686465&amp;_pii=S0888613X08001163&amp;_check=y&amp;_origin=search&amp;_zone=rslt_list_item&amp;_coverDate=2008-11-30&amp;wchp=dGLzVlt-zSkWb&amp;md5=d6fa2e3442df3f978f7d2ce17fccd218&amp;pid=1-s2.0-S0888613X08001163-main.pdf</t>
  </si>
  <si>
    <t>The return of the natives: Globalization and negative ties</t>
  </si>
  <si>
    <t>Katherine Giuffre</t>
  </si>
  <si>
    <t>http://pdn.sciencedirect.com/science?_ob=MiamiImageURL&amp;_cid=271764&amp;_user=686465&amp;_pii=S0304422X09000254&amp;_check=y&amp;_origin=search&amp;_zone=rslt_list_item&amp;_coverDate=2009-08-31&amp;wchp=dGLzVlt-zSkWb&amp;md5=b56d2f09552ecd6368b863362863efd0&amp;pid=1-s2.0-S0304422X09000254-main.pdf</t>
  </si>
  <si>
    <t>Effect of organisational position and network centrality on project coordination</t>
  </si>
  <si>
    <t>Liaquat Hossain</t>
  </si>
  <si>
    <t>International Journal of Project Management</t>
  </si>
  <si>
    <t>http://pdn.sciencedirect.com/science?_ob=MiamiImageURL&amp;_cid=271951&amp;_user=686465&amp;_pii=S0263786308001701&amp;_check=y&amp;_origin=search&amp;_zone=rslt_list_item&amp;_coverDate=2009-10-31&amp;wchp=dGLzVlt-zSkWb&amp;md5=8e93b059a8a03366894bb3cfb524faea&amp;pid=1-s2.0-S0263786308001701-main.pdf</t>
  </si>
  <si>
    <t>Diffusion maps</t>
  </si>
  <si>
    <t>Ronald R. Coifman, St&amp;eacute;phane Lafon</t>
  </si>
  <si>
    <t>Applied and Computational Harmonic Analysis</t>
  </si>
  <si>
    <t>http://pdn.sciencedirect.com/science?_ob=MiamiImageURL&amp;_cid=272379&amp;_user=686465&amp;_pii=S1063520306000546&amp;_check=y&amp;_origin=search&amp;_zone=rslt_list_item&amp;_coverDate=2006-07-31&amp;wchp=dGLzVlt-zSkWb&amp;md5=fb654acdbb4f5408e4b2391cd20b6584&amp;pid=1-s2.0-S1063520306000546-main.pdf</t>
  </si>
  <si>
    <t>Meanings and relations: An introduction to the study of language, discourse and networks</t>
  </si>
  <si>
    <t>Corinne Kirchner, John W. Mohr</t>
  </si>
  <si>
    <t>http://pdn.sciencedirect.com/science?_ob=MiamiImageURL&amp;_cid=271764&amp;_user=686465&amp;_pii=S0304422X10000598&amp;_check=y&amp;_origin=search&amp;_zone=rslt_list_item&amp;_coverDate=2010-12-31&amp;wchp=dGLzVlt-zSkWb&amp;md5=71d62b7dd984bb94aa49fa2b80019056&amp;pid=1-s2.0-S0304422X10000598-main.pdf</t>
  </si>
  <si>
    <t>Identifying the underlying structure and dynamic interactions in a voting network</t>
  </si>
  <si>
    <t>Serguei Saavedra, Janet Efstathiou, Felix Reed-Tsochas</t>
  </si>
  <si>
    <t>http://pdn.sciencedirect.com/science?_ob=MiamiImageURL&amp;_cid=271529&amp;_user=686465&amp;_pii=S0378437106012544&amp;_check=y&amp;_origin=search&amp;_zone=rslt_list_item&amp;_coverDate=2007-04-15&amp;wchp=dGLzVlt-zSkWb&amp;md5=91441a6285c761a465db6905fa590105&amp;pid=1-s2.0-S0378437106012544-main.pdf</t>
  </si>
  <si>
    <t>Identifying Collaborative Innovation Networks: At the Inter-Departmental Level</t>
  </si>
  <si>
    <t>James A. Danowski</t>
  </si>
  <si>
    <t>http://pdn.sciencedirect.com/science?_ob=MiamiImageURL&amp;_cid=277811&amp;_user=686465&amp;_pii=S1877042810011080&amp;_check=y&amp;_origin=search&amp;_zone=rslt_list_item&amp;_coverDate=2010-12-31&amp;wchp=dGLzVlt-zSkWb&amp;md5=49d07edb80cdd414a65aeff6064ec01c&amp;pid=1-s2.0-S1877042810011080-main.pdf</t>
  </si>
  <si>
    <t>Building collective capacity: New challenges for management-focused evaluation</t>
  </si>
  <si>
    <t>David Hopping</t>
  </si>
  <si>
    <t>Children and Youth Services Review</t>
  </si>
  <si>
    <t>http://pdn.sciencedirect.com/science?_ob=MiamiImageURL&amp;_cid=271857&amp;_user=686465&amp;_pii=S0190740901001608&amp;_check=y&amp;_origin=search&amp;_zone=rslt_list_item&amp;_coverDate=2001-10-31&amp;wchp=dGLzVlt-zSkWb&amp;md5=79fa35c5441c8cfda20f77f629f1b41e&amp;pid=1-s2.0-S0190740901001608-main.pdf</t>
  </si>
  <si>
    <t>Regulatory networks for accounting and auditing standards: A social network analysis of Canadian and international standard-setting</t>
  </si>
  <si>
    <t>Alan J. Richardson</t>
  </si>
  <si>
    <t>Accounting, Organizations and Society</t>
  </si>
  <si>
    <t>http://pdn.sciencedirect.com/science?_ob=MiamiImageURL&amp;_cid=271665&amp;_user=686465&amp;_pii=S0361368208000950&amp;_check=y&amp;_origin=search&amp;_zone=rslt_list_item&amp;_coverDate=2009-07-31&amp;wchp=dGLzVlt-zSkWb&amp;md5=cb98e5d59623659c4cc8b9d23ec0a85e&amp;pid=1-s2.0-S0361368208000950-main.pdf</t>
  </si>
  <si>
    <t>Analysis of the Spanish-speaking mailing list RADIOLOGIA</t>
  </si>
  <si>
    <t>Francisco Javier Rodriguez-Recio, Francisco Sendra-Portero</t>
  </si>
  <si>
    <t>European Journal of Radiology</t>
  </si>
  <si>
    <t>http://pdn.sciencedirect.com/science?_ob=MiamiImageURL&amp;_cid=271187&amp;_user=686465&amp;_pii=S0720048X07000538&amp;_check=y&amp;_origin=search&amp;_zone=rslt_list_item&amp;_coverDate=2007-07-31&amp;wchp=dGLzVlt-zSkWb&amp;md5=0152c3864d2244bdd614a16ef3a0bf22&amp;pid=1-s2.0-S0720048X07000538-main.pdf</t>
  </si>
  <si>
    <t>Dynamics of hegemony: Mapping mechanisms of cultural and political power in the debates over workfare in New York City, 1993–1999 Supplementary content </t>
  </si>
  <si>
    <t>John Krinsky</t>
  </si>
  <si>
    <t>http://pdn.sciencedirect.com/science?_ob=MiamiImageURL&amp;_cid=271764&amp;_user=686465&amp;_pii=S0304422X10000549&amp;_check=y&amp;_origin=search&amp;_zone=rslt_list_item&amp;_coverDate=2010-12-31&amp;wchp=dGLzVlt-zSkWb&amp;md5=c26d4ae16dc6377858eb80ff9b4b8e71&amp;pid=1-s2.0-S0304422X10000549-main.pdf</t>
  </si>
  <si>
    <t>Chapter 9 - Systems: Generating Capabilities</t>
  </si>
  <si>
    <t>Hubert Saint-Onge, Charles Armstrong</t>
  </si>
  <si>
    <t>The Conductive Organization</t>
  </si>
  <si>
    <t>Fishery management as a governance network: Examples from the Gulf of Maine and the potential for communication network analysis research in fisheries</t>
  </si>
  <si>
    <t>Troy W. Hartley</t>
  </si>
  <si>
    <t>http://pdn.sciencedirect.com/science?_ob=MiamiImageURL&amp;_cid=271824&amp;_user=686465&amp;_pii=S0308597X10000576&amp;_check=y&amp;_origin=search&amp;_zone=rslt_list_item&amp;_coverDate=2010-09-30&amp;wchp=dGLzVlt-zSkWb&amp;md5=9711203bd3e9243bb7e9ddf3a6561d03&amp;pid=1-s2.0-S0308597X10000576-main.pdf</t>
  </si>
  <si>
    <t>Co-authorship networks in the digital library research community</t>
  </si>
  <si>
    <t>Xiaoming Liu, Johan Bollen, Michael L. Nelson, Herbert Van de Sompel</t>
  </si>
  <si>
    <t>http://pdn.sciencedirect.com/science?_ob=MiamiImageURL&amp;_cid=271647&amp;_user=686465&amp;_pii=S0306457305000336&amp;_check=y&amp;_origin=search&amp;_zone=rslt_list_item&amp;_coverDate=2005-12-31&amp;wchp=dGLzVlt-zSkWb&amp;md5=7fb7d95a544bd65cdd9df7933a37870b&amp;pid=1-s2.0-S0306457305000336-main.pdf</t>
  </si>
  <si>
    <t>Applications of complex systems theory in nursing education, research, and practice</t>
  </si>
  <si>
    <t>Thomas R. Clancy, Judith A. Effken, Daniel Pesut</t>
  </si>
  <si>
    <t>Nursing Outlook</t>
  </si>
  <si>
    <t>http://pdn.sciencedirect.com/science?_ob=MiamiImageURL&amp;_cid=272472&amp;_user=686465&amp;_pii=S0029655408001619&amp;_check=y&amp;_origin=search&amp;_zone=rslt_list_item&amp;_coverDate=2008-10-31&amp;wchp=dGLzVlt-zSkWb&amp;md5=c575d391026b30d406bcade4b2feec97&amp;pid=1-s2.0-S0029655408001619-main.pdf</t>
  </si>
  <si>
    <t>Elucidating Elusive Ensembles:: The Strategic Value of Informal Internet Networks</t>
  </si>
  <si>
    <t>Rian Van Der Merwe, Leyland Pitt, Pierre Berthon</t>
  </si>
  <si>
    <t>European Management Journal</t>
  </si>
  <si>
    <t>http://pdn.sciencedirect.com/science?_ob=MiamiImageURL&amp;_cid=271956&amp;_user=686465&amp;_pii=S0263237303001646&amp;_check=y&amp;_origin=search&amp;_zone=rslt_list_item&amp;_coverDate=2004-02-29&amp;wchp=dGLzVlt-zSkWb&amp;md5=755bd0aa62a00f194cd25b5a1c191927&amp;pid=1-s2.0-S0263237303001646-main.pdf</t>
  </si>
  <si>
    <t>Chapter 6 - Schemes and Tools for Social Capital Measurement as a Proxy for Intellectual Capital Measures</t>
  </si>
  <si>
    <t>LaurenceLock Lee</t>
  </si>
  <si>
    <t>Knowledge Management Tools and Techniques</t>
  </si>
  <si>
    <t>A sharp upper bound on the maximal entry in the principal eigenvector of symmetric nonnegative matrix</t>
  </si>
  <si>
    <t>Kinkar Ch. Das</t>
  </si>
  <si>
    <t>Linear Algebra and its Applications</t>
  </si>
  <si>
    <t>http://pdn.sciencedirect.com/science?_ob=MiamiImageURL&amp;_cid=271586&amp;_user=686465&amp;_pii=S0024379509002638&amp;_check=y&amp;_origin=search&amp;_zone=rslt_list_item&amp;_coverDate=2009-09-01&amp;wchp=dGLzVlB-zSkzS&amp;md5=0aea03a30e519cb1fe278088e353c9ca&amp;pid=1-s2.0-S0024379509002638-main.pdf</t>
  </si>
  <si>
    <t>ScienceDirect - 1980 a 2010 - Page 2.htm</t>
  </si>
  <si>
    <t>Empiricism for descriptive social network models</t>
  </si>
  <si>
    <t>Camille Roth</t>
  </si>
  <si>
    <t>http://pdn.sciencedirect.com/science?_ob=MiamiImageURL&amp;_cid=271529&amp;_user=686465&amp;_pii=S0378437106012659&amp;_check=y&amp;_origin=search&amp;_zone=rslt_list_item&amp;_coverDate=2007-05-01&amp;wchp=dGLzVlB-zSkzS&amp;md5=d75a6921f619ba6dbd18b25c0bbe0c39&amp;pid=1-s2.0-S0378437106012659-main.pdf</t>
  </si>
  <si>
    <t>Metropolitan patenting, inventor agglomeration and social networks: A tale of two effects</t>
  </si>
  <si>
    <t>Jos&amp;eacute; Lobo, Deborah Strumsky</t>
  </si>
  <si>
    <t>Journal of Urban Economics</t>
  </si>
  <si>
    <t>http://pdn.sciencedirect.com/science?_ob=MiamiImageURL&amp;_cid=272609&amp;_user=686465&amp;_pii=S0094119007000873&amp;_check=y&amp;_origin=search&amp;_zone=rslt_list_item&amp;_coverDate=2008-05-31&amp;wchp=dGLzVlB-zSkzS&amp;md5=2102dc0bb19fb90a1d69ffbe19c611d3&amp;pid=1-s2.0-S0094119007000873-main.pdf</t>
  </si>
  <si>
    <t>Eigenvectors and eigenvalues of non-regular graphs</t>
  </si>
  <si>
    <t>Xiao-Dong Zhang</t>
  </si>
  <si>
    <t>http://pdn.sciencedirect.com/science?_ob=MiamiImageURL&amp;_cid=271586&amp;_user=686465&amp;_pii=S0024379505001886&amp;_check=y&amp;_origin=search&amp;_zone=rslt_list_item&amp;_coverDate=2005-11-01&amp;wchp=dGLzVlB-zSkzS&amp;md5=e5f7218f25776d0160f0fc0dacbbc648&amp;pid=1-s2.0-S0024379505001886-main.pdf</t>
  </si>
  <si>
    <t>Management Accounting: A Bibliographic Study</t>
  </si>
  <si>
    <t>James W. Hesford, Sung-Han (Sam) Lee, Wim A. Van der Stede, S. Mark Young</t>
  </si>
  <si>
    <t>Handbooks of Management Accounting Research</t>
  </si>
  <si>
    <t>Scientific network and performance of human resources: Evidence from Italian University in Chemistry field</t>
  </si>
  <si>
    <t>Riccardo Palumbo, Daniela Di Berardino</t>
  </si>
  <si>
    <t>http://pdn.sciencedirect.com/science?_ob=MiamiImageURL&amp;_cid=277811&amp;_user=686465&amp;_pii=S1877042810009055&amp;_check=y&amp;_origin=search&amp;_zone=rslt_list_item&amp;_coverDate=2010-12-31&amp;wchp=dGLzVlB-zSkzS&amp;md5=29fbb82070bce3e572f1fb2ae66bc5e8&amp;pid=1-s2.0-S1877042810009055-main.pdf</t>
  </si>
  <si>
    <t>Automatic nonverbal analysis of social interaction in small groups: A review</t>
  </si>
  <si>
    <t>Daniel Gatica-Perez</t>
  </si>
  <si>
    <t>http://pdn.sciencedirect.com/science?_ob=MiamiImageURL&amp;_cid=271526&amp;_user=686465&amp;_pii=S0262885609000109&amp;_check=y&amp;_origin=search&amp;_zone=rslt_list_item&amp;_coverDate=2009-11-30&amp;wchp=dGLzVlB-zSkzS&amp;md5=9e0773115fb2045c2cbac200bbbbaf77&amp;pid=1-s2.0-S0262885609000109-main.pdf</t>
  </si>
  <si>
    <t>Basic notions for the analysis of large two-mode networks</t>
  </si>
  <si>
    <t>Matthieu Latapy, Cl&amp;eacute;mence Magnien, Nathalie Del Vecchio</t>
  </si>
  <si>
    <t>http://pdn.sciencedirect.com/science?_ob=MiamiImageURL&amp;_cid=271850&amp;_user=686465&amp;_pii=S0378873307000494&amp;_check=y&amp;_origin=search&amp;_zone=rslt_list_item&amp;_coverDate=2008-01-31&amp;wchp=dGLzVlB-zSkzS&amp;md5=2db48379449e3f5c767f12005db3c1ee&amp;pid=1-s2.0-S0378873307000494-main.pdf</t>
  </si>
  <si>
    <t>A graph-theoretic analysis of the human protein-interaction network using multicore parallel algorithms</t>
  </si>
  <si>
    <t>David A. Bader, Kamesh Madduri</t>
  </si>
  <si>
    <t>Parallel Computing</t>
  </si>
  <si>
    <t>http://pdn.sciencedirect.com/science?_ob=MiamiImageURL&amp;_cid=271636&amp;_user=686465&amp;_pii=S0167819108000513&amp;_check=y&amp;_origin=search&amp;_zone=rslt_list_item&amp;_coverDate=2008-11-30&amp;wchp=dGLzVlB-zSkzS&amp;md5=be898a5ece660cb552ea480e3f7e157e&amp;pid=1-s2.0-S0167819108000513-main.pdf</t>
  </si>
  <si>
    <t>POLYPHONET: An advanced social network extraction system from the Web</t>
  </si>
  <si>
    <t>Yutaka Matsuo, Junichiro Mori, Masahiro Hamasaki, Takuichi Nishimura, Hideaki Takeda, Koiti Hasida, Mitsuru Ishizuka</t>
  </si>
  <si>
    <t>http://pdn.sciencedirect.com/science?_ob=MiamiImageURL&amp;_cid=272989&amp;_user=686465&amp;_pii=S1570826807000340&amp;_check=y&amp;_origin=search&amp;_zone=rslt_list_item&amp;_coverDate=2007-12-31&amp;wchp=dGLzVlB-zSkzS&amp;md5=bd0b0ff164b1ca5b7efac9773104a8f9&amp;pid=1-s2.0-S1570826807000340-main.pdf</t>
  </si>
  <si>
    <t>10 - Peer Sociometric Assessment</t>
  </si>
  <si>
    <t>Elias Mpofu, JoLynn Carney, Michael C. Lambert</t>
  </si>
  <si>
    <t>Clinician's Handbook of Child Behavioral Assessment</t>
  </si>
  <si>
    <t>http://pdn.sciencedirect.com/science?_ob=MiamiImageURL&amp;_cid=274320&amp;_user=686465&amp;_pii=B9780123430144500113&amp;_check=y&amp;_origin=search&amp;_zone=rslt_list_item&amp;_coverDate=2006-12-31&amp;wchp=dGLzVlB-zSkzS&amp;md5=aacc1aef0e4c2039f274e7a52ae71951&amp;pid=3-s2.0-B9780123430144500113-main.pdf</t>
  </si>
  <si>
    <t>Techniques for the Analysis of Social Structure in Animal Societies</t>
  </si>
  <si>
    <t>Mary Corliss Pearl, Steven Robert Schulman</t>
  </si>
  <si>
    <t>Advances in the Study of Behavior</t>
  </si>
  <si>
    <t>Academic foundations for hospitality and tourism research: A reexamination of citations</t>
  </si>
  <si>
    <t>Yonghee Kim, Kathryn S. Savage, Richard M. Howey, Hubert B. Van Hoof</t>
  </si>
  <si>
    <t>Tourism Management</t>
  </si>
  <si>
    <t>http://pdn.sciencedirect.com/science?_ob=MiamiImageURL&amp;_cid=271716&amp;_user=686465&amp;_pii=S0261517708001878&amp;_check=y&amp;_origin=search&amp;_zone=rslt_list_item&amp;_coverDate=2009-10-31&amp;wchp=dGLzVlB-zSkzS&amp;md5=7a71e986ae04391f0db7017880c8d50d&amp;pid=1-s2.0-S0261517708001878-main.pdf</t>
  </si>
  <si>
    <t>Ecological network model analysis of China's endosomatic and exosomatic societal metabolism</t>
  </si>
  <si>
    <t>Yating Li, Yan Zhang, Naijin Yang</t>
  </si>
  <si>
    <t>Procedia Environmental Sciences</t>
  </si>
  <si>
    <t>http://pdn.sciencedirect.com/science?_ob=MiamiImageURL&amp;_cid=270397&amp;_user=686465&amp;_pii=S1878029610001854&amp;_check=y&amp;_origin=search&amp;_zone=rslt_list_item&amp;_coverDate=2010-12-31&amp;wchp=dGLzVlB-zSkzS&amp;md5=8842e6ef56d2db988f3724bede7c2af2&amp;pid=1-s2.0-S1878029610001854-main.pdf</t>
  </si>
  <si>
    <t>Structure and time evolution of an Internet dating community</t>
  </si>
  <si>
    <t>Petter Holme, Christofer R. Edling, Fredrik Liljeros</t>
  </si>
  <si>
    <t>http://pdn.sciencedirect.com/science?_ob=MiamiImageURL&amp;_cid=271850&amp;_user=686465&amp;_pii=S0378873304000085&amp;_check=y&amp;_origin=search&amp;_zone=rslt_list_item&amp;_coverDate=2004-05-31&amp;wchp=dGLzVlB-zSkzS&amp;md5=7016f2e0b752b80821abbf8216f4ca1f&amp;pid=1-s2.0-S0378873304000085-main.pdf</t>
  </si>
  <si>
    <t>Imperfect monitoring in communication networks</t>
  </si>
  <si>
    <t>Michael McBride</t>
  </si>
  <si>
    <t>Journal of Economic Theory</t>
  </si>
  <si>
    <t>http://pdn.sciencedirect.com/science?_ob=MiamiImageURL&amp;_cid=272399&amp;_user=686465&amp;_pii=S0022053104002170&amp;_check=y&amp;_origin=search&amp;_zone=rslt_list_item&amp;_coverDate=2006-01-31&amp;wchp=dGLzVlB-zSkzS&amp;md5=119ee87d529e8b2a04722a7f480cd74c&amp;pid=1-s2.0-S0022053104002170-main.pdf</t>
  </si>
  <si>
    <t>Farsighted network formation</t>
  </si>
  <si>
    <t>Bhaskar Dutta, Sayantan Ghosal, Debraj Ray</t>
  </si>
  <si>
    <t>http://pdn.sciencedirect.com/science?_ob=MiamiImageURL&amp;_cid=272399&amp;_user=686465&amp;_pii=S0022053104001279&amp;_check=y&amp;_origin=search&amp;_zone=rslt_list_item&amp;_coverDate=2005-06-30&amp;wchp=dGLzVlB-zSkzS&amp;md5=d58570b46a5c348763c8b1d45a7590d2&amp;pid=1-s2.0-S0022053104001279-main.pdf</t>
  </si>
  <si>
    <t>Coordination and cooperation in local, random and small world networks: Experimental evidence</t>
  </si>
  <si>
    <t>Alessandra Cassar</t>
  </si>
  <si>
    <t>Games and Economic Behavior</t>
  </si>
  <si>
    <t>http://pdn.sciencedirect.com/science?_ob=MiamiImageURL&amp;_cid=272351&amp;_user=686465&amp;_pii=S089982560600042X&amp;_check=y&amp;_origin=search&amp;_zone=rslt_list_item&amp;_coverDate=2007-02-28&amp;wchp=dGLzVlB-zSkzS&amp;md5=4ca39500de1c3a5c0281e7818b58267e&amp;pid=1-s2.0-S089982560600042X-main.pdf</t>
  </si>
  <si>
    <t>Lifestyles in distressed neighborhoods: A test of Bourdieu's “taste of necessity” hypothesis</t>
  </si>
  <si>
    <t>J&amp;ouml;rg Blasius, J&amp;uuml;rgen Friedrichs</t>
  </si>
  <si>
    <t>http://pdn.sciencedirect.com/science?_ob=MiamiImageURL&amp;_cid=271764&amp;_user=686465&amp;_pii=S0304422X0700054X&amp;_check=y&amp;_origin=search&amp;_zone=rslt_list_item&amp;_coverDate=2008-02-29&amp;wchp=dGLzVlB-zSkzS&amp;md5=624354070f2322901cf472296148c8f6&amp;pid=1-s2.0-S0304422X0700054X-main.pdf</t>
  </si>
  <si>
    <t>Method to Analyze Robustness of Knowledge Network based on Weighted Supernetwork Model and Its Application</t>
  </si>
  <si>
    <t>Yun-jiang XI, Yan-zhong DANG</t>
  </si>
  <si>
    <t>Systems Engineering - Theory &amp; Practice</t>
  </si>
  <si>
    <t>http://pdn.sciencedirect.com/science?_ob=MiamiImageURL&amp;_cid=277230&amp;_user=686465&amp;_pii=S1874865108600277&amp;_check=y&amp;_origin=search&amp;_zone=rslt_list_item&amp;_coverDate=2007-04-30&amp;wchp=dGLzVlB-zSkzS&amp;md5=98d8ae84d507b33b6126329dce68c7e4&amp;pid=1-s2.0-S1874865108600277-main.pdf</t>
  </si>
  <si>
    <t>10 - Acquiring and Assessing Knowledge from Multiple Experts Using Graphical Representations</t>
  </si>
  <si>
    <t>Kari Chopra, Robert Rush, David Mendon&amp;ccedil;a, William A. Wallace</t>
  </si>
  <si>
    <t>http://pdn.sciencedirect.com/science?_ob=MiamiImageURL&amp;_cid=275795&amp;_user=686465&amp;_pii=B9780124438750500112&amp;_check=y&amp;_origin=search&amp;_zone=rslt_list_item&amp;_coverDate=2000-12-31&amp;wchp=dGLzVlB-zSkzS&amp;md5=904d0c311141e9a0a12c0f705a0e4884&amp;pid=3-s2.0-B9780124438750500112-main.pdf</t>
  </si>
  <si>
    <t>Modelling the navigation potential of a web page</t>
  </si>
  <si>
    <t>Trevor Fenner, Mark Levene, George Loizou</t>
  </si>
  <si>
    <t>Theoretical Computer Science</t>
  </si>
  <si>
    <t>http://pdn.sciencedirect.com/science?_ob=MiamiImageURL&amp;_cid=271538&amp;_user=686465&amp;_pii=S0304397508000728&amp;_check=y&amp;_origin=search&amp;_zone=rslt_list_item&amp;_coverDate=2008-05-10&amp;wchp=dGLzVlB-zSkzS&amp;md5=1823803b1c92fa72fa19209a48e11c2e&amp;pid=1-s2.0-S0304397508000728-main.pdf</t>
  </si>
  <si>
    <t>Recommending knowledgeable people in a work-integrated learning system</t>
  </si>
  <si>
    <t>G&amp;uuml;nter Beham, Barbara Kump, Tobias Ley, Stefanie Lindstaedt</t>
  </si>
  <si>
    <t>Procedia Computer Science</t>
  </si>
  <si>
    <t>http://pdn.sciencedirect.com/science?_ob=MiamiImageURL&amp;_cid=280203&amp;_user=686465&amp;_pii=S1877050910003169&amp;_check=y&amp;_origin=search&amp;_zone=rslt_list_item&amp;_coverDate=2010-12-31&amp;wchp=dGLzVlB-zSkzS&amp;md5=bb5910300f6f469d0cbba680b154ed97&amp;pid=1-s2.0-S1877050910003169-main.pdf</t>
  </si>
  <si>
    <t>Informal insurance in social networks</t>
  </si>
  <si>
    <t>Francis Bloch, Garance Genicot, Debraj Ray</t>
  </si>
  <si>
    <t>http://pdn.sciencedirect.com/science?_ob=MiamiImageURL&amp;_cid=272399&amp;_user=686465&amp;_pii=S0022053108000367&amp;_check=y&amp;_origin=search&amp;_zone=rslt_list_item&amp;_coverDate=2008-11-30&amp;wchp=dGLzVlB-zSkzS&amp;md5=d8462565419ca3610240c8d0cb82026b&amp;pid=1-s2.0-S0022053108000367-main.pdf</t>
  </si>
  <si>
    <t>Evaluation of e-learning systems based on fuzzy clustering models and statistical tools</t>
  </si>
  <si>
    <t>Mofreh A. Hogo</t>
  </si>
  <si>
    <t>http://pdn.sciencedirect.com/science?_ob=MiamiImageURL&amp;_cid=271506&amp;_user=686465&amp;_pii=S0957417410002137&amp;_check=y&amp;_origin=search&amp;_zone=rslt_list_item&amp;_coverDate=2010-10-31&amp;wchp=dGLzVlB-zSkzS&amp;md5=be5b67b548300dcd658f90fdc237061b&amp;pid=1-s2.0-S0957417410002137-main.pdf</t>
  </si>
  <si>
    <t>In search of stars: Network formation among heterogeneous agents</t>
  </si>
  <si>
    <t>Jacob K. Goeree, Arno Riedl, Aljaž Ule</t>
  </si>
  <si>
    <t>http://pdn.sciencedirect.com/science?_ob=MiamiImageURL&amp;_cid=272351&amp;_user=686465&amp;_pii=S0899825608002170&amp;_check=y&amp;_origin=search&amp;_zone=rslt_list_item&amp;_coverDate=2009-11-30&amp;wchp=dGLzVlB-zSkzS&amp;md5=bab89b0f94351a75464df2c9758c65e2&amp;pid=1-s2.0-S0899825608002170-main.pdf</t>
  </si>
  <si>
    <t>Does advanced driver training improve situational awareness?</t>
  </si>
  <si>
    <t>Guy H. Walker, Neville A. Stanton, Tara A. Kazi, Paul M. Salmon, Daniel P. Jenkins</t>
  </si>
  <si>
    <t>Applied Ergonomics</t>
  </si>
  <si>
    <t>http://pdn.sciencedirect.com/science?_ob=MiamiImageURL&amp;_cid=271441&amp;_user=686465&amp;_pii=S0003687008001130&amp;_check=y&amp;_origin=search&amp;_zone=rslt_list_item&amp;_coverDate=2009-07-31&amp;wchp=dGLzVlB-zSkzS&amp;md5=86cf872ccba5a39322e5691e566547d3&amp;pid=1-s2.0-S0003687008001130-main.pdf</t>
  </si>
  <si>
    <t>Electronic trading, interorganizational systems and the nature of buyer-seller relationships: The need for a network perspective</t>
  </si>
  <si>
    <t>C. Cunningham, C. Tynan</t>
  </si>
  <si>
    <t>http://pdn.sciencedirect.com/science?_ob=MiamiImageURL&amp;_cid=271677&amp;_user=686465&amp;_pii=0268401293900445&amp;_check=y&amp;_origin=search&amp;_zone=rslt_list_item&amp;_coverDate=1993-02-28&amp;wchp=dGLzVlB-zSkzS&amp;md5=1047c2f8857d047751d01312951f15d0&amp;pid=1-s2.0-0268401293900445-main.pdf</t>
  </si>
  <si>
    <t>A mixture of experts latent position cluster model for social network data</t>
  </si>
  <si>
    <t>Isobel Claire Gormley, Thomas Brendan Murphy</t>
  </si>
  <si>
    <t>Statistical Methodology</t>
  </si>
  <si>
    <t>http://pdn.sciencedirect.com/science?_ob=MiamiImageURL&amp;_cid=273257&amp;_user=686465&amp;_pii=S1572312710000031&amp;_check=y&amp;_origin=search&amp;_zone=rslt_list_item&amp;_coverDate=2010-05-31&amp;wchp=dGLzVlB-zSkzS&amp;md5=1b756c63014983f6f046d53ea18ac11e&amp;pid=1-s2.0-S1572312710000031-main.pdf</t>
  </si>
  <si>
    <t>Fighting public sector fraud in the 21st century</t>
  </si>
  <si>
    <t>Graham Kemp</t>
  </si>
  <si>
    <t>Computer Fraud &amp; Security</t>
  </si>
  <si>
    <t>http://pdn.sciencedirect.com/science?_ob=MiamiImageURL&amp;_cid=271971&amp;_user=686465&amp;_pii=S1361372310701469&amp;_check=y&amp;_origin=search&amp;_zone=rslt_list_item&amp;_coverDate=2010-11-30&amp;wchp=dGLzVlB-zSkzS&amp;md5=c3d747c3ba26953f12b308a071d30d40&amp;pid=1-s2.0-S1361372310701469-main.pdf</t>
  </si>
  <si>
    <t>Chapter 18 - Learning-by-Playing: Bridging the Knowing-Doing Gap in Urban Communities</t>
  </si>
  <si>
    <t>Albert A. Angehrn</t>
  </si>
  <si>
    <t>Intellectual Capital for Communities</t>
  </si>
  <si>
    <t>Rethinking centrality: Methods and examples</t>
  </si>
  <si>
    <t>Karen Stephenson, Marvin Zelen</t>
  </si>
  <si>
    <t>http://pdn.sciencedirect.com/science?_ob=MiamiImageURL&amp;_cid=271850&amp;_user=686465&amp;_pii=0378873389900166&amp;_check=y&amp;_origin=search&amp;_zone=rslt_list_item&amp;_coverDate=1989-03-31&amp;wchp=dGLzVlB-zSkzS&amp;md5=8553bf371fc3a3e4e10d13b688da2749&amp;pid=1-s2.0-0378873389900166-main.pdf</t>
  </si>
  <si>
    <t>Collaboration and knowledge sharing in network organizations</t>
  </si>
  <si>
    <t>Fl&amp;aacute;via Maria Santoro, Marcos R.S. Borges, Erick A. Rezende</t>
  </si>
  <si>
    <t>http://pdn.sciencedirect.com/science?_ob=MiamiImageURL&amp;_cid=271506&amp;_user=686465&amp;_pii=S095741740600008X&amp;_check=y&amp;_origin=search&amp;_zone=rslt_list_item&amp;_coverDate=2006-11-30&amp;wchp=dGLzVlB-zSkzS&amp;md5=2537e32ecadbac04837c24f3e564c380&amp;pid=1-s2.0-S095741740600008X-main.pdf</t>
  </si>
  <si>
    <t>Towards an explanatory and computational theory of scientific discovery</t>
  </si>
  <si>
    <t>Chaomei Chen, Yue Chen, Mark Horowitz, Haiyan Hou, Zeyuan Liu, Donald Pellegrino</t>
  </si>
  <si>
    <t>http://pdn.sciencedirect.com/science?_ob=MiamiImageURL&amp;_cid=273584&amp;_user=686465&amp;_pii=S1751157709000236&amp;_check=y&amp;_origin=search&amp;_zone=rslt_list_item&amp;_coverDate=2009-07-31&amp;wchp=dGLzVlB-zSkzS&amp;md5=85ff1ad9fb4b8cc1a539d1988f2b7264&amp;pid=1-s2.0-S1751157709000236-main.pdf</t>
  </si>
  <si>
    <t>Keith Pavitt and the Invisible College of the Economics of Technology and Innovation</t>
  </si>
  <si>
    <t>Bart Verspagen, Claudia Werker</t>
  </si>
  <si>
    <t>http://pdn.sciencedirect.com/science?_ob=MiamiImageURL&amp;_cid=271666&amp;_user=686465&amp;_pii=S0048733304001131&amp;_check=y&amp;_origin=search&amp;_zone=rslt_list_item&amp;_coverDate=2004-11-30&amp;wchp=dGLzVlB-zSkzS&amp;md5=075eacc45b18d05ea8026bc7a022929d&amp;pid=1-s2.0-S0048733304001131-main.pdf</t>
  </si>
  <si>
    <t>Accounting anomalies and fundamental analysis: A review of recent research advances</t>
  </si>
  <si>
    <t>Scott Richardson, ?rem Tuna, Peter Wysocki</t>
  </si>
  <si>
    <t>Journal of Accounting and Economics</t>
  </si>
  <si>
    <t>http://pdn.sciencedirect.com/science?_ob=MiamiImageURL&amp;_cid=271661&amp;_user=686465&amp;_pii=S0165410110000406&amp;_check=y&amp;_origin=search&amp;_zone=rslt_list_item&amp;_coverDate=2010-12-31&amp;wchp=dGLzVlB-zSkzS&amp;md5=2347a431d9e907c9694a485968abf1dc&amp;pid=1-s2.0-S0165410110000406-main.pdf</t>
  </si>
  <si>
    <t>Recommendation Retrieval in Reputation Assessment for Peer-to-Peer Systems</t>
  </si>
  <si>
    <t>Farag Azzedin, Ahmad Ridha</t>
  </si>
  <si>
    <t>Electronic Notes in Theoretical Computer Science</t>
  </si>
  <si>
    <t>http://pdn.sciencedirect.com/science?_ob=MiamiImageURL&amp;_cid=272990&amp;_user=686465&amp;_pii=S1571066109002576&amp;_check=y&amp;_origin=search&amp;_zone=rslt_list_item&amp;_coverDate=2009-08-01&amp;wchp=dGLzVlB-zSkzS&amp;md5=61efd1f972f75bc99d570c9ab5bd3d13&amp;pid=1-s2.0-S1571066109002576-main.pdf</t>
  </si>
  <si>
    <t>Dissemination of effectiveness and outcomes research</t>
  </si>
  <si>
    <t>David E. Kanouse, Joel D. Kallich, James P. Kahan</t>
  </si>
  <si>
    <t>http://pdn.sciencedirect.com/science?_ob=MiamiImageURL&amp;_cid=271761&amp;_user=686465&amp;_pii=0168851095007601&amp;_check=y&amp;_origin=search&amp;_zone=rslt_list_item&amp;_coverDate=1995-12-31&amp;wchp=dGLzVlB-zSkzS&amp;md5=7e348a3e7fc64b1bce37e56d18564390&amp;pid=1-s2.0-0168851095007601-main.pdf</t>
  </si>
  <si>
    <t>Applying a constructivist and collaborative methodological approach in engineering education</t>
  </si>
  <si>
    <t>Lorenzo Moreno, Carina Gonzalez, Ivan Castilla, Evelio Gonzalez, Jose Sigut</t>
  </si>
  <si>
    <t>http://pdn.sciencedirect.com/science?_ob=MiamiImageURL&amp;_cid=271849&amp;_user=686465&amp;_pii=S0360131505001946&amp;_check=y&amp;_origin=search&amp;_zone=rslt_list_item&amp;_coverDate=2007-11-30&amp;wchp=dGLzVlB-zSkzS&amp;md5=f5f86236b5fbd8753bd3fc24099456c4&amp;pid=1-s2.0-S0360131505001946-main.pdf</t>
  </si>
  <si>
    <t>Interactive marketing and the meganet: Networks of networks</t>
  </si>
  <si>
    <t>Dawn Iacobucci</t>
  </si>
  <si>
    <t>http://pdn.sciencedirect.com/science?_ob=MiamiImageURL&amp;_cid=277809&amp;_user=686465&amp;_pii=S109499689870249X&amp;_check=y&amp;_origin=search&amp;_zone=rslt_list_item&amp;_coverDate=1998-12-31&amp;wchp=dGLzVlB-zSkzS&amp;md5=c7d03576443ccf81ae458af0c054048c&amp;pid=1-s2.0-S109499689870249X-main.pdf</t>
  </si>
  <si>
    <t>The potential of synchronous communication to enhance participation in online discussions: A case study of two e-learning courses</t>
  </si>
  <si>
    <t>http://pdn.sciencedirect.com/science?_ob=MiamiImageURL&amp;_cid=271670&amp;_user=686465&amp;_pii=S0378720608000931&amp;_check=y&amp;_origin=search&amp;_zone=rslt_list_item&amp;_coverDate=2008-11-30&amp;wchp=dGLzVlB-zSkzS&amp;md5=12248afa0e223e00ff4d2c2f5bd434ba&amp;pid=1-s2.0-S0378720608000931-main.pdf</t>
  </si>
  <si>
    <t>Andrea L. Jaeger Miehls, Doran M. Mason, Kenneth A. Frank, Ann E. Krause, Scott D. Peacor, William W. Taylor</t>
  </si>
  <si>
    <t>Ecological Modelling</t>
  </si>
  <si>
    <t>http://pdn.sciencedirect.com/science?_ob=MiamiImageURL&amp;_cid=271743&amp;_user=686465&amp;_pii=S0304380009004992&amp;_check=y&amp;_origin=search&amp;_zone=rslt_list_item&amp;_coverDate=2009-11-24&amp;wchp=dGLzVlB-zSkzS&amp;md5=6d037e3c2e58a27a7eb70590b8471236&amp;pid=1-s2.0-S0304380009004992-main.pdf</t>
  </si>
  <si>
    <t>http://pdn.sciencedirect.com/science?_ob=MiamiImageURL&amp;_cid=271743&amp;_user=686465&amp;_pii=S0304380009004943&amp;_check=y&amp;_origin=search&amp;_zone=rslt_list_item&amp;_coverDate=2009-11-24&amp;wchp=dGLzVlB-zSkzS&amp;md5=4066992a98a0f8451cd4f791d3c1624d&amp;pid=1-s2.0-S0304380009004943-main.pdf</t>
  </si>
  <si>
    <t>Recognizing modes of acculturation in personal networks of migrants</t>
  </si>
  <si>
    <t>Ulrik Brandes, Jurgen Lerner, Miranda J. Lubbers, Christopher McCarty, Jose Luis Molina, Uwe Nagel</t>
  </si>
  <si>
    <t>http://pdn.sciencedirect.com/science?_ob=MiamiImageURL&amp;_cid=277811&amp;_user=686465&amp;_pii=S1877042810018525&amp;_check=y&amp;_origin=search&amp;_zone=rslt_list_item&amp;_coverDate=2010-12-31&amp;wchp=dGLzVlB-zSkzS&amp;md5=ea79054b747455531e94520f93977393&amp;pid=1-s2.0-S1877042810018525-main.pdf</t>
  </si>
  <si>
    <t>A structured overview of 50 years of small-world research</t>
  </si>
  <si>
    <t>Sebastian Schnettler</t>
  </si>
  <si>
    <t>http://pdn.sciencedirect.com/science?_ob=MiamiImageURL&amp;_cid=271850&amp;_user=686465&amp;_pii=S0378873308000695&amp;_check=y&amp;_origin=search&amp;_zone=rslt_list_item&amp;_coverDate=2009-07-31&amp;wchp=dGLzVlB-zSkzS&amp;md5=4231fbf1ed30d058e693138232ce872f&amp;pid=1-s2.0-S0378873308000695-main.pdf</t>
  </si>
  <si>
    <t>Female social networks influence male vocal development in brown-headed cowbirds, Molothrus ater Supplementary content </t>
  </si>
  <si>
    <t>Jennifer L. Miller, Andrew P. King, Meredith J. West</t>
  </si>
  <si>
    <t>http://pdn.sciencedirect.com/science?_ob=MiamiImageURL&amp;_cid=272524&amp;_user=686465&amp;_pii=S0003347208002406&amp;_check=y&amp;_origin=search&amp;_zone=rslt_list_item&amp;_coverDate=2008-09-30&amp;wchp=dGLzVlB-zSkzS&amp;md5=cad66d1f47651f6f5937752ebcfbd851&amp;pid=1-s2.0-S0003347208002406-main.pdf</t>
  </si>
  <si>
    <t>Toward ethical guidelines for network research in organizations</t>
  </si>
  <si>
    <t>Stephen P. Borgatti, Jos&amp;eacute;-Luis Molina</t>
  </si>
  <si>
    <t>http://pdn.sciencedirect.com/science?_ob=MiamiImageURL&amp;_cid=271850&amp;_user=686465&amp;_pii=S0378873305000146&amp;_check=y&amp;_origin=search&amp;_zone=rslt_list_item&amp;_coverDate=2005-05-31&amp;wchp=dGLzVlB-zSkzS&amp;md5=ef189def0392ea8c48dd93e82653c89c&amp;pid=1-s2.0-S0378873305000146-main.pdf</t>
  </si>
  <si>
    <t>Network centralization with the Gil Schmidt power centrality index Supplementary content </t>
  </si>
  <si>
    <t>Philip Andrew Sinclair</t>
  </si>
  <si>
    <t>http://pdn.sciencedirect.com/science?_ob=MiamiImageURL&amp;_cid=271850&amp;_user=686465&amp;_pii=S0378873309000203&amp;_check=y&amp;_origin=search&amp;_zone=rslt_list_item&amp;_coverDate=2009-07-31&amp;wchp=dGLzVlB-zSkzS&amp;md5=4bdafb82d0e0c7ebc12d0d4e1f01adf4&amp;pid=1-s2.0-S0378873309000203-main.pdf</t>
  </si>
  <si>
    <t>Weight matrices for social influence analysis: An investigation of measurement errors and their effect on model identification and estimation quality Supplementary content </t>
  </si>
  <si>
    <t>Antonio P&amp;aacute;ez, Darren M. Scott, Erik Volz</t>
  </si>
  <si>
    <t>http://pdn.sciencedirect.com/science?_ob=MiamiImageURL&amp;_cid=271850&amp;_user=686465&amp;_pii=S0378873308000282&amp;_check=y&amp;_origin=search&amp;_zone=rslt_list_item&amp;_coverDate=2008-10-31&amp;wchp=dGLzVlB-zSkzS&amp;md5=24d4a63696b3e4927d21511fb1a6f427&amp;pid=1-s2.0-S0378873308000282-main.pdf</t>
  </si>
  <si>
    <t>http://pdn.sciencedirect.com/science?_ob=MiamiImageURL&amp;_cid=271743&amp;_user=686465&amp;_pii=S0304380007001184&amp;_check=y&amp;_origin=search&amp;_zone=rslt_list_item&amp;_coverDate=2007-07-10&amp;wchp=dGLzVlB-zSkzS&amp;md5=b69971229223cf4534dc5caa4afb2a64&amp;pid=1-s2.0-S0304380007001184-main.pdf</t>
  </si>
  <si>
    <t>A spatial model incorporating dynamic, endogenous network interdependence: A political science application Supplementary content </t>
  </si>
  <si>
    <t>Jude C. Hays, Aya Kachi, Robert J. Franzese Jr.</t>
  </si>
  <si>
    <t>http://pdn.sciencedirect.com/science?_ob=MiamiImageURL&amp;_cid=273257&amp;_user=686465&amp;_pii=S1572312709000975&amp;_check=y&amp;_origin=search&amp;_zone=rslt_list_item&amp;_coverDate=2010-05-31&amp;wchp=dGLzVlB-zSkzS&amp;md5=18a378ae20ed84dcf7d8d2a3318c2ec3&amp;pid=1-s2.0-S1572312709000975-main.pdf</t>
  </si>
  <si>
    <t>Node centrality indices in food webs: Rank orders versus distributions Supplementary content </t>
  </si>
  <si>
    <t>Barbara Bauer, Ferenc Jord&amp;aacute;n, J&amp;aacute;nos Podani</t>
  </si>
  <si>
    <t>Ecological Complexity</t>
  </si>
  <si>
    <t>http://pdn.sciencedirect.com/science?_ob=MiamiImageURL&amp;_cid=273065&amp;_user=686465&amp;_pii=S1476945X09001160&amp;_check=y&amp;_origin=search&amp;_zone=rslt_list_item&amp;_coverDate=2010-12-31&amp;wchp=dGLzVlB-zSkzS&amp;md5=7b9862be5da56bb5eef1afd6ccd72009&amp;pid=1-s2.0-S1476945X09001160-main.pdf</t>
  </si>
  <si>
    <t>Who exactly is the moderator? A consideration of online knowledge management network moderation in educational organisations</t>
  </si>
  <si>
    <t>Joaqu&amp;iacute;n Gair&amp;iacute;n-Sall&amp;aacute;n, David Rodr&amp;iacute;guez-G&amp;oacute;mez, Carme Armengol-Aspar&amp;oacute;</t>
  </si>
  <si>
    <t>http://pdn.sciencedirect.com/science?_ob=MiamiImageURL&amp;_cid=271849&amp;_user=686465&amp;_pii=S0360131510000308&amp;_check=y&amp;_origin=search&amp;_zone=rslt_list_item&amp;_coverDate=2010-08-31&amp;wchp=dGLzVlB-zSkzS&amp;md5=e617e84d3e1f58a15ece145971034ca9&amp;pid=1-s2.0-S0360131510000308-main.pdf</t>
  </si>
  <si>
    <t>Evolution of a large online social network</t>
  </si>
  <si>
    <t>Haibo Hu, Xiaofan Wang</t>
  </si>
  <si>
    <t>Physics Letters A</t>
  </si>
  <si>
    <t>http://pdn.sciencedirect.com/science?_ob=MiamiImageURL&amp;_cid=271541&amp;_user=686465&amp;_pii=S0375960109001686&amp;_check=y&amp;_origin=search&amp;_zone=rslt_list_item&amp;_coverDate=2009-03-16&amp;wchp=dGLzVlB-zSkzS&amp;md5=667c9e7ffa49c7bb8416bf462404ee42&amp;pid=1-s2.0-S0375960109001686-main.pdf</t>
  </si>
  <si>
    <t>Facilitating online discussions effectively</t>
  </si>
  <si>
    <t>Alfred P. Rovai</t>
  </si>
  <si>
    <t>http://pdn.sciencedirect.com/science?_ob=MiamiImageURL&amp;_cid=272103&amp;_user=686465&amp;_pii=S1096751606000704&amp;_check=y&amp;_origin=search&amp;_zone=rslt_list_item&amp;_coverDate=2007-12-31&amp;wchp=dGLzVlB-zSkzS&amp;md5=be910e5bb62b721346e49292576029dd&amp;pid=1-s2.0-S1096751606000704-main.pdf</t>
  </si>
  <si>
    <t>Exploring and mitigating social loafing in online communities</t>
  </si>
  <si>
    <t>Yih-Chearng Shiue, Chao-Min Chiu, Chen-Chi Chang</t>
  </si>
  <si>
    <t>http://pdn.sciencedirect.com/science?_ob=MiamiImageURL&amp;_cid=271802&amp;_user=686465&amp;_pii=S0747563210000166&amp;_check=y&amp;_origin=search&amp;_zone=rslt_list_item&amp;_coverDate=2010-07-31&amp;wchp=dGLzVlB-zSkzS&amp;md5=bce4f55cb40d01c0d3ec9b7c8658e3b2&amp;pid=1-s2.0-S0747563210000166-main.pdf</t>
  </si>
  <si>
    <t>Relationship between the level of intimacy and lurking in online social network services</t>
  </si>
  <si>
    <t>Pei-Luen Patrick Rau, Qin Gao, Yinan Ding</t>
  </si>
  <si>
    <t>http://pdn.sciencedirect.com/science?_ob=MiamiImageURL&amp;_cid=271802&amp;_user=686465&amp;_pii=S0747563208000708&amp;_check=y&amp;_origin=search&amp;_zone=rslt_list_item&amp;_coverDate=2008-09-17&amp;wchp=dGLzVlB-zSkzS&amp;md5=ebf465f264dbbedf7f93c605f2622cb9&amp;pid=1-s2.0-S0747563208000708-main.pdf</t>
  </si>
  <si>
    <t>Fast online graph clustering via Erd?s–Rényi mixture</t>
  </si>
  <si>
    <t>Hugo Zanghi, Christophe Ambroise, Vincent Miele</t>
  </si>
  <si>
    <t>Pattern Recognition</t>
  </si>
  <si>
    <t>http://pdn.sciencedirect.com/science?_ob=MiamiImageURL&amp;_cid=272206&amp;_user=686465&amp;_pii=S0031320308002483&amp;_check=y&amp;_origin=search&amp;_zone=rslt_list_item&amp;_coverDate=2008-12-31&amp;wchp=dGLzVlB-zSkzS&amp;md5=96b4aa60d1a7a0933205f1b68c4657c1&amp;pid=1-s2.0-S0031320308002483-main.pdf</t>
  </si>
  <si>
    <t>Exploring the value of online product reviews in forecasting sales: The case of motion pictures</t>
  </si>
  <si>
    <t>Chrysanthos Dellarocas, Xiaoquan (Michael) Zhang, Neveen F. Awad</t>
  </si>
  <si>
    <t>http://pdn.sciencedirect.com/science?_ob=MiamiImageURL&amp;_cid=277809&amp;_user=686465&amp;_pii=S1094996807700361&amp;_check=y&amp;_origin=search&amp;_zone=rslt_list_item&amp;_coverDate=2007-12-31&amp;wchp=dGLzVlB-zSkzS&amp;md5=f0553d877ef14346499b3366b1d55695&amp;pid=1-s2.0-S1094996807700361-main.pdf</t>
  </si>
  <si>
    <t>Using Jigsaw and Case Study for supporting online collaborative learning</t>
  </si>
  <si>
    <t>Francesca Pozzi</t>
  </si>
  <si>
    <t>http://pdn.sciencedirect.com/science?_ob=MiamiImageURL&amp;_cid=271849&amp;_user=686465&amp;_pii=S0360131509003388&amp;_check=y&amp;_origin=search&amp;_zone=rslt_list_item&amp;_coverDate=2010-08-31&amp;wchp=dGLzVlB-zSkzS&amp;md5=ecd0511caacc6a623725a17572e3b5cd&amp;pid=1-s2.0-S0360131509003388-main.pdf</t>
  </si>
  <si>
    <t>Chasms and bridges: Generativity in the space between educators' communities of practice</t>
  </si>
  <si>
    <t>Tricia Niesz</t>
  </si>
  <si>
    <t>Teaching and Teacher Education</t>
  </si>
  <si>
    <t>http://pdn.sciencedirect.com/science?_ob=MiamiImageURL&amp;_cid=271838&amp;_user=686465&amp;_pii=S0742051X09001401&amp;_check=y&amp;_origin=search&amp;_zone=rslt_list_item&amp;_coverDate=2010-01-31&amp;wchp=dGLzVlB-zSkzS&amp;md5=dbd2354b4cce2aa7f540e6c14bfdc24d&amp;pid=1-s2.0-S0742051X09001401-main.pdf</t>
  </si>
  <si>
    <t>Towards understanding members’ general participation in and active contribution to an online travel community</t>
  </si>
  <si>
    <t>Youcheng Wang, Daniel R. Fesenmaier</t>
  </si>
  <si>
    <t>http://pdn.sciencedirect.com/science?_ob=MiamiImageURL&amp;_cid=271716&amp;_user=686465&amp;_pii=S0261517703001912&amp;_check=y&amp;_origin=search&amp;_zone=rslt_list_item&amp;_coverDate=2004-12-31&amp;wchp=dGLzVlB-zSkzS&amp;md5=8b1f912cedefa3545587783fda834f0e&amp;pid=1-s2.0-S0261517703001912-main.pdf</t>
  </si>
  <si>
    <t>Online and offline social networks: Use of social networking sites by emerging adults</t>
  </si>
  <si>
    <t>Kaveri Subrahmanyam, Stephanie M. Reich, Natalia Waechter, Guadalupe Espinoza</t>
  </si>
  <si>
    <t>Journal of Applied Developmental Psychology</t>
  </si>
  <si>
    <t>http://pdn.sciencedirect.com/science?_ob=MiamiImageURL&amp;_cid=272075&amp;_user=686465&amp;_pii=S0193397308000713&amp;_check=y&amp;_origin=search&amp;_zone=rslt_list_item&amp;_coverDate=2008-12-31&amp;wchp=dGLzVlB-zSkzS&amp;md5=e026c96a77a4ccad154768aae299eae7&amp;pid=1-s2.0-S0193397308000713-main.pdf</t>
  </si>
  <si>
    <t>Creation and loss of sociotechnical capital among information professionals educated online</t>
  </si>
  <si>
    <t>Michelle M. Kazmer</t>
  </si>
  <si>
    <t>http://pdn.sciencedirect.com/science?_ob=MiamiImageURL&amp;_cid=272068&amp;_user=686465&amp;_pii=S0740818806000211&amp;_check=y&amp;_origin=search&amp;_zone=rslt_list_item&amp;_coverDate=2006-08-31&amp;wchp=dGLzVlB-zSkzS&amp;md5=9fde0cb22b4694f871b6380f6f4fa3fc&amp;pid=1-s2.0-S0740818806000211-main.pdf</t>
  </si>
  <si>
    <t>Network analysis of an online community</t>
  </si>
  <si>
    <t>Sangman Han, Beom Jun Kim</t>
  </si>
  <si>
    <t>http://pdn.sciencedirect.com/science?_ob=MiamiImageURL&amp;_cid=271529&amp;_user=686465&amp;_pii=S037843710800589X&amp;_check=y&amp;_origin=search&amp;_zone=rslt_list_item&amp;_coverDate=2008-10-01&amp;wchp=dGLzVlB-zSkzS&amp;md5=bedbf3bbca0231824083fccf8e810f40&amp;pid=1-s2.0-S037843710800589X-main.pdf</t>
  </si>
  <si>
    <t>Personal information of adolescents on the Internet: A quantitative content analysis of MySpace</t>
  </si>
  <si>
    <t>Sameer Hinduja, Justin W. Patchin</t>
  </si>
  <si>
    <t>Journal of Adolescence</t>
  </si>
  <si>
    <t>http://pdn.sciencedirect.com/science?_ob=MiamiImageURL&amp;_cid=272496&amp;_user=686465&amp;_pii=S0140197107000541&amp;_check=y&amp;_origin=search&amp;_zone=rslt_list_item&amp;_coverDate=2008-02-29&amp;wchp=dGLzVlB-zSkzS&amp;md5=36488d811810f91b6afb519f52d314d6&amp;pid=1-s2.0-S0140197107000541-main.pdf</t>
  </si>
  <si>
    <t>The ties that bind: Social network principles in online communities</t>
  </si>
  <si>
    <t>Dale Ganley, Cliff Lampe</t>
  </si>
  <si>
    <t>http://pdn.sciencedirect.com/science?_ob=MiamiImageURL&amp;_cid=271653&amp;_user=686465&amp;_pii=S0167923609000591&amp;_check=y&amp;_origin=search&amp;_zone=rslt_list_item&amp;_coverDate=2009-06-30&amp;wchp=dGLzVlB-zSkzS&amp;md5=28dc463cc942f276ba78601a0f530469&amp;pid=1-s2.0-S0167923609000591-main.pdf</t>
  </si>
  <si>
    <t>Grasping the potential of online social networks for foresight</t>
  </si>
  <si>
    <t>Romina Cachia, Ram&amp;oacute;n Compa&amp;ntilde;&amp;oacute;, Olivier Da Costa</t>
  </si>
  <si>
    <t>http://pdn.sciencedirect.com/science?_ob=MiamiImageURL&amp;_cid=271733&amp;_user=686465&amp;_pii=S0040162507001254&amp;_check=y&amp;_origin=search&amp;_zone=rslt_list_item&amp;_coverDate=2007-10-31&amp;wchp=dGLzVlB-zSkzS&amp;md5=c6ac58d5be37220821def6260781fee0&amp;pid=1-s2.0-S0040162507001254-main.pdf</t>
  </si>
  <si>
    <t>Age differences in online social networking – A study of user profiles and the social capital divide among teenagers and older users in MySpace</t>
  </si>
  <si>
    <t>Ulrike Pfeil, Raj Arjan, Panayiotis Zaphiris</t>
  </si>
  <si>
    <t>http://pdn.sciencedirect.com/science?_ob=MiamiImageURL&amp;_cid=271802&amp;_user=686465&amp;_pii=S0747563208001714&amp;_check=y&amp;_origin=search&amp;_zone=rslt_list_item&amp;_coverDate=2009-05-31&amp;wchp=dGLzVlB-zSkzS&amp;md5=cc22ff0a3a684d9da3733a63fe1cb59d&amp;pid=1-s2.0-S0747563208001714-main.pdf</t>
  </si>
  <si>
    <t>User and developer mediation in an Open Source Software community: Boundary spanning through cross participation in online discussions</t>
  </si>
  <si>
    <t>Flore Barcellini, Fran&amp;ccedil;oise D&amp;eacute;tienne, Jean-Marie Burkhardt</t>
  </si>
  <si>
    <t>http://pdn.sciencedirect.com/science?_ob=MiamiImageURL&amp;_cid=272548&amp;_user=686465&amp;_pii=S1071581907001437&amp;_check=y&amp;_origin=search&amp;_zone=rslt_list_item&amp;_coverDate=2008-07-31&amp;wchp=dGLzVlB-zSkzS&amp;md5=d44e43ff1a8a88504440b63051e0ea93&amp;pid=1-s2.0-S1071581907001437-main.pdf</t>
  </si>
  <si>
    <t>Birds of a feather: How personality influences blog writing and reading</t>
  </si>
  <si>
    <t>Jamy Li, Mark Chignell</t>
  </si>
  <si>
    <t>http://pdn.sciencedirect.com/science?_ob=MiamiImageURL&amp;_cid=272548&amp;_user=686465&amp;_pii=S1071581910000522&amp;_check=y&amp;_origin=search&amp;_zone=rslt_list_item&amp;_coverDate=2010-09-30&amp;wchp=dGLzVlB-zSkzS&amp;md5=637ed286370520c6ae189c1f7d051b06&amp;pid=1-s2.0-S1071581910000522-main.pdf</t>
  </si>
  <si>
    <t>Cross-modal compensation between name and visual aspect in socially active avatars</t>
  </si>
  <si>
    <t>Matthieu J. Guitton</t>
  </si>
  <si>
    <t>http://pdn.sciencedirect.com/science?_ob=MiamiImageURL&amp;_cid=271802&amp;_user=686465&amp;_pii=S0747563210002001&amp;_check=y&amp;_origin=search&amp;_zone=rslt_list_item&amp;_coverDate=2010-11-30&amp;wchp=dGLzVlB-zSkzS&amp;md5=4d406a88dc1f9d60ce2795c69c141872&amp;pid=1-s2.0-S0747563210002001-main.pdf</t>
  </si>
  <si>
    <t>Understanding the role of an IT artifact in online service continuance: An extended perspective of user satisfaction</t>
  </si>
  <si>
    <t>Young Sik Kang, Heeseok Lee</t>
  </si>
  <si>
    <t>http://pdn.sciencedirect.com/science?_ob=MiamiImageURL&amp;_cid=271802&amp;_user=686465&amp;_pii=S0747563209001770&amp;_check=y&amp;_origin=search&amp;_zone=rslt_list_item&amp;_coverDate=2010-05-31&amp;wchp=dGLzVlB-zSkzS&amp;md5=de49e20fc05460d32770d28a7fcd5b62&amp;pid=1-s2.0-S0747563209001770-main.pdf</t>
  </si>
  <si>
    <t>Norm-narrowing and self- and other-perceived aggression in early-adolescent same-sex and mixed-sex cliques</t>
  </si>
  <si>
    <t>Ley A. Killeya-Jones, Philip R. Costanzo, Patrick Malone, Nicole Polanichka Quinlan, Shari Miller-Johnson</t>
  </si>
  <si>
    <t>Journal of School Psychology</t>
  </si>
  <si>
    <t>http://pdn.sciencedirect.com/science?_ob=MiamiImageURL&amp;_cid=272058&amp;_user=686465&amp;_pii=S0022440507000404&amp;_check=y&amp;_origin=search&amp;_zone=rslt_list_item&amp;_coverDate=2007-10-31&amp;wchp=dGLzVlB-zSkzS&amp;md5=52dabf4b2f6f85815c767778ab1e8c40&amp;pid=1-s2.0-S0022440507000404-main.pdf</t>
  </si>
  <si>
    <t>Participation in online interaction spaces: Design-use mediation in an Open Source Software community</t>
  </si>
  <si>
    <t>http://pdn.sciencedirect.com/science?_ob=MiamiImageURL&amp;_cid=271473&amp;_user=686465&amp;_pii=S0169814108001637&amp;_check=y&amp;_origin=search&amp;_zone=rslt_list_item&amp;_coverDate=2009-05-31&amp;wchp=dGLzVlB-zSkzS&amp;md5=3394ac2aea75b3739e99cf0268507724&amp;pid=1-s2.0-S0169814108001637-main.pdf</t>
  </si>
  <si>
    <t>Opening the black box of link formation: Social factors underlying the structure of the web</t>
  </si>
  <si>
    <t>Sandra Gonzalez-Bailon</t>
  </si>
  <si>
    <t>http://pdn.sciencedirect.com/science?_ob=MiamiImageURL&amp;_cid=271850&amp;_user=686465&amp;_pii=S0378873309000379&amp;_check=y&amp;_origin=search&amp;_zone=rslt_list_item&amp;_coverDate=2009-10-31&amp;wchp=dGLzVlB-zSkzS&amp;md5=f102f97b1593ba09d3e52bde405303c9&amp;pid=1-s2.0-S0378873309000379-main.pdf</t>
  </si>
  <si>
    <t>Inferring preference correlations from social networks</t>
  </si>
  <si>
    <t>Tad Hogg</t>
  </si>
  <si>
    <t>http://pdn.sciencedirect.com/science?_ob=MiamiImageURL&amp;_cid=272634&amp;_user=686465&amp;_pii=S1567422309000209&amp;_check=y&amp;_origin=search&amp;_zone=rslt_list_item&amp;_coverDate=2010-02-28&amp;wchp=dGLzVlB-zSkzS&amp;md5=9125c5693be1bd4f026559be7650710a&amp;pid=1-s2.0-S1567422309000209-main.pdf</t>
  </si>
  <si>
    <t>Microblogs in Higher Education – A chance to facilitate informal and process-oriented learning?</t>
  </si>
  <si>
    <t>Martin Ebner, Conrad Lienhardt, Matthias Rohs, Iris Meyer</t>
  </si>
  <si>
    <t>http://pdn.sciencedirect.com/science?_ob=MiamiImageURL&amp;_cid=271849&amp;_user=686465&amp;_pii=S0360131509003418&amp;_check=y&amp;_origin=search&amp;_zone=rslt_list_item&amp;_coverDate=2010-08-31&amp;wchp=dGLzVlB-zSkzS&amp;md5=134428f0507ab52f0d15d5a04cc2d0a0&amp;pid=1-s2.0-S0360131509003418-main.pdf</t>
  </si>
  <si>
    <t>Modeling and mining of dynamic trust in complex service-oriented systems</t>
  </si>
  <si>
    <t>Florian Skopik, Daniel Schall, Schahram Dustdar</t>
  </si>
  <si>
    <t>http://pdn.sciencedirect.com/science?_ob=MiamiImageURL&amp;_cid=271528&amp;_user=686465&amp;_pii=S0306437910000153&amp;_check=y&amp;_origin=search&amp;_zone=rslt_list_item&amp;_coverDate=2010-11-30&amp;wchp=dGLzVlB-zSkzS&amp;md5=9a2c8064c618d2f77fd7952903dfc381&amp;pid=1-s2.0-S0306437910000153-main.pdf</t>
  </si>
  <si>
    <t>A multi-stage model of word-of-mouth influence through viral marketing</t>
  </si>
  <si>
    <t>Arnaud De Bruyn, Gary L. Lilien</t>
  </si>
  <si>
    <t>International Journal of Research in Marketing</t>
  </si>
  <si>
    <t>http://pdn.sciencedirect.com/science?_ob=MiamiImageURL&amp;_cid=271657&amp;_user=686465&amp;_pii=S0167811608000414&amp;_check=y&amp;_origin=search&amp;_zone=rslt_list_item&amp;_coverDate=2008-09-30&amp;wchp=dGLzVlB-zSkzS&amp;md5=d06690b342d79c457b9637bb2c1ec392&amp;pid=1-s2.0-S0167811608000414-main.pdf</t>
  </si>
  <si>
    <t>A survey of trust and reputation systems for online service provision</t>
  </si>
  <si>
    <t>Audun J&amp;oslash;sang, Roslan Ismail, Colin Boyd</t>
  </si>
  <si>
    <t>http://pdn.sciencedirect.com/science?_ob=MiamiImageURL&amp;_cid=271653&amp;_user=686465&amp;_pii=S0167923605000849&amp;_check=y&amp;_origin=search&amp;_zone=rslt_list_item&amp;_coverDate=2007-03-31&amp;wchp=dGLzVlB-zSkzS&amp;md5=e777e1be52f4518ab5c0ed368592c064&amp;pid=1-s2.0-S0167923605000849-main.pdf</t>
  </si>
  <si>
    <t>Explaining the power-law degree distribution in a social commerce network</t>
  </si>
  <si>
    <t>Andrew T. Stephen, Olivier Toubia</t>
  </si>
  <si>
    <t>http://pdn.sciencedirect.com/science?_ob=MiamiImageURL&amp;_cid=271850&amp;_user=686465&amp;_pii=S0378873309000367&amp;_check=y&amp;_origin=search&amp;_zone=rslt_list_item&amp;_coverDate=2009-10-31&amp;wchp=dGLzVlB-zSkzS&amp;md5=11b677c749987971f38dca436b54142a&amp;pid=1-s2.0-S0378873309000367-main.pdf</t>
  </si>
  <si>
    <t>Question-order effects in social network name generators</t>
  </si>
  <si>
    <t>James E. Pustejovsky, James P. Spillane</t>
  </si>
  <si>
    <t>http://pdn.sciencedirect.com/science?_ob=MiamiImageURL&amp;_cid=271850&amp;_user=686465&amp;_pii=S0378873309000318&amp;_check=y&amp;_origin=search&amp;_zone=rslt_list_item&amp;_coverDate=2009-10-31&amp;wchp=dGLzVlB-zSkzS&amp;md5=be1412926c6a4ed2074a03b3280bcb21&amp;pid=1-s2.0-S0378873309000318-main.pdf</t>
  </si>
  <si>
    <t>Exploring success factors of video game communities in hierarchical linear modeling: The perspectives of members and leaders</t>
  </si>
  <si>
    <t>Shu-Hsun Ho, Chiung-Hui Huang</t>
  </si>
  <si>
    <t>http://pdn.sciencedirect.com/science?_ob=MiamiImageURL&amp;_cid=271802&amp;_user=686465&amp;_pii=S0747563209000302&amp;_check=y&amp;_origin=search&amp;_zone=rslt_list_item&amp;_coverDate=2009-05-31&amp;wchp=dGLzVlB-zSkzS&amp;md5=ddbc44576c222a1e6ea4fdbbab4420ec&amp;pid=1-s2.0-S0747563209000302-main.pdf</t>
  </si>
  <si>
    <t>The community of inquiry framework ten years later: Introduction to the special issue</t>
  </si>
  <si>
    <t>Karen Swan, Phil Ice</t>
  </si>
  <si>
    <t>http://pdn.sciencedirect.com/science?_ob=MiamiImageURL&amp;_cid=272103&amp;_user=686465&amp;_pii=S1096751609000694&amp;_check=y&amp;_origin=search&amp;_zone=rslt_list_item&amp;_coverDate=2010-01-31&amp;wchp=dGLzVlB-zSkzS&amp;md5=4181bcc5afc0c619587446e630e7c7a4&amp;pid=1-s2.0-S1096751609000694-main.pdf</t>
  </si>
  <si>
    <t>Online social networks in economics</t>
  </si>
  <si>
    <t>Adalbert Mayer</t>
  </si>
  <si>
    <t>http://pdn.sciencedirect.com/science?_ob=MiamiImageURL&amp;_cid=271653&amp;_user=686465&amp;_pii=S0167923609000608&amp;_check=y&amp;_origin=search&amp;_zone=rslt_list_item&amp;_coverDate=2009-06-30&amp;wchp=dGLzVlB-zSkzS&amp;md5=f6e8986bc623203bb81ba86d0c468395&amp;pid=1-s2.0-S0167923609000608-main.pdf</t>
  </si>
  <si>
    <t>Small actor, big opinion: Least developed countries participation in climate change networks</t>
  </si>
  <si>
    <t>Akima Cornell</t>
  </si>
  <si>
    <t>http://pdn.sciencedirect.com/science?_ob=MiamiImageURL&amp;_cid=277811&amp;_user=686465&amp;_pii=S1877042810018574&amp;_check=y&amp;_origin=search&amp;_zone=rslt_list_item&amp;_coverDate=2010-12-31&amp;wchp=dGLzVlB-zSkzS&amp;md5=9973a1ac530e8d70c2293f198bef4c40&amp;pid=1-s2.0-S1877042810018574-main.pdf</t>
  </si>
  <si>
    <t>Managing information diffusion in Name-Your-Own-Price auctions</t>
  </si>
  <si>
    <t>Oliver Hinz, Martin Spann</t>
  </si>
  <si>
    <t>http://pdn.sciencedirect.com/science?_ob=MiamiImageURL&amp;_cid=271653&amp;_user=686465&amp;_pii=S0167923610000977&amp;_check=y&amp;_origin=search&amp;_zone=rslt_list_item&amp;_coverDate=2010-11-30&amp;wchp=dGLzVlB-zSkzS&amp;md5=e1c9e80e446a2f4a1e46b9f2f3e96d8e&amp;pid=1-s2.0-S0167923610000977-main.pdf</t>
  </si>
  <si>
    <t>Design exemplars for synchronous e-learning: A design theory approach</t>
  </si>
  <si>
    <t>Stefan Hrastinski, Christina Keller, Sven A. Carlsson</t>
  </si>
  <si>
    <t>http://pdn.sciencedirect.com/science?_ob=MiamiImageURL&amp;_cid=271849&amp;_user=686465&amp;_pii=S0360131510000680&amp;_check=y&amp;_origin=search&amp;_zone=rslt_list_item&amp;_coverDate=2010-09-30&amp;wchp=dGLzVlB-zSkzS&amp;md5=6516324f87ab2e7600353b58e6ad4ddb&amp;pid=1-s2.0-S0360131510000680-main.pdf</t>
  </si>
  <si>
    <t>The influence of personality on social participation in learning environments</t>
  </si>
  <si>
    <t>Avner Caspi, Eran Chajut, Kelly Saporta, Ruth Beyth-Marom</t>
  </si>
  <si>
    <t>Learning and Individual Differences</t>
  </si>
  <si>
    <t>http://pdn.sciencedirect.com/science?_ob=MiamiImageURL&amp;_cid=272107&amp;_user=686465&amp;_pii=S1041608005000403&amp;_check=y&amp;_origin=search&amp;_zone=rslt_list_item&amp;_coverDate=2006-12-31&amp;wchp=dGLzVlB-zSkzS&amp;md5=4a2e281dd20d42d95b843ee99a18b941&amp;pid=1-s2.0-S1041608005000403-main.pdf</t>
  </si>
  <si>
    <t>Social networks and political participation in a Sicilian community context</t>
  </si>
  <si>
    <t>Simona Gozzo, Rosario D’Agata</t>
  </si>
  <si>
    <t>http://pdn.sciencedirect.com/science?_ob=MiamiImageURL&amp;_cid=277811&amp;_user=686465&amp;_pii=S1877042810018562&amp;_check=y&amp;_origin=search&amp;_zone=rslt_list_item&amp;_coverDate=2010-12-31&amp;wchp=dGLzVlB-zSkzS&amp;md5=61608b6716ec7f3cb157de64a9ff4ad8&amp;pid=1-s2.0-S1877042810018562-main.pdf</t>
  </si>
  <si>
    <t>On the Stability of Community Detection Algorithms on Longitudinal Citation Data</t>
  </si>
  <si>
    <t>Michael J. Bommarito II, Daniel M. Katz, Jonathen L. Zelner</t>
  </si>
  <si>
    <t>http://pdn.sciencedirect.com/science?_ob=MiamiImageURL&amp;_cid=277811&amp;_user=686465&amp;_pii=S1877042810018549&amp;_check=y&amp;_origin=search&amp;_zone=rslt_list_item&amp;_coverDate=2010-12-31&amp;wchp=dGLzVlB-zSkzS&amp;md5=bb028cba9ab3cc98af5359970ca4f44b&amp;pid=1-s2.0-S1877042810018549-main.pdf</t>
  </si>
  <si>
    <t>Understanding knowledge sharing in virtual communities: An integration of social capital and social cognitive theories</t>
  </si>
  <si>
    <t>Chao-Min Chiu, Meng-Hsiang Hsu, Eric T.G. Wang</t>
  </si>
  <si>
    <t>http://pdn.sciencedirect.com/science?_ob=MiamiImageURL&amp;_cid=271653&amp;_user=686465&amp;_pii=S0167923606000583&amp;_check=y&amp;_origin=search&amp;_zone=rslt_list_item&amp;_coverDate=2006-12-31&amp;wchp=dGLzVlB-zSkzS&amp;md5=e4a19ac799b1db50b7e060fc76006ae4&amp;pid=1-s2.0-S0167923606000583-main.pdf</t>
  </si>
  <si>
    <t>Some antecedents and effects of trust in virtual communities</t>
  </si>
  <si>
    <t>Catherine M Ridings, David Gefen, Bay Arinze</t>
  </si>
  <si>
    <t>The Journal of Strategic Information Systems</t>
  </si>
  <si>
    <t>http://pdn.sciencedirect.com/science?_ob=MiamiImageURL&amp;_cid=271674&amp;_user=686465&amp;_pii=S0963868702000215&amp;_check=y&amp;_origin=search&amp;_zone=rslt_list_item&amp;_coverDate=2002-12-31&amp;wchp=dGLzVlB-zSkzS&amp;md5=a9f7ed2f59a058d75d83ae9917249ba1&amp;pid=1-s2.0-S0963868702000215-main.pdf</t>
  </si>
  <si>
    <t>Unprofitable customers and their management</t>
  </si>
  <si>
    <t>Michael Haenlein, Andreas M. Kaplan</t>
  </si>
  <si>
    <t>Business Horizons</t>
  </si>
  <si>
    <t>http://pdn.sciencedirect.com/science?_ob=MiamiImageURL&amp;_cid=272044&amp;_user=686465&amp;_pii=S0007681308001316&amp;_check=y&amp;_origin=search&amp;_zone=rslt_list_item&amp;_coverDate=2009-02-28&amp;wchp=dGLzVlB-zSkzS&amp;md5=4a8b5b99efac2ffaabe7c2424963e0e8&amp;pid=1-s2.0-S0007681308001316-main.pdf</t>
  </si>
  <si>
    <t>Mathematical models for academic webs: Linear relationship or non-linear power law?</t>
  </si>
  <si>
    <t>Nigel Payne, Mike Thelwall</t>
  </si>
  <si>
    <t>http://pdn.sciencedirect.com/science?_ob=MiamiImageURL&amp;_cid=271647&amp;_user=686465&amp;_pii=S0306457305000385&amp;_check=y&amp;_origin=search&amp;_zone=rslt_list_item&amp;_coverDate=2005-12-31&amp;wchp=dGLzVlB-zSkzS&amp;md5=322a3719b663157febdfe87b40d005f0&amp;pid=1-s2.0-S0306457305000385-main.pdf</t>
  </si>
  <si>
    <t>Investigating recognition-based performance in an open content community: A social capital perspective</t>
  </si>
  <si>
    <t>Chitu Okoli, Wonseok Oh</t>
  </si>
  <si>
    <t>http://pdn.sciencedirect.com/science?_ob=MiamiImageURL&amp;_cid=271670&amp;_user=686465&amp;_pii=S0378720607000195&amp;_check=y&amp;_origin=search&amp;_zone=rslt_list_item&amp;_coverDate=2007-04-30&amp;wchp=dGLzVlB-zSkzS&amp;md5=944c2e2124278ed5eac77702563f7446&amp;pid=1-s2.0-S0378720607000195-main.pdf</t>
  </si>
  <si>
    <t>The strength of weak culture</t>
  </si>
  <si>
    <t>Jennifer Schultz, Ronald L. Breiger</t>
  </si>
  <si>
    <t>http://pdn.sciencedirect.com/science?_ob=MiamiImageURL&amp;_cid=271764&amp;_user=686465&amp;_pii=S0304422X10000550&amp;_check=y&amp;_origin=search&amp;_zone=rslt_list_item&amp;_coverDate=2010-12-31&amp;wchp=dGLzVlB-zSkzS&amp;md5=67aaa7f4409133356aa491607cc28115&amp;pid=1-s2.0-S0304422X10000550-main.pdf</t>
  </si>
  <si>
    <t>Building and sustaining community in asynchronous learning networks</t>
  </si>
  <si>
    <t>Alfred P Rovai</t>
  </si>
  <si>
    <t>http://pdn.sciencedirect.com/science?_ob=MiamiImageURL&amp;_cid=272103&amp;_user=686465&amp;_pii=S1096751601000379&amp;_check=y&amp;_origin=search&amp;_zone=rslt_list_item&amp;_coverDate=2000-12-31&amp;wchp=dGLzVlB-zSkzS&amp;md5=5b22fb4916c94089ab5508637f028832&amp;pid=1-s2.0-S1096751601000379-main.pdf</t>
  </si>
  <si>
    <t>Understanding novelty creation in exploration networks—Structural and relational embeddedness jointly considered</t>
  </si>
  <si>
    <t>Victor A. Gilsing, G.M. Duysters</t>
  </si>
  <si>
    <t>http://pdn.sciencedirect.com/science?_ob=MiamiImageURL&amp;_cid=271734&amp;_user=686465&amp;_pii=S0166497208000412&amp;_check=y&amp;_origin=search&amp;_zone=rslt_list_item&amp;_coverDate=2008-10-31&amp;wchp=dGLzVlB-zSkzS&amp;md5=3c02086178a8f8fe9ce525197e931c2d&amp;pid=1-s2.0-S0166497208000412-main.pdf</t>
  </si>
  <si>
    <t>A survey of trust in computer science and the Semantic Web</t>
  </si>
  <si>
    <t>Donovan Artz, Yolanda Gil</t>
  </si>
  <si>
    <t>http://pdn.sciencedirect.com/science?_ob=MiamiImageURL&amp;_cid=272989&amp;_user=686465&amp;_pii=S1570826807000133&amp;_check=y&amp;_origin=search&amp;_zone=rslt_list_item&amp;_coverDate=2007-06-30&amp;wchp=dGLzVlB-zSkzS&amp;md5=6086c804211541a7444d3ad0db676398&amp;pid=1-s2.0-S1570826807000133-main.pdf</t>
  </si>
  <si>
    <t>Revisiting omnivores in America circa 1990s: The exclusiveness of omnivores?</t>
  </si>
  <si>
    <t>Gindo Tampubolon</t>
  </si>
  <si>
    <t>http://pdn.sciencedirect.com/science?_ob=MiamiImageURL&amp;_cid=271764&amp;_user=686465&amp;_pii=S0304422X08000041&amp;_check=y&amp;_origin=search&amp;_zone=rslt_list_item&amp;_coverDate=2008-06-30&amp;wchp=dGLzVlB-zSkzS&amp;md5=44cbfb068686a21e179d27ea9e4c0ee4&amp;pid=1-s2.0-S0304422X08000041-main.pdf</t>
  </si>
  <si>
    <t>Academic brands and their impact on scientific endeavour: The case of business market research and researchers</t>
  </si>
  <si>
    <t>Bernard Cova, David Ford, Robert Salle</t>
  </si>
  <si>
    <t>http://pdn.sciencedirect.com/science?_ob=MiamiImageURL&amp;_cid=271714&amp;_user=686465&amp;_pii=S0019850109000777&amp;_check=y&amp;_origin=search&amp;_zone=rslt_list_item&amp;_coverDate=2009-09-30&amp;wchp=dGLzVlB-zSkzS&amp;md5=c526e116c60530f7e5925441759805dd&amp;pid=1-s2.0-S0019850109000777-main.pdf</t>
  </si>
  <si>
    <t>Semantic web enabled software analysis</t>
  </si>
  <si>
    <t>Jonas Tappolet, Christoph Kiefer, Abraham Bernstein</t>
  </si>
  <si>
    <t>http://pdn.sciencedirect.com/science?_ob=MiamiImageURL&amp;_cid=272989&amp;_user=686465&amp;_pii=S1570826810000338&amp;_check=y&amp;_origin=search&amp;_zone=rslt_list_item&amp;_coverDate=2010-07-31&amp;wchp=dGLzVlB-zSkzS&amp;md5=bf9ca1684b745c552fdf325b94e85ea1&amp;pid=1-s2.0-S1570826810000338-main.pdf</t>
  </si>
  <si>
    <t>Free/Open Source Software Development: Recent Research Results and Methods</t>
  </si>
  <si>
    <t>Walt Scacchi</t>
  </si>
  <si>
    <t>The web graph of a tourism system</t>
  </si>
  <si>
    <t>Rodolfo Baggio</t>
  </si>
  <si>
    <t>http://pdn.sciencedirect.com/science?_ob=MiamiImageURL&amp;_cid=271529&amp;_user=686465&amp;_pii=S0378437107001148&amp;_check=y&amp;_origin=search&amp;_zone=rslt_list_item&amp;_coverDate=2007-06-15&amp;wchp=dGLzVlB-zSkzS&amp;md5=8d32242ea859f0ea75c185a8a3fbe4de&amp;pid=1-s2.0-S0378437107001148-main.pdf</t>
  </si>
  <si>
    <t>Automated Web issue analysis: A nurse prescribing case study</t>
  </si>
  <si>
    <t>Mike Thelwall, Saheeda Thelwall, Ruth Fairclough</t>
  </si>
  <si>
    <t>http://pdn.sciencedirect.com/science?_ob=MiamiImageURL&amp;_cid=271647&amp;_user=686465&amp;_pii=S030645730600032X&amp;_check=y&amp;_origin=search&amp;_zone=rslt_list_item&amp;_coverDate=2006-12-31&amp;wchp=dGLzVlB-zSkzS&amp;md5=276be024e0b7d40d4676f457923b406c&amp;pid=1-s2.0-S030645730600032X-main.pdf</t>
  </si>
  <si>
    <t>Data clustering: 50 years beyond K-means</t>
  </si>
  <si>
    <t>Anil K. Jain</t>
  </si>
  <si>
    <t>Pattern Recognition Letters</t>
  </si>
  <si>
    <t>http://pdn.sciencedirect.com/science?_ob=MiamiImageURL&amp;_cid=271524&amp;_user=686465&amp;_pii=S0167865509002323&amp;_check=y&amp;_origin=search&amp;_zone=rslt_list_item&amp;_coverDate=2010-06-01&amp;wchp=dGLzVlB-zSkzS&amp;md5=ec48f5a663bd76aabfcc53f072d491e0&amp;pid=1-s2.0-S0167865509002323-main.pdf</t>
  </si>
  <si>
    <t>Where is the ethical knowledge in the knowledge economy?: Power and potential in the emergence of ethical knowledge as a component of intellectual capital</t>
  </si>
  <si>
    <t>Ken McPhail</t>
  </si>
  <si>
    <t>Critical Perspectives on Accounting</t>
  </si>
  <si>
    <t>http://pdn.sciencedirect.com/science?_ob=MiamiImageURL&amp;_cid=272346&amp;_user=686465&amp;_pii=S1045235408001196&amp;_check=y&amp;_origin=search&amp;_zone=rslt_list_item&amp;_coverDate=2009-10-31&amp;wchp=dGLzVlB-zSkzS&amp;md5=4758da97ecdf1962cb1b0fe17ff74341&amp;pid=1-s2.0-S1045235408001196-main.pdf</t>
  </si>
  <si>
    <t>User goals in social virtual worlds: A means-end chain approach</t>
  </si>
  <si>
    <t>Yoonhyuk Jung, Hyunmee Kang</t>
  </si>
  <si>
    <t>http://pdn.sciencedirect.com/science?_ob=MiamiImageURL&amp;_cid=271802&amp;_user=686465&amp;_pii=S0747563209001514&amp;_check=y&amp;_origin=search&amp;_zone=rslt_list_item&amp;_coverDate=2010-03-31&amp;wchp=dGLzVlB-zSkzS&amp;md5=3fb047079c2e9f7eaddd8ec767a405ee&amp;pid=1-s2.0-S0747563209001514-main.pdf</t>
  </si>
  <si>
    <t>Probabilistic self-organizing maps for qualitative data</t>
  </si>
  <si>
    <t>Ezequiel L&amp;oacute;pez-Rubio</t>
  </si>
  <si>
    <t>Neural Networks</t>
  </si>
  <si>
    <t>http://pdn.sciencedirect.com/science?_ob=MiamiImageURL&amp;_cid=271125&amp;_user=686465&amp;_pii=S0893608010001243&amp;_check=y&amp;_origin=search&amp;_zone=rslt_list_item&amp;_coverDate=2010-12-31&amp;wchp=dGLzVlB-zSkzS&amp;md5=380b9b634e0f9311932fbe3ac3368c6d&amp;pid=1-s2.0-S0893608010001243-main.pdf</t>
  </si>
  <si>
    <t>Presence of taiwan on the world wide web in south korea: dynamics of digital and geographical presence on cyberspace</t>
  </si>
  <si>
    <t>Han Woo Park</t>
  </si>
  <si>
    <t>The International Information &amp; Library Review</t>
  </si>
  <si>
    <t>http://pdn.sciencedirect.com/science?_ob=MiamiImageURL&amp;_cid=272458&amp;_user=686465&amp;_pii=S1057231703000602&amp;_check=y&amp;_origin=search&amp;_zone=rslt_list_item&amp;_coverDate=2004-12-31&amp;wchp=dGLzVlB-zSkzS&amp;md5=0733f76e085370c6cc6c17210de6f488&amp;pid=1-s2.0-S1057231703000602-main.pdf</t>
  </si>
  <si>
    <t>Social capital and rates of gonorrhea and syphilis in the United States: Spatial regression analyses of state-level associations</t>
  </si>
  <si>
    <t>Salaam Semaan, Maya Sternberg, Akbar Zaidi, Sevgi O. Aral</t>
  </si>
  <si>
    <t>http://pdn.sciencedirect.com/science?_ob=MiamiImageURL&amp;_cid=271821&amp;_user=686465&amp;_pii=S0277953607000457&amp;_check=y&amp;_origin=search&amp;_zone=rslt_list_item&amp;_coverDate=2007-06-30&amp;wchp=dGLzVlB-zSkzS&amp;md5=94f90a5fda96d866ec626369f329816f&amp;pid=1-s2.0-S0277953607000457-main.pdf</t>
  </si>
  <si>
    <t>Minimizing the expected complete influence time of a social network</t>
  </si>
  <si>
    <t>Yaodong Ni, Lei Xie, Zhi-Qiang Liu</t>
  </si>
  <si>
    <t>http://pdn.sciencedirect.com/science?_ob=MiamiImageURL&amp;_cid=271625&amp;_user=686465&amp;_pii=S0020025510001246&amp;_check=y&amp;_origin=search&amp;_zone=rslt_list_item&amp;_coverDate=2010-07-01&amp;wchp=dGLzVlB-zSkzS&amp;md5=047a3da8fd28aa50977b491b680bcf30&amp;pid=1-s2.0-S0020025510001246-main.pdf</t>
  </si>
  <si>
    <t>The ‘accessibility diary’: Discussing a new methodological approach to understand the impact of Internet use upon personal travel and activity participation</t>
  </si>
  <si>
    <t>Susan Kenyon</t>
  </si>
  <si>
    <t>Journal of Transport Geography</t>
  </si>
  <si>
    <t>http://pdn.sciencedirect.com/science?_ob=MiamiImageURL&amp;_cid=271844&amp;_user=686465&amp;_pii=S0966692305000670&amp;_check=y&amp;_origin=search&amp;_zone=rslt_list_item&amp;_coverDate=2006-03-31&amp;wchp=dGLzVlB-zSkzS&amp;md5=c271048572db9003b7b6821cc5fae4a8&amp;pid=1-s2.0-S0966692305000670-main.pdf</t>
  </si>
  <si>
    <t>Discovering cohesive subgroups from social networks for targeted advertising</t>
  </si>
  <si>
    <t>Wan-Shiou Yang, Jia-Ben Dia</t>
  </si>
  <si>
    <t>http://pdn.sciencedirect.com/science?_ob=MiamiImageURL&amp;_cid=271506&amp;_user=686465&amp;_pii=S0957417407000814&amp;_check=y&amp;_origin=search&amp;_zone=rslt_list_item&amp;_coverDate=2008-04-30&amp;wchp=dGLzVlB-zSkzS&amp;md5=3e2b1194d7c823dcaebf2443f270e91c&amp;pid=1-s2.0-S0957417407000814-main.pdf</t>
  </si>
  <si>
    <t>Towards a social network model for understanding information and communication technology use for general practitioners in rural Australia</t>
  </si>
  <si>
    <t>Kon Shing Kenneth Chung, Liaquat Hossain</t>
  </si>
  <si>
    <t>http://pdn.sciencedirect.com/science?_ob=MiamiImageURL&amp;_cid=271802&amp;_user=686465&amp;_pii=S074756320900199X&amp;_check=y&amp;_origin=search&amp;_zone=rslt_list_item&amp;_coverDate=2010-07-31&amp;wchp=dGLzVlB-zSkzS&amp;md5=37626f22f00679e6ed82c6033a00e3ec&amp;pid=1-s2.0-S074756320900199X-main.pdf</t>
  </si>
  <si>
    <t>Creativity of student information system projects: From the perspective of network embeddedness</t>
  </si>
  <si>
    <t>Heng-Li Yang, Hsiu-Hua Cheng</t>
  </si>
  <si>
    <t>http://pdn.sciencedirect.com/science?_ob=MiamiImageURL&amp;_cid=271849&amp;_user=686465&amp;_pii=S0360131509001997&amp;_check=y&amp;_origin=search&amp;_zone=rslt_list_item&amp;_coverDate=2010-01-31&amp;wchp=dGLzVlB-zSkzS&amp;md5=9b2078617b88cb2bf0b0ea5ee748bb3d&amp;pid=1-s2.0-S0360131509001997-main.pdf</t>
  </si>
  <si>
    <t>U.S. academic departmental Web-site interlinking in the United States Disciplinary differences</t>
  </si>
  <si>
    <t>Rong Tang, Mike Thelwall</t>
  </si>
  <si>
    <t>http://pdn.sciencedirect.com/science?_ob=MiamiImageURL&amp;_cid=272068&amp;_user=686465&amp;_pii=S0740818803000537&amp;_check=y&amp;_origin=search&amp;_zone=rslt_list_item&amp;_coverDate=2004-02-29&amp;wchp=dGLzVlB-zSkzS&amp;md5=3ac534f4c2236f1d1dffb0d8e5ac6553&amp;pid=1-s2.0-S0740818803000537-main.pdf</t>
  </si>
  <si>
    <t>An evaluation study of clustering algorithms in the scope of user communities assessment</t>
  </si>
  <si>
    <t>Pantelis N. Karamolegkos, Charalampos Z. Patrikakis, Nikolaos D. Doulamis, Panagiotis T. Vlacheas, Ioannis G. Nikolakopoulos</t>
  </si>
  <si>
    <t>Computers &amp; Mathematics with Applications</t>
  </si>
  <si>
    <t>http://pdn.sciencedirect.com/science?_ob=MiamiImageURL&amp;_cid=271503&amp;_user=686465&amp;_pii=S0898122109004970&amp;_check=y&amp;_origin=search&amp;_zone=rslt_list_item&amp;_coverDate=2009-10-31&amp;wchp=dGLzVlB-zSkzS&amp;md5=ee5dbcc5d1a6a9f678607255d0b605f6&amp;pid=1-s2.0-S0898122109004970-main.pdf</t>
  </si>
  <si>
    <t>Sources of Health Information Related to Preventive Health Behaviors in a National Study</t>
  </si>
  <si>
    <t>Nicole Redmond, Heather J. Baer, Cheryl R. Clark, Stuart Lipsitz, LeRoi S. Hicks</t>
  </si>
  <si>
    <t>American Journal of Preventive Medicine</t>
  </si>
  <si>
    <t>http://pdn.sciencedirect.com/science?_ob=MiamiImageURL&amp;_cid=271902&amp;_user=686465&amp;_pii=S0749379710002084&amp;_check=y&amp;_origin=search&amp;_zone=rslt_list_item&amp;_coverDate=2010-06-30&amp;wchp=dGLzVlB-zSkzS&amp;md5=a111bef17b97209da5003d06a3f1e01b&amp;pid=1-s2.0-S0749379710002084-main.pdf</t>
  </si>
  <si>
    <t>CourseVis: A graphical student monitoring tool for supporting instructors in web-based distance courses</t>
  </si>
  <si>
    <t>Riccardo Mazza, Vania Dimitrova</t>
  </si>
  <si>
    <t>http://pdn.sciencedirect.com/science?_ob=MiamiImageURL&amp;_cid=272548&amp;_user=686465&amp;_pii=S1071581906001303&amp;_check=y&amp;_origin=search&amp;_zone=rslt_list_item&amp;_coverDate=2007-02-28&amp;wchp=dGLzVlB-zSkzS&amp;md5=e0bfa3d65f5dbf80824e914b09405b33&amp;pid=1-s2.0-S1071581906001303-main.pdf</t>
  </si>
  <si>
    <t>Reliable peers and useful resources: Searching for the best personalised learning path in a trust- and recommendation-aware environment</t>
  </si>
  <si>
    <t>Vincenza Carchiolo, Alessandro Longheu, Michele Malgeri</t>
  </si>
  <si>
    <t>http://pdn.sciencedirect.com/science?_ob=MiamiImageURL&amp;_cid=271625&amp;_user=686465&amp;_pii=S0020025509005660&amp;_check=y&amp;_origin=search&amp;_zone=rslt_list_item&amp;_coverDate=2010-05-15&amp;wchp=dGLzVlB-zSkzS&amp;md5=ad4a0b70775d56e86b9508d70d3f3536&amp;pid=1-s2.0-S0020025509005660-main.pdf</t>
  </si>
  <si>
    <t>Measuring ego-centered social networks on the web: Questionnaire design issues</t>
  </si>
  <si>
    <t>Vasja Vehovar, Katja Lozar Manfreda, Gasper Koren, Valentina Hlebec</t>
  </si>
  <si>
    <t>http://pdn.sciencedirect.com/science?_ob=MiamiImageURL&amp;_cid=271850&amp;_user=686465&amp;_pii=S0378873308000142&amp;_check=y&amp;_origin=search&amp;_zone=rslt_list_item&amp;_coverDate=2008-07-31&amp;wchp=dGLzVlB-zSkzS&amp;md5=ac0abc6eff34ee104ca2e8b5072c7d30&amp;pid=1-s2.0-S0378873308000142-main.pdf</t>
  </si>
  <si>
    <t>WESONet: Applying semantic web technologies and collaborative tagging to multimedia web information systems</t>
  </si>
  <si>
    <t>Jose Emilio Labra Gayo, Patricia Ord&amp;oacute;&amp;ntilde;ez de Pablos, Juan Manuel Cueva Lovelle</t>
  </si>
  <si>
    <t>http://pdn.sciencedirect.com/science?_ob=MiamiImageURL&amp;_cid=271802&amp;_user=686465&amp;_pii=S0747563209001538&amp;_check=y&amp;_origin=search&amp;_zone=rslt_list_item&amp;_coverDate=2010-03-31&amp;wchp=dGLzVlB-zSkzS&amp;md5=35ecfafe9ef88dee655e62422e597f3b&amp;pid=1-s2.0-S0747563209001538-main.pdf</t>
  </si>
  <si>
    <t>Knowledge sharing: A review and directions for future research</t>
  </si>
  <si>
    <t>Sheng Wang, Raymond A. Noe</t>
  </si>
  <si>
    <t>Human Resource Management Review</t>
  </si>
  <si>
    <t>http://pdn.sciencedirect.com/science?_ob=MiamiImageURL&amp;_cid=272047&amp;_user=686465&amp;_pii=S1053482209000904&amp;_check=y&amp;_origin=search&amp;_zone=rslt_list_item&amp;_coverDate=2010-06-30&amp;wchp=dGLzVlB-zSkzS&amp;md5=ceb4ba44971ee3c6d1b4664d3d4e5500&amp;pid=1-s2.0-S1053482209000904-main.pdf</t>
  </si>
  <si>
    <t>The NPV of bad news</t>
  </si>
  <si>
    <t>Jacob Goldenberg, Barak Libai, Sarit Moldovan, Eitan Muller</t>
  </si>
  <si>
    <t>http://pdn.sciencedirect.com/science?_ob=MiamiImageURL&amp;_cid=271657&amp;_user=686465&amp;_pii=S0167811607000298&amp;_check=y&amp;_origin=search&amp;_zone=rslt_list_item&amp;_coverDate=2007-09-30&amp;wchp=dGLzVlB-zSkzS&amp;md5=b35ffcfedf47fe12cff5184d8bb3d65b&amp;pid=1-s2.0-S0167811607000298-main.pdf</t>
  </si>
  <si>
    <t>Outcomes beyond phenylalanine: An international perspective</t>
  </si>
  <si>
    <t>Francois Feillet, Anita MacDonald, Danielle Hartung (Perron), Barbara Burton</t>
  </si>
  <si>
    <t>Molecular Genetics and Metabolism</t>
  </si>
  <si>
    <t>http://pdn.sciencedirect.com/science?_ob=MiamiImageURL&amp;_cid=272386&amp;_user=686465&amp;_pii=S109671920900287X&amp;_check=y&amp;_origin=search&amp;_zone=rslt_list_item&amp;_coverDate=2010-12-31&amp;wchp=dGLzVlB-zSkzS&amp;md5=d49e44068385160870bc3ad075998075&amp;pid=1-s2.0-S109671920900287X-main.pdf</t>
  </si>
  <si>
    <t>Impact of brand recognition and brand reputation on firm performance: U.S.-based multinational restaurant companies’ perspective</t>
  </si>
  <si>
    <t>Yoon Koh, Seoki Lee, Soyoung Boo</t>
  </si>
  <si>
    <t>International Journal of Hospitality Management</t>
  </si>
  <si>
    <t>http://pdn.sciencedirect.com/science?_ob=MiamiImageURL&amp;_cid=271702&amp;_user=686465&amp;_pii=S0278431909000607&amp;_check=y&amp;_origin=search&amp;_zone=rslt_list_item&amp;_coverDate=2009-12-31&amp;wchp=dGLzVlB-zSkzS&amp;md5=31372a8c92db750a39cee5e388e65bb7&amp;pid=1-s2.0-S0278431909000607-main.pdf</t>
  </si>
  <si>
    <t>Linking the web and the street: Internet-based “dotcauses” and the “anti-globalization” movement</t>
  </si>
  <si>
    <t>John D. Clark, Nuno S. Themudo</t>
  </si>
  <si>
    <t>World Development</t>
  </si>
  <si>
    <t>http://pdn.sciencedirect.com/science?_ob=MiamiImageURL&amp;_cid=271773&amp;_user=686465&amp;_pii=S0305750X0500183X&amp;_check=y&amp;_origin=search&amp;_zone=rslt_list_item&amp;_coverDate=2006-01-31&amp;wchp=dGLzVlB-zSkzS&amp;md5=597be59ed323234f055334316fc70864&amp;pid=1-s2.0-S0305750X0500183X-main.pdf</t>
  </si>
  <si>
    <t>Small firms' interaction with political organizations in the European Union</t>
  </si>
  <si>
    <t>Anna Bengtson, Cecilia Pahlberg, Firouze Pourmand</t>
  </si>
  <si>
    <t>http://pdn.sciencedirect.com/science?_ob=MiamiImageURL&amp;_cid=271714&amp;_user=686465&amp;_pii=S0019850109001138&amp;_check=y&amp;_origin=search&amp;_zone=rslt_list_item&amp;_coverDate=2009-09-30&amp;wchp=dGLzVlB-zSkzS&amp;md5=09fa8c6b5a2ffa224af9ed01fc3fcb36&amp;pid=1-s2.0-S0019850109001138-main.pdf</t>
  </si>
  <si>
    <t>Centrality indicators as an instrument to evaluate the integration of urban equipment in the area of influence of a rail corridor</t>
  </si>
  <si>
    <t>Jorge Augusto Martins Gon&amp;ccedil;alves, Licinio da Silva Portugal, Carlos David Nassi</t>
  </si>
  <si>
    <t>Transportation Research Part A: Policy and Practice</t>
  </si>
  <si>
    <t>http://pdn.sciencedirect.com/science?_ob=MiamiImageURL&amp;_cid=271795&amp;_user=686465&amp;_pii=S0965856408001249&amp;_check=y&amp;_origin=search&amp;_zone=rslt_list_item&amp;_coverDate=2009-01-31&amp;wchp=dGLzVlB-zSkzS&amp;md5=6d2fc839752a1d483d96c17da29e5f6c&amp;pid=1-s2.0-S0965856408001249-main.pdf</t>
  </si>
  <si>
    <t>Navigating between dyads and networks</t>
  </si>
  <si>
    <t>Bernard Cova, Fr&amp;eacute;d&amp;eacute;ric Pr&amp;eacute;vot, Robert Spencer</t>
  </si>
  <si>
    <t>http://pdn.sciencedirect.com/science?_ob=MiamiImageURL&amp;_cid=271714&amp;_user=686465&amp;_pii=S0019850110000891&amp;_check=y&amp;_origin=search&amp;_zone=rslt_list_item&amp;_coverDate=2010-09-30&amp;wchp=dGLzVlB-zSkzS&amp;md5=2b3a66969a87dde5d6220004d43d7e4b&amp;pid=1-s2.0-S0019850110000891-main.pdf</t>
  </si>
  <si>
    <t>A new evidential trust model for open communities</t>
  </si>
  <si>
    <t>Jin Wang, Huai-Jiang Sun</t>
  </si>
  <si>
    <t>Computer Standards &amp; Interfaces</t>
  </si>
  <si>
    <t>http://pdn.sciencedirect.com/science?_ob=MiamiImageURL&amp;_cid=271914&amp;_user=686465&amp;_pii=S0920548908001505&amp;_check=y&amp;_origin=search&amp;_zone=rslt_list_item&amp;_coverDate=2009-09-30&amp;wchp=dGLzVlB-zSkzS&amp;md5=4df604f30b58e1d8eec969d777557917&amp;pid=1-s2.0-S0920548908001505-main.pdf</t>
  </si>
  <si>
    <t>How valuable is medical social media data? Content analysis of the medical web</t>
  </si>
  <si>
    <t>Kerstin Denecke, Wolfgang Nejdl</t>
  </si>
  <si>
    <t>http://pdn.sciencedirect.com/science?_ob=MiamiImageURL&amp;_cid=271625&amp;_user=686465&amp;_pii=S0020025509000528&amp;_check=y&amp;_origin=search&amp;_zone=rslt_list_item&amp;_coverDate=2009-05-30&amp;wchp=dGLzVlB-zSkzS&amp;md5=a48a53dabfd268d9d30bd68422a9a509&amp;pid=1-s2.0-S0020025509000528-main.pdf</t>
  </si>
  <si>
    <t>Chapter 11 - Advanced CAR</t>
  </si>
  <si>
    <t>Stephen Quinn, Stephen Lamble</t>
  </si>
  <si>
    <t>Online Newsgathering</t>
  </si>
  <si>
    <t>Designing for e-science: Requirements gathering for collaboration in CiteSeer</t>
  </si>
  <si>
    <t>Umer Farooq, Craig H. Ganoe, John M. Carroll, C. Lee Giles</t>
  </si>
  <si>
    <t>http://pdn.sciencedirect.com/science?_ob=MiamiImageURL&amp;_cid=272548&amp;_user=686465&amp;_pii=S1071581907001401&amp;_check=y&amp;_origin=search&amp;_zone=rslt_list_item&amp;_coverDate=2009-04-30&amp;wchp=dGLzVlB-zSkzS&amp;md5=12272f3fe22c69b2bb889b6075571958&amp;pid=1-s2.0-S1071581907001401-main.pdf</t>
  </si>
  <si>
    <t>Cyber child pornography: A review paper of the social and legal issues and remedies—and a proposed technological solution</t>
  </si>
  <si>
    <t>Bernadette H. Schell, Miguel Vargas Martin, Patrick C.K. Hung, Luis Rueda</t>
  </si>
  <si>
    <t>Aggression and Violent Behavior</t>
  </si>
  <si>
    <t>http://pdn.sciencedirect.com/science?_ob=MiamiImageURL&amp;_cid=271839&amp;_user=686465&amp;_pii=S1359178906000401&amp;_check=y&amp;_origin=search&amp;_zone=rslt_list_item&amp;_coverDate=2007-02-28&amp;wchp=dGLzVlB-zSkzS&amp;md5=559dde7d95e427cea7a96e93d847a4ba&amp;pid=1-s2.0-S1359178906000401-main.pdf</t>
  </si>
  <si>
    <t>Research agenda for social Q&amp;A</t>
  </si>
  <si>
    <t>Chirag Shah, Sanghee Oh, Jung Sun Oh</t>
  </si>
  <si>
    <t>http://pdn.sciencedirect.com/science?_ob=MiamiImageURL&amp;_cid=272068&amp;_user=686465&amp;_pii=S074081880900098X&amp;_check=y&amp;_origin=search&amp;_zone=rslt_list_item&amp;_coverDate=2009-12-31&amp;wchp=dGLzVlB-zSkzS&amp;md5=663681fd006673085af22470b862ed04&amp;pid=1-s2.0-S074081880900098X-main.pdf</t>
  </si>
  <si>
    <t>Using ‘word of mouth’ to find community structure in an online IMS system</t>
  </si>
  <si>
    <t>Rong-heng LIN, Hua ZOU, Fang-chun YANG</t>
  </si>
  <si>
    <t>http://pdn.sciencedirect.com/science?_ob=MiamiImageURL&amp;_cid=274164&amp;_user=686465&amp;_pii=S1005888508601624&amp;_check=y&amp;_origin=search&amp;_zone=rslt_list_item&amp;_coverDate=2008-09-30&amp;wchp=dGLzVlB-zSkzS&amp;md5=d5d87ae62b028d5d401be84278fda199&amp;pid=1-s2.0-S1005888508601624-main.pdf</t>
  </si>
  <si>
    <t>Category Classification and Topic Discovery of Japanese and English News Articles</t>
  </si>
  <si>
    <t>David B. Bracewell, Jiajun Yan, Fuji Ren, Shingo Kuroiwa</t>
  </si>
  <si>
    <t>http://pdn.sciencedirect.com/science?_ob=MiamiImageURL&amp;_cid=272990&amp;_user=686465&amp;_pii=S157106610800529X&amp;_check=y&amp;_origin=search&amp;_zone=rslt_list_item&amp;_coverDate=2009-01-02&amp;wchp=dGLzVlB-zSkzS&amp;md5=df325aa69a7d3848390d45fc2d490131&amp;pid=1-s2.0-S157106610800529X-main.pdf</t>
  </si>
  <si>
    <t>How to search a social network</t>
  </si>
  <si>
    <t>Lada Adamic, Eytan Adar</t>
  </si>
  <si>
    <t>http://pdn.sciencedirect.com/science?_ob=MiamiImageURL&amp;_cid=271850&amp;_user=686465&amp;_pii=S0378873305000109&amp;_check=y&amp;_origin=search&amp;_zone=rslt_list_item&amp;_coverDate=2005-07-31&amp;wchp=dGLzVlB-zSkzS&amp;md5=5397cfd56d442b7eee33537258843343&amp;pid=1-s2.0-S0378873305000109-main.pdf</t>
  </si>
  <si>
    <t>Analyzing collaborative interactions: divergence, shared understanding and construction of knowledge</t>
  </si>
  <si>
    <t>Sadhana Puntambekar</t>
  </si>
  <si>
    <t>http://pdn.sciencedirect.com/science?_ob=MiamiImageURL&amp;_cid=271849&amp;_user=686465&amp;_pii=S0360131504001563&amp;_check=y&amp;_origin=search&amp;_zone=rslt_list_item&amp;_coverDate=2006-11-30&amp;wchp=dGLzVlB-zSkzS&amp;md5=c719ff1f9af7d93ea05b900577ec3ad2&amp;pid=1-s2.0-S0360131504001563-main.pdf</t>
  </si>
  <si>
    <t>Library Catalog Analysis as a tool in studies of social sciences and humanities: An exploratory study of published book titles in Economics</t>
  </si>
  <si>
    <t>Daniel Torres-Salinas, Henk F. Moed</t>
  </si>
  <si>
    <t>http://pdn.sciencedirect.com/science?_ob=MiamiImageURL&amp;_cid=273584&amp;_user=686465&amp;_pii=S1751157708000527&amp;_check=y&amp;_origin=search&amp;_zone=rslt_list_item&amp;_coverDate=2009-01-31&amp;wchp=dGLzVlB-zSkzS&amp;md5=7c6e7aa38ba71b8226936d3e8138b7cb&amp;pid=1-s2.0-S1751157708000527-main.pdf</t>
  </si>
  <si>
    <t>A social influence model of consumer participation in network- and small-group-based virtual communities</t>
  </si>
  <si>
    <t>Utpal M. Dholakia, Richard P. Bagozzi, Lisa Klein Pearo</t>
  </si>
  <si>
    <t>http://pdn.sciencedirect.com/science?_ob=MiamiImageURL&amp;_cid=271657&amp;_user=686465&amp;_pii=S016781160400028X&amp;_check=y&amp;_origin=search&amp;_zone=rslt_list_item&amp;_coverDate=2004-09-30&amp;wchp=dGLzVlB-zSkzS&amp;md5=dc67908985fb7468f25d170f8b99d10d&amp;pid=1-s2.0-S016781160400028X-main.pdf</t>
  </si>
  <si>
    <t>Q-rater: A collaborative reputation system based on source credibility theory</t>
  </si>
  <si>
    <t>Jinhyung Cho, Kwiseok Kwon, Yongtae Park</t>
  </si>
  <si>
    <t>http://pdn.sciencedirect.com/science?_ob=MiamiImageURL&amp;_cid=271506&amp;_user=686465&amp;_pii=S0957417408001486&amp;_check=y&amp;_origin=search&amp;_zone=rslt_list_item&amp;_coverDate=2009-03-31&amp;wchp=dGLzVlB-zSkzS&amp;md5=241704151a8ced3fbddf689ad4e6cbf7&amp;pid=1-s2.0-S0957417408001486-main.pdf</t>
  </si>
  <si>
    <t>An adaptive genetic algorithm and its application in bilateral multi-issue negotiation</t>
  </si>
  <si>
    <t>Jian LI, Cong WANG, Yi-xian YANG</t>
  </si>
  <si>
    <t>http://pdn.sciencedirect.com/science?_ob=MiamiImageURL&amp;_cid=274164&amp;_user=686465&amp;_pii=S1005888508601636&amp;_check=y&amp;_origin=search&amp;_zone=rslt_list_item&amp;_coverDate=2008-09-30&amp;wchp=dGLzVlB-zSkzS&amp;md5=ed311039250d1ef49f718957bc7948e9&amp;pid=1-s2.0-S1005888508601636-main.pdf</t>
  </si>
  <si>
    <t>Herding in humans</t>
  </si>
  <si>
    <t>Ramsey M. Raafat, Nick Chater, Chris Frith</t>
  </si>
  <si>
    <t>Trends in Cognitive Sciences</t>
  </si>
  <si>
    <t>http://pdn.sciencedirect.com/science?_ob=MiamiImageURL&amp;_cid=271877&amp;_user=686465&amp;_pii=S1364661309001703&amp;_check=y&amp;_origin=search&amp;_zone=rslt_list_item&amp;_coverDate=2009-10-31&amp;wchp=dGLzVlB-zSkzS&amp;md5=05f4277c174d0dde5aa84f60511ebfb1&amp;pid=1-s2.0-S1364661309001703-main.pdf</t>
  </si>
  <si>
    <t>Zero, single, or multi? Genre of web pages through the users’ perspective</t>
  </si>
  <si>
    <t>Marina Santini</t>
  </si>
  <si>
    <t>http://pdn.sciencedirect.com/science?_ob=MiamiImageURL&amp;_cid=271647&amp;_user=686465&amp;_pii=S0306457307001185&amp;_check=y&amp;_origin=search&amp;_zone=rslt_list_item&amp;_coverDate=2008-03-31&amp;wchp=dGLzVlB-zSkzS&amp;md5=a7984132b41ad38e6542d86ae2fa3101&amp;pid=1-s2.0-S0306457307001185-main.pdf</t>
  </si>
  <si>
    <t>ActiveRDF: Embedding Semantic Web data into object-oriented languages</t>
  </si>
  <si>
    <t>Eyal Oren, Benjamin Heitmann, Stefan Decker</t>
  </si>
  <si>
    <t>http://pdn.sciencedirect.com/science?_ob=MiamiImageURL&amp;_cid=272989&amp;_user=686465&amp;_pii=S1570826808000401&amp;_check=y&amp;_origin=search&amp;_zone=rslt_list_item&amp;_coverDate=2008-09-30&amp;wchp=dGLzVlB-zSkzS&amp;md5=fdd360a2cde5575c402a44a843df06ad&amp;pid=1-s2.0-S1570826808000401-main.pdf</t>
  </si>
  <si>
    <t>Emerging and scripted roles in computer-supported collaborative learning</t>
  </si>
  <si>
    <t>Jan-Willem Strijbos, Armin Weinberger</t>
  </si>
  <si>
    <t>http://pdn.sciencedirect.com/science?_ob=MiamiImageURL&amp;_cid=271802&amp;_user=686465&amp;_pii=S0747563209001368&amp;_check=y&amp;_origin=search&amp;_zone=rslt_list_item&amp;_coverDate=2010-07-31&amp;wchp=dGLzVlB-zSkzS&amp;md5=a1acf6faa29642b2b58c62cf0e955875&amp;pid=1-s2.0-S0747563209001368-main.pdf</t>
  </si>
  <si>
    <t>Intentional social action in virtual communities</t>
  </si>
  <si>
    <t>Richard P. Bagozzi, Utpal M. Dholakia</t>
  </si>
  <si>
    <t>http://pdn.sciencedirect.com/science?_ob=MiamiImageURL&amp;_cid=277809&amp;_user=686465&amp;_pii=S1094996802701540&amp;_check=y&amp;_origin=search&amp;_zone=rslt_list_item&amp;_coverDate=2002-12-31&amp;wchp=dGLzVlB-zSkzS&amp;md5=069dab59f3638a7470bf59a272c85a03&amp;pid=1-s2.0-S1094996802701540-main.pdf</t>
  </si>
  <si>
    <t>Adolescents’ internet use: Testing the “disappearing digital divide” versus the “emerging digital differentiation” approach</t>
  </si>
  <si>
    <t>Jochen Peter, Patti M. Valkenburg</t>
  </si>
  <si>
    <t>http://pdn.sciencedirect.com/science?_ob=MiamiImageURL&amp;_cid=271764&amp;_user=686465&amp;_pii=S0304422X06000179&amp;_check=y&amp;_origin=search&amp;_zone=rslt_list_item&amp;_coverDate=2006-10-31&amp;wchp=dGLzVlB-zSkzS&amp;md5=739cd1f9be1a6449270fcb5be36605a7&amp;pid=1-s2.0-S0304422X06000179-main.pdf</t>
  </si>
  <si>
    <t>Chapter Thirteen - Exemplar Ken Practitioners</t>
  </si>
  <si>
    <t>Debra M. Amidon</t>
  </si>
  <si>
    <t>The Innovation SuperHighway</t>
  </si>
  <si>
    <t>A social network-based system for supporting interactive collaboration in knowledge sharing over peer-to-peer network</t>
  </si>
  <si>
    <t>Stephen J.H. Yang, Irene Y.L. Chen</t>
  </si>
  <si>
    <t>http://pdn.sciencedirect.com/science?_ob=MiamiImageURL&amp;_cid=272548&amp;_user=686465&amp;_pii=S1071581907001139&amp;_check=y&amp;_origin=search&amp;_zone=rslt_list_item&amp;_coverDate=2008-01-31&amp;wchp=dGLzVlB-zSkzS&amp;md5=f584ae5cf6693ee67e1146389e612648&amp;pid=1-s2.0-S1071581907001139-main.pdf</t>
  </si>
  <si>
    <t>Developing and sustaining a sense of place: The role of social information</t>
  </si>
  <si>
    <t>Kirsty Williamson, Julie Roberts</t>
  </si>
  <si>
    <t>http://pdn.sciencedirect.com/science?_ob=MiamiImageURL&amp;_cid=272068&amp;_user=686465&amp;_pii=S0740818810000721&amp;_check=y&amp;_origin=search&amp;_zone=rslt_list_item&amp;_coverDate=2010-10-31&amp;wchp=dGLzVlB-zSkzS&amp;md5=ef40e49f1c1b7db6c737155aa2c18501&amp;pid=1-s2.0-S0740818810000721-main.pdf</t>
  </si>
  <si>
    <t>Microcollaborations in a social Q&amp;A community</t>
  </si>
  <si>
    <t>http://pdn.sciencedirect.com/science?_ob=MiamiImageURL&amp;_cid=271647&amp;_user=686465&amp;_pii=S0306457309001289&amp;_check=y&amp;_origin=search&amp;_zone=rslt_list_item&amp;_coverDate=2010-11-30&amp;wchp=dGLzVlB-zSkzS&amp;md5=4a0767fbba0f3858b4a64b0be5031ef0&amp;pid=1-s2.0-S0306457309001289-main.pdf</t>
  </si>
  <si>
    <t>Methodological issues in developing a multi-dimensional coding procedure for small-group chat communication</t>
  </si>
  <si>
    <t>Jan-Willem Strijbos, Gerry Stahl</t>
  </si>
  <si>
    <t>http://pdn.sciencedirect.com/science?_ob=MiamiImageURL&amp;_cid=271828&amp;_user=686465&amp;_pii=S0959475207000515&amp;_check=y&amp;_origin=search&amp;_zone=rslt_list_item&amp;_coverDate=2007-08-31&amp;wchp=dGLzVlB-zSkzS&amp;md5=2712f3e61499933e4b2c5b572490ce93&amp;pid=1-s2.0-S0959475207000515-main.pdf</t>
  </si>
  <si>
    <t>Knowledge Sharing in an Emerging Network of Practice:: The Role of a Knowledge Portal</t>
  </si>
  <si>
    <t>Peter van Baalen, Jacqueline Bloemhof-Ruwaard, Eric van Heck</t>
  </si>
  <si>
    <t>http://pdn.sciencedirect.com/science?_ob=MiamiImageURL&amp;_cid=271956&amp;_user=686465&amp;_pii=S0263237305000484&amp;_check=y&amp;_origin=search&amp;_zone=rslt_list_item&amp;_coverDate=2005-06-30&amp;wchp=dGLzVlB-zSkzS&amp;md5=79276e407c6f733e04395c079d160509&amp;pid=1-s2.0-S0263237305000484-main.pdf</t>
  </si>
  <si>
    <t>The theoretical and empirical links between bullying behavior and male sexual violence perpetration</t>
  </si>
  <si>
    <t>Kathleen C. Basile, Dorothy L. Espelage, Ian Rivers, Pamela M. McMahon, Thomas R. Simon</t>
  </si>
  <si>
    <t>http://pdn.sciencedirect.com/science?_ob=MiamiImageURL&amp;_cid=271839&amp;_user=686465&amp;_pii=S1359178909000548&amp;_check=y&amp;_origin=search&amp;_zone=rslt_list_item&amp;_coverDate=2009-10-31&amp;wchp=dGLzVlB-zSkzS&amp;md5=e1b5feea1b7e873ac0a0ad8564fd13ea&amp;pid=1-s2.0-S1359178909000548-main.pdf</t>
  </si>
  <si>
    <t>Making words work: Using financial text as a predictor of financial events</t>
  </si>
  <si>
    <t>Mark Cecchini, Haldun Aytug, Gary J. Koehler, Praveen Pathak</t>
  </si>
  <si>
    <t>http://pdn.sciencedirect.com/science?_ob=MiamiImageURL&amp;_cid=271653&amp;_user=686465&amp;_pii=S0167923610001181&amp;_check=y&amp;_origin=search&amp;_zone=rslt_list_item&amp;_coverDate=2010-12-31&amp;wchp=dGLzVlB-zSkzS&amp;md5=ff0a92d3c280c0a9d5193df95083984a&amp;pid=1-s2.0-S0167923610001181-main.pdf</t>
  </si>
  <si>
    <t>Personalizing Interactions with Information Systems</t>
  </si>
  <si>
    <t>Saverio Perugini, Naren Ramakrishnan</t>
  </si>
  <si>
    <t>Development of a team measure for tacit knowledge in software development teams</t>
  </si>
  <si>
    <t>Sharon Ryan, Rory V. O’Connor</t>
  </si>
  <si>
    <t>Journal of Systems and Software</t>
  </si>
  <si>
    <t>http://pdn.sciencedirect.com/science?_ob=MiamiImageURL&amp;_cid=271629&amp;_user=686465&amp;_pii=S0164121208001313&amp;_check=y&amp;_origin=search&amp;_zone=rslt_list_item&amp;_coverDate=2009-02-28&amp;wchp=dGLzVlB-zSkzS&amp;md5=800e8c3b58a7353dd8c1c0c2b93d5975&amp;pid=1-s2.0-S0164121208001313-main.pdf</t>
  </si>
  <si>
    <t>Did distance matter before the Internet?: Interpersonal contact and support in the 1970s</t>
  </si>
  <si>
    <t>Diana Mok, Barry Wellman, with Ranu Basu</t>
  </si>
  <si>
    <t>http://pdn.sciencedirect.com/science?_ob=MiamiImageURL&amp;_cid=271850&amp;_user=686465&amp;_pii=S037887330700010X&amp;_check=y&amp;_origin=search&amp;_zone=rslt_list_item&amp;_coverDate=2007-07-31&amp;wchp=dGLzVlB-zSkzS&amp;md5=12567b3116fea03e10fff1fec233405a&amp;pid=1-s2.0-S037887330700010X-main.pdf</t>
  </si>
  <si>
    <t>Visual conceptualizations and models of science</t>
  </si>
  <si>
    <t>Katy B&amp;ouml;rner, Andrea Scharnhorst</t>
  </si>
  <si>
    <t>http://pdn.sciencedirect.com/science?_ob=MiamiImageURL&amp;_cid=273584&amp;_user=686465&amp;_pii=S1751157709000315&amp;_check=y&amp;_origin=search&amp;_zone=rslt_list_item&amp;_coverDate=2009-07-31&amp;wchp=dGLzVlB-zSkzS&amp;md5=bca30b5e0f099925ca8ca8ce794e0ddf&amp;pid=1-s2.0-S1751157709000315-main.pdf</t>
  </si>
  <si>
    <t>Changing patterns of communication among scientists in an era of “telescience”</t>
  </si>
  <si>
    <t>Leah A. Lievrouw, Kathleen Carley</t>
  </si>
  <si>
    <t>Technology in Society</t>
  </si>
  <si>
    <t>http://pdn.sciencedirect.com/science?_ob=MiamiImageURL&amp;_cid=271744&amp;_user=686465&amp;_pii=0160791X90900155&amp;_check=y&amp;_origin=search&amp;_zone=rslt_list_item&amp;_coverDate=1990-12-31&amp;wchp=dGLzVlB-zSkzS&amp;md5=be534069808d2c2fd76d06a6eadf1ceb&amp;pid=1-s2.0-0160791X90900155-main.pdf</t>
  </si>
  <si>
    <t>The 419 scam: information warfare on the spam front and a proposal for local filtering</t>
  </si>
  <si>
    <t>Eve Edelson</t>
  </si>
  <si>
    <t>Computers &amp; Security</t>
  </si>
  <si>
    <t>http://pdn.sciencedirect.com/science?_ob=MiamiImageURL&amp;_cid=271887&amp;_user=686465&amp;_pii=S0167404803005054&amp;_check=y&amp;_origin=search&amp;_zone=rslt_list_item&amp;_coverDate=2003-07-31&amp;wchp=dGLzVlB-zSkzS&amp;md5=858e7573ea878a8604de15a3401b6406&amp;pid=1-s2.0-S0167404803005054-main.pdf</t>
  </si>
  <si>
    <t>In-depth behavior understanding and use: The behavior informatics approach</t>
  </si>
  <si>
    <t>Longbing Cao</t>
  </si>
  <si>
    <t>http://pdn.sciencedirect.com/science?_ob=MiamiImageURL&amp;_cid=271625&amp;_user=686465&amp;_pii=S0020025510001374&amp;_check=y&amp;_origin=search&amp;_zone=rslt_list_item&amp;_coverDate=2010-09-01&amp;wchp=dGLzVlB-zSkzS&amp;md5=d2b601323e544082d855f6468ee4f24e&amp;pid=1-s2.0-S0020025510001374-main.pdf</t>
  </si>
  <si>
    <t>Sharing secure m-coupons for peer-generated targeting via eWOM communications</t>
  </si>
  <si>
    <t>Sue-Chen Hsueh, Jun-Ming Chen</t>
  </si>
  <si>
    <t>http://pdn.sciencedirect.com/science?_ob=MiamiImageURL&amp;_cid=272634&amp;_user=686465&amp;_pii=S1567422310000098&amp;_check=y&amp;_origin=search&amp;_zone=rslt_list_item&amp;_coverDate=2010-08-31&amp;wchp=dGLzVlB-zSkzS&amp;md5=a60a13f69905c0175f100c6062fd1747&amp;pid=1-s2.0-S1567422310000098-main.pdf</t>
  </si>
  <si>
    <t>A fuzzy trust evaluation method for knowledge sharing in virtual enterprises</t>
  </si>
  <si>
    <t>Tsung-Yi Chen, Yuh-Min Chen, Chia-Jou Lin, Pin-Yuan Chen</t>
  </si>
  <si>
    <t>Computers &amp; Industrial Engineering</t>
  </si>
  <si>
    <t>http://pdn.sciencedirect.com/science?_ob=MiamiImageURL&amp;_cid=271420&amp;_user=686465&amp;_pii=S0360835210002391&amp;_check=y&amp;_origin=search&amp;_zone=rslt_list_item&amp;_coverDate=2010-11-30&amp;wchp=dGLzVlB-zSkzS&amp;md5=3941c8a239ddab712e35f3a4ad950afa&amp;pid=1-s2.0-S0360835210002391-main.pdf</t>
  </si>
  <si>
    <t>Designing an expert system for fraud detection in private telecommunications networks</t>
  </si>
  <si>
    <t>Constantinos S. Hilas</t>
  </si>
  <si>
    <t>http://pdn.sciencedirect.com/science?_ob=MiamiImageURL&amp;_cid=271506&amp;_user=686465&amp;_pii=S095741740900284X&amp;_check=y&amp;_origin=search&amp;_zone=rslt_list_item&amp;_coverDate=2009-11-30&amp;wchp=dGLzVlB-zSkzS&amp;md5=c29f10de3e9456b03cd2f31e96fd0b10&amp;pid=1-s2.0-S095741740900284X-main.pdf</t>
  </si>
  <si>
    <t>Predicting Movie Prices Through Dynamic Social Network Analysis</t>
  </si>
  <si>
    <t>Lyric Doshi, Jonas Krauss, Stefan Nann, Peter Gloor</t>
  </si>
  <si>
    <t>http://pdn.sciencedirect.com/science?_ob=MiamiImageURL&amp;_cid=277811&amp;_user=686465&amp;_pii=S1877042810011109&amp;_check=y&amp;_origin=search&amp;_zone=rslt_list_item&amp;_coverDate=2010-12-31&amp;wchp=dGLzVlB-zSkzS&amp;md5=d40ac56ae6d72a2f5aec77b0ecaa4e23&amp;pid=1-s2.0-S1877042810011109-main.pdf</t>
  </si>
  <si>
    <t>Forty Years of Secondhand Smoke Research: The Gap Between Discovery and Delivery Supplementary content </t>
  </si>
  <si>
    <t>Jenine K. Harris, Douglas A. Luke, Rachael B. Zuckerman, Sarah C. Shelton</t>
  </si>
  <si>
    <t>http://pdn.sciencedirect.com/science?_ob=MiamiImageURL&amp;_cid=271902&amp;_user=686465&amp;_pii=S0749379709001548&amp;_check=y&amp;_origin=search&amp;_zone=rslt_list_item&amp;_coverDate=2009-06-30&amp;wchp=dGLzVlB-zSkzS&amp;md5=c52e6c5eeccf3a28379c1565305d5d34&amp;pid=1-s2.0-S0749379709001548-main.pdf</t>
  </si>
  <si>
    <t>Brand extension of online technology products: Evidence from search engine to virtual communities and online news</t>
  </si>
  <si>
    <t>Peijian Song, Cheng Zhang, Yunjie(Calvin) Xu, Lihua Huang</t>
  </si>
  <si>
    <t>http://pdn.sciencedirect.com/science?_ob=MiamiImageURL&amp;_cid=271653&amp;_user=686465&amp;_pii=S0167923610000187&amp;_check=y&amp;_origin=search&amp;_zone=rslt_list_item&amp;_coverDate=2010-04-30&amp;wchp=dGLzVlB-zSkzS&amp;md5=39e8575cf1fa9a8b4d747aaf893dc776&amp;pid=1-s2.0-S0167923610000187-main.pdf</t>
  </si>
  <si>
    <t>Extended and discretized formulations for the maximum clique problem</t>
  </si>
  <si>
    <t>Pedro Martins</t>
  </si>
  <si>
    <t>Computers &amp; Operations Research</t>
  </si>
  <si>
    <t>http://pdn.sciencedirect.com/science?_ob=MiamiImageURL&amp;_cid=271709&amp;_user=686465&amp;_pii=S0305054809002767&amp;_check=y&amp;_origin=search&amp;_zone=rslt_list_item&amp;_coverDate=2010-07-31&amp;wchp=dGLzVlB-zSkzS&amp;md5=7a8a1c31a392bcfca92a8be8a8b76a46&amp;pid=1-s2.0-S0305054809002767-main.pdf</t>
  </si>
  <si>
    <t>Establishing a high-technology knowledge transfer network: The practical and symbolic roles of identification</t>
  </si>
  <si>
    <t>Edward U. Bond III, Mark B. Houston, Yihui (Elina) Tang</t>
  </si>
  <si>
    <t>http://pdn.sciencedirect.com/science?_ob=MiamiImageURL&amp;_cid=271714&amp;_user=686465&amp;_pii=S0019850108000941&amp;_check=y&amp;_origin=search&amp;_zone=rslt_list_item&amp;_coverDate=2008-08-31&amp;wchp=dGLzVlB-zSkzS&amp;md5=b5e5adb62a84e2f7465cf13d6c1e5e2f&amp;pid=1-s2.0-S0019850108000941-main.pdf</t>
  </si>
  <si>
    <t>A group recommendation system for online communities</t>
  </si>
  <si>
    <t>Jae Kyeong Kim, Hyea Kyeong Kim, Hee Young Oh, Young U. Ryu</t>
  </si>
  <si>
    <t>http://pdn.sciencedirect.com/science?_ob=MiamiImageURL&amp;_cid=271677&amp;_user=686465&amp;_pii=S0268401209001194&amp;_check=y&amp;_origin=search&amp;_zone=rslt_list_item&amp;_coverDate=2010-06-30&amp;wchp=dGLzVlB-zSkzS&amp;md5=ce2437e343c81b2415e7b38bed194613&amp;pid=1-s2.0-S0268401209001194-main.pdf</t>
  </si>
  <si>
    <t>Public sharing of research datasets: A pilot study of associations Supplementary content </t>
  </si>
  <si>
    <t>Heather A. Piwowar, Wendy W. Chapman</t>
  </si>
  <si>
    <t>http://pdn.sciencedirect.com/science?_ob=MiamiImageURL&amp;_cid=273584&amp;_user=686465&amp;_pii=S1751157709000881&amp;_check=y&amp;_origin=search&amp;_zone=rslt_list_item&amp;_coverDate=2010-04-30&amp;wchp=dGLzVlB-zSkzS&amp;md5=7e972397d6879ea7aa28900f2755fc4d&amp;pid=1-s2.0-S1751157709000881-main.pdf</t>
  </si>
  <si>
    <t>Through the eyes of farmers' daughters: Academics working on marginal land</t>
  </si>
  <si>
    <t>Debra Langan, Mavis Morton</t>
  </si>
  <si>
    <t>Women's Studies International Forum</t>
  </si>
  <si>
    <t>http://pdn.sciencedirect.com/science?_ob=MiamiImageURL&amp;_cid=271772&amp;_user=686465&amp;_pii=S0277539509001010&amp;_check=y&amp;_origin=search&amp;_zone=rslt_list_item&amp;_coverDate=2009-12-31&amp;wchp=dGLzVlB-zSkzS&amp;md5=8e3bd12133e26f2c1db97453a0626a53&amp;pid=1-s2.0-S0277539509001010-main.pdf</t>
  </si>
  <si>
    <t>Discussion of “The impact of the options backdating scandal on shareholders” and “Taxes and the backdating of stock option exercise dates”</t>
  </si>
  <si>
    <t>Christopher S. Armstrong, David F. Larcker</t>
  </si>
  <si>
    <t>http://pdn.sciencedirect.com/science?_ob=MiamiImageURL&amp;_cid=271661&amp;_user=686465&amp;_pii=S0165410108000761&amp;_check=y&amp;_origin=search&amp;_zone=rslt_list_item&amp;_coverDate=2009-03-31&amp;wchp=dGLzVlB-zSkzS&amp;md5=8d79973fad668fc8be194e452d4d81a4&amp;pid=1-s2.0-S0165410108000761-main.pdf</t>
  </si>
  <si>
    <t>Properties of the USPTO patent citation network: 1963–2002</t>
  </si>
  <si>
    <t>Bernard Gress</t>
  </si>
  <si>
    <t>World Patent Information</t>
  </si>
  <si>
    <t>http://pdn.sciencedirect.com/science?_ob=MiamiImageURL&amp;_cid=271774&amp;_user=686465&amp;_pii=S0172219009000404&amp;_check=y&amp;_origin=search&amp;_zone=rslt_list_item&amp;_coverDate=2010-03-31&amp;wchp=dGLzVlB-zSkzS&amp;md5=201915af549ca41bd6ea9b7805981d1a&amp;pid=1-s2.0-S0172219009000404-main.pdf</t>
  </si>
  <si>
    <t>Mapping world-class universities on the web</t>
  </si>
  <si>
    <t>Jose Luis Ortega, Isidro F. Aguillo</t>
  </si>
  <si>
    <t>http://pdn.sciencedirect.com/science?_ob=MiamiImageURL&amp;_cid=271647&amp;_user=686465&amp;_pii=S0306457308001015&amp;_check=y&amp;_origin=search&amp;_zone=rslt_list_item&amp;_coverDate=2009-03-31&amp;wchp=dGLzVlB-zSkzS&amp;md5=6d17c0ba2569f9a2b5d1bf397f40440b&amp;pid=1-s2.0-S0306457308001015-main.pdf</t>
  </si>
  <si>
    <t>Las redes sociales del Centro de Salud San Pablo de Zaragoza</t>
  </si>
  <si>
    <t>Julia Mart&amp;iacute;nez Ari&amp;ntilde;o, Mireia Sala Torrent</t>
  </si>
  <si>
    <t>Atención Primaria</t>
  </si>
  <si>
    <t>http://pdn.sciencedirect.com/science?_ob=MiamiImageURL&amp;_cid=277730&amp;_user=686465&amp;_pii=S0212656709002650&amp;_check=y&amp;_origin=search&amp;_zone=rslt_list_item&amp;_coverDate=2009-12-31&amp;wchp=dGLzVlB-zSkzS&amp;md5=b8e09e2e7db5ecc241c021f14108e301&amp;pid=1-s2.0-S0212656709002650-main.pdf</t>
  </si>
  <si>
    <t>Social interaction and continuance intention in online auctions: A social capital perspective</t>
  </si>
  <si>
    <t>Jyun-Cheng Wang, Ming-Jiin Chiang</t>
  </si>
  <si>
    <t>http://pdn.sciencedirect.com/science?_ob=MiamiImageURL&amp;_cid=271653&amp;_user=686465&amp;_pii=S0167923609001067&amp;_check=y&amp;_origin=search&amp;_zone=rslt_list_item&amp;_coverDate=2009-11-30&amp;wchp=dGLzVlB-zSkzS&amp;md5=25f56756454a98e0cf452e648e8cb69b&amp;pid=1-s2.0-S0167923609001067-main.pdf</t>
  </si>
  <si>
    <t>Are patenting scientists the better scholars?: An exploratory comparison of inventor-authors with their non-inventing peers in nano-science and technology</t>
  </si>
  <si>
    <t>Martin Meyer</t>
  </si>
  <si>
    <t>http://pdn.sciencedirect.com/science?_ob=MiamiImageURL&amp;_cid=271666&amp;_user=686465&amp;_pii=S0048733306001594&amp;_check=y&amp;_origin=search&amp;_zone=rslt_list_item&amp;_coverDate=2006-12-31&amp;wchp=dGLzVlB-zSkzS&amp;md5=de3cfbfee3c19cd45ddcc5bd0a7f9244&amp;pid=1-s2.0-S0048733306001594-main.pdf</t>
  </si>
  <si>
    <t>Social structure in a colonial mammal: unravelling hidden structural layers and their foundations by network analysis Supplementary content </t>
  </si>
  <si>
    <t>Jochen B.W. Wolf, David Mawdsley, Fritz Trillmich, Richard James</t>
  </si>
  <si>
    <t>http://pdn.sciencedirect.com/science?_ob=MiamiImageURL&amp;_cid=272524&amp;_user=686465&amp;_pii=S0003347207003053&amp;_check=y&amp;_origin=search&amp;_zone=rslt_list_item&amp;_coverDate=2007-11-30&amp;wchp=dGLzVlB-zSkzS&amp;md5=3c7a43e00c9b55ba5e7ef36a3a33b635&amp;pid=1-s2.0-S0003347207003053-main.pdf</t>
  </si>
  <si>
    <t>Computing continuous core/periphery structures for social relations data with MINRES/SVD</t>
  </si>
  <si>
    <t>John P. Boyd, William J. Fitzgerald, Matthew C. Mahutga, David A. Smith</t>
  </si>
  <si>
    <t>http://pdn.sciencedirect.com/science?_ob=MiamiImageURL&amp;_cid=271850&amp;_user=686465&amp;_pii=S0378873309000513&amp;_check=y&amp;_origin=search&amp;_zone=rslt_list_item&amp;_coverDate=2010-05-31&amp;wchp=dGLzVlB-zSkzS&amp;md5=811f0452154e71ac6b62597c791ad875&amp;pid=1-s2.0-S0378873309000513-main.pdf</t>
  </si>
  <si>
    <t>Building Intelligent Interactive Tutors</t>
  </si>
  <si>
    <t>Gridcole: A tailorable grid service based system that supports scripted collaborative learning</t>
  </si>
  <si>
    <t>Miguel L. Bote-Lorenzo, Eduardo G&amp;oacute;mez-S&amp;aacute;nchez, Guillermo Vega-Gorgojo, Yannis A. Dimitriadis, Juan I. Asensio-P&amp;eacute;rez, Iv&amp;aacute;n M. Jorr&amp;iacute;n-Abell&amp;aacute;n</t>
  </si>
  <si>
    <t>http://pdn.sciencedirect.com/science?_ob=MiamiImageURL&amp;_cid=271849&amp;_user=686465&amp;_pii=S0360131507000450&amp;_check=y&amp;_origin=search&amp;_zone=rslt_list_item&amp;_coverDate=2008-08-31&amp;wchp=dGLzVlB-zSkzS&amp;md5=47bfb0fab2f0e27b6819f7df7950b923&amp;pid=1-s2.0-S0360131507000450-main.pdf</t>
  </si>
  <si>
    <t>Systems analysis by graph theoretical techniques: assessment of the agricultural innovation system of Azerbaijan</t>
  </si>
  <si>
    <t>Tugrul Temel, Willem Janssen, Fuad Karimov</t>
  </si>
  <si>
    <t>Agricultural Systems</t>
  </si>
  <si>
    <t>http://pdn.sciencedirect.com/science?_ob=MiamiImageURL&amp;_cid=271139&amp;_user=686465&amp;_pii=S0308521X02000872&amp;_check=y&amp;_origin=search&amp;_zone=rslt_list_item&amp;_coverDate=2003-08-31&amp;wchp=dGLzVlB-zSkzS&amp;md5=b4625ae50489018e53da182b0e2a8800&amp;pid=1-s2.0-S0308521X02000872-main.pdf</t>
  </si>
  <si>
    <t>Finding similar academic Web sites with links, bibliometric couplings and colinks</t>
  </si>
  <si>
    <t>Mike Thelwall, David Wilkinson</t>
  </si>
  <si>
    <t>http://pdn.sciencedirect.com/science?_ob=MiamiImageURL&amp;_cid=271647&amp;_user=686465&amp;_pii=S0306457303000426&amp;_check=y&amp;_origin=search&amp;_zone=rslt_list_item&amp;_coverDate=2004-05-31&amp;wchp=dGLzVlB-zSkzS&amp;md5=96687bd3e05f9df6b13d7d4c17c99cf1&amp;pid=1-s2.0-S0306457303000426-main.pdf</t>
  </si>
  <si>
    <t>Jiang Qian, Nicholas M. Luscombe, Mark Gerstein</t>
  </si>
  <si>
    <t>Journal of Molecular Biology</t>
  </si>
  <si>
    <t>http://pdn.sciencedirect.com/science?_ob=MiamiImageURL&amp;_cid=272582&amp;_user=686465&amp;_pii=S002228360195079X&amp;_check=y&amp;_origin=search&amp;_zone=rslt_list_item&amp;_coverDate=2001-11-02&amp;wchp=dGLzVlB-zSkzS&amp;md5=13a9d6a81b2cfc1b91e5bb2b576b9fd5&amp;pid=1-s2.0-S002228360195079X-main.pdf</t>
  </si>
  <si>
    <t>Film Marketing</t>
  </si>
  <si>
    <t>Land use and the state of the natural environment</t>
  </si>
  <si>
    <t>Marion Potschin</t>
  </si>
  <si>
    <t>Land Use Policy</t>
  </si>
  <si>
    <t>http://pdn.sciencedirect.com/science?_ob=MiamiImageURL&amp;_cid=271740&amp;_user=686465&amp;_pii=S0264837709000970&amp;_check=y&amp;_origin=search&amp;_zone=rslt_list_item&amp;_coverDate=2009-12-31&amp;wchp=dGLzVlB-zSkzS&amp;md5=296ea62eef14f8f2c300a7ad2c825684&amp;pid=1-s2.0-S0264837709000970-main.pdf</t>
  </si>
  <si>
    <t>Adoption of open source software in software-intensive organizations – A systematic literature review</t>
  </si>
  <si>
    <t>&amp;Oslash;yvind Hauge, Claudia Ayala, Reidar Conradi</t>
  </si>
  <si>
    <t>http://pdn.sciencedirect.com/science?_ob=MiamiImageURL&amp;_cid=271539&amp;_user=686465&amp;_pii=S0950584910000972&amp;_check=y&amp;_origin=search&amp;_zone=rslt_list_item&amp;_coverDate=2010-11-30&amp;wchp=dGLzVlB-zSkzS&amp;md5=d3760b486973667949d4bc99fd265620&amp;pid=1-s2.0-S0950584910000972-main.pdf</t>
  </si>
  <si>
    <t>Seeing the forest and the trees: Using network analysis to develop an organizational blueprint of state tobacco control systems</t>
  </si>
  <si>
    <t>Jenine K. Harris, Douglas A. Luke, Ryan C. Burke, Nancy B. Mueller</t>
  </si>
  <si>
    <t>http://pdn.sciencedirect.com/science?_ob=MiamiImageURL&amp;_cid=271821&amp;_user=686465&amp;_pii=S0277953608003602&amp;_check=y&amp;_origin=search&amp;_zone=rslt_list_item&amp;_coverDate=2008-12-31&amp;wchp=dGLzVlB-zSkzS&amp;md5=97d7aa3ca2e2de012c8e2e53a982f145&amp;pid=1-s2.0-S0277953608003602-main.pdf</t>
  </si>
  <si>
    <t>Social networkers: Measuring and examining individual differences in propensity to connect with others</t>
  </si>
  <si>
    <t>Peter Totterdell, David Holman, Amy Hukin</t>
  </si>
  <si>
    <t>http://pdn.sciencedirect.com/science?_ob=MiamiImageURL&amp;_cid=271850&amp;_user=686465&amp;_pii=S0378873308000269&amp;_check=y&amp;_origin=search&amp;_zone=rslt_list_item&amp;_coverDate=2008-10-31&amp;wchp=dGLzVlB-zSkzS&amp;md5=0b53c6c2665fa112b16d00e765cf3f50&amp;pid=1-s2.0-S0378873308000269-main.pdf</t>
  </si>
  <si>
    <t>An impressionistic mapping of information behavior with special attention to contexts, rationality, and ignorance</t>
  </si>
  <si>
    <t>J. David Johnson</t>
  </si>
  <si>
    <t>http://pdn.sciencedirect.com/science?_ob=MiamiImageURL&amp;_cid=271647&amp;_user=686465&amp;_pii=S0306457309000430&amp;_check=y&amp;_origin=search&amp;_zone=rslt_list_item&amp;_coverDate=2009-09-30&amp;wchp=dGLzVlB-zSkzS&amp;md5=562f82845e75ba77b829f158d225690b&amp;pid=1-s2.0-S0306457309000430-main.pdf</t>
  </si>
  <si>
    <t>Application of modal analysis in assessing attack vulnerability of complex networks</t>
  </si>
  <si>
    <t>Irina Petreska, Igor Tomovski, Eugenio Gutierrez, Ljup?o Kocarev, Flavio Bono, Karmen Poljansek</t>
  </si>
  <si>
    <t>Communications in Nonlinear Science and Numerical Simulation</t>
  </si>
  <si>
    <t>http://pdn.sciencedirect.com/science?_ob=MiamiImageURL&amp;_cid=272639&amp;_user=686465&amp;_pii=S1007570409002639&amp;_check=y&amp;_origin=search&amp;_zone=rslt_list_item&amp;_coverDate=2010-04-30&amp;wchp=dGLzVlB-zSkzS&amp;md5=6be837527717c5ca832c0557efa34f35&amp;pid=1-s2.0-S1007570409002639-main.pdf</t>
  </si>
  <si>
    <t>An approach for temporal analysis of email data based on segmentation</t>
  </si>
  <si>
    <t>Parvathi Chundi, Mahadevan Subramaniam, Dileep K. Vasireddy</t>
  </si>
  <si>
    <t>Data &amp; Knowledge Engineering</t>
  </si>
  <si>
    <t>http://pdn.sciencedirect.com/science?_ob=MiamiImageURL&amp;_cid=271546&amp;_user=686465&amp;_pii=S0169023X09000706&amp;_check=y&amp;_origin=search&amp;_zone=rslt_list_item&amp;_coverDate=2009-11-30&amp;wchp=dGLzVlB-zSkzS&amp;md5=9ee0eb63da03d9a759a19f7791cd49b2&amp;pid=1-s2.0-S0169023X09000706-main.pdf</t>
  </si>
  <si>
    <t>Analysis and design of mobile Wireless Social Model</t>
  </si>
  <si>
    <t>Zhi-Ting Lin, Yu-Gui Qu, Xiao-Fang Zhou, Bao hua Zhao</t>
  </si>
  <si>
    <t>Computer Communications</t>
  </si>
  <si>
    <t>http://pdn.sciencedirect.com/science?_ob=MiamiImageURL&amp;_cid=271515&amp;_user=686465&amp;_pii=S0140366408006646&amp;_check=y&amp;_origin=search&amp;_zone=rslt_list_item&amp;_coverDate=2009-03-27&amp;wchp=dGLbVlS-zSkzV&amp;md5=b7dad5d60a9a338943c49c18d63680a1&amp;pid=1-s2.0-S0140366408006646-main.pdf</t>
  </si>
  <si>
    <t>ScienceDirect - 1980 a 2010 - Page 3.htm</t>
  </si>
  <si>
    <t>Information Management</t>
  </si>
  <si>
    <t>Paul T. Jaeger, Kim M. Thompson, Charles R. McClure</t>
  </si>
  <si>
    <t>http://pdn.sciencedirect.com/science?_ob=MiamiImageURL&amp;_cid=273418&amp;_user=686465&amp;_pii=B0123693985005314&amp;_check=y&amp;_origin=search&amp;_zone=rslt_list_item&amp;_coverDate=2005-12-31&amp;wchp=dGLbVlS-zSkzV&amp;md5=fd23c280e3ae17fbebad7e070f3b22da&amp;pid=3-s2.0-B0123693985005314-main.pdf</t>
  </si>
  <si>
    <t>Chapter 77 - Issues in global tuberculosis control</t>
  </si>
  <si>
    <t>Donald A Enarson, Asma I ElSony, Chiang Chen-Yuan, I D Rusen</t>
  </si>
  <si>
    <t>Tuberculosis</t>
  </si>
  <si>
    <t>Use of social capital among Russian managers of a new generation</t>
  </si>
  <si>
    <t>Bella Butler, Sharon Purchase</t>
  </si>
  <si>
    <t>http://pdn.sciencedirect.com/science?_ob=MiamiImageURL&amp;_cid=271714&amp;_user=686465&amp;_pii=S0019850108000679&amp;_check=y&amp;_origin=search&amp;_zone=rslt_list_item&amp;_coverDate=2008-07-31&amp;wchp=dGLbVlS-zSkzV&amp;md5=9b4f37f6277bf6c851276a772918c00f&amp;pid=1-s2.0-S0019850108000679-main.pdf</t>
  </si>
  <si>
    <t>The influence of acculturation on drug and alcohol use in a sample of adolescents</t>
  </si>
  <si>
    <t>Raquel Fosados, Arianna McClain, Anamara Ritt-Olson, Steve Sussman, Daniel Soto, Lourdes Baezconde-Garbanati, Jennifer B. Unger</t>
  </si>
  <si>
    <t>Addictive Behaviors</t>
  </si>
  <si>
    <t>http://pdn.sciencedirect.com/science?_ob=MiamiImageURL&amp;_cid=271863&amp;_user=686465&amp;_pii=S0306460307001736&amp;_check=y&amp;_origin=search&amp;_zone=rslt_list_item&amp;_coverDate=2007-12-31&amp;wchp=dGLbVlS-zSkzV&amp;md5=520f141371be89a84c38164c86f03965&amp;pid=1-s2.0-S0306460307001736-main.pdf</t>
  </si>
  <si>
    <t>Incorporating assessment in a pattern-based design process for CSCL scripts</t>
  </si>
  <si>
    <t>Eloy D. Villasclaras-Fern&amp;aacute;ndez, Davinia Hern&amp;aacute;ndez-Leo, Juan I. Asensio-P&amp;eacute;rez, Yannis Dimitriadis</t>
  </si>
  <si>
    <t>http://pdn.sciencedirect.com/science?_ob=MiamiImageURL&amp;_cid=271802&amp;_user=686465&amp;_pii=S0747563209000077&amp;_check=y&amp;_origin=search&amp;_zone=rslt_list_item&amp;_coverDate=2009-09-30&amp;wchp=dGLbVlS-zSkzV&amp;md5=e72561a33944a3eff1aaff21291b0545&amp;pid=1-s2.0-S0747563209000077-main.pdf</t>
  </si>
  <si>
    <t>The dynamics of R&amp;D network in the IT industry</t>
  </si>
  <si>
    <t>Nobuyuki Hanaki, Ryo Nakajima, Yoshiaki Ogura</t>
  </si>
  <si>
    <t>http://pdn.sciencedirect.com/science?_ob=MiamiImageURL&amp;_cid=271666&amp;_user=686465&amp;_pii=S0048733310000090&amp;_check=y&amp;_origin=search&amp;_zone=rslt_list_item&amp;_coverDate=2010-04-30&amp;wchp=dGLbVlS-zSkzV&amp;md5=6dfc903b1920bb8fdd4eb7b2754274f6&amp;pid=1-s2.0-S0048733310000090-main.pdf</t>
  </si>
  <si>
    <t>Computing in social networks with relationship algebra</t>
  </si>
  <si>
    <t>Javed I. Khan, Sajid S. Shaikh</t>
  </si>
  <si>
    <t>Journal of Network and Computer Applications</t>
  </si>
  <si>
    <t>http://pdn.sciencedirect.com/science?_ob=MiamiImageURL&amp;_cid=272436&amp;_user=686465&amp;_pii=S108480450700032X&amp;_check=y&amp;_origin=search&amp;_zone=rslt_list_item&amp;_coverDate=2008-11-30&amp;wchp=dGLbVlS-zSkzV&amp;md5=d4047fb2ad3c41b30e786a81d72bfb65&amp;pid=1-s2.0-S108480450700032X-main.pdf</t>
  </si>
  <si>
    <t>Simulations of agents in social networks harvesting a resource</t>
  </si>
  <si>
    <t>L.R. Little, A.D. McDonald</t>
  </si>
  <si>
    <t>http://pdn.sciencedirect.com/science?_ob=MiamiImageURL&amp;_cid=271743&amp;_user=686465&amp;_pii=S0304380007000294&amp;_check=y&amp;_origin=search&amp;_zone=rslt_list_item&amp;_coverDate=2007-06-16&amp;wchp=dGLbVlS-zSkzV&amp;md5=eac87f7041fd1414f8c4b5f74d4ea973&amp;pid=1-s2.0-S0304380007000294-main.pdf</t>
  </si>
  <si>
    <t>It takes two to tango: An interdependence analysis of the spiraling of perceived trustworthiness and cooperation in interpersonal and intergroup relationships</t>
  </si>
  <si>
    <t>Donald L. Ferrin, Michelle C. Bligh, Jeffrey C. Kohles</t>
  </si>
  <si>
    <t>Organizational Behavior and Human Decision Processes</t>
  </si>
  <si>
    <t>http://pdn.sciencedirect.com/science?_ob=MiamiImageURL&amp;_cid=272419&amp;_user=686465&amp;_pii=S0749597808000423&amp;_check=y&amp;_origin=search&amp;_zone=rslt_list_item&amp;_coverDate=2008-11-30&amp;wchp=dGLbVlS-zSkzV&amp;md5=0ddb9fed2ab90c00f385b76f9cd8d476&amp;pid=1-s2.0-S0749597808000423-main.pdf</t>
  </si>
  <si>
    <t>Mathematical modeling of the malignancy of cancer using graph evolution</t>
  </si>
  <si>
    <t>Cigdem Gunduz-Demir</t>
  </si>
  <si>
    <t>Mathematical Biosciences</t>
  </si>
  <si>
    <t>http://pdn.sciencedirect.com/science?_ob=MiamiImageURL&amp;_cid=271979&amp;_user=686465&amp;_pii=S0025556407000545&amp;_check=y&amp;_origin=search&amp;_zone=rslt_list_item&amp;_coverDate=2007-10-31&amp;wchp=dGLbVlS-zSkzV&amp;md5=c12fb194cc5958715a72865aa801873d&amp;pid=1-s2.0-S0025556407000545-main.pdf</t>
  </si>
  <si>
    <t>Graph theory in higher order topological analysis of urban scenes</t>
  </si>
  <si>
    <t>J.-P. de Almeida, J.G. Morley, I.J. Dowman</t>
  </si>
  <si>
    <t>Computers, Environment and Urban Systems</t>
  </si>
  <si>
    <t>http://pdn.sciencedirect.com/science?_ob=MiamiImageURL&amp;_cid=271803&amp;_user=686465&amp;_pii=S0198971507000208&amp;_check=y&amp;_origin=search&amp;_zone=rslt_list_item&amp;_coverDate=2007-07-31&amp;wchp=dGLbVlS-zSkzV&amp;md5=cc1870332763b16ef36ea81cd3eb5dbe&amp;pid=1-s2.0-S0198971507000208-main.pdf</t>
  </si>
  <si>
    <t>Node overlap removal in clustered directed acyclic graphs</t>
  </si>
  <si>
    <t>Pushpa Kumar, Kang Zhang</t>
  </si>
  <si>
    <t>Journal of Visual Languages &amp; Computing</t>
  </si>
  <si>
    <t>http://pdn.sciencedirect.com/science?_ob=MiamiImageURL&amp;_cid=272325&amp;_user=686465&amp;_pii=S1045926X09000299&amp;_check=y&amp;_origin=search&amp;_zone=rslt_list_item&amp;_coverDate=2009-12-31&amp;wchp=dGLbVlS-zSkzV&amp;md5=106a622b2afcab5846d08c546105fbbe&amp;pid=1-s2.0-S1045926X09000299-main.pdf</t>
  </si>
  <si>
    <t>Approximating a similarity matrix by a latent class model: A reappraisal of additive fuzzy clustering</t>
  </si>
  <si>
    <t>Cajo J.F. ter Braak, Yiannis Kourmpetis, Henk A.L. Kiers, Marco C.A.M. Bink</t>
  </si>
  <si>
    <t>http://pdn.sciencedirect.com/science?_ob=MiamiImageURL&amp;_cid=271708&amp;_user=686465&amp;_pii=S0167947308004775&amp;_check=y&amp;_origin=search&amp;_zone=rslt_list_item&amp;_coverDate=2009-06-15&amp;wchp=dGLbVlS-zSkzV&amp;md5=f5e9f19b5fe9b1c0b64a4785d17e4d2c&amp;pid=1-s2.0-S0167947308004775-main.pdf</t>
  </si>
  <si>
    <t>Heterogeneity of learning material in synchronous computer-supported collaborative modelling</t>
  </si>
  <si>
    <t>Christos Fidas, Vassilis Komis, Spyros Tzanavaris, Nikolaos Avouris</t>
  </si>
  <si>
    <t>http://pdn.sciencedirect.com/science?_ob=MiamiImageURL&amp;_cid=271849&amp;_user=686465&amp;_pii=S0360131504000314&amp;_check=y&amp;_origin=search&amp;_zone=rslt_list_item&amp;_coverDate=2005-02-28&amp;wchp=dGLbVlS-zSkzV&amp;md5=1fc2347e78dce4133c28f5df5e058e31&amp;pid=1-s2.0-S0360131504000314-main.pdf</t>
  </si>
  <si>
    <t>CGV—An interactive graph visualization system</t>
  </si>
  <si>
    <t>Christian Tominski, James Abello, Heidrun Schumann</t>
  </si>
  <si>
    <t>http://pdn.sciencedirect.com/science?_ob=MiamiImageURL&amp;_cid=271576&amp;_user=686465&amp;_pii=S0097849309000879&amp;_check=y&amp;_origin=search&amp;_zone=rslt_list_item&amp;_coverDate=2009-12-31&amp;wchp=dGLbVlS-zSkzV&amp;md5=f10cc4cf4f91eaae55086319b9919278&amp;pid=1-s2.0-S0097849309000879-main.pdf</t>
  </si>
  <si>
    <t>Social context and network formation: An experimental study Supplementary content </t>
  </si>
  <si>
    <t>Martijn J. Burger, Vincent Buskens</t>
  </si>
  <si>
    <t>http://pdn.sciencedirect.com/science?_ob=MiamiImageURL&amp;_cid=271850&amp;_user=686465&amp;_pii=S0378873308000555&amp;_check=y&amp;_origin=search&amp;_zone=rslt_list_item&amp;_coverDate=2009-01-31&amp;wchp=dGLbVlS-zSkzV&amp;md5=80a541d48ed16b0d5a0d2d53317ca531&amp;pid=1-s2.0-S0378873308000555-main.pdf</t>
  </si>
  <si>
    <t>A framework for process–solution analysis in collaborative learning environments</t>
  </si>
  <si>
    <t>Crescencio Bravo, Miguel A. Redondo, M. Felisa Verdejo, Manuel Ortega</t>
  </si>
  <si>
    <t>http://pdn.sciencedirect.com/science?_ob=MiamiImageURL&amp;_cid=272548&amp;_user=686465&amp;_pii=S1071581908001067&amp;_check=y&amp;_origin=search&amp;_zone=rslt_list_item&amp;_coverDate=2008-11-30&amp;wchp=dGLbVlS-zSkzV&amp;md5=2c660911111afa1321bc3f9262975c2c&amp;pid=1-s2.0-S1071581908001067-main.pdf</t>
  </si>
  <si>
    <t>The interaction of conduct problems and depressed mood in relation to adolescent substance involvement and peer substance use</t>
  </si>
  <si>
    <t>W. Alex Mason, Julia E. Hitchings, Richard L. Spoth</t>
  </si>
  <si>
    <t>Drug and Alcohol Dependence</t>
  </si>
  <si>
    <t>http://pdn.sciencedirect.com/science?_ob=MiamiImageURL&amp;_cid=271276&amp;_user=686465&amp;_pii=S0376871608001063&amp;_check=y&amp;_origin=search&amp;_zone=rslt_list_item&amp;_coverDate=2008-08-01&amp;wchp=dGLbVlS-zSkzV&amp;md5=311b5bc952f9e8340e86d86359a18f0b&amp;pid=1-s2.0-S0376871608001063-main.pdf</t>
  </si>
  <si>
    <t>Experience-based service provider selection in agent-mediated E-Commerce</t>
  </si>
  <si>
    <t>Murat ?ensoy, F. Canan Pembe, Hande Z?rt?lo?lu, P?nar Yolum, Ay?e Bener</t>
  </si>
  <si>
    <t>http://pdn.sciencedirect.com/science?_ob=MiamiImageURL&amp;_cid=271095&amp;_user=686465&amp;_pii=S0952197606001023&amp;_check=y&amp;_origin=search&amp;_zone=rslt_list_item&amp;_coverDate=2007-04-30&amp;wchp=dGLbVlS-zSkzV&amp;md5=5b3a3e861748b4f2d8c6a9ecdb77c43d&amp;pid=1-s2.0-S0952197606001023-main.pdf</t>
  </si>
  <si>
    <t>Future Health Applications of Genomics: Priorities for Communication, Behavioral, and Social Sciences Research</t>
  </si>
  <si>
    <t>Colleen M. McBride, Deborah Bowen, Lawrence C. Brody, Celeste M. Condit, Robert T. Croyle, Marta Gwinn, Muin J. Khoury, Laura M. Koehly, Bruce R. Korf, Theresa M. Marteau, Kenneth McLeroy, Kevin Patrick, Thomas W. Valente</t>
  </si>
  <si>
    <t>http://pdn.sciencedirect.com/science?_ob=MiamiImageURL&amp;_cid=271902&amp;_user=686465&amp;_pii=S0749379710001157&amp;_check=y&amp;_origin=search&amp;_zone=rslt_list_item&amp;_coverDate=2010-05-31&amp;wchp=dGLbVlS-zSkzV&amp;md5=962d036385b6d9548bd9b4960ae3ef70&amp;pid=1-s2.0-S0749379710001157-main.pdf</t>
  </si>
  <si>
    <t>Analysis and models of bilateral investment treaties using a social networks approach</t>
  </si>
  <si>
    <t>Daniela Saban, Flavia Bonomo, Nicol&amp;aacute;s E. Stier-Moses</t>
  </si>
  <si>
    <t>http://pdn.sciencedirect.com/science?_ob=MiamiImageURL&amp;_cid=271529&amp;_user=686465&amp;_pii=S0378437110002979&amp;_check=y&amp;_origin=search&amp;_zone=rslt_list_item&amp;_coverDate=2010-09-01&amp;wchp=dGLbVlS-zSkzV&amp;md5=a487a327c61a6125298e65a42e4c6cde&amp;pid=1-s2.0-S0378437110002979-main.pdf</t>
  </si>
  <si>
    <t>Patent network analysis of inter-industrial knowledge flows: The case of Korea between traditional and emerging industries</t>
  </si>
  <si>
    <t>Yoo-Jin Han, Yongtae Park</t>
  </si>
  <si>
    <t>http://pdn.sciencedirect.com/science?_ob=MiamiImageURL&amp;_cid=271774&amp;_user=686465&amp;_pii=S0172219006000159&amp;_check=y&amp;_origin=search&amp;_zone=rslt_list_item&amp;_coverDate=2006-09-30&amp;wchp=dGLbVlS-zSkzV&amp;md5=51871477fd0dd652001624c1b84abc44&amp;pid=1-s2.0-S0172219006000159-main.pdf</t>
  </si>
  <si>
    <t>Chapter 3 - Public Policy and Leadership: “We Have Met the Enemy and He is Us”</t>
  </si>
  <si>
    <t>Scott G. McNall</t>
  </si>
  <si>
    <t>Sustainable Communities Design Handbook</t>
  </si>
  <si>
    <t>Retrieval effectiveness on the web</t>
  </si>
  <si>
    <t>Jacques Savoy, Justin Picard</t>
  </si>
  <si>
    <t>http://pdn.sciencedirect.com/science?_ob=MiamiImageURL&amp;_cid=271647&amp;_user=686465&amp;_pii=S030645730000039X&amp;_check=y&amp;_origin=search&amp;_zone=rslt_list_item&amp;_coverDate=2001-07-31&amp;wchp=dGLbVlS-zSkzV&amp;md5=036312a6b8c3bff6ecb34bacd133baf2&amp;pid=1-s2.0-S030645730000039X-main.pdf</t>
  </si>
  <si>
    <t>Nurses’ responses to expert patients: The rhetoric and reality of self-management in long-term conditions: A grounded theory study</t>
  </si>
  <si>
    <t>Patricia M. Wilson, Sally Kendall, Fiona Brooks</t>
  </si>
  <si>
    <t>International Journal of Nursing Studies</t>
  </si>
  <si>
    <t>http://pdn.sciencedirect.com/science?_ob=MiamiImageURL&amp;_cid=271253&amp;_user=686465&amp;_pii=S0020748905002038&amp;_check=y&amp;_origin=search&amp;_zone=rslt_list_item&amp;_coverDate=2006-09-30&amp;wchp=dGLbVlS-zSkzV&amp;md5=5971899eada1d81b689996d253c8ba0f&amp;pid=1-s2.0-S0020748905002038-main.pdf</t>
  </si>
  <si>
    <t>Trust in projects: An empirical assessment of owner/contractor relationships</t>
  </si>
  <si>
    <t>Jeffrey K. Pinto, Dennis P. Slevin, Brent English</t>
  </si>
  <si>
    <t>http://pdn.sciencedirect.com/science?_ob=MiamiImageURL&amp;_cid=271951&amp;_user=686465&amp;_pii=S0263786308001385&amp;_check=y&amp;_origin=search&amp;_zone=rslt_list_item&amp;_coverDate=2009-08-31&amp;wchp=dGLbVlS-zSkzV&amp;md5=fd17c41f853241e807c29b373e86db05&amp;pid=1-s2.0-S0263786308001385-main.pdf</t>
  </si>
  <si>
    <t>The next toolkit</t>
  </si>
  <si>
    <t>Janet B. Pierrehumbert</t>
  </si>
  <si>
    <t>Journal of Phonetics</t>
  </si>
  <si>
    <t>http://pdn.sciencedirect.com/science?_ob=MiamiImageURL&amp;_cid=272464&amp;_user=686465&amp;_pii=S009544700600043X&amp;_check=y&amp;_origin=search&amp;_zone=rslt_list_item&amp;_coverDate=2006-10-31&amp;wchp=dGLbVlS-zSkzV&amp;md5=33b1e96349ff9d068660185fb7251bb1&amp;pid=1-s2.0-S009544700600043X-main.pdf</t>
  </si>
  <si>
    <t>The most influential articles in critical care medicine</t>
  </si>
  <si>
    <t>Andrew L. Rosenberg, Ravi S. Tripathi, James Blum</t>
  </si>
  <si>
    <t>Journal of Critical Care</t>
  </si>
  <si>
    <t>http://pdn.sciencedirect.com/science?_ob=MiamiImageURL&amp;_cid=272986&amp;_user=686465&amp;_pii=S0883944108002657&amp;_check=y&amp;_origin=search&amp;_zone=rslt_list_item&amp;_coverDate=2010-03-31&amp;wchp=dGLbVlS-zSkzV&amp;md5=38c56f65461140aacbd31fa9ab70d949&amp;pid=1-s2.0-S0883944108002657-main.pdf</t>
  </si>
  <si>
    <t>A two-level complex network model and its application</t>
  </si>
  <si>
    <t>Jianmei Yang, Wenjie Wang, Guanrong Chen</t>
  </si>
  <si>
    <t>http://pdn.sciencedirect.com/science?_ob=MiamiImageURL&amp;_cid=271529&amp;_user=686465&amp;_pii=S0378437109001563&amp;_check=y&amp;_origin=search&amp;_zone=rslt_list_item&amp;_coverDate=2009-06-15&amp;wchp=dGLbVlS-zSkzV&amp;md5=67c8125bc97c09b6ce67cf727e8013f0&amp;pid=1-s2.0-S0378437109001563-main.pdf</t>
  </si>
  <si>
    <t>A kind of collaboration–competition networks</t>
  </si>
  <si>
    <t>Chun-Hua Fu, Zeng-Ping Zhang, Hui Chang, Jian-Ru Tao, Zhuo-Hui Chen, Yun-Long Dai, Wei Zhang, Da-Ren He</t>
  </si>
  <si>
    <t>http://pdn.sciencedirect.com/science?_ob=MiamiImageURL&amp;_cid=271529&amp;_user=686465&amp;_pii=S0378437107011211&amp;_check=y&amp;_origin=search&amp;_zone=rslt_list_item&amp;_coverDate=2008-02-15&amp;wchp=dGLbVlS-zSkzV&amp;md5=b573325c22160af37ca00b1a57b48883&amp;pid=1-s2.0-S0378437107011211-main.pdf</t>
  </si>
  <si>
    <t>Mining the Network: Peers and Adolescent Health</t>
  </si>
  <si>
    <t>James Moody, Mark E. Feinberg, D. Wayne Osgood, Scott D. Gest</t>
  </si>
  <si>
    <t>Journal of Adolescent Health</t>
  </si>
  <si>
    <t>http://pdn.sciencedirect.com/science?_ob=MiamiImageURL&amp;_cid=271319&amp;_user=686465&amp;_pii=S1054139X10003848&amp;_check=y&amp;_origin=search&amp;_zone=rslt_list_item&amp;_coverDate=2010-10-31&amp;wchp=dGLbVlS-zSkzV&amp;md5=da9a95c26ddfa3bb0cd0e062e84574ce&amp;pid=1-s2.0-S1054139X10003848-main.pdf</t>
  </si>
  <si>
    <t>Fuzzy analysis of community detection in complex networks</t>
  </si>
  <si>
    <t>Dawei Zhang, Fuding Xie, Yong Zhang, Fangyan Dong, Kaoru Hirota</t>
  </si>
  <si>
    <t>http://pdn.sciencedirect.com/science?_ob=MiamiImageURL&amp;_cid=271529&amp;_user=686465&amp;_pii=S0378437110006436&amp;_check=y&amp;_origin=search&amp;_zone=rslt_list_item&amp;_coverDate=2010-11-15&amp;wchp=dGLbVlS-zSkzV&amp;md5=31b162fc5f294a014da235a508c48805&amp;pid=1-s2.0-S0378437110006436-main.pdf</t>
  </si>
  <si>
    <t>Modeling and evaluation of trust with an extension in semantic web</t>
  </si>
  <si>
    <t>Saeedeh Shekarpour, S.D. Katebi</t>
  </si>
  <si>
    <t>http://pdn.sciencedirect.com/science?_ob=MiamiImageURL&amp;_cid=272989&amp;_user=686465&amp;_pii=S1570826809000742&amp;_check=y&amp;_origin=search&amp;_zone=rslt_list_item&amp;_coverDate=2010-03-31&amp;wchp=dGLbVlS-zSkzV&amp;md5=81a9c25c093b915c865ae81e6cf698a0&amp;pid=1-s2.0-S1570826809000742-main.pdf</t>
  </si>
  <si>
    <t>Community structure and ethnic preferences in school friendship networks</t>
  </si>
  <si>
    <t>http://pdn.sciencedirect.com/science?_ob=MiamiImageURL&amp;_cid=271529&amp;_user=686465&amp;_pii=S0378437107000337&amp;_check=y&amp;_origin=search&amp;_zone=rslt_list_item&amp;_coverDate=2007-06-01&amp;wchp=dGLbVlS-zSkzV&amp;md5=3bcb84bb8e41d3ef335c57aa78f5fe8d&amp;pid=1-s2.0-S0378437107000337-main.pdf</t>
  </si>
  <si>
    <t>Evolution at the system level: the natural history of protein interaction networks</t>
  </si>
  <si>
    <t>Michael P.H. Stumpf, William P. Kelly, Thomas Thorne, Carsten Wiuf</t>
  </si>
  <si>
    <t>Trends in Ecology &amp; Evolution</t>
  </si>
  <si>
    <t>http://pdn.sciencedirect.com/science?_ob=MiamiImageURL&amp;_cid=271938&amp;_user=686465&amp;_pii=S0169534707001310&amp;_check=y&amp;_origin=search&amp;_zone=rslt_list_item&amp;_coverDate=2007-07-31&amp;wchp=dGLbVlS-zSkzV&amp;md5=478eda99b1a1dc7128f75d6d4f1a7fe9&amp;pid=1-s2.0-S0169534707001310-main.pdf</t>
  </si>
  <si>
    <t>The effect of generalized deactivation mechanism in weighted networks</t>
  </si>
  <si>
    <t>Liang Tian, Da-Ning Shi, Chen-Ping Zhu</t>
  </si>
  <si>
    <t>http://pdn.sciencedirect.com/science?_ob=MiamiImageURL&amp;_cid=271529&amp;_user=686465&amp;_pii=S037843710700194X&amp;_check=y&amp;_origin=search&amp;_zone=rslt_list_item&amp;_coverDate=2007-07-01&amp;wchp=dGLbVlS-zSkzV&amp;md5=d1cafb66d5ec794b2d54f7b0989efa40&amp;pid=1-s2.0-S037843710700194X-main.pdf</t>
  </si>
  <si>
    <t>Model of community emergence in weighted social networks</t>
  </si>
  <si>
    <t>J.M. Kumpula, J.-P. Onnela, J. Saram&amp;auml;ki, J. Kert&amp;eacute;sz, K. Kaski</t>
  </si>
  <si>
    <t>Computer Physics Communications</t>
  </si>
  <si>
    <t>http://pdn.sciencedirect.com/science?_ob=MiamiImageURL&amp;_cid=271575&amp;_user=686465&amp;_pii=S0010465508004347&amp;_check=y&amp;_origin=search&amp;_zone=rslt_list_item&amp;_coverDate=2009-04-30&amp;wchp=dGLbVlS-zSkzV&amp;md5=7cf2808d2d51214d6e7dac1fe00459c3&amp;pid=1-s2.0-S0010465508004347-main.pdf</t>
  </si>
  <si>
    <t>Scale-free networks without growth</t>
  </si>
  <si>
    <t>Yan-Bo Xie, Tao Zhou, Bing-Hong Wang</t>
  </si>
  <si>
    <t>http://pdn.sciencedirect.com/science?_ob=MiamiImageURL&amp;_cid=271529&amp;_user=686465&amp;_pii=S0378437107012046&amp;_check=y&amp;_origin=search&amp;_zone=rslt_list_item&amp;_coverDate=2008-03-01&amp;wchp=dGLbVlS-zSkzV&amp;md5=ae4ac610eaa6d135b1b2eac18b847d46&amp;pid=1-s2.0-S0378437107012046-main.pdf</t>
  </si>
  <si>
    <t>Assortativity and act degree distribution of some collaboration networks</t>
  </si>
  <si>
    <t>Hui Chang, Bei-Bei Su, Yue-Ping Zhou, Da-Ren He</t>
  </si>
  <si>
    <t>http://pdn.sciencedirect.com/science?_ob=MiamiImageURL&amp;_cid=271529&amp;_user=686465&amp;_pii=S0378437107004244&amp;_check=y&amp;_origin=search&amp;_zone=rslt_list_item&amp;_coverDate=2007-09-15&amp;wchp=dGLbVlS-zSkzV&amp;md5=a38d1b55de4bd4aee2b15d4d0195d98f&amp;pid=1-s2.0-S0378437107004244-main.pdf</t>
  </si>
  <si>
    <t>A perspective on practice in interunit knowledge sharing</t>
  </si>
  <si>
    <t>Maria Rita Tagliaventi, Fabiola Bertolotti, Diego Maria Macr&amp;igrave;</t>
  </si>
  <si>
    <t>http://pdn.sciencedirect.com/science?_ob=MiamiImageURL&amp;_cid=271956&amp;_user=686465&amp;_pii=S0263237310000162&amp;_check=y&amp;_origin=search&amp;_zone=rslt_list_item&amp;_coverDate=2010-10-31&amp;wchp=dGLbVlS-zSkzV&amp;md5=2d8bd1898d2d8d127a676ee63aca47be&amp;pid=1-s2.0-S0263237310000162-main.pdf</t>
  </si>
  <si>
    <t>Industrial marketing firms and knowledge transfer: Toward a basic typology of community structures</t>
  </si>
  <si>
    <t>Susan M. Mudambi, Terence A. Oliva, Ellen F. Thomas</t>
  </si>
  <si>
    <t>http://pdn.sciencedirect.com/science?_ob=MiamiImageURL&amp;_cid=271714&amp;_user=686465&amp;_pii=S0019850108001697&amp;_check=y&amp;_origin=search&amp;_zone=rslt_list_item&amp;_coverDate=2009-02-28&amp;wchp=dGLbVlS-zSkzV&amp;md5=5bcf00432517c4bd037851843defdf47&amp;pid=1-s2.0-S0019850108001697-main.pdf</t>
  </si>
  <si>
    <t>The evolution of the network structure in the ICT sector</t>
  </si>
  <si>
    <t>Jukka Hallikas, Jari Varis, Heli Sissonen, Veli-Matti Virolainen</t>
  </si>
  <si>
    <t>International Journal of Production Economics</t>
  </si>
  <si>
    <t>http://pdn.sciencedirect.com/science?_ob=MiamiImageURL&amp;_cid=271692&amp;_user=686465&amp;_pii=S0925527308001886&amp;_check=y&amp;_origin=search&amp;_zone=rslt_list_item&amp;_coverDate=2008-10-31&amp;wchp=dGLbVlS-zSkzV&amp;md5=f1e3ea222dade5e478f3ae9e298f55ec&amp;pid=1-s2.0-S0925527308001886-main.pdf</t>
  </si>
  <si>
    <t>Weighted network properties of Chinese nature science basic research</t>
  </si>
  <si>
    <t>Jian-Guo Liu, Zhao-Guo Xuan, Yan-Zhong Dang, Qiang Guo, Zhong-Tuo Wang</t>
  </si>
  <si>
    <t>http://pdn.sciencedirect.com/science?_ob=MiamiImageURL&amp;_cid=271529&amp;_user=686465&amp;_pii=S0378437106012064&amp;_check=y&amp;_origin=search&amp;_zone=rslt_list_item&amp;_coverDate=2007-04-01&amp;wchp=dGLbVlS-zSkzV&amp;md5=65bf5a14217511924386a523f119acf4&amp;pid=1-s2.0-S0378437106012064-main.pdf</t>
  </si>
  <si>
    <t>Network effects, network structure and consumer interaction in mobile telecommunications in Europe and Asia</t>
  </si>
  <si>
    <t>Daniel Birke, G.M. Peter Swann</t>
  </si>
  <si>
    <t>Journal of Economic Behavior &amp; Organization</t>
  </si>
  <si>
    <t>http://pdn.sciencedirect.com/science?_ob=MiamiImageURL&amp;_cid=271649&amp;_user=686465&amp;_pii=S016726811000106X&amp;_check=y&amp;_origin=search&amp;_zone=rslt_list_item&amp;_coverDate=2010-11-30&amp;wchp=dGLbVlS-zSkzV&amp;md5=b9a2a5dbca621d0670c0f9f2569d7bfc&amp;pid=1-s2.0-S016726811000106X-main.pdf</t>
  </si>
  <si>
    <t>The role of therapist training in the implementation of psychosocial treatments: A review and critique with recommendations</t>
  </si>
  <si>
    <t>Amy D. Herschell, David J. Kolko, Barbara L. Baumann, Abigail C. Davis</t>
  </si>
  <si>
    <t>Clinical Psychology Review</t>
  </si>
  <si>
    <t>http://pdn.sciencedirect.com/science?_ob=MiamiImageURL&amp;_cid=271858&amp;_user=686465&amp;_pii=S0272735810000401&amp;_check=y&amp;_origin=search&amp;_zone=rslt_list_item&amp;_coverDate=2010-06-30&amp;wchp=dGLbVlS-zSkzV&amp;md5=1e09eaa58632894e12d60dbb4d536739&amp;pid=1-s2.0-S0272735810000401-main.pdf</t>
  </si>
  <si>
    <t>Networks based on collisions among mobile agents</t>
  </si>
  <si>
    <t>Marta C. Gonz&amp;aacute;lez, Pedro G. Lind, Hans J. Herrmann</t>
  </si>
  <si>
    <t>Physica D: Nonlinear Phenomena</t>
  </si>
  <si>
    <t>http://pdn.sciencedirect.com/science?_ob=MiamiImageURL&amp;_cid=271587&amp;_user=686465&amp;_pii=S0167278906003770&amp;_check=y&amp;_origin=search&amp;_zone=rslt_list_item&amp;_coverDate=2006-12-31&amp;wchp=dGLbVlS-zSkzV&amp;md5=c964089cf6429d19023cfdaa16a98e0e&amp;pid=1-s2.0-S0167278906003770-main.pdf</t>
  </si>
  <si>
    <t>Spectral methods and cluster structure in correlation-based networks</t>
  </si>
  <si>
    <t>Tapio Heimo, Gergely Tib&amp;eacute;ly, Jari Saram&amp;auml;ki, Kimmo Kaski, J&amp;aacute;nos Kert&amp;eacute;sz</t>
  </si>
  <si>
    <t>http://pdn.sciencedirect.com/science?_ob=MiamiImageURL&amp;_cid=271529&amp;_user=686465&amp;_pii=S0378437108005761&amp;_check=y&amp;_origin=search&amp;_zone=rslt_list_item&amp;_coverDate=2008-10-01&amp;wchp=dGLbVlS-zSkzV&amp;md5=521a086e60dbd3ae21108b3b8317b9da&amp;pid=1-s2.0-S0378437108005761-main.pdf</t>
  </si>
  <si>
    <t>An appraisal of athlete development models through citation network analysis</t>
  </si>
  <si>
    <t>Mark W. Bruner, Karl Erickson, Brian Wilson, Jean C&amp;ocirc;t&amp;eacute;</t>
  </si>
  <si>
    <t>Psychology of Sport and Exercise</t>
  </si>
  <si>
    <t>http://pdn.sciencedirect.com/science?_ob=MiamiImageURL&amp;_cid=272165&amp;_user=686465&amp;_pii=S1469029209000740&amp;_check=y&amp;_origin=search&amp;_zone=rslt_list_item&amp;_coverDate=2010-03-31&amp;wchp=dGLbVlS-zSkzV&amp;md5=e76eb6dcaeda1f6e0e35061eb24e7047&amp;pid=1-s2.0-S1469029209000740-main.pdf</t>
  </si>
  <si>
    <t>Fuzzy trust evaluation and credibility development in multi-agent systems</t>
  </si>
  <si>
    <t>Stefan Schmidt, Robert Steele, Tharam S. Dillon, Elizabeth Chang</t>
  </si>
  <si>
    <t>Applied Soft Computing</t>
  </si>
  <si>
    <t>http://pdn.sciencedirect.com/science?_ob=MiamiImageURL&amp;_cid=272229&amp;_user=686465&amp;_pii=S1568494606000755&amp;_check=y&amp;_origin=search&amp;_zone=rslt_list_item&amp;_coverDate=2007-03-31&amp;wchp=dGLbVlS-zSkzV&amp;md5=21a36c8231ea63d18d4aecd67c8402fc&amp;pid=1-s2.0-S1568494606000755-main.pdf</t>
  </si>
  <si>
    <t>Word-of-mouth transmission in settings with multiple opinions: The impact of other opinions on WOM likelihood and valence</t>
  </si>
  <si>
    <t>Gangseog Ryu, Jin K. Han</t>
  </si>
  <si>
    <t>http://pdn.sciencedirect.com/science?_ob=MiamiImageURL&amp;_cid=276838&amp;_user=686465&amp;_pii=S1057740809000618&amp;_check=y&amp;_origin=search&amp;_zone=rslt_list_item&amp;_coverDate=2009-07-31&amp;wchp=dGLbVlS-zSkzV&amp;md5=30ef364617ae6544897aada05096d522&amp;pid=1-s2.0-S1057740809000618-main.pdf</t>
  </si>
  <si>
    <t>Friends and neighbors on the Web</t>
  </si>
  <si>
    <t>Lada A Adamic, Eytan Adar</t>
  </si>
  <si>
    <t>http://pdn.sciencedirect.com/science?_ob=MiamiImageURL&amp;_cid=271850&amp;_user=686465&amp;_pii=S0378873303000091&amp;_check=y&amp;_origin=search&amp;_zone=rslt_list_item&amp;_coverDate=2003-07-31&amp;wchp=dGLbVlS-zSkzV&amp;md5=bb4bb783a19809a1137a45f78657ac5f&amp;pid=1-s2.0-S0378873303000091-main.pdf</t>
  </si>
  <si>
    <t>Avalanches in complex spin networks</t>
  </si>
  <si>
    <t>K. Malarz, W. Antosiewicz, J. Karpi?ska, K. Ku?akowski, B. Tadi?</t>
  </si>
  <si>
    <t>http://pdn.sciencedirect.com/science?_ob=MiamiImageURL&amp;_cid=271529&amp;_user=686465&amp;_pii=S0378437106006376&amp;_check=y&amp;_origin=search&amp;_zone=rslt_list_item&amp;_coverDate=2007-01-01&amp;wchp=dGLbVlS-zSkzV&amp;md5=89c209487c19425919a80b5dc0670ef5&amp;pid=1-s2.0-S0378437106006376-main.pdf</t>
  </si>
  <si>
    <t>SFMN GeoSearch: An interactive approach to the visualization and exchange of point-based ecological data</t>
  </si>
  <si>
    <t>Rodolphe Gonzales, Jeffrey A. Cardille, Lael Parrott, Caroline Gaudreau, Ga&amp;euml;l Deest</t>
  </si>
  <si>
    <t>Ecological Informatics</t>
  </si>
  <si>
    <t>http://pdn.sciencedirect.com/science?_ob=MiamiImageURL&amp;_cid=273474&amp;_user=686465&amp;_pii=S157495410900051X&amp;_check=y&amp;_origin=search&amp;_zone=rslt_list_item&amp;_coverDate=2009-09-30&amp;wchp=dGLbVlS-zSkzV&amp;md5=d1a24f805a30f5dc3c94f9d814f3a12a&amp;pid=1-s2.0-S157495410900051X-main.pdf</t>
  </si>
  <si>
    <t>Extracting social laws from unilateral binary constraint relation topologies in multiagent systems</t>
  </si>
  <si>
    <t>Yichuan Jiang</t>
  </si>
  <si>
    <t>http://pdn.sciencedirect.com/science?_ob=MiamiImageURL&amp;_cid=271506&amp;_user=686465&amp;_pii=S0957417407000784&amp;_check=y&amp;_origin=search&amp;_zone=rslt_list_item&amp;_coverDate=2008-04-30&amp;wchp=dGLbVlS-zSkzV&amp;md5=8abd9475b20de4d1bc43c38e314d8a01&amp;pid=1-s2.0-S0957417407000784-main.pdf</t>
  </si>
  <si>
    <t>Decision-making and participation: The Watertime results</t>
  </si>
  <si>
    <t>David Hall, Tapio Katko, Andres Sanz Mulas, Emanuele Lobina, Robin de la Motte</t>
  </si>
  <si>
    <t>Utilities Policy</t>
  </si>
  <si>
    <t>http://pdn.sciencedirect.com/science?_ob=MiamiImageURL&amp;_cid=271922&amp;_user=686465&amp;_pii=S0957178707000215&amp;_check=y&amp;_origin=search&amp;_zone=rslt_list_item&amp;_coverDate=2007-06-30&amp;wchp=dGLbVlS-zSkzV&amp;md5=9500d9254744e453389cec0a35f41ea0&amp;pid=1-s2.0-S0957178707000215-main.pdf</t>
  </si>
  <si>
    <t>Cache consistency in Wireless Multimedia Sensor Networks</t>
  </si>
  <si>
    <t>N. Dimokas, D. Katsaros, Y. Manolopoulos</t>
  </si>
  <si>
    <t>Ad Hoc Networks</t>
  </si>
  <si>
    <t>http://pdn.sciencedirect.com/science?_ob=MiamiImageURL&amp;_cid=272922&amp;_user=686465&amp;_pii=S157087050900078X&amp;_check=y&amp;_origin=search&amp;_zone=rslt_list_item&amp;_coverDate=2010-03-31&amp;wchp=dGLbVlS-zSkzV&amp;md5=b07b6f1e35a823f2895ef805a57714d9&amp;pid=1-s2.0-S157087050900078X-main.pdf</t>
  </si>
  <si>
    <t>The old boy (and girl) network: Social network formation on university campuses</t>
  </si>
  <si>
    <t>Adalbert Mayer, Steven L. Puller</t>
  </si>
  <si>
    <t>Journal of Public Economics</t>
  </si>
  <si>
    <t>http://pdn.sciencedirect.com/science?_ob=MiamiImageURL&amp;_cid=271705&amp;_user=686465&amp;_pii=S0047272707001181&amp;_check=y&amp;_origin=search&amp;_zone=rslt_list_item&amp;_coverDate=2008-02-29&amp;wchp=dGLbVlS-zSkzV&amp;md5=c200a1540c6f3fd6614b11673c381fa0&amp;pid=1-s2.0-S0047272707001181-main.pdf</t>
  </si>
  <si>
    <t>Diffusion approach for community discovering within the complex networks: LiveJournal study</t>
  </si>
  <si>
    <t>Pavel Zakharov</t>
  </si>
  <si>
    <t>http://pdn.sciencedirect.com/science?_ob=MiamiImageURL&amp;_cid=271529&amp;_user=686465&amp;_pii=S0378437106013136&amp;_check=y&amp;_origin=search&amp;_zone=rslt_list_item&amp;_coverDate=2007-05-15&amp;wchp=dGLbVlS-zSkzV&amp;md5=66fdde85ad195415eaedb23d8c0d80df&amp;pid=1-s2.0-S0378437106013136-main.pdf</t>
  </si>
  <si>
    <t>Mining concept maps from news stories for measuring civic scientific literacy in media</t>
  </si>
  <si>
    <t>Yuen-Hsien Tseng, Chun-Yen Chang, Shu-Nu Chang Rundgren, Carl-Johan Rundgren</t>
  </si>
  <si>
    <t>http://pdn.sciencedirect.com/science?_ob=MiamiImageURL&amp;_cid=271849&amp;_user=686465&amp;_pii=S0360131510000059&amp;_check=y&amp;_origin=search&amp;_zone=rslt_list_item&amp;_coverDate=2010-08-31&amp;wchp=dGLbVlS-zSkzV&amp;md5=fe2fd69863fadcf4559e91e2889403d2&amp;pid=1-s2.0-S0360131510000059-main.pdf</t>
  </si>
  <si>
    <t>Networks and leadership development: Building linkages for capacity acquisition and capital accrual</t>
  </si>
  <si>
    <t>Kathryn M. Bartol, Xiaomeng Zhang</t>
  </si>
  <si>
    <t>http://pdn.sciencedirect.com/science?_ob=MiamiImageURL&amp;_cid=272047&amp;_user=686465&amp;_pii=S105348220700040X&amp;_check=y&amp;_origin=search&amp;_zone=rslt_list_item&amp;_coverDate=2007-12-31&amp;wchp=dGLbVlS-zSkzV&amp;md5=174f31025f471f13cd7c924aeb8656ea&amp;pid=1-s2.0-S105348220700040X-main.pdf</t>
  </si>
  <si>
    <t>Growth and structure of Slovenia’s scientific collaboration network</t>
  </si>
  <si>
    <t>Matjaž Perc</t>
  </si>
  <si>
    <t>http://pdn.sciencedirect.com/science?_ob=MiamiImageURL&amp;_cid=273584&amp;_user=686465&amp;_pii=S1751157710000362&amp;_check=y&amp;_origin=search&amp;_zone=rslt_list_item&amp;_coverDate=2010-10-31&amp;wchp=dGLbVlS-zSkzV&amp;md5=a5ea80b326e741d6e77314adf185a6b3&amp;pid=1-s2.0-S1751157710000362-main.pdf</t>
  </si>
  <si>
    <t>Detecting community structure in complex networks using simulated annealing with -means algorithms</t>
  </si>
  <si>
    <t>Jian Liu, Tingzhan Liu</t>
  </si>
  <si>
    <t>http://pdn.sciencedirect.com/science?_ob=MiamiImageURL&amp;_cid=271529&amp;_user=686465&amp;_pii=S037843711000097X&amp;_check=y&amp;_origin=search&amp;_zone=rslt_list_item&amp;_coverDate=2010-06-01&amp;wchp=dGLbVlS-zSkzV&amp;md5=e57253d2084f61a28f04c5b256543d10&amp;pid=1-s2.0-S037843711000097X-main.pdf</t>
  </si>
  <si>
    <t>A stochastic evolutionary growth model for social networks</t>
  </si>
  <si>
    <t>Trevor Fenner, Mark Levene, George Loizou, George Roussos</t>
  </si>
  <si>
    <t>http://pdn.sciencedirect.com/science?_ob=MiamiImageURL&amp;_cid=271990&amp;_user=686465&amp;_pii=S1389128607001788&amp;_check=y&amp;_origin=search&amp;_zone=rslt_list_item&amp;_coverDate=2007-11-14&amp;wchp=dGLbVlS-zSkzV&amp;md5=bbb7923122d32e66857eda5120859708&amp;pid=1-s2.0-S1389128607001788-main.pdf</t>
  </si>
  <si>
    <t>‘The tyranny of distance’: Biotechnology networks and clusters in the antipodes</t>
  </si>
  <si>
    <t>Michael Gilding</t>
  </si>
  <si>
    <t>http://pdn.sciencedirect.com/science?_ob=MiamiImageURL&amp;_cid=271666&amp;_user=686465&amp;_pii=S0048733308000772&amp;_check=y&amp;_origin=search&amp;_zone=rslt_list_item&amp;_coverDate=2008-07-31&amp;wchp=dGLbVlS-zSkzV&amp;md5=8c5d9e9a17b832346a8f88016d1b0a31&amp;pid=1-s2.0-S0048733308000772-main.pdf</t>
  </si>
  <si>
    <t>Context- and social-aware middleware for opportunistic networks</t>
  </si>
  <si>
    <t>C. Boldrini, M. Conti, F. Delmastro, A. Passarella</t>
  </si>
  <si>
    <t>http://pdn.sciencedirect.com/science?_ob=MiamiImageURL&amp;_cid=272436&amp;_user=686465&amp;_pii=S1084804510000524&amp;_check=y&amp;_origin=search&amp;_zone=rslt_list_item&amp;_coverDate=2010-09-30&amp;wchp=dGLbVlS-zSkzV&amp;md5=ca8c6a024b33aab4e0fd7ea5e1c13fda&amp;pid=1-s2.0-S1084804510000524-main.pdf</t>
  </si>
  <si>
    <t>Relationships among the academic business disciplines: a multi-method citation analysis</t>
  </si>
  <si>
    <t>Markus Biehl, Henry Kim, Michael Wade</t>
  </si>
  <si>
    <t>Omega</t>
  </si>
  <si>
    <t>http://pdn.sciencedirect.com/science?_ob=MiamiImageURL&amp;_cid=271690&amp;_user=686465&amp;_pii=S0305048304001896&amp;_check=y&amp;_origin=search&amp;_zone=rslt_list_item&amp;_coverDate=2006-08-31&amp;wchp=dGLbVlS-zSkzV&amp;md5=9c4022148f4c30c0d39b3cc21bb7ade8&amp;pid=1-s2.0-S0305048304001896-main.pdf</t>
  </si>
  <si>
    <t>Relational mechanisms governing multifaceted collaborative behavior of academic scientists in six fields of science and engineering</t>
  </si>
  <si>
    <t>Yamini Jha, Eric W. Welch</t>
  </si>
  <si>
    <t>http://pdn.sciencedirect.com/science?_ob=MiamiImageURL&amp;_cid=271666&amp;_user=686465&amp;_pii=S0048733310001447&amp;_check=y&amp;_origin=search&amp;_zone=rslt_list_item&amp;_coverDate=2010-11-30&amp;wchp=dGLbVlS-zSkzV&amp;md5=4c101c2c67322f83d91e59b6d6fc21f5&amp;pid=1-s2.0-S0048733310001447-main.pdf</t>
  </si>
  <si>
    <t>Using ontology network analysis for research document recommendation</t>
  </si>
  <si>
    <t>Sung-Shun Weng, Hui-Ling Chang</t>
  </si>
  <si>
    <t>http://pdn.sciencedirect.com/science?_ob=MiamiImageURL&amp;_cid=271506&amp;_user=686465&amp;_pii=S0957417407000620&amp;_check=y&amp;_origin=search&amp;_zone=rslt_list_item&amp;_coverDate=2008-04-30&amp;wchp=dGLbVlS-zSkzV&amp;md5=6e8fbef946f4da0c3e3e1d7dc10347e3&amp;pid=1-s2.0-S0957417407000620-main.pdf</t>
  </si>
  <si>
    <t>Fields and pathways: Contrasting or complementary views of information seeking</t>
  </si>
  <si>
    <t>J. David E. Johnson, Donald O. Case, James Andrews, Suzanne L. Allard, Nathaniel E Johnson</t>
  </si>
  <si>
    <t>http://pdn.sciencedirect.com/science?_ob=MiamiImageURL&amp;_cid=271647&amp;_user=686465&amp;_pii=S0306457305000038&amp;_check=y&amp;_origin=search&amp;_zone=rslt_list_item&amp;_coverDate=2006-03-31&amp;wchp=dGLbVlS-zSkzV&amp;md5=f5780b3753691a51da540f0aa12475d0&amp;pid=1-s2.0-S0306457305000038-main.pdf</t>
  </si>
  <si>
    <t>Mechanisms for sharing knowledge in project-based organizations</t>
  </si>
  <si>
    <t>Wai Fong Boh</t>
  </si>
  <si>
    <t>Information and Organization</t>
  </si>
  <si>
    <t>http://pdn.sciencedirect.com/science?_ob=MiamiImageURL&amp;_cid=272182&amp;_user=686465&amp;_pii=S1471772706000340&amp;_check=y&amp;_origin=search&amp;_zone=rslt_list_item&amp;_coverDate=2007-12-31&amp;wchp=dGLbVlS-zSkzV&amp;md5=b4f18def17cc096460039899cba995f9&amp;pid=1-s2.0-S1471772706000340-main.pdf</t>
  </si>
  <si>
    <t>Predicting profitability using advice branch bank networks</t>
  </si>
  <si>
    <t>Avranil Sarkar, Stephen E. Fienberg, David Krackhardt</t>
  </si>
  <si>
    <t>http://pdn.sciencedirect.com/science?_ob=MiamiImageURL&amp;_cid=273257&amp;_user=686465&amp;_pii=S1572312709000987&amp;_check=y&amp;_origin=search&amp;_zone=rslt_list_item&amp;_coverDate=2010-05-31&amp;wchp=dGLbVlS-zSkzV&amp;md5=b3b4f6f1fff8ba15ab19b0fd7f0ccb29&amp;pid=1-s2.0-S1572312709000987-main.pdf</t>
  </si>
  <si>
    <t>Social interaction and low involvement products</t>
  </si>
  <si>
    <t>Johanna Kuenzel, Pieter Musters</t>
  </si>
  <si>
    <t>Journal of Business Research</t>
  </si>
  <si>
    <t>http://pdn.sciencedirect.com/science?_ob=MiamiImageURL&amp;_cid=271680&amp;_user=686465&amp;_pii=S0148296307000446&amp;_check=y&amp;_origin=search&amp;_zone=rslt_list_item&amp;_coverDate=2007-08-31&amp;wchp=dGLbVlS-zSkzV&amp;md5=9da48b006f4a230a8ed3f02c7d7c9095&amp;pid=1-s2.0-S0148296307000446-main.pdf</t>
  </si>
  <si>
    <t>Breakout from Bollywood? The roles of social networks and regulation in the evolution of Indian film industry</t>
  </si>
  <si>
    <t>Mark Lorenzen, Florian Arun T&amp;auml;ube</t>
  </si>
  <si>
    <t>http://pdn.sciencedirect.com/science?_ob=MiamiImageURL&amp;_cid=272013&amp;_user=686465&amp;_pii=S1075425308000525&amp;_check=y&amp;_origin=search&amp;_zone=rslt_list_item&amp;_coverDate=2008-09-30&amp;wchp=dGLbVlS-zSkzV&amp;md5=9071fc6d36eb0b09d2795723289e501a&amp;pid=1-s2.0-S1075425308000525-main.pdf</t>
  </si>
  <si>
    <t>“Pyramiding: Efficient search for rare subjects”</t>
  </si>
  <si>
    <t>Eric von Hippel, Nikolaus Franke, Reinhard Pr&amp;uuml;gl</t>
  </si>
  <si>
    <t>http://pdn.sciencedirect.com/science?_ob=MiamiImageURL&amp;_cid=271666&amp;_user=686465&amp;_pii=S0048733309001504&amp;_check=y&amp;_origin=search&amp;_zone=rslt_list_item&amp;_coverDate=2009-11-30&amp;wchp=dGLbVlS-zSkzV&amp;md5=e4473efa6f5e37a6004f059bc17d4b9b&amp;pid=1-s2.0-S0048733309001504-main.pdf</t>
  </si>
  <si>
    <t>VIP-club phenomenon: Emergence of elites and masterminds in social networks</t>
  </si>
  <si>
    <t>Naoki Masuda, Norio Konno</t>
  </si>
  <si>
    <t>http://pdn.sciencedirect.com/science?_ob=MiamiImageURL&amp;_cid=271850&amp;_user=686465&amp;_pii=S0378873305000535&amp;_check=y&amp;_origin=search&amp;_zone=rslt_list_item&amp;_coverDate=2006-10-31&amp;wchp=dGLbVlS-zSkzV&amp;md5=efc77085abe823976fd1c5c246718196&amp;pid=1-s2.0-S0378873305000535-main.pdf</t>
  </si>
  <si>
    <t>Is inventor network structure a predictor of cluster evolution?</t>
  </si>
  <si>
    <t>Jiang He, M. Hosein Fallah</t>
  </si>
  <si>
    <t>http://pdn.sciencedirect.com/science?_ob=MiamiImageURL&amp;_cid=271733&amp;_user=686465&amp;_pii=S0040162508000784&amp;_check=y&amp;_origin=search&amp;_zone=rslt_list_item&amp;_coverDate=2009-01-31&amp;wchp=dGLbVlS-zSkzV&amp;md5=a7f5feeadf9e0af11788f841fd7670e6&amp;pid=1-s2.0-S0040162508000784-main.pdf</t>
  </si>
  <si>
    <t>A multilevel approach to building and leading learning organizations</t>
  </si>
  <si>
    <t>Sean T. Hannah, Paul B. Lester</t>
  </si>
  <si>
    <t>http://pdn.sciencedirect.com/science?_ob=MiamiImageURL&amp;_cid=272081&amp;_user=686465&amp;_pii=S1048984308001604&amp;_check=y&amp;_origin=search&amp;_zone=rslt_list_item&amp;_coverDate=2009-02-28&amp;wchp=dGLbVlS-zSkzV&amp;md5=2255124538d37d875d812e5962f7c54a&amp;pid=1-s2.0-S1048984308001604-main.pdf</t>
  </si>
  <si>
    <t>Advice to an aging scientist</t>
  </si>
  <si>
    <t>Daniel E.L. Promislow, Scott D. Pletcher</t>
  </si>
  <si>
    <t>Mechanisms of Ageing and Development</t>
  </si>
  <si>
    <t>http://pdn.sciencedirect.com/science?_ob=MiamiImageURL&amp;_cid=271048&amp;_user=686465&amp;_pii=S0047637402000210&amp;_check=y&amp;_origin=search&amp;_zone=rslt_list_item&amp;_coverDate=2002-04-30&amp;wchp=dGLbVlS-zSkzV&amp;md5=288321e104d145c33a6f015a224b2bc6&amp;pid=1-s2.0-S0047637402000210-main.pdf</t>
  </si>
  <si>
    <t>‘All sorts and conditions of men’: The social origins of the founders of the ICAEW</t>
  </si>
  <si>
    <t>Malcolm Anderson, Stephen P. Walker</t>
  </si>
  <si>
    <t>http://pdn.sciencedirect.com/science?_ob=MiamiImageURL&amp;_cid=272517&amp;_user=686465&amp;_pii=S0890838908001017&amp;_check=y&amp;_origin=search&amp;_zone=rslt_list_item&amp;_coverDate=2009-03-31&amp;wchp=dGLbVlS-zSkzV&amp;md5=7fc791b89c85eb53efef426d6463c12d&amp;pid=1-s2.0-S0890838908001017-main.pdf</t>
  </si>
  <si>
    <t>Time allocation and the evolution of group size</t>
  </si>
  <si>
    <t>Kimberly A. Pollard, Daniel T. Blumstein</t>
  </si>
  <si>
    <t>http://pdn.sciencedirect.com/science?_ob=MiamiImageURL&amp;_cid=272524&amp;_user=686465&amp;_pii=S0003347208003576&amp;_check=y&amp;_origin=search&amp;_zone=rslt_list_item&amp;_coverDate=2008-11-30&amp;wchp=dGLbVlS-zSkzV&amp;md5=35daff34eda4a5b72b1f5b580d6693d3&amp;pid=1-s2.0-S0003347208003576-main.pdf</t>
  </si>
  <si>
    <t>Understanding project champions’ ability to gain intra-organizational commitment for environmental projects</t>
  </si>
  <si>
    <t>Thomas F. Gattiker, Craig R. Carter</t>
  </si>
  <si>
    <t>Journal of Operations Management</t>
  </si>
  <si>
    <t>http://pdn.sciencedirect.com/science?_ob=MiamiImageURL&amp;_cid=271694&amp;_user=686465&amp;_pii=S0272696309000588&amp;_check=y&amp;_origin=search&amp;_zone=rslt_list_item&amp;_coverDate=2010-01-31&amp;wchp=dGLbVlS-zSkzV&amp;md5=eef91911f0478951780ecd50f6d83f37&amp;pid=1-s2.0-S0272696309000588-main.pdf</t>
  </si>
  <si>
    <t>Predicting safety culture: The roles of employer, operations manager and safety professional</t>
  </si>
  <si>
    <t>Tsung-Chih Wu, Chia-Hung Lin, Sen-Yu Shiau</t>
  </si>
  <si>
    <t>Journal of Safety Research</t>
  </si>
  <si>
    <t>http://pdn.sciencedirect.com/science?_ob=MiamiImageURL&amp;_cid=271707&amp;_user=686465&amp;_pii=S0022437510000794&amp;_check=y&amp;_origin=search&amp;_zone=rslt_list_item&amp;_coverDate=2010-10-31&amp;wchp=dGLbVlS-zSkzV&amp;md5=9eb18b44634b5af2fd42d8c5548345ec&amp;pid=1-s2.0-S0022437510000794-main.pdf</t>
  </si>
  <si>
    <t>Network Analysis</t>
  </si>
  <si>
    <t>M.J. Kuby, T.D. Roberts, C.D. Upchurch, S. Tierney</t>
  </si>
  <si>
    <t>International Encyclopedia of Human Geography</t>
  </si>
  <si>
    <t>The influence of organizational tenure on safety climate strength: A first look</t>
  </si>
  <si>
    <t>Jeremy M. Beus, Mindy E. Bergman, Stephanie C. Payne</t>
  </si>
  <si>
    <t>Accident Analysis &amp; Prevention</t>
  </si>
  <si>
    <t>http://pdn.sciencedirect.com/science?_ob=MiamiImageURL&amp;_cid=271664&amp;_user=686465&amp;_pii=S0001457509001171&amp;_check=y&amp;_origin=search&amp;_zone=rslt_list_item&amp;_coverDate=2010-09-30&amp;wchp=dGLbVlS-zSkzV&amp;md5=83533ee1b3840edc123aa14ff8798d6b&amp;pid=1-s2.0-S0001457509001171-main.pdf</t>
  </si>
  <si>
    <t>Current Biology</t>
  </si>
  <si>
    <t>http://pdn.sciencedirect.com/science?_ob=MiamiImageURL&amp;_cid=272099&amp;_user=686465&amp;_pii=S0960982207020635&amp;_check=y&amp;_origin=search&amp;_zone=rslt_list_item&amp;_coverDate=2007-10-23&amp;wchp=dGLbVlS-zSkzV&amp;md5=5b15d1494e71b9cab5b4e8cff1eb62da&amp;pid=1-s2.0-S0960982207020635-main.pdf</t>
  </si>
  <si>
    <t>Structural Models in Anthropology</t>
  </si>
  <si>
    <t>David B. Kronenfeld</t>
  </si>
  <si>
    <t>http://pdn.sciencedirect.com/science?_ob=MiamiImageURL&amp;_cid=273418&amp;_user=686465&amp;_pii=B0123693985004138&amp;_check=y&amp;_origin=search&amp;_zone=rslt_list_item&amp;_coverDate=2005-12-31&amp;wchp=dGLbVlS-zSkzV&amp;md5=929345727d7397b0eecc5a883965542b&amp;pid=3-s2.0-B0123693985004138-main.pdf</t>
  </si>
  <si>
    <t>Enhancing knowledge exchange through web map-based knowledge management system in construction: Lessons learned in Taiwan</t>
  </si>
  <si>
    <t>Yu-Cheng Lin, Lung-Chuang Wang, H. Ping Tserng</t>
  </si>
  <si>
    <t>Automation in Construction</t>
  </si>
  <si>
    <t>http://pdn.sciencedirect.com/science?_ob=MiamiImageURL&amp;_cid=271427&amp;_user=686465&amp;_pii=S0926580505001317&amp;_check=y&amp;_origin=search&amp;_zone=rslt_list_item&amp;_coverDate=2006-11-30&amp;wchp=dGLbVlS-zSkzV&amp;md5=c559490cb3013b1649546f46f07d4aea&amp;pid=1-s2.0-S0926580505001317-main.pdf</t>
  </si>
  <si>
    <t>HYMAD: Hybrid DTN-MANET routing for dense and highly dynamic wireless networks</t>
  </si>
  <si>
    <t>John Whitbeck, Vania Conan</t>
  </si>
  <si>
    <t>http://pdn.sciencedirect.com/science?_ob=MiamiImageURL&amp;_cid=271515&amp;_user=686465&amp;_pii=S0140366410001143&amp;_check=y&amp;_origin=search&amp;_zone=rslt_list_item&amp;_coverDate=2010-08-16&amp;wchp=dGLbVlS-zSkzV&amp;md5=684f8326817685b33e3572f95ea702f4&amp;pid=1-s2.0-S0140366410001143-main.pdf</t>
  </si>
  <si>
    <t>Networks of polynomial pieces with application to the analysis of point clouds and images</t>
  </si>
  <si>
    <t>Ery Arias-Castro, Boris Efros, Ofer Levi</t>
  </si>
  <si>
    <t>Journal of Approximation Theory</t>
  </si>
  <si>
    <t>http://pdn.sciencedirect.com/science?_ob=MiamiImageURL&amp;_cid=272427&amp;_user=686465&amp;_pii=S002190450900077X&amp;_check=y&amp;_origin=search&amp;_zone=rslt_list_item&amp;_coverDate=2010-01-31&amp;wchp=dGLbVlS-zSkzV&amp;md5=68a25899b5908faaa3591c6ed7ef55d7&amp;pid=1-s2.0-S002190450900077X-main.pdf</t>
  </si>
  <si>
    <t>An application of the Design Structure Matrix to Integrated Concurrent Engineering</t>
  </si>
  <si>
    <t>Mark S. Avnet, Annalisa L. Weigel</t>
  </si>
  <si>
    <t>Acta Astronautica</t>
  </si>
  <si>
    <t>http://pdn.sciencedirect.com/science?_ob=MiamiImageURL&amp;_cid=271447&amp;_user=686465&amp;_pii=S0094576509004433&amp;_check=y&amp;_origin=search&amp;_zone=rslt_list_item&amp;_coverDate=2010-04-30&amp;wchp=dGLbVlS-zSkzV&amp;md5=70463bf3f4f5ced280999492ceaec78c&amp;pid=1-s2.0-S0094576509004433-main.pdf</t>
  </si>
  <si>
    <t>Information technologies and transitions in the lives of 55–65-year-olds: The case of colliding life interests</t>
  </si>
  <si>
    <t>Antti Salovaara, Asko Lehmuskallio, Leif Hedman, Paula Valkonen, Jaana N&amp;auml;s&amp;auml;nen</t>
  </si>
  <si>
    <t>http://pdn.sciencedirect.com/science?_ob=MiamiImageURL&amp;_cid=272548&amp;_user=686465&amp;_pii=S1071581910000856&amp;_check=y&amp;_origin=search&amp;_zone=rslt_list_item&amp;_coverDate=2010-11-30&amp;wchp=dGLbVlS-zSkzV&amp;md5=7988192e0a3364a39bb59e55f5dfbe39&amp;pid=1-s2.0-S1071581910000856-main.pdf</t>
  </si>
  <si>
    <t>Content analysis: What are they talking about?</t>
  </si>
  <si>
    <t>Jan-Willem Strijbos, Rob L. Martens, Frans J. Prins, Wim M.G. Jochems</t>
  </si>
  <si>
    <t>http://pdn.sciencedirect.com/science?_ob=MiamiImageURL&amp;_cid=271849&amp;_user=686465&amp;_pii=S0360131505000540&amp;_check=y&amp;_origin=search&amp;_zone=rslt_list_item&amp;_coverDate=2006-01-31&amp;wchp=dGLbVlS-zSkzV&amp;md5=443795707909c5510973cad1557e2a85&amp;pid=1-s2.0-S0360131505000540-main.pdf</t>
  </si>
  <si>
    <t>Biologically-inspired Complex Adaptive Systems approaches to Network Intrusion Detection</t>
  </si>
  <si>
    <t>Kamran Shafi, Hussein A. Abbass</t>
  </si>
  <si>
    <t>Information Security Technical Report</t>
  </si>
  <si>
    <t>http://pdn.sciencedirect.com/science?_ob=MiamiImageURL&amp;_cid=271961&amp;_user=686465&amp;_pii=S1363412707000416&amp;_check=y&amp;_origin=search&amp;_zone=rslt_list_item&amp;_coverDate=2007-12-31&amp;wchp=dGLbVlS-zSkzV&amp;md5=44ae39fda98c1e32284c7332e5f2654d&amp;pid=1-s2.0-S1363412707000416-main.pdf</t>
  </si>
  <si>
    <t>Mining fuzzy periodic association rules</t>
  </si>
  <si>
    <t>Wan-Jui Lee, Jung-Yi Jiang, Shie-Jue Lee</t>
  </si>
  <si>
    <t>http://pdn.sciencedirect.com/science?_ob=MiamiImageURL&amp;_cid=271546&amp;_user=686465&amp;_pii=S0169023X07002236&amp;_check=y&amp;_origin=search&amp;_zone=rslt_list_item&amp;_coverDate=2008-06-30&amp;wchp=dGLbVlS-zSkzV&amp;md5=2b639ee9f3d11fbf38ef4e576543584b&amp;pid=1-s2.0-S0169023X07002236-main.pdf</t>
  </si>
  <si>
    <t>Stakeholder attitudes toward GMOs in the Philippines, Mexico, and South Africa: The issue of public trust</t>
  </si>
  <si>
    <t>Philipp Aerni, Thomas Bernauer</t>
  </si>
  <si>
    <t>http://pdn.sciencedirect.com/science?_ob=MiamiImageURL&amp;_cid=271773&amp;_user=686465&amp;_pii=S0305750X0500224X&amp;_check=y&amp;_origin=search&amp;_zone=rslt_list_item&amp;_coverDate=2006-03-31&amp;wchp=dGLbVlS-zSkzV&amp;md5=57a83d8d01a84bf43a6199490ac1d697&amp;pid=1-s2.0-S0305750X0500224X-main.pdf</t>
  </si>
  <si>
    <t>Towards an integrated e-mail forensic analysis framework</t>
  </si>
  <si>
    <t>Rachid Hadjidj, Mourad Debbabi, Hakim Lounis, Farkhund Iqbal, Adam Szporer, Djamel Benredjem</t>
  </si>
  <si>
    <t>Digital Investigation</t>
  </si>
  <si>
    <t>http://pdn.sciencedirect.com/science?_ob=MiamiImageURL&amp;_cid=273059&amp;_user=686465&amp;_pii=S1742287609000036&amp;_check=y&amp;_origin=search&amp;_zone=rslt_list_item&amp;_coverDate=2009-03-31&amp;wchp=dGLbVlS-zSkzV&amp;md5=89b1bc12988a643c99cd23a47fe0129c&amp;pid=1-s2.0-S1742287609000036-main.pdf</t>
  </si>
  <si>
    <t>Designing for interaction: Six steps to designing computer-supported group-based learning</t>
  </si>
  <si>
    <t>J.W. Strijbos, R.L. Martens, W.M.G. Jochems</t>
  </si>
  <si>
    <t>http://pdn.sciencedirect.com/science?_ob=MiamiImageURL&amp;_cid=271849&amp;_user=686465&amp;_pii=S0360131503001118&amp;_check=y&amp;_origin=search&amp;_zone=rslt_list_item&amp;_coverDate=2004-05-31&amp;wchp=dGLbVlS-zSkzV&amp;md5=3ef604a7acb42a52290392cda2bddea3&amp;pid=1-s2.0-S0360131503001118-main.pdf</t>
  </si>
  <si>
    <t>Defining an emerging tourism industry sub-sector: Who are the strata titled tourism accommodation stakeholders?</t>
  </si>
  <si>
    <t>Kelly Cassidy, Chris Guilding</t>
  </si>
  <si>
    <t>http://pdn.sciencedirect.com/science?_ob=MiamiImageURL&amp;_cid=271702&amp;_user=686465&amp;_pii=S0278431909001492&amp;_check=y&amp;_origin=search&amp;_zone=rslt_list_item&amp;_coverDate=2010-09-30&amp;wchp=dGLbVlS-zSkzV&amp;md5=8dd2a5ba38153deeda515b4190ae3a65&amp;pid=1-s2.0-S0278431909001492-main.pdf</t>
  </si>
  <si>
    <t>Communication-Garden System: Visualizing a computer-mediated communication process</t>
  </si>
  <si>
    <t>Bin Zhu, Hsinchun Chen</t>
  </si>
  <si>
    <t>http://pdn.sciencedirect.com/science?_ob=MiamiImageURL&amp;_cid=271653&amp;_user=686465&amp;_pii=S0167923608000195&amp;_check=y&amp;_origin=search&amp;_zone=rslt_list_item&amp;_coverDate=2008-11-30&amp;wchp=dGLbVlS-zSkzV&amp;md5=97fcbfa6ad8fb31ad11c7de3c0a44e28&amp;pid=1-s2.0-S0167923608000195-main.pdf</t>
  </si>
  <si>
    <t>Comparing rankings of search results on the Web</t>
  </si>
  <si>
    <t>http://pdn.sciencedirect.com/science?_ob=MiamiImageURL&amp;_cid=271647&amp;_user=686465&amp;_pii=S0306457305000312&amp;_check=y&amp;_origin=search&amp;_zone=rslt_list_item&amp;_coverDate=2005-12-31&amp;wchp=dGLbVlS-zSkzV&amp;md5=a3ba4057a19174daac7bebd74d336144&amp;pid=1-s2.0-S0306457305000312-main.pdf</t>
  </si>
  <si>
    <t>Investigating interactions of trust and interest similarity</t>
  </si>
  <si>
    <t>Cai-Nicolas Ziegler, Jennifer Golbeck</t>
  </si>
  <si>
    <t>http://pdn.sciencedirect.com/science?_ob=MiamiImageURL&amp;_cid=271653&amp;_user=686465&amp;_pii=S0167923606001655&amp;_check=y&amp;_origin=search&amp;_zone=rslt_list_item&amp;_coverDate=2007-03-31&amp;wchp=dGLbVlS-zSkzV&amp;md5=3d70ecd56edc2b409b10ba1f4e419614&amp;pid=1-s2.0-S0167923606001655-main.pdf</t>
  </si>
  <si>
    <t>Single-document and multi-document summarization techniques for email threads using sentence compression</t>
  </si>
  <si>
    <t>David M. Zajic, Bonnie J. Dorr, Jimmy Lin</t>
  </si>
  <si>
    <t>http://pdn.sciencedirect.com/science?_ob=MiamiImageURL&amp;_cid=271647&amp;_user=686465&amp;_pii=S0306457307001768&amp;_check=y&amp;_origin=search&amp;_zone=rslt_list_item&amp;_coverDate=2008-07-31&amp;wchp=dGLbVlS-zSkzV&amp;md5=926c7f9d4da5c6bff432c659b7f9ca52&amp;pid=1-s2.0-S0306457307001768-main.pdf</t>
  </si>
  <si>
    <t>Sustainable multifunctional landscapes: a review to implementation</t>
  </si>
  <si>
    <t>Patrick J O’Farrell, Pippin ML Anderson</t>
  </si>
  <si>
    <t>Current Opinion in Environmental Sustainability</t>
  </si>
  <si>
    <t>http://pdn.sciencedirect.com/science?_ob=MiamiImageURL&amp;_cid=278668&amp;_user=686465&amp;_pii=S1877343510000060&amp;_check=y&amp;_origin=search&amp;_zone=rslt_list_item&amp;_coverDate=2010-05-31&amp;wchp=dGLbVlS-zSkzV&amp;md5=7b26870dd92c9c6bc1ae3d46a425f37b&amp;pid=1-s2.0-S1877343510000060-main.pdf</t>
  </si>
  <si>
    <t>Reconfiguring environmental governance: Towards a politics of scales and networks</t>
  </si>
  <si>
    <t>Harriet Bulkeley</t>
  </si>
  <si>
    <t>Political Geography</t>
  </si>
  <si>
    <t>http://pdn.sciencedirect.com/science?_ob=MiamiImageURL&amp;_cid=271746&amp;_user=686465&amp;_pii=S0962629805000880&amp;_check=y&amp;_origin=search&amp;_zone=rslt_list_item&amp;_coverDate=2005-11-30&amp;wchp=dGLbVlS-zSkzV&amp;md5=b12814ae63650dc35499a63852138551&amp;pid=1-s2.0-S0962629805000880-main.pdf</t>
  </si>
  <si>
    <t>Mining configurable enterprise information systems</t>
  </si>
  <si>
    <t>M.H. Jansen-Vullers, W.M.P. van der Aalst, M. Rosemann</t>
  </si>
  <si>
    <t>http://pdn.sciencedirect.com/science?_ob=MiamiImageURL&amp;_cid=271546&amp;_user=686465&amp;_pii=S0169023X05000364&amp;_check=y&amp;_origin=search&amp;_zone=rslt_list_item&amp;_coverDate=2006-03-31&amp;wchp=dGLbVlS-zSkzV&amp;md5=6af3e66bcc94e2a638956da12ef1773e&amp;pid=1-s2.0-S0169023X05000364-main.pdf</t>
  </si>
  <si>
    <t>“Sorting Out” collective leadership: How Q-methodology can be used to evaluate leadership development</t>
  </si>
  <si>
    <t>Matthew Militello, Maenette K.P. Benham</t>
  </si>
  <si>
    <t>http://pdn.sciencedirect.com/science?_ob=MiamiImageURL&amp;_cid=272081&amp;_user=686465&amp;_pii=S1048984310000913&amp;_check=y&amp;_origin=search&amp;_zone=rslt_list_item&amp;_coverDate=2010-08-31&amp;wchp=dGLbVlS-zSkzV&amp;md5=4a283fac581c2f404cd8d5efe34492ef&amp;pid=1-s2.0-S1048984310000913-main.pdf</t>
  </si>
  <si>
    <t>Reliability and validity of egocentered network data collected via web: A meta-analysis of multilevel multitrait multimethod studies</t>
  </si>
  <si>
    <t>Llu&amp;iacute;s Coromina, Germ&amp;agrave; Coenders</t>
  </si>
  <si>
    <t>http://pdn.sciencedirect.com/science?_ob=MiamiImageURL&amp;_cid=271850&amp;_user=686465&amp;_pii=S0378873305000493&amp;_check=y&amp;_origin=search&amp;_zone=rslt_list_item&amp;_coverDate=2006-07-31&amp;wchp=dGLbVlS-zSkzV&amp;md5=5b9a09a70bdad23e61fd1273ee124c0d&amp;pid=1-s2.0-S0378873305000493-main.pdf</t>
  </si>
  <si>
    <t>Socio-geographic perception in the diffusion of innovation: Solar energy technology in Sri Lanka</t>
  </si>
  <si>
    <t>Menzie McEachern, Susan Hanson</t>
  </si>
  <si>
    <t>Energy Policy</t>
  </si>
  <si>
    <t>http://pdn.sciencedirect.com/science?_ob=MiamiImageURL&amp;_cid=271097&amp;_user=686465&amp;_pii=S0301421508001389&amp;_check=y&amp;_origin=search&amp;_zone=rslt_list_item&amp;_coverDate=2008-07-31&amp;wchp=dGLbVlS-zSkzV&amp;md5=2adf8965492ed286d5068c319d344a72&amp;pid=1-s2.0-S0301421508001389-main.pdf</t>
  </si>
  <si>
    <t>A balance theory approach to group problem solving</t>
  </si>
  <si>
    <t>Gbemisola Adejumo, P. Robert Duimering, Zhehui Zhong</t>
  </si>
  <si>
    <t>http://pdn.sciencedirect.com/science?_ob=MiamiImageURL&amp;_cid=271850&amp;_user=686465&amp;_pii=S0378873307000597&amp;_check=y&amp;_origin=search&amp;_zone=rslt_list_item&amp;_coverDate=2008-01-31&amp;wchp=dGLbVlS-zSkzV&amp;md5=48351448f0e69a7911ea783297079088&amp;pid=1-s2.0-S0378873307000597-main.pdf</t>
  </si>
  <si>
    <t>Expansion of the field of informetrics: Origins and consequences</t>
  </si>
  <si>
    <t>L. Egghe</t>
  </si>
  <si>
    <t>http://pdn.sciencedirect.com/science?_ob=MiamiImageURL&amp;_cid=271647&amp;_user=686465&amp;_pii=S0306457305000245&amp;_check=y&amp;_origin=search&amp;_zone=rslt_list_item&amp;_coverDate=2005-12-31&amp;wchp=dGLbVlS-zSkzV&amp;md5=7fb0bb3254edb4b6f548deba036bd17e&amp;pid=1-s2.0-S0306457305000245-main.pdf</t>
  </si>
  <si>
    <t>CORAAL—Dive into publications, bathe in the knowledge</t>
  </si>
  <si>
    <t>V&amp;iacute;t Nov&amp;aacute;?ek, Tudor Groza, Siegfried Handschuh, Stefan Decker</t>
  </si>
  <si>
    <t>http://pdn.sciencedirect.com/science?_ob=MiamiImageURL&amp;_cid=272989&amp;_user=686465&amp;_pii=S1570826810000272&amp;_check=y&amp;_origin=search&amp;_zone=rslt_list_item&amp;_coverDate=2010-07-31&amp;wchp=dGLbVlS-zSkzV&amp;md5=cc113d8729645540df1dad12cdeb1863&amp;pid=1-s2.0-S1570826810000272-main.pdf</t>
  </si>
  <si>
    <t>An Empirical Analysis of Bidding Fees in Name-your-own-price Auctions</t>
  </si>
  <si>
    <t>Martin Bernhardt, Martin Spann</t>
  </si>
  <si>
    <t>http://pdn.sciencedirect.com/science?_ob=MiamiImageURL&amp;_cid=277809&amp;_user=686465&amp;_pii=S1094996810000423&amp;_check=y&amp;_origin=search&amp;_zone=rslt_list_item&amp;_coverDate=2010-11-30&amp;wchp=dGLbVlS-zSkzV&amp;md5=3d19a9788220480fa2f50276fafe2128&amp;pid=1-s2.0-S1094996810000423-main.pdf</t>
  </si>
  <si>
    <t>Disambiguating identity web references using Web 2.0 data and semantics</t>
  </si>
  <si>
    <t>Matthew Rowe, Fabio Ciravegna</t>
  </si>
  <si>
    <t>http://pdn.sciencedirect.com/science?_ob=MiamiImageURL&amp;_cid=272989&amp;_user=686465&amp;_pii=S1570826810000296&amp;_check=y&amp;_origin=search&amp;_zone=rslt_list_item&amp;_coverDate=2010-07-31&amp;wchp=dGLbVlS-zSkzV&amp;md5=01adc53e1c0f373b212a26eb4cf1020d&amp;pid=1-s2.0-S1570826810000296-main.pdf</t>
  </si>
  <si>
    <t>CMedPort: An integrated approach to facilitating Chinese medical information seeking</t>
  </si>
  <si>
    <t>Yilu Zhou, Jialun Qin, Hsinchun Chen</t>
  </si>
  <si>
    <t>http://pdn.sciencedirect.com/science?_ob=MiamiImageURL&amp;_cid=271653&amp;_user=686465&amp;_pii=S0167923605001685&amp;_check=y&amp;_origin=search&amp;_zone=rslt_list_item&amp;_coverDate=2006-12-31&amp;wchp=dGLbVlS-zSkzV&amp;md5=17f10de6d0466bdab5191b232aba8cca&amp;pid=1-s2.0-S0167923605001685-main.pdf</t>
  </si>
  <si>
    <t>Self-efficacy in information security: Its influence on end users' information security practice behavior</t>
  </si>
  <si>
    <t>Hyeun-Suk Rhee, Cheongtag Kim, Young U. Ryu</t>
  </si>
  <si>
    <t>http://pdn.sciencedirect.com/science?_ob=MiamiImageURL&amp;_cid=271887&amp;_user=686465&amp;_pii=S016740480900056X&amp;_check=y&amp;_origin=search&amp;_zone=rslt_list_item&amp;_coverDate=2009-11-30&amp;wchp=dGLbVlS-zSkzV&amp;md5=a4888c0ffe6b2bed4bc29f8b76f5407f&amp;pid=1-s2.0-S016740480900056X-main.pdf</t>
  </si>
  <si>
    <t>Bridging the gap between tagging and querying vocabularies: Analyses and applications for enhancing multimedia IR</t>
  </si>
  <si>
    <t>Kerstin Bischoff, Claudiu S. Firan, Wolfgang Nejdl, Raluca Paiu</t>
  </si>
  <si>
    <t>http://pdn.sciencedirect.com/science?_ob=MiamiImageURL&amp;_cid=272989&amp;_user=686465&amp;_pii=S1570826810000284&amp;_check=y&amp;_origin=search&amp;_zone=rslt_list_item&amp;_coverDate=2010-07-31&amp;wchp=dGLbVlS-zSkzV&amp;md5=26bd3adbd8f249e5ce16f01faa52761b&amp;pid=1-s2.0-S1570826810000284-main.pdf</t>
  </si>
  <si>
    <t>Index</t>
  </si>
  <si>
    <t>Skyline queries with constraints: Integrating skyline and traditional query operators</t>
  </si>
  <si>
    <t>Ming Zhang, Reda Alhajj</t>
  </si>
  <si>
    <t>http://pdn.sciencedirect.com/science?_ob=MiamiImageURL&amp;_cid=271546&amp;_user=686465&amp;_pii=S0169023X09001438&amp;_check=y&amp;_origin=search&amp;_zone=rslt_list_item&amp;_coverDate=2010-01-31&amp;wchp=dGLbVlS-zSkzV&amp;md5=f172e69990bef73dfe25ee5833bf5d80&amp;pid=1-s2.0-S0169023X09001438-main.pdf</t>
  </si>
  <si>
    <t>Modeling and querying graphical representations of statistical data</t>
  </si>
  <si>
    <t>Michel Dumontier, Leo Ferres, Natalia Villanueva-Rosales</t>
  </si>
  <si>
    <t>http://pdn.sciencedirect.com/science?_ob=MiamiImageURL&amp;_cid=272989&amp;_user=686465&amp;_pii=S1570826809000766&amp;_check=y&amp;_origin=search&amp;_zone=rslt_list_item&amp;_coverDate=2010-07-31&amp;wchp=dGLbVlS-zSkzV&amp;md5=1151b134edabaf9f798a87654917f4e5&amp;pid=1-s2.0-S1570826809000766-main.pdf</t>
  </si>
  <si>
    <t>Networks of strong ties</t>
  </si>
  <si>
    <t>Xiaolin Shi, Lada A. Adamic, Martin J. Strauss</t>
  </si>
  <si>
    <t>http://pdn.sciencedirect.com/science?_ob=MiamiImageURL&amp;_cid=271529&amp;_user=686465&amp;_pii=S0378437106012635&amp;_check=y&amp;_origin=search&amp;_zone=rslt_list_item&amp;_coverDate=2007-05-01&amp;wchp=dGLbVlS-zSkzV&amp;md5=665cb9fa86b1e4d0eb4f92a790796f51&amp;pid=1-s2.0-S0378437106012635-main.pdf</t>
  </si>
  <si>
    <t>Chapter 1 - Overview: The Social Life of KM Tools</t>
  </si>
  <si>
    <t>Madanmohan Rao</t>
  </si>
  <si>
    <t>Subject Index</t>
  </si>
  <si>
    <t>The JAL Guide to the Professional Literature</t>
  </si>
  <si>
    <t>Laura Reiner, Leslie Stebbins</t>
  </si>
  <si>
    <t>The Journal of Academic Librarianship</t>
  </si>
  <si>
    <t>http://pdn.sciencedirect.com/science?_ob=MiamiImageURL&amp;_cid=272069&amp;_user=686465&amp;_pii=S0099133309000846&amp;_check=y&amp;_origin=search&amp;_zone=rslt_list_item&amp;_coverDate=2009-07-31&amp;wchp=dGLbVlS-zSkzV&amp;md5=8576f1f6a81c7676225916bbf424d68a&amp;pid=1-s2.0-S0099133309000846-main.pdf</t>
  </si>
  <si>
    <t>Chapter 30 - Integrated KM Solutions: The Experience of Entopia</t>
  </si>
  <si>
    <t>Peter Katz, Manfred Lugmayr</t>
  </si>
  <si>
    <t>Barry Wellman, Editors, Networks in the Global Village: Life in Contemporary Communites (1999) Westview Press,Boulder, CO xxiv + 377 pp.</t>
  </si>
  <si>
    <t>Rick Grannis</t>
  </si>
  <si>
    <t>http://pdn.sciencedirect.com/science?_ob=MiamiImageURL&amp;_cid=271850&amp;_user=686465&amp;_pii=S0378873304000462&amp;_check=y&amp;_origin=search&amp;_zone=rslt_list_item&amp;_coverDate=2004-10-31&amp;wchp=dGLbVlS-zSkzV&amp;md5=dd51a2deb9c167b4c0080fd3cb6c4ace&amp;pid=1-s2.0-S0378873304000462-main.pdf</t>
  </si>
  <si>
    <t>About the Contributors</t>
  </si>
  <si>
    <t>2010 Public Relations Review Bibliography Issue</t>
  </si>
  <si>
    <t>Public Relations Review</t>
  </si>
  <si>
    <t>http://pdn.sciencedirect.com/science?_ob=MiamiImageURL&amp;_cid=272104&amp;_user=686465&amp;_pii=S0363811110000834&amp;_check=y&amp;_origin=search&amp;_zone=rslt_list_item&amp;_coverDate=2010-12-31&amp;wchp=dGLbVlS-zSkzV&amp;md5=05093a67fa612e255aa75b507808ef84&amp;pid=1-s2.0-S0363811110000834-main.pdf</t>
  </si>
  <si>
    <t>Ethics and defense agency funding: some considerations</t>
  </si>
  <si>
    <t>Rebecca Goolsby</t>
  </si>
  <si>
    <t>http://pdn.sciencedirect.com/science?_ob=MiamiImageURL&amp;_cid=271850&amp;_user=686465&amp;_pii=S0378873305000134&amp;_check=y&amp;_origin=search&amp;_zone=rslt_list_item&amp;_coverDate=2005-05-31&amp;wchp=dGLbVlS-zSkzV&amp;md5=d4fa4e9693ff606d1c9711096a3e0d1f&amp;pid=1-s2.0-S0378873305000134-main.pdf</t>
  </si>
  <si>
    <t>International Encyclopedia of the Social &amp; Behavioral Sciences</t>
  </si>
  <si>
    <t>http://pdn.sciencedirect.com/science?_ob=MiamiImageURL&amp;_cid=272777&amp;_user=686465&amp;_pii=B0080430767991095&amp;_check=y&amp;_origin=search&amp;_zone=rslt_list_item&amp;_coverDate=2004-12-31&amp;_idxType=subject&amp;wchp=dGLbVlS-zSkzV&amp;md5=bb1c11219128190b3170647ba1cfe987&amp;pid=3-s2.0-B0080430767991095-main.pdf</t>
  </si>
  <si>
    <t>Contents</t>
  </si>
  <si>
    <t>http://pdn.sciencedirect.com/science?_ob=MiamiImageURL&amp;_cid=271761&amp;_user=686465&amp;_pii=S0168851009002243&amp;_check=y&amp;_origin=search&amp;_zone=rslt_list_item&amp;_coverDate=2009-10-31&amp;_docsubtype=con&amp;wchp=dGLbVlS-zSkzV&amp;md5=da6e5ea3817f92df076938da103e0fe5&amp;pid=1-s2.0-S0168851009002243-main.pdf</t>
  </si>
  <si>
    <t>Chapter 1 - A Brief History of the Web</t>
  </si>
  <si>
    <t>Gottfried Vossen, Stephan Hagemann</t>
  </si>
  <si>
    <t>Unleashing Web 2.0</t>
  </si>
  <si>
    <t>http://pdn.sciencedirect.com/science?_ob=MiamiImageURL&amp;_cid=277060&amp;_user=686465&amp;_pii=B9780123740342500022&amp;_check=y&amp;_origin=search&amp;_zone=rslt_list_item&amp;_coverDate=2007-12-31&amp;wchp=dGLbVlS-zSkzV&amp;md5=a91bc350195b62d1237092e5c5683248&amp;pid=3-s2.0-B9780123740342500022-main.pdf</t>
  </si>
  <si>
    <t>Knowledge, economy, technology and society: The politics of discourse</t>
  </si>
  <si>
    <t>David Rooney</t>
  </si>
  <si>
    <t>Telematics and Informatics</t>
  </si>
  <si>
    <t>http://pdn.sciencedirect.com/science?_ob=MiamiImageURL&amp;_cid=271579&amp;_user=686465&amp;_pii=S0736585305000225&amp;_check=y&amp;_origin=search&amp;_zone=rslt_list_item&amp;_coverDate=2005-11-30&amp;wchp=dGLbVlS-zSkzV&amp;md5=56a44dec1ef389a9a83fe6cfe8870aa5&amp;pid=1-s2.0-S0736585305000225-main.pdf</t>
  </si>
  <si>
    <t>Editorial Board</t>
  </si>
  <si>
    <t>http://pdn.sciencedirect.com/science?_ob=MiamiImageURL&amp;_cid=271850&amp;_user=686465&amp;_pii=S0378873310000419&amp;_check=y&amp;_origin=search&amp;_zone=rslt_list_item&amp;_coverDate=2010-10-31&amp;_docsubtype=edb&amp;wchp=dGLbVlS-zSkzV&amp;md5=6290df7a59fd14851dc2abd32c6ff884&amp;pid=1-s2.0-S0378873310000419-main.pdf</t>
  </si>
  <si>
    <t>Editorial</t>
  </si>
  <si>
    <t>Philip Hills</t>
  </si>
  <si>
    <t>http://pdn.sciencedirect.com/science?_ob=MiamiImageURL&amp;_cid=271677&amp;_user=686465&amp;_pii=S0268401207000047&amp;_check=y&amp;_origin=search&amp;_zone=rslt_list_item&amp;_coverDate=2007-04-30&amp;wchp=dGLbVlS-zSkzV&amp;md5=e1fb30396f1f4b2fb4f0345998f39c0d&amp;pid=1-s2.0-S0268401207000047-main.pdf</t>
  </si>
  <si>
    <t>http://pdn.sciencedirect.com/science?_ob=MiamiImageURL&amp;_cid=271850&amp;_user=686465&amp;_pii=S0378873309000392&amp;_check=y&amp;_origin=search&amp;_zone=rslt_list_item&amp;_coverDate=2009-10-31&amp;_docsubtype=edb&amp;wchp=dGLbVlS-zSkzV&amp;md5=4eb6ccc4d791649e864164b2afbb2c5b&amp;pid=1-s2.0-S0378873309000392-main.pdf</t>
  </si>
  <si>
    <t>http://pdn.sciencedirect.com/science?_ob=MiamiImageURL&amp;_cid=271850&amp;_user=686465&amp;_pii=S0378873309000240&amp;_check=y&amp;_origin=search&amp;_zone=rslt_list_item&amp;_coverDate=2009-07-31&amp;_docsubtype=edb&amp;wchp=dGLbVlS-zSkzV&amp;md5=6eb9aaf25b0cd0061cd0d22882a15d0d&amp;pid=1-s2.0-S0378873309000240-main.pdf</t>
  </si>
  <si>
    <t>http://pdn.sciencedirect.com/science?_ob=MiamiImageURL&amp;_cid=271850&amp;_user=686465&amp;_pii=S0378873310000249&amp;_check=y&amp;_origin=search&amp;_zone=rslt_list_item&amp;_coverDate=2010-07-31&amp;_docsubtype=edb&amp;wchp=dGLbVlS-zSkzV&amp;md5=1ea5e53293549404d0435162f3a75883&amp;pid=1-s2.0-S0378873310000249-main.pdf</t>
  </si>
  <si>
    <t>http://pdn.sciencedirect.com/science?_ob=MiamiImageURL&amp;_cid=271850&amp;_user=686465&amp;_pii=S0378873308000439&amp;_check=y&amp;_origin=search&amp;_zone=rslt_list_item&amp;_coverDate=2008-10-31&amp;_docsubtype=edb&amp;wchp=dGLbVlS-zSkzV&amp;md5=b385a24443e738669d7cbfccd78fe519&amp;pid=1-s2.0-S0378873308000439-main.pdf</t>
  </si>
  <si>
    <t>http://pdn.sciencedirect.com/science?_ob=MiamiImageURL&amp;_cid=271850&amp;_user=686465&amp;_pii=S0378873308000610&amp;_check=y&amp;_origin=search&amp;_zone=rslt_list_item&amp;_coverDate=2009-01-31&amp;_docsubtype=edb&amp;wchp=dGLbVlS-zSkzV&amp;md5=5f8db394f7a7e043def415d079e94113&amp;pid=1-s2.0-S0378873308000610-main.pdf</t>
  </si>
  <si>
    <t>http://pdn.sciencedirect.com/science?_ob=MiamiImageURL&amp;_cid=271850&amp;_user=686465&amp;_pii=S0378873309000598&amp;_check=y&amp;_origin=search&amp;_zone=rslt_list_item&amp;_coverDate=2010-01-31&amp;_docsubtype=edb&amp;wchp=dGLbVlS-zSkzV&amp;md5=10f9628054f020918b85b44d3da19765&amp;pid=1-s2.0-S0378873309000598-main.pdf</t>
  </si>
  <si>
    <t>http://pdn.sciencedirect.com/science?_ob=MiamiImageURL&amp;_cid=271850&amp;_user=686465&amp;_pii=S0378873309000100&amp;_check=y&amp;_origin=search&amp;_zone=rslt_list_item&amp;_coverDate=2009-05-31&amp;_docsubtype=edb&amp;wchp=dGLbVlS-zSkzV&amp;md5=1ab8c553fc7eedfbe4e05511c61f6f7e&amp;pid=1-s2.0-S0378873309000100-main.pdf</t>
  </si>
  <si>
    <t>http://pdn.sciencedirect.com/science?_ob=MiamiImageURL&amp;_cid=271850&amp;_user=686465&amp;_pii=S0378873310000055&amp;_check=y&amp;_origin=search&amp;_zone=rslt_list_item&amp;_coverDate=2010-05-31&amp;_docsubtype=edb&amp;wchp=dGLbVlS-zSkzV&amp;md5=26d5083c7fc3502bb0d0a3fa59b53504&amp;pid=1-s2.0-S0378873310000055-main.pdf</t>
  </si>
  <si>
    <t>Editorial Board / Publication Information</t>
  </si>
  <si>
    <t>http://pdn.sciencedirect.com/science?_ob=MiamiImageURL&amp;_cid=271850&amp;_user=686465&amp;_pii=S0378873308000300&amp;_check=y&amp;_origin=search&amp;_zone=rslt_list_item&amp;_coverDate=2008-07-31&amp;_docsubtype=edb&amp;wchp=dGLbVlS-zSkzV&amp;md5=6dc90449d79f8379fe66db9b6950d4f8&amp;pid=1-s2.0-S0378873308000300-main.pdf</t>
  </si>
  <si>
    <t>Institutions</t>
  </si>
  <si>
    <t>http://pdn.sciencedirect.com/science?_ob=MiamiImageURL&amp;_cid=272517&amp;_user=686465&amp;_pii=S089083891000048X&amp;_check=y&amp;_origin=search&amp;_zone=rslt_list_item&amp;_coverDate=2010-12-31&amp;wchp=dGLbVlS-zSkzV&amp;md5=83197316d97d9da3fbd5e49f2eaaf988&amp;pid=1-s2.0-S089083891000048X-main.pdf</t>
  </si>
  <si>
    <t>The morphosyntax of varieties of English worldwide: A quantitative perspective</t>
  </si>
  <si>
    <t>Benedikt Szmrecsanyi, Bernd Kortmann</t>
  </si>
  <si>
    <t>http://pdn.sciencedirect.com/science?_ob=MiamiImageURL&amp;_cid=271778&amp;_user=686465&amp;_pii=S0024384108001721&amp;_check=y&amp;_origin=search&amp;_zone=rslt_list_item&amp;_coverDate=2009-11-30&amp;wchp=dGLbVlS-zSkzV&amp;md5=91bd0ae9917a6c2dfeaa34aabb3889f2&amp;pid=1-s2.0-S0024384108001721-main.pdf</t>
  </si>
  <si>
    <t>Childhood peer relationships: social acceptance, friendships, and peer networks</t>
  </si>
  <si>
    <t>Mary E Gifford-Smith, Celia A Brownell</t>
  </si>
  <si>
    <t>http://pdn.sciencedirect.com/science?_ob=MiamiImageURL&amp;_cid=272058&amp;_user=686465&amp;_pii=S0022440503000487&amp;_check=y&amp;_origin=search&amp;_zone=rslt_list_item&amp;_coverDate=2003-08-31&amp;wchp=dGLbVlS-zSkzV&amp;md5=b52d6384100cc67ee2d07ae111cf6098&amp;pid=1-s2.0-S0022440503000487-main.pdf</t>
  </si>
  <si>
    <t>Everyday life as an intelligence test: Effects of intelligence and intelligence context</t>
  </si>
  <si>
    <t>Robert A. Gordon</t>
  </si>
  <si>
    <t>Intelligence</t>
  </si>
  <si>
    <t>http://pdn.sciencedirect.com/science?_ob=MiamiImageURL&amp;_cid=272071&amp;_user=686465&amp;_pii=S0160289697900179&amp;_check=y&amp;_origin=search&amp;_zone=rslt_list_item&amp;_coverDate=1997-02-28&amp;wchp=dGLbVlS-zSkzV&amp;md5=d77ead254c1268430262c9a54f5981f9&amp;pid=1-s2.0-S0160289697900179-main.pdf</t>
  </si>
  <si>
    <t>Tuesday Posters</t>
  </si>
  <si>
    <t>Journal of the American Society for Mass Spectrometry</t>
  </si>
  <si>
    <t>http://pdn.sciencedirect.com/science?_ob=MiamiImageURL&amp;_cid=271362&amp;_user=686465&amp;_pii=S1044030509002001&amp;_check=y&amp;_origin=search&amp;_zone=rslt_list_item&amp;_coverDate=2009-05-31&amp;wchp=dGLbVlS-zSkzV&amp;md5=47aaa51f98e6d6459500f0ab3c971c9b&amp;pid=1-s2.0-S1044030509002001-main.pdf</t>
  </si>
  <si>
    <t>Volume 30 Contents, Subject Index and Author Index</t>
  </si>
  <si>
    <t>http://pdn.sciencedirect.com/science?_ob=MiamiImageURL&amp;_cid=271774&amp;_user=686465&amp;_pii=S0172219008001245&amp;_check=y&amp;_origin=search&amp;_zone=rslt_list_item&amp;_coverDate=2008-12-31&amp;wchp=dGLbVlS-zSkzV&amp;md5=b6a3ad3dcc9a51434c0fb66705380466&amp;pid=1-s2.0-S0172219008001245-main.pdf</t>
  </si>
  <si>
    <t>Qualitative Research in Sport Management</t>
  </si>
  <si>
    <t>TOC</t>
  </si>
  <si>
    <t>http://pdn.sciencedirect.com/science?_ob=MiamiImageURL&amp;_cid=273565&amp;_user=686465&amp;_pii=S1067502707000606&amp;_check=y&amp;_origin=search&amp;_zone=rslt_list_item&amp;_coverDate=2007-06-30&amp;_docsubtype=con&amp;wchp=dGLbVlS-zSkzV&amp;md5=25fe4b4bccdc2e772c3a6e6e6c20026f&amp;pid=1-s2.0-S1067502707000606-main.pdf</t>
  </si>
  <si>
    <t>Chapter Six - Pillar Two: Performance Management through a Knowledge Management Lens</t>
  </si>
  <si>
    <t>Addressing the Human Capital Crisis in the Federal Government</t>
  </si>
  <si>
    <t>Business Intelligence</t>
  </si>
  <si>
    <t>http://pdn.sciencedirect.com/science?_ob=MiamiImageURL&amp;_cid=276048&amp;_user=686465&amp;_pii=B978155860916750018X&amp;_check=y&amp;_origin=search&amp;_zone=rslt_list_item&amp;_coverDate=2003-12-31&amp;wchp=dGLbVlS-zSkzV&amp;md5=2dd781b736258133d7d28361efdfe221&amp;pid=3-s2.0-B978155860916750018X-main.pdf</t>
  </si>
  <si>
    <t>Knowledge management system architecture: a bridge between KM consultants and technologists</t>
  </si>
  <si>
    <t>Alton Chua</t>
  </si>
  <si>
    <t>http://pdn.sciencedirect.com/science?_ob=MiamiImageURL&amp;_cid=271677&amp;_user=686465&amp;_pii=S0268401203001233&amp;_check=y&amp;_origin=search&amp;_zone=rslt_list_item&amp;_coverDate=2004-02-29&amp;wchp=dGLbVlS-zSkzV&amp;md5=9fb5474cdd9ebc23b9db4e8460147abd&amp;pid=1-s2.0-S0268401203001233-main.pdf</t>
  </si>
  <si>
    <t>Exploring the future of human communication via computer</t>
  </si>
  <si>
    <t>Murray Turoff, Starr Roxanne Hiltz</t>
  </si>
  <si>
    <t>Computer Compacts</t>
  </si>
  <si>
    <t>http://pdn.sciencedirect.com/science?_ob=MiamiImageURL&amp;_cid=272937&amp;_user=686465&amp;_pii=0167713683900057&amp;_check=y&amp;_origin=search&amp;_zone=rslt_list_item&amp;_coverDate=1983-04-30&amp;wchp=dGLbVlS-zSkzV&amp;md5=a08b0e061c9ab97ad965e81b2e32623b&amp;pid=1-s2.0-0167713683900057-main.pdf</t>
  </si>
  <si>
    <t>Chapter 22 - “A Fool with a Tool Is Still a Fool …”</t>
  </si>
  <si>
    <t>Ritendra Banerjee</t>
  </si>
  <si>
    <t>The user interface of the data analysis package: some lines of development</t>
  </si>
  <si>
    <t>Stephen K. Tagg</t>
  </si>
  <si>
    <t>International Journal of Man-Machine Studies</t>
  </si>
  <si>
    <t>http://pdn.sciencedirect.com/science?_ob=MiamiImageURL&amp;_cid=273487&amp;_user=686465&amp;_pii=S0020737381800600&amp;_check=y&amp;_origin=search&amp;_zone=rslt_list_item&amp;_coverDate=1981-04-30&amp;wchp=dGLbVlS-zSkzV&amp;md5=88aa08fcdf0d53d7ff64add495cdb9cc&amp;pid=1-s2.0-S0020737381800600-main.pdf</t>
  </si>
  <si>
    <t>Chapter Five - Knowledge Management: The Key Pillar in a Human Capital Strategy</t>
  </si>
  <si>
    <t>Chapter 1 - Introduction</t>
  </si>
  <si>
    <t>http://pdn.sciencedirect.com/science?_ob=MiamiImageURL&amp;_cid=275412&amp;_user=686465&amp;_pii=B9781558607545500021&amp;_check=y&amp;_origin=search&amp;_zone=rslt_list_item&amp;_coverDate=2003-12-31&amp;wchp=dGLbVlS-zSkzV&amp;md5=a0002dd77425ee7d39ca6f0d6741a9a0&amp;pid=3-s2.0-B9781558607545500021-main.pdf</t>
  </si>
  <si>
    <t>Chapter 8 - Collaborative Inquiry Tutors</t>
  </si>
  <si>
    <t>Beverly Park Woolf</t>
  </si>
  <si>
    <t>Subject Index to Volume 47</t>
  </si>
  <si>
    <t>http://pdn.sciencedirect.com/science?_ob=MiamiImageURL&amp;_cid=271653&amp;_user=686465&amp;_pii=S0167923609001948&amp;_check=y&amp;_origin=search&amp;_zone=rslt_list_item&amp;_coverDate=2009-11-30&amp;wchp=dGLbVlS-zSkzV&amp;md5=d4b9f301e1d4eb7360db793f6e0c658b&amp;pid=1-s2.0-S0167923609001948-main.pdf</t>
  </si>
  <si>
    <t>Measuring Situation Awareness in complex systems: Comparison of measures study</t>
  </si>
  <si>
    <t>Paul M. Salmon, Neville A. Stanton, Guy H. Walker, Daniel Jenkins, Darshna Ladva, Laura Rafferty, Mark Young</t>
  </si>
  <si>
    <t>http://pdn.sciencedirect.com/science?_ob=MiamiImageURL&amp;_cid=271473&amp;_user=686465&amp;_pii=S0169814108001625&amp;_check=y&amp;_origin=search&amp;_zone=rslt_list_item&amp;_coverDate=2009-05-31&amp;wchp=dGLbVlS-zSkzV&amp;md5=e30b59b1aa4f0a6fdf6dfbc90d17048a&amp;pid=1-s2.0-S0169814108001625-main.pdf</t>
  </si>
  <si>
    <t>Managing for Knowledge</t>
  </si>
  <si>
    <t>Chapter 21 - Prospects for the Future of Data Mining and Text Mining as Part of Our Everyday Lives</t>
  </si>
  <si>
    <t>Robert Nisbet, John Elder, Gary Miner</t>
  </si>
  <si>
    <t>Handbook of Statistical Analysis and Data Mining Applications</t>
  </si>
  <si>
    <t>Innovation and sustainability in print-on-paper: a comparison of nanoparticle and deinking niches as emergent sociotechnical networks</t>
  </si>
  <si>
    <t>Fred Steward, Joyce C.S. Tsoi, Anne-Marie Coles</t>
  </si>
  <si>
    <t>Journal of Cleaner Production</t>
  </si>
  <si>
    <t>http://pdn.sciencedirect.com/science?_ob=MiamiImageURL&amp;_cid=271750&amp;_user=686465&amp;_pii=S0959652607001151&amp;_check=y&amp;_origin=search&amp;_zone=rslt_list_item&amp;_coverDate=2008-06-30&amp;wchp=dGLbVlS-zSkzV&amp;md5=6662bb9c80da771e45dff4c1d5d9bebf&amp;pid=1-s2.0-S0959652607001151-main.pdf</t>
  </si>
  <si>
    <t>http://pdn.sciencedirect.com/science?_ob=MiamiImageURL&amp;_cid=273418&amp;_user=686465&amp;_pii=B0123693985900082&amp;_check=y&amp;_origin=search&amp;_zone=rslt_list_item&amp;_coverDate=2005-12-31&amp;_idxType=subject&amp;wchp=dGLbVlS-zSkzV&amp;md5=a824a2da11167c78252a0556bdc6ff77&amp;pid=3-s2.0-B0123693985900082-main.pdf</t>
  </si>
  <si>
    <t>Interactive semantics</t>
  </si>
  <si>
    <t>Hai Zhuge</t>
  </si>
  <si>
    <t>Artificial Intelligence</t>
  </si>
  <si>
    <t>http://pdn.sciencedirect.com/science?_ob=MiamiImageURL&amp;_cid=271585&amp;_user=686465&amp;_pii=S0004370209001441&amp;_check=y&amp;_origin=search&amp;_zone=rslt_list_item&amp;_coverDate=2010-02-28&amp;wchp=dGLbVlS-zSkzV&amp;md5=7e91828476011c048d8e3c111ebd2a51&amp;pid=1-s2.0-S0004370209001441-main.pdf</t>
  </si>
  <si>
    <t>A two-way analysis of variance model with positive definite interaction for homologous factors</t>
  </si>
  <si>
    <t>David Causeur, Thierry Dhorne, Arlette Antoni</t>
  </si>
  <si>
    <t>Journal of Multivariate Analysis</t>
  </si>
  <si>
    <t>http://pdn.sciencedirect.com/science?_ob=MiamiImageURL&amp;_cid=272481&amp;_user=686465&amp;_pii=S0047259X04001617&amp;_check=y&amp;_origin=search&amp;_zone=rslt_list_item&amp;_coverDate=2005-08-31&amp;wchp=dGLbVlS-zSkzV&amp;md5=759457568be278d639e2a5fa3076d73d&amp;pid=1-s2.0-S0047259X04001617-main.pdf</t>
  </si>
  <si>
    <t>Introduction to the special issue of JWS with selected papers from ISWC 2005</t>
  </si>
  <si>
    <t>Yolanda Gil, Enrico Motta</t>
  </si>
  <si>
    <t>http://pdn.sciencedirect.com/science?_ob=MiamiImageURL&amp;_cid=272989&amp;_user=686465&amp;_pii=S1570826806000576&amp;_check=y&amp;_origin=search&amp;_zone=rslt_list_item&amp;_coverDate=2007-03-31&amp;wchp=dGLbVlS-zSkzV&amp;md5=6ae0db7159c484dbde4c7f754eeb5e05&amp;pid=1-s2.0-S1570826806000576-main.pdf</t>
  </si>
  <si>
    <t>Volume Contents and Author Index</t>
  </si>
  <si>
    <t>http://pdn.sciencedirect.com/science?_ob=MiamiImageURL&amp;_cid=271677&amp;_user=686465&amp;_pii=S0268401207001302&amp;_check=y&amp;_origin=search&amp;_zone=rslt_list_item&amp;_coverDate=2007-12-31&amp;wchp=dGLbVlS-zSkzV&amp;md5=f83a746c89bae6a72db40ea4896e6cb7&amp;pid=1-s2.0-S0268401207001302-main.pdf</t>
  </si>
  <si>
    <t>Subject index to volume 46</t>
  </si>
  <si>
    <t>http://pdn.sciencedirect.com/science?_ob=MiamiImageURL&amp;_cid=271653&amp;_user=686465&amp;_pii=S0167923609000517&amp;_check=y&amp;_origin=search&amp;_zone=rslt_list_item&amp;_coverDate=2009-03-31&amp;wchp=dGLbVlS-zSkzV&amp;md5=d5a21c1e2ce1f6fc58f621400ad41c46&amp;pid=1-s2.0-S0167923609000517-main.pdf</t>
  </si>
  <si>
    <t>http://pdn.sciencedirect.com/science?_ob=MiamiImageURL&amp;_cid=271850&amp;_user=686465&amp;_pii=S037887330800018X&amp;_check=y&amp;_origin=search&amp;_zone=rslt_list_item&amp;_coverDate=2008-05-31&amp;_docsubtype=edb&amp;wchp=dGLbVlS-zSkzV&amp;md5=a96fcb3745462767b45fc72c35ef0c79&amp;pid=1-s2.0-S037887330800018X-main.pdf</t>
  </si>
  <si>
    <t>Chapter 16 - Quick Reference Guide</t>
  </si>
  <si>
    <t>David Loshin</t>
  </si>
  <si>
    <t>http://pdn.sciencedirect.com/science?_ob=MiamiImageURL&amp;_cid=276048&amp;_user=686465&amp;_pii=B9781558609167500178&amp;_check=y&amp;_origin=search&amp;_zone=rslt_list_item&amp;_coverDate=2003-12-31&amp;wchp=dGLbVlS-zSkzV&amp;md5=df987e1936f204503621eac0c395ed0b&amp;pid=3-s2.0-B9781558609167500178-main.pdf</t>
  </si>
  <si>
    <t>Schedule of Poster Presentations and List of Posters</t>
  </si>
  <si>
    <t>NeuroImage</t>
  </si>
  <si>
    <t>http://pdn.sciencedirect.com/science?_ob=MiamiImageURL&amp;_cid=272508&amp;_user=686465&amp;_pii=S1053811909003528&amp;_check=y&amp;_origin=search&amp;_zone=rslt_list_item&amp;_coverDate=2009-07-31&amp;wchp=dGLbVlS-zSkzV&amp;md5=4e12f9fb10a45f91b4f53f206a4d24c8&amp;pid=1-s2.0-S1053811909003528-main.pdf</t>
  </si>
  <si>
    <t>Chapter 6 - Networking</t>
  </si>
  <si>
    <t>Patricia Rankin, Joyce McCarl Nielsen</t>
  </si>
  <si>
    <t>Success Strategies for Women in Science</t>
  </si>
  <si>
    <t>http://pdn.sciencedirect.com/science?_ob=MiamiImageURL&amp;_cid=274021&amp;_user=686465&amp;_pii=B9780120884117500476&amp;_check=y&amp;_origin=search&amp;_zone=rslt_list_item&amp;_coverDate=2006-12-31&amp;wchp=dGLbVlS-zSkzV&amp;md5=bf7344b9eacd4ec8c90c6464ad42aba5&amp;pid=3-s2.0-B9780120884117500476-main.pdf</t>
  </si>
  <si>
    <t>On simultaneous planar graph embeddings</t>
  </si>
  <si>
    <t>Peter Brass, Eowyn Cenek, Cristian A. Duncan, Alon Efrat, Cesim Erten, Dan P. Ismailescu, Stephen G. Kobourov, Anna Lubiw, Joseph S.B. Mitchell</t>
  </si>
  <si>
    <t>Computational Geometry</t>
  </si>
  <si>
    <t>http://pdn.sciencedirect.com/science?_ob=MiamiImageURL&amp;_cid=271512&amp;_user=686465&amp;_pii=S0925772106000630&amp;_check=y&amp;_origin=search&amp;_zone=rslt_list_item&amp;_coverDate=2007-02-28&amp;wchp=dGLbVlS-zSkzV&amp;md5=6bc7f87a347c857bc6f5699e1ac5d049&amp;pid=1-s2.0-S0925772106000630-main.pdf</t>
  </si>
  <si>
    <t>Chapter 4 - The Power of Knowledge-pattern Recognition</t>
  </si>
  <si>
    <t>Bryan Davis</t>
  </si>
  <si>
    <t>World Congress on Intellectual Capital Readings</t>
  </si>
  <si>
    <t>Chapter 5 - The Role of Networks</t>
  </si>
  <si>
    <t>Paul Lynch, Alison Morrison</t>
  </si>
  <si>
    <t>Micro-Clusters and Networks</t>
  </si>
  <si>
    <t>Dependencies between players in Boolean games</t>
  </si>
  <si>
    <t>Elise Bonzon, Marie-Christine Lagasquie-Schiex, J&amp;eacute;r&amp;ocirc;me Lang</t>
  </si>
  <si>
    <t>http://pdn.sciencedirect.com/science?_ob=MiamiImageURL&amp;_cid=271876&amp;_user=686465&amp;_pii=S0888613X09000413&amp;_check=y&amp;_origin=search&amp;_zone=rslt_list_item&amp;_coverDate=2009-06-30&amp;wchp=dGLbVlS-zSkzV&amp;md5=ecdbd8bb2cc9924757d1f7c86a1e10da&amp;pid=1-s2.0-S0888613X09000413-main.pdf</t>
  </si>
  <si>
    <t>Using computer supported collaborative learning strategies for helping students acquire self-regulated problem-solving skills in mathematics</t>
  </si>
  <si>
    <t>Georgia Lazakidou, Symeon Retalis</t>
  </si>
  <si>
    <t>http://pdn.sciencedirect.com/science?_ob=MiamiImageURL&amp;_cid=271849&amp;_user=686465&amp;_pii=S0360131509000499&amp;_check=y&amp;_origin=search&amp;_zone=rslt_list_item&amp;_coverDate=2010-01-31&amp;wchp=dGLbVlS-zSkzV&amp;md5=ca81dfb3f0adbc023864cb9259a543dd&amp;pid=1-s2.0-S0360131509000499-main.pdf</t>
  </si>
  <si>
    <t>Chapter 2 - The Value of Business Intelligence</t>
  </si>
  <si>
    <t>http://pdn.sciencedirect.com/science?_ob=MiamiImageURL&amp;_cid=276048&amp;_user=686465&amp;_pii=B9781558609167500038&amp;_check=y&amp;_origin=search&amp;_zone=rslt_list_item&amp;_coverDate=2003-12-31&amp;wchp=dGLbVlS-zSkzV&amp;md5=bad2c62b7735bff32d22be5718518128&amp;pid=3-s2.0-B9781558609167500038-main.pdf</t>
  </si>
  <si>
    <t>A generic lexical URL segmentation framework for counting links, colinks or URLs</t>
  </si>
  <si>
    <t>http://pdn.sciencedirect.com/science?_ob=MiamiImageURL&amp;_cid=272068&amp;_user=686465&amp;_pii=S0740818808000315&amp;_check=y&amp;_origin=search&amp;_zone=rslt_list_item&amp;_coverDate=2008-06-30&amp;wchp=dGLbVlS-zSkzV&amp;md5=e42db5c555e370c87bbb1188d268ddc8&amp;pid=1-s2.0-S0740818808000315-main.pdf</t>
  </si>
  <si>
    <t>Special issue: Emerging techniques for multimedia content sharing, search and understanding</t>
  </si>
  <si>
    <t>Journal of Visual Communication and Image Representation</t>
  </si>
  <si>
    <t>http://pdn.sciencedirect.com/science?_ob=MiamiImageURL&amp;_cid=272324&amp;_user=686465&amp;_pii=S1047320308000163&amp;_check=y&amp;_origin=search&amp;_zone=rslt_list_item&amp;_coverDate=2008-04-30&amp;_docsubtype=ann&amp;wchp=dGLbVlS-zSkzV&amp;md5=e6f0d8a86f4d538dc8000b33e00b9bcc&amp;pid=1-s2.0-S1047320308000163-main.pdf</t>
  </si>
  <si>
    <t>http://pdn.sciencedirect.com/science?_ob=MiamiImageURL&amp;_cid=271850&amp;_user=686465&amp;_pii=S0378873306000177&amp;_check=y&amp;_origin=search&amp;_zone=rslt_list_item&amp;_coverDate=2006-07-31&amp;_docsubtype=edb&amp;wchp=dGLbVlS-zSkzV&amp;md5=95c7abf143c95054585085dfcef27d96&amp;pid=1-s2.0-S0378873306000177-main.pdf</t>
  </si>
  <si>
    <t>Goldschmidt Abstracts 2009 – L</t>
  </si>
  <si>
    <t>Geochimica et Cosmochimica Acta</t>
  </si>
  <si>
    <t>http://pdn.sciencedirect.com/science?_ob=MiamiImageURL&amp;_cid=271865&amp;_user=686465&amp;_pii=S0016703709002634&amp;_check=y&amp;_origin=search&amp;_zone=rslt_list_item&amp;_coverDate=2009-06-30&amp;wchp=dGLbVlS-zSkzV&amp;md5=759d6060995b5c5bd3e361ef5f30851f&amp;pid=1-s2.0-S0016703709002634-main.pdf</t>
  </si>
  <si>
    <t>Documenting collaborative learning: what should be measured and how?</t>
  </si>
  <si>
    <t>Sadhana Puntambekar, Rosemary Luckin</t>
  </si>
  <si>
    <t>http://pdn.sciencedirect.com/science?_ob=MiamiImageURL&amp;_cid=271849&amp;_user=686465&amp;_pii=S0360131503000873&amp;_check=y&amp;_origin=search&amp;_zone=rslt_list_item&amp;_coverDate=2003-12-31&amp;wchp=dGLbVlS-zSkzV&amp;md5=f01b7535d2ea31e2cf93d27de602d148&amp;pid=1-s2.0-S0360131503000873-main.pdf</t>
  </si>
  <si>
    <t>Requisite Connectivity:: Finding Flow in a Not-So-Flat World</t>
  </si>
  <si>
    <t>DARL G. KOLB, PAUL D. COLLINS, E. ALLAN LIND</t>
  </si>
  <si>
    <t>Organizational Dynamics</t>
  </si>
  <si>
    <t>http://pdn.sciencedirect.com/science?_ob=MiamiImageURL&amp;_cid=272151&amp;_user=686465&amp;_pii=S0090261608000156&amp;_check=y&amp;_origin=search&amp;_zone=rslt_list_item&amp;_coverDate=2008-06-30&amp;wchp=dGLbVlS-zSkzV&amp;md5=51f18265bf285580639fa2fddda63071&amp;pid=1-s2.0-S0090261608000156-main.pdf</t>
  </si>
  <si>
    <t>Introduction: Classifying culture—Agents, structures, processes</t>
  </si>
  <si>
    <t>Shyon Baumann, Timothy J. Dowd, Susanne Janssen</t>
  </si>
  <si>
    <t>http://pdn.sciencedirect.com/science?_ob=MiamiImageURL&amp;_cid=271764&amp;_user=686465&amp;_pii=S0304422X09000229&amp;_check=y&amp;_origin=search&amp;_zone=rslt_list_item&amp;_coverDate=2009-08-31&amp;wchp=dGLbVlS-zSkzV&amp;md5=634b2ce4b9ca24d23beb3d53f738b5ec&amp;pid=1-s2.0-S0304422X09000229-main.pdf</t>
  </si>
  <si>
    <t>Characterizing performance in socio-technical systems: A modeling framework in the domain of nuclear power</t>
  </si>
  <si>
    <t>T. Govindaraj</t>
  </si>
  <si>
    <t>http://pdn.sciencedirect.com/science?_ob=MiamiImageURL&amp;_cid=271690&amp;_user=686465&amp;_pii=S0305048305001799&amp;_check=y&amp;_origin=search&amp;_zone=rslt_list_item&amp;_coverDate=2008-02-29&amp;wchp=dGLbVlS-zSkzV&amp;md5=984a2d56684e0c7557e151a9c6569f88&amp;pid=1-s2.0-S0305048305001799-main.pdf</t>
  </si>
  <si>
    <t>http://pdn.sciencedirect.com/science?_ob=MiamiImageURL&amp;_cid=271850&amp;_user=686465&amp;_pii=S0378873308000038&amp;_check=y&amp;_origin=search&amp;_zone=rslt_list_item&amp;_coverDate=2008-01-31&amp;_docsubtype=edb&amp;wchp=dGLbVlS-zSkzV&amp;md5=bfc3364355cce9728b5850f420c09ca0&amp;pid=1-s2.0-S0378873308000038-main.pdf</t>
  </si>
  <si>
    <t>Volume contents and author index for volume 69</t>
  </si>
  <si>
    <t>http://pdn.sciencedirect.com/science?_ob=MiamiImageURL&amp;_cid=271821&amp;_user=686465&amp;_pii=S0277953609007497&amp;_check=y&amp;_origin=search&amp;_zone=rslt_list_item&amp;_coverDate=2009-12-31&amp;wchp=dGLbVlS-zSkzV&amp;md5=2ebbf092b4d2213b1af22afc58a368db&amp;pid=1-s2.0-S0277953609007497-main.pdf</t>
  </si>
  <si>
    <t>Chapter 4 - How to Search</t>
  </si>
  <si>
    <t>Ian H. Witten, Marco Gori, Teresa Numerico</t>
  </si>
  <si>
    <t>Web Dragons</t>
  </si>
  <si>
    <t>http://pdn.sciencedirect.com/science?_ob=MiamiImageURL&amp;_cid=275391&amp;_user=686465&amp;_pii=B9780123706096500072&amp;_check=y&amp;_origin=search&amp;_zone=rslt_list_item&amp;_coverDate=2007-12-31&amp;wchp=dGLbVlS-zSkzV&amp;md5=412155fa329aebe45533d329e78fa66a&amp;pid=3-s2.0-B9780123706096500072-main.pdf</t>
  </si>
  <si>
    <t>Mesh-Mon: A multi-radio mesh monitoring and management system</t>
  </si>
  <si>
    <t>Soumendra Nanda, David Kotz</t>
  </si>
  <si>
    <t>http://pdn.sciencedirect.com/science?_ob=MiamiImageURL&amp;_cid=271515&amp;_user=686465&amp;_pii=S0140366408000480&amp;_check=y&amp;_origin=search&amp;_zone=rslt_list_item&amp;_coverDate=2008-05-25&amp;wchp=dGLbVlS-zSkzV&amp;md5=c52c978666fec73b0acd11a70ea43d8d&amp;pid=1-s2.0-S0140366408000480-main.pdf</t>
  </si>
  <si>
    <t>Subject index to volume 43</t>
  </si>
  <si>
    <t>http://pdn.sciencedirect.com/science?_ob=MiamiImageURL&amp;_cid=271653&amp;_user=686465&amp;_pii=S0167923607001285&amp;_check=y&amp;_origin=search&amp;_zone=rslt_list_item&amp;_coverDate=2007-08-31&amp;wchp=dGLbVlS-zSkzV&amp;md5=96a896941649b7ad55985177b95f60f6&amp;pid=1-s2.0-S0167923607001285-main.pdf</t>
  </si>
  <si>
    <t>The Science of Team Science: Overview of the Field and Introduction to the Supplement</t>
  </si>
  <si>
    <t>Daniel Stokols, Kara L. Hall, Brandie K. Taylor, Richard P. Moser</t>
  </si>
  <si>
    <t>http://pdn.sciencedirect.com/science?_ob=MiamiImageURL&amp;_cid=271902&amp;_user=686465&amp;_pii=S074937970800408X&amp;_check=y&amp;_origin=search&amp;_zone=rslt_list_item&amp;_coverDate=2008-08-31&amp;wchp=dGLbVlS-zSkzV&amp;md5=fec08d14a54b26e855d5e4d804350f45&amp;pid=1-s2.0-S074937970800408X-main.pdf</t>
  </si>
  <si>
    <t>Fighting cybercrime: a review and the Taiwan experience</t>
  </si>
  <si>
    <t>Wingyan Chung, Hsinchun Chen, Weiping Chang, Shihchieh Chou</t>
  </si>
  <si>
    <t>http://pdn.sciencedirect.com/science?_ob=MiamiImageURL&amp;_cid=271653&amp;_user=686465&amp;_pii=S0167923604001381&amp;_check=y&amp;_origin=search&amp;_zone=rslt_list_item&amp;_coverDate=2006-03-31&amp;wchp=dGLbVlS-zSkzV&amp;md5=d1739e15ccde587067035c74fe82b2b8&amp;pid=1-s2.0-S0167923604001381-main.pdf</t>
  </si>
  <si>
    <t>Special issue on statistical methods for the social sciences: Guest editors’ introduction Supplementary content </t>
  </si>
  <si>
    <t>Adrian E. Raftery, Michael D. Ward</t>
  </si>
  <si>
    <t>http://pdn.sciencedirect.com/science?_ob=MiamiImageURL&amp;_cid=273257&amp;_user=686465&amp;_pii=S1572312710000067&amp;_check=y&amp;_origin=search&amp;_zone=rslt_list_item&amp;_coverDate=2010-05-31&amp;wchp=dGLbVlS-zSkzV&amp;md5=01611eed674e3e9b4018c1cefe99583f&amp;pid=1-s2.0-S1572312710000067-main.pdf</t>
  </si>
  <si>
    <t>Information security in the knowledge economy</t>
  </si>
  <si>
    <t>Ajay S. Vinze, T.S. Raghu</t>
  </si>
  <si>
    <t>http://pdn.sciencedirect.com/science?_ob=MiamiImageURL&amp;_cid=272548&amp;_user=686465&amp;_pii=S1071581906001261&amp;_check=y&amp;_origin=search&amp;_zone=rslt_list_item&amp;_coverDate=2007-01-31&amp;wchp=dGLbVlS-zSkzV&amp;md5=77d7fea13c62ef642776af276db45cde&amp;pid=1-s2.0-S1071581906001261-main.pdf</t>
  </si>
  <si>
    <t>Learning at the boundaries in an “Open Regional Innovation System”: A focus on firms’ innovation strategies in the Emilia Romagna life science industry</t>
  </si>
  <si>
    <t>Fiorenza Belussi, Alessia Sammarra, Silvia Rita Sedita</t>
  </si>
  <si>
    <t>http://pdn.sciencedirect.com/science?_ob=MiamiImageURL&amp;_cid=271666&amp;_user=686465&amp;_pii=S0048733310000284&amp;_check=y&amp;_origin=search&amp;_zone=rslt_list_item&amp;_coverDate=2010-07-31&amp;wchp=dGLbVlS-zSkzk&amp;md5=7db46774c63833a583bb9411e96a7f64&amp;pid=1-s2.0-S0048733310000284-main.pdf</t>
  </si>
  <si>
    <t>ScienceDirect - 1980 a 2010 - Page 4.htm</t>
  </si>
  <si>
    <t>Chapter 4 - Structures, roles and responsibilities in a knowledge-centric culture</t>
  </si>
  <si>
    <t>Christina Evans</t>
  </si>
  <si>
    <t>James Lincoln, Michael Gerlach, On Japan's Network Economy (2004) Cambridge University Press.</t>
  </si>
  <si>
    <t>Yuki Yasuda</t>
  </si>
  <si>
    <t>http://pdn.sciencedirect.com/science?_ob=MiamiImageURL&amp;_cid=271850&amp;_user=686465&amp;_pii=S0378873305000742&amp;_check=y&amp;_origin=search&amp;_zone=rslt_list_item&amp;_coverDate=2006-05-31&amp;wchp=dGLbVlS-zSkzk&amp;md5=02fb54cda155fd70f4e54cbd854d244f&amp;pid=1-s2.0-S0378873305000742-main.pdf</t>
  </si>
  <si>
    <t>Progress in modeling, theory, and application of computational intelligence</t>
  </si>
  <si>
    <t>Fabrice Rossi, Michael Biehl, Cecilio Angulo Bah&amp;oacute;n</t>
  </si>
  <si>
    <t>Neurocomputing</t>
  </si>
  <si>
    <t>http://pdn.sciencedirect.com/science?_ob=MiamiImageURL&amp;_cid=271597&amp;_user=686465&amp;_pii=S0925231208000477&amp;_check=y&amp;_origin=search&amp;_zone=rslt_list_item&amp;_coverDate=2008-03-31&amp;wchp=dGLbVlS-zSkzk&amp;md5=6db33d03ac48387053982fdbcb8b6809&amp;pid=1-s2.0-S0925231208000477-main.pdf</t>
  </si>
  <si>
    <t>Volume contents and author index for volume 67</t>
  </si>
  <si>
    <t>http://pdn.sciencedirect.com/science?_ob=MiamiImageURL&amp;_cid=271821&amp;_user=686465&amp;_pii=S0277953608005984&amp;_check=y&amp;_origin=search&amp;_zone=rslt_list_item&amp;_coverDate=2008-12-31&amp;wchp=dGLbVlS-zSkzk&amp;md5=fbafd8d16a4d3c79ba4dd8cb0b8291fd&amp;pid=1-s2.0-S0277953608005984-main.pdf</t>
  </si>
  <si>
    <t>Chapter 9 - Aligning HR and KM practices</t>
  </si>
  <si>
    <t>London and beyond: Taking a closer look at urban energy policy</t>
  </si>
  <si>
    <t>James Keirstead, Niels B. Schulz</t>
  </si>
  <si>
    <t>http://pdn.sciencedirect.com/science?_ob=MiamiImageURL&amp;_cid=271097&amp;_user=686465&amp;_pii=S0301421509005400&amp;_check=y&amp;_origin=search&amp;_zone=rslt_list_item&amp;_coverDate=2010-09-30&amp;wchp=dGLbVlS-zSkzk&amp;md5=f88a797f65cc6659754d023de19f50ec&amp;pid=1-s2.0-S0301421509005400-main.pdf</t>
  </si>
  <si>
    <t>Social Psychology</t>
  </si>
  <si>
    <t>Lisa Troyer, Reef Youngreen</t>
  </si>
  <si>
    <t>http://pdn.sciencedirect.com/science?_ob=MiamiImageURL&amp;_cid=273418&amp;_user=686465&amp;_pii=B0123693985002887&amp;_check=y&amp;_origin=search&amp;_zone=rslt_list_item&amp;_coverDate=2005-12-31&amp;wchp=dGLbVlS-zSkzk&amp;md5=0a5121ff50371941ac5360525a14242e&amp;pid=3-s2.0-B0123693985002887-main.pdf</t>
  </si>
  <si>
    <t>Software project management anti-patterns</t>
  </si>
  <si>
    <t>Ioannis Stamelos</t>
  </si>
  <si>
    <t>http://pdn.sciencedirect.com/science?_ob=MiamiImageURL&amp;_cid=271629&amp;_user=686465&amp;_pii=S0164121209002325&amp;_check=y&amp;_origin=search&amp;_zone=rslt_list_item&amp;_coverDate=2010-01-31&amp;wchp=dGLbVlS-zSkzk&amp;md5=b0e41cca0c6d99d3fba46077880ae216&amp;pid=1-s2.0-S0164121209002325-main.pdf</t>
  </si>
  <si>
    <t>Toward an integrative approach to designing service experiences: Lessons learned from the theatre</t>
  </si>
  <si>
    <t>F. Ian Stuart, Stephen Tax</t>
  </si>
  <si>
    <t>http://pdn.sciencedirect.com/science?_ob=MiamiImageURL&amp;_cid=271694&amp;_user=686465&amp;_pii=S0272696304000816&amp;_check=y&amp;_origin=search&amp;_zone=rslt_list_item&amp;_coverDate=2004-12-31&amp;wchp=dGLbVlS-zSkzk&amp;md5=0018e659d0b5796d6664a9876696442e&amp;pid=1-s2.0-S0272696304000816-main.pdf</t>
  </si>
  <si>
    <t>Skills Brokerage:: A New Model for Business Start-ups in the Networked Economy</t>
  </si>
  <si>
    <t>Savvas Papagiannidis, Feng Li</t>
  </si>
  <si>
    <t>http://pdn.sciencedirect.com/science?_ob=MiamiImageURL&amp;_cid=271956&amp;_user=686465&amp;_pii=S0263237305000782&amp;_check=y&amp;_origin=search&amp;_zone=rslt_list_item&amp;_coverDate=2005-08-31&amp;wchp=dGLbVlS-zSkzk&amp;md5=782b54079104f00ece243cf899f73c66&amp;pid=1-s2.0-S0263237305000782-main.pdf</t>
  </si>
  <si>
    <t>International Encyclopedia of Public Health</t>
  </si>
  <si>
    <t>Quantum phenomena in Communities of Practice</t>
  </si>
  <si>
    <t>Richard Ribeiro, Chris Kimble, Paul Cairns</t>
  </si>
  <si>
    <t>http://pdn.sciencedirect.com/science?_ob=MiamiImageURL&amp;_cid=271677&amp;_user=686465&amp;_pii=S0268401209001406&amp;_check=y&amp;_origin=search&amp;_zone=rslt_list_item&amp;_coverDate=2010-02-28&amp;wchp=dGLbVlS-zSkzk&amp;md5=a2c4e33f96d0e642898f85a310f6bb8f&amp;pid=1-s2.0-S0268401209001406-main.pdf</t>
  </si>
  <si>
    <t>Toward an empirical research agenda for sustainability in higher education: exploring the transition management framework</t>
  </si>
  <si>
    <t>Jennie C. Stephens, Amanda C. Graham</t>
  </si>
  <si>
    <t>http://pdn.sciencedirect.com/science?_ob=MiamiImageURL&amp;_cid=271750&amp;_user=686465&amp;_pii=S0959652609002236&amp;_check=y&amp;_origin=search&amp;_zone=rslt_list_item&amp;_coverDate=2010-05-31&amp;wchp=dGLbVlS-zSkzk&amp;md5=780b9dfc1c06fd8c03c6e7225e7e0609&amp;pid=1-s2.0-S0959652609002236-main.pdf</t>
  </si>
  <si>
    <t>Sweeping the disjunctive search space towards mining new exact concise representations of frequent itemsets</t>
  </si>
  <si>
    <t>T. Hamrouni, S. Ben Yahia, E. Mephu Nguifo</t>
  </si>
  <si>
    <t>http://pdn.sciencedirect.com/science?_ob=MiamiImageURL&amp;_cid=271546&amp;_user=686465&amp;_pii=S0169023X09000718&amp;_check=y&amp;_origin=search&amp;_zone=rslt_list_item&amp;_coverDate=2009-10-31&amp;wchp=dGLbVlS-zSkzk&amp;md5=4f23cf459b1e13cb523853dfc8bf881d&amp;pid=1-s2.0-S0169023X09000718-main.pdf</t>
  </si>
  <si>
    <t>Glossary</t>
  </si>
  <si>
    <t>Food Supply Chain Management</t>
  </si>
  <si>
    <t>About the Authors</t>
  </si>
  <si>
    <t>Visualization of Categorical Data</t>
  </si>
  <si>
    <t>Library &amp; information science research contents index, volume 18 Tables of contents</t>
  </si>
  <si>
    <t>http://pdn.sciencedirect.com/science?_ob=MiamiImageURL&amp;_cid=272068&amp;_user=686465&amp;_pii=S0740818896900122&amp;_check=y&amp;_origin=search&amp;_zone=rslt_list_item&amp;_coverDate=1996-11-30&amp;wchp=dGLbVlS-zSkzk&amp;md5=251227ea2e7ec0bef5a98ce2ea6df4e5&amp;pid=1-s2.0-S0740818896900122-main.pdf</t>
  </si>
  <si>
    <t>The meta-volition model: Organizational leadership is the key ingredient in getting society moving, literally!</t>
  </si>
  <si>
    <t>Antronette K. Yancey</t>
  </si>
  <si>
    <t>Preventive Medicine</t>
  </si>
  <si>
    <t>http://pdn.sciencedirect.com/science?_ob=MiamiImageURL&amp;_cid=272375&amp;_user=686465&amp;_pii=S0091743509004216&amp;_check=y&amp;_origin=search&amp;_zone=rslt_list_item&amp;_coverDate=2009-10-31&amp;wchp=dGLbVlS-zSkzk&amp;md5=585a715db1fd4deaab634bb90e716344&amp;pid=1-s2.0-S0091743509004216-main.pdf</t>
  </si>
  <si>
    <t>Mike Thelwall, Link Analysis: An Information Science Approach, 2004, Elsevier Academic Press, 269 pp., ISBN: 0-12-088553-0, $70</t>
  </si>
  <si>
    <t>http://pdn.sciencedirect.com/science?_ob=MiamiImageURL&amp;_cid=271647&amp;_user=686465&amp;_pii=S0306457305000695&amp;_check=y&amp;_origin=search&amp;_zone=rslt_list_item&amp;_coverDate=2006-01-31&amp;wchp=dGLbVlS-zSkzk&amp;md5=4ad651735775383c9bc613895c836e62&amp;pid=1-s2.0-S0306457305000695-main.pdf</t>
  </si>
  <si>
    <t>Evolution and Phylogeny of Communication</t>
  </si>
  <si>
    <t>T.J. Ord</t>
  </si>
  <si>
    <t>Encyclopedia of Animal Behavior</t>
  </si>
  <si>
    <t>Collaborative networked organizations – Concepts and practice in manufacturing enterprises</t>
  </si>
  <si>
    <t>Luis M. Camarinha-Matos, Hamideh Afsarmanesh, Nathalie Galeano, Arturo Molina</t>
  </si>
  <si>
    <t>http://pdn.sciencedirect.com/science?_ob=MiamiImageURL&amp;_cid=271420&amp;_user=686465&amp;_pii=S036083520800301X&amp;_check=y&amp;_origin=search&amp;_zone=rslt_list_item&amp;_coverDate=2009-08-31&amp;wchp=dGLbVlS-zSkzk&amp;md5=ac64eafe9135b3e44e6c93e6d4d19463&amp;pid=1-s2.0-S036083520800301X-main.pdf</t>
  </si>
  <si>
    <t>Table of Contents</t>
  </si>
  <si>
    <t>http://pdn.sciencedirect.com/science?_ob=MiamiImageURL&amp;_cid=273565&amp;_user=686465&amp;_pii=S1067502708001667&amp;_check=y&amp;_origin=search&amp;_zone=rslt_list_item&amp;_coverDate=2008-12-31&amp;_docsubtype=con&amp;wchp=dGLbVlS-zSkzk&amp;md5=e55e0847b22bf7baf71ecf97893e295d&amp;pid=1-s2.0-S1067502708001667-main.pdf</t>
  </si>
  <si>
    <t>Evaluating informatics applications—some alternative approaches: theory, social interactionism, and call for methodological pluralism</t>
  </si>
  <si>
    <t>Bonnie Kaplan</t>
  </si>
  <si>
    <t>http://pdn.sciencedirect.com/science?_ob=MiamiImageURL&amp;_cid=271161&amp;_user=686465&amp;_pii=S1386505601001848&amp;_check=y&amp;_origin=search&amp;_zone=rslt_list_item&amp;_coverDate=2001-11-30&amp;wchp=dGLbVlS-zSkzk&amp;md5=530bfe636a2f89c28572b9028bd078d2&amp;pid=1-s2.0-S1386505601001848-main.pdf</t>
  </si>
  <si>
    <t>Sequencing questions to ferret out terrorists: Models and heuristics</t>
  </si>
  <si>
    <t>P.S. Sundararaghavan, Anand Kunnathur, Xiao Fang</t>
  </si>
  <si>
    <t>http://pdn.sciencedirect.com/science?_ob=MiamiImageURL&amp;_cid=271690&amp;_user=686465&amp;_pii=S0305048309000036&amp;_check=y&amp;_origin=search&amp;_zone=rslt_list_item&amp;_coverDate=2010-04-30&amp;wchp=dGLbVlS-zSkzk&amp;md5=84190429e18269e9961b6ebb13c1fb01&amp;pid=1-s2.0-S0305048309000036-main.pdf</t>
  </si>
  <si>
    <t>Special Issue: Large-Scale Image and Video Search: Challenges, Technologies, and Trends</t>
  </si>
  <si>
    <t>http://pdn.sciencedirect.com/science?_ob=MiamiImageURL&amp;_cid=272324&amp;_user=686465&amp;_pii=S1047320309001205&amp;_check=y&amp;_origin=search&amp;_zone=rslt_list_item&amp;_coverDate=2009-10-31&amp;_docsubtype=ann&amp;wchp=dGLbVlS-zSkzk&amp;md5=431cd9d20dd277b9bfe8e7e7838efbca&amp;pid=1-s2.0-S1047320309001205-main.pdf</t>
  </si>
  <si>
    <t>The Greta system: organizational politics introduced to the garbage can</t>
  </si>
  <si>
    <t>G.Michael McGrath, Elizabeth More</t>
  </si>
  <si>
    <t>http://pdn.sciencedirect.com/science?_ob=MiamiImageURL&amp;_cid=271653&amp;_user=686465&amp;_pii=S0167923600001305&amp;_check=y&amp;_origin=search&amp;_zone=rslt_list_item&amp;_coverDate=2001-06-30&amp;wchp=dGLbVlS-zSkzk&amp;md5=a15d4bb5bb4019fec69899bb280cfb40&amp;pid=1-s2.0-S0167923600001305-main.pdf</t>
  </si>
  <si>
    <t>Managing innovation networks: Exploratory evidence from ICT, biotechnology and nanotechnology networks</t>
  </si>
  <si>
    <t>Giselle Rampersad, Pascale Quester, Indrit Troshani</t>
  </si>
  <si>
    <t>http://pdn.sciencedirect.com/science?_ob=MiamiImageURL&amp;_cid=271714&amp;_user=686465&amp;_pii=S0019850109001278&amp;_check=y&amp;_origin=search&amp;_zone=rslt_list_item&amp;_coverDate=2010-07-31&amp;wchp=dGLbVlS-zSkzk&amp;md5=63c6d76cb94119910ebae37e17862025&amp;pid=1-s2.0-S0019850109001278-main.pdf</t>
  </si>
  <si>
    <t>Introduction to the special issue in honor of Ehud Kalai</t>
  </si>
  <si>
    <t>Matthew O. Jackson, Ehud Lehrer</t>
  </si>
  <si>
    <t>http://pdn.sciencedirect.com/science?_ob=MiamiImageURL&amp;_cid=272351&amp;_user=686465&amp;_pii=S0899825610000230&amp;_check=y&amp;_origin=search&amp;_zone=rslt_list_item&amp;_coverDate=2010-09-30&amp;wchp=dGLbVlS-zSkzk&amp;md5=8caa4a495b8b789c2706a6f92d6e1550&amp;pid=1-s2.0-S0899825610000230-main.pdf</t>
  </si>
  <si>
    <t>Theoretical and empirical advances in groupware research</t>
  </si>
  <si>
    <t>Gert-Jan de Vreede, Luis A. Guerrero</t>
  </si>
  <si>
    <t>http://pdn.sciencedirect.com/science?_ob=MiamiImageURL&amp;_cid=272548&amp;_user=686465&amp;_pii=S107158190600022X&amp;_check=y&amp;_origin=search&amp;_zone=rslt_list_item&amp;_coverDate=2006-07-31&amp;wchp=dGLbVlS-zSkzk&amp;md5=ec00a58cc8de779f9326d8c8765b4f95&amp;pid=1-s2.0-S107158190600022X-main.pdf</t>
  </si>
  <si>
    <t>Reactive and dynamic local search for max-clique: Engineering effective building blocks</t>
  </si>
  <si>
    <t>Roberto Battiti, Franco Mascia</t>
  </si>
  <si>
    <t>http://pdn.sciencedirect.com/science?_ob=MiamiImageURL&amp;_cid=271709&amp;_user=686465&amp;_pii=S0305054809000483&amp;_check=y&amp;_origin=search&amp;_zone=rslt_list_item&amp;_coverDate=2010-03-31&amp;wchp=dGLbVlS-zSkzk&amp;md5=b1a67bb3afbcbccbcee926edfc521257&amp;pid=1-s2.0-S0305054809000483-main.pdf</t>
  </si>
  <si>
    <t>Ecological Determinants of Social Systems: Perspectives on the Functional Role of Roosting Ecology in the Social Behavior of Tent-Roosting Bats</t>
  </si>
  <si>
    <t>Gloriana Chaverri, Thomas H. Kunz</t>
  </si>
  <si>
    <t>Calendar of meetings-new entries only</t>
  </si>
  <si>
    <t>http://pdn.sciencedirect.com/science?_ob=MiamiImageURL&amp;_cid=271708&amp;_user=686465&amp;_pii=S0167947398900858&amp;_check=y&amp;_origin=search&amp;_zone=rslt_list_item&amp;_coverDate=1998-05-01&amp;_docsubtype=cal&amp;wchp=dGLbVlS-zSkzk&amp;md5=0bc6a37c7a8010430874f4c54fe08f07&amp;pid=1-s2.0-S0167947398900858-main.pdf</t>
  </si>
  <si>
    <t>The network is personal: Introduction to a special issue of Social Networks</t>
  </si>
  <si>
    <t>Barry Wellman</t>
  </si>
  <si>
    <t>http://pdn.sciencedirect.com/science?_ob=MiamiImageURL&amp;_cid=271850&amp;_user=686465&amp;_pii=S0378873307000135&amp;_check=y&amp;_origin=search&amp;_zone=rslt_list_item&amp;_coverDate=2007-07-31&amp;wchp=dGLbVlS-zSkzk&amp;md5=73b049263427157b47e4be1312313d4e&amp;pid=1-s2.0-S0378873307000135-main.pdf</t>
  </si>
  <si>
    <t>Exploitation of semantic relationships and hierarchical data structures to support a user in his annotation and browsing activities in folksonomies</t>
  </si>
  <si>
    <t>Pasquale De Meo, Giovanni Quattrone, Domenico Ursino</t>
  </si>
  <si>
    <t>http://pdn.sciencedirect.com/science?_ob=MiamiImageURL&amp;_cid=271528&amp;_user=686465&amp;_pii=S030643790900009X&amp;_check=y&amp;_origin=search&amp;_zone=rslt_list_item&amp;_coverDate=2009-09-30&amp;wchp=dGLbVlS-zSkzk&amp;md5=79dc2413876c4c3703da8912944f2d73&amp;pid=1-s2.0-S030643790900009X-main.pdf</t>
  </si>
  <si>
    <t>Selected papers from ECCE 2007, the 25th Anniversary Conference of the European Association of Cognitive Ergonomics</t>
  </si>
  <si>
    <t>Dong-Han Ham, William Wong, Willem-Paul Brinkman</t>
  </si>
  <si>
    <t>http://pdn.sciencedirect.com/science?_ob=MiamiImageURL&amp;_cid=271473&amp;_user=686465&amp;_pii=S0169814109000249&amp;_check=y&amp;_origin=search&amp;_zone=rslt_list_item&amp;_coverDate=2009-05-31&amp;wchp=dGLbVlS-zSkzk&amp;md5=6f6dd8d8436c590200baa5de43ca793a&amp;pid=1-s2.0-S0169814109000249-main.pdf</t>
  </si>
  <si>
    <t>American College of Medical Informatics Fellows and International Associates, 2003</t>
  </si>
  <si>
    <t>Edward H Shortliffe</t>
  </si>
  <si>
    <t>http://pdn.sciencedirect.com/science?_ob=MiamiImageURL&amp;_cid=273565&amp;_user=686465&amp;_pii=S1067502704000209&amp;_check=y&amp;_origin=search&amp;_zone=rslt_list_item&amp;_coverDate=2004-06-30&amp;_docsubtype=prp&amp;wchp=dGLbVlS-zSkzk&amp;md5=c6159fc9ace57e4387809e6a76a6a96c&amp;pid=1-s2.0-S1067502704000209-main.pdf</t>
  </si>
  <si>
    <t>http://pdn.sciencedirect.com/science?_ob=MiamiImageURL&amp;_cid=272324&amp;_user=686465&amp;_pii=S1047320309000820&amp;_check=y&amp;_origin=search&amp;_zone=rslt_list_item&amp;_coverDate=2009-08-31&amp;_docsubtype=ann&amp;wchp=dGLbVlS-zSkzk&amp;md5=a6cc930a30766735382394ee90215de2&amp;pid=1-s2.0-S1047320309000820-main.pdf</t>
  </si>
  <si>
    <t>Heavy and problem drinking in an American blue-collar population: Implications for prevention</t>
  </si>
  <si>
    <t>Genevieve M. Ames, Craig R. Janes</t>
  </si>
  <si>
    <t>http://pdn.sciencedirect.com/science?_ob=MiamiImageURL&amp;_cid=271821&amp;_user=686465&amp;_pii=0277953687902668&amp;_check=y&amp;_origin=search&amp;_zone=rslt_list_item&amp;_coverDate=1987-12-31&amp;wchp=dGLbVlS-zSkzk&amp;md5=9dfd6050bb1168f4af6773614d7f071d&amp;pid=1-s2.0-0277953687902668-main.pdf</t>
  </si>
  <si>
    <t>Advancement, voluntary turnover and women in IT: A cognitive study of work–family conflict</t>
  </si>
  <si>
    <t>Deborah J. Armstrong, Cynthia K. Riemenschneider, Myria W. Allen, Margaret F. Reid</t>
  </si>
  <si>
    <t>http://pdn.sciencedirect.com/science?_ob=MiamiImageURL&amp;_cid=271670&amp;_user=686465&amp;_pii=S0378720606001224&amp;_check=y&amp;_origin=search&amp;_zone=rslt_list_item&amp;_coverDate=2007-03-31&amp;wchp=dGLbVlS-zSkzk&amp;md5=49a8e1ad560f8871ff13c9a025d27a3c&amp;pid=1-s2.0-S0378720606001224-main.pdf</t>
  </si>
  <si>
    <t>http://pdn.sciencedirect.com/science?_ob=MiamiImageURL&amp;_cid=271653&amp;_user=686465&amp;_pii=S0167923610001004&amp;_check=y&amp;_origin=search&amp;_zone=rslt_list_item&amp;_coverDate=2010-11-30&amp;wchp=dGLbVlS-zSkzk&amp;md5=d8317c2ada06150cb7b63157cb920cd8&amp;pid=1-s2.0-S0167923610001004-main.pdf</t>
  </si>
  <si>
    <t>Fifth International Conference on Knowledge, Culture and Change in Organisations. Knowledge, Culture and Learning in the New World, 19–22 July 2005. Rhodes, Greece: University of the Aegean.</t>
  </si>
  <si>
    <t>Bruce Cronin</t>
  </si>
  <si>
    <t>http://pdn.sciencedirect.com/science?_ob=MiamiImageURL&amp;_cid=271677&amp;_user=686465&amp;_pii=S0268401206000120&amp;_check=y&amp;_origin=search&amp;_zone=rslt_list_item&amp;_coverDate=2006-06-30&amp;wchp=dGLbVlS-zSkzk&amp;md5=188288d4f3f0554e97847a90ac4cbbb5&amp;pid=1-s2.0-S0268401206000120-main.pdf</t>
  </si>
  <si>
    <t>Juvenile Friends, Behavior, and Immune Responses to Separation in Bonnet Macaque Infants</t>
  </si>
  <si>
    <t>Maria L. Boccia, James M. Scanlan, Mark L. Laudenslager, Christy L. Berger, Amal S. Hijazi, Martin L. Reite</t>
  </si>
  <si>
    <t>Physiology &amp; Behavior</t>
  </si>
  <si>
    <t>http://pdn.sciencedirect.com/science?_ob=MiamiImageURL&amp;_cid=271085&amp;_user=686465&amp;_pii=S0031938496003708&amp;_check=y&amp;_origin=search&amp;_zone=rslt_list_item&amp;_coverDate=1997-02-28&amp;wchp=dGLbVlS-zSkzk&amp;md5=acab1089fbfefe27aa677fc7a67e9df9&amp;pid=1-s2.0-S0031938496003708-main.pdf</t>
  </si>
  <si>
    <t>Chapter 9 - Bank of Montreal</t>
  </si>
  <si>
    <t>Realizing the Promise of Corporate Portals</t>
  </si>
  <si>
    <t>Quantification in History</t>
  </si>
  <si>
    <t>K.H. Jarausch, P.A. Coclanis</t>
  </si>
  <si>
    <t>http://pdn.sciencedirect.com/science?_ob=MiamiImageURL&amp;_cid=272777&amp;_user=686465&amp;_pii=B0080430767026243&amp;_check=y&amp;_origin=search&amp;_zone=rslt_list_item&amp;_coverDate=2001-12-31&amp;wchp=dGLbVlS-zSkzk&amp;md5=e8f1b353dd736eeb2d23c8d4f2cf2c3e&amp;pid=3-s2.0-B0080430767026243-main.pdf</t>
  </si>
  <si>
    <t>Chapter 2 - Crawling the Web</t>
  </si>
  <si>
    <t>http://pdn.sciencedirect.com/science?_ob=MiamiImageURL&amp;_cid=275412&amp;_user=686465&amp;_pii=B9781558607545500033&amp;_check=y&amp;_origin=search&amp;_zone=rslt_list_item&amp;_coverDate=2003-12-31&amp;wchp=dGLbVlS-zSkzk&amp;md5=afc808342690bd059dfbc6d390856141&amp;pid=3-s2.0-B9781558607545500033-main.pdf</t>
  </si>
  <si>
    <t>Handbook of New Product Development Management</t>
  </si>
  <si>
    <t>http://pdn.sciencedirect.com/science?_ob=MiamiImageURL&amp;_cid=271743&amp;_user=686465&amp;_pii=S0304380008001981&amp;_check=y&amp;_origin=search&amp;_zone=rslt_list_item&amp;_coverDate=2008-08-10&amp;wchp=dGLbVlS-zSkzk&amp;md5=13538826fe80917388884de289584393&amp;pid=1-s2.0-S0304380008001981-main.pdf</t>
  </si>
  <si>
    <t>Epidemic prediction and control in weighted networks Supplementary content </t>
  </si>
  <si>
    <t>Ken T.D. Eames, Jonathan M. Read, W. John Edmunds</t>
  </si>
  <si>
    <t>Epidemics</t>
  </si>
  <si>
    <t>http://pdn.sciencedirect.com/science?_ob=MiamiImageURL&amp;_cid=277421&amp;_user=686465&amp;_pii=S175543650800008X&amp;_check=y&amp;_origin=search&amp;_zone=rslt_list_item&amp;_coverDate=2009-03-31&amp;wchp=dGLbVlS-zSkzk&amp;md5=93e9a9b1e953cf4baf97341d9d5918e0&amp;pid=1-s2.0-S175543650800008X-main.pdf</t>
  </si>
  <si>
    <t>Vertex centrality as a measure of information flow in Italian Corporate Board Networks</t>
  </si>
  <si>
    <t>Rosanna Grassi</t>
  </si>
  <si>
    <t>http://pdn.sciencedirect.com/science?_ob=MiamiImageURL&amp;_cid=271529&amp;_user=686465&amp;_pii=S0378437110001408&amp;_check=y&amp;_origin=search&amp;_zone=rslt_list_item&amp;_coverDate=2010-06-15&amp;wchp=dGLbVlS-zSkzk&amp;md5=ccf09b81dd57add260e9e98073eb02bf&amp;pid=1-s2.0-S0378437110001408-main.pdf</t>
  </si>
  <si>
    <t>http://pdn.sciencedirect.com/science?_ob=MiamiImageURL&amp;_cid=271743&amp;_user=686465&amp;_pii=S030438001000462X&amp;_check=y&amp;_origin=search&amp;_zone=rslt_list_item&amp;_coverDate=2010-12-15&amp;wchp=dGLbVlS-zSkzk&amp;md5=71d42fb64656097928995dda4403591d&amp;pid=1-s2.0-S030438001000462X-main.pdf</t>
  </si>
  <si>
    <t>A relationship value perspective of social capital in networks of software SMEs</t>
  </si>
  <si>
    <t>Mika Westerlund, Senja Svahn</t>
  </si>
  <si>
    <t>http://pdn.sciencedirect.com/science?_ob=MiamiImageURL&amp;_cid=271714&amp;_user=686465&amp;_pii=S0019850108000631&amp;_check=y&amp;_origin=search&amp;_zone=rslt_list_item&amp;_coverDate=2008-07-31&amp;wchp=dGLbVlS-zSkzk&amp;md5=d88ef8e42df474099206ebb323ce446e&amp;pid=1-s2.0-S0019850108000631-main.pdf</t>
  </si>
  <si>
    <t>A problem-solving perspective on knowledge management practices</t>
  </si>
  <si>
    <t>Peter H Gray</t>
  </si>
  <si>
    <t>http://pdn.sciencedirect.com/science?_ob=MiamiImageURL&amp;_cid=271653&amp;_user=686465&amp;_pii=S0167923600001214&amp;_check=y&amp;_origin=search&amp;_zone=rslt_list_item&amp;_coverDate=2001-05-31&amp;wchp=dGLbVlS-zSkzk&amp;md5=c81936360ef5982363e07cb188e9caa2&amp;pid=1-s2.0-S0167923600001214-main.pdf</t>
  </si>
  <si>
    <t>Journal of Theoretical Biology</t>
  </si>
  <si>
    <t>http://pdn.sciencedirect.com/science?_ob=MiamiImageURL&amp;_cid=272314&amp;_user=686465&amp;_pii=S002251930700330X&amp;_check=y&amp;_origin=search&amp;_zone=rslt_list_item&amp;_coverDate=2007-11-21&amp;wchp=dGLbVlS-zSkzk&amp;md5=a703282d7e3377829f3a0d33d41d8ba4&amp;pid=1-s2.0-S002251930700330X-main.pdf</t>
  </si>
  <si>
    <t>The changing pattern of industrial technology linkage structure of Korea: Did the ICT industry play a role in the 1980s and 1990s?</t>
  </si>
  <si>
    <t>Moon-Soo Kim, Yongtae Park</t>
  </si>
  <si>
    <t>http://pdn.sciencedirect.com/science?_ob=MiamiImageURL&amp;_cid=271733&amp;_user=686465&amp;_pii=S0040162508000474&amp;_check=y&amp;_origin=search&amp;_zone=rslt_list_item&amp;_coverDate=2009-06-30&amp;wchp=dGLbVlS-zSkzk&amp;md5=2d23c3ff07191584e011015d53bfe8ff&amp;pid=1-s2.0-S0040162508000474-main.pdf</t>
  </si>
  <si>
    <t>Social network structure and parasite infection patterns in a territorial reptile, the tuatara (Sphenodon punctatus) Supplementary content </t>
  </si>
  <si>
    <t>Stephanie S. Godfrey, Jennifer A. Moore, Nicola J. Nelson, C. Michael Bull</t>
  </si>
  <si>
    <t>International Journal for Parasitology</t>
  </si>
  <si>
    <t>http://pdn.sciencedirect.com/science?_ob=MiamiImageURL&amp;_cid=271903&amp;_user=686465&amp;_pii=S002075191000247X&amp;_check=y&amp;_origin=search&amp;_zone=rslt_list_item&amp;_coverDate=2010-11-30&amp;wchp=dGLbVlS-zSkzk&amp;md5=b7328ce3db91b94f8b4b1ec654306c5d&amp;pid=1-s2.0-S002075191000247X-main.pdf</t>
  </si>
  <si>
    <t>Spatial–temporal transmission of influenza and its health risks in an urbanized area</t>
  </si>
  <si>
    <t>Liang Mao, Ling Bian</t>
  </si>
  <si>
    <t>http://pdn.sciencedirect.com/science?_ob=MiamiImageURL&amp;_cid=271803&amp;_user=686465&amp;_pii=S0198971510000256&amp;_check=y&amp;_origin=search&amp;_zone=rslt_list_item&amp;_coverDate=2010-05-31&amp;wchp=dGLbVlS-zSkzk&amp;md5=406c193695ccc1ade0ffed7e52aa9b47&amp;pid=1-s2.0-S0198971510000256-main.pdf</t>
  </si>
  <si>
    <t>http://pdn.sciencedirect.com/science?_ob=MiamiImageURL&amp;_cid=272314&amp;_user=686465&amp;_pii=S0022519309003385&amp;_check=y&amp;_origin=search&amp;_zone=rslt_list_item&amp;_coverDate=2009-11-07&amp;wchp=dGLbVlS-zSkzk&amp;md5=9407e30783cedd88b967e1f7c1ea04b7&amp;pid=1-s2.0-S0022519309003385-main.pdf</t>
  </si>
  <si>
    <t>Selective mimetism at departure in collective movements of Macaca tonkeana: an experimental and theoretical approach Supplementary content </t>
  </si>
  <si>
    <t>C. Sueur, O. Petit, J.L. Deneubourg</t>
  </si>
  <si>
    <t>http://pdn.sciencedirect.com/science?_ob=MiamiImageURL&amp;_cid=272524&amp;_user=686465&amp;_pii=S0003347209003583&amp;_check=y&amp;_origin=search&amp;_zone=rslt_list_item&amp;_coverDate=2009-11-30&amp;wchp=dGLbVlS-zSkzk&amp;md5=a5fc497be766a3681fec6a2f94d4f027&amp;pid=1-s2.0-S0003347209003583-main.pdf</t>
  </si>
  <si>
    <t>Leading from the Middle of the Organization: An Examination of Shared Leadership in Academic Libraries Supplementary content </t>
  </si>
  <si>
    <t>Jon E. Cawthorne</t>
  </si>
  <si>
    <t>http://pdn.sciencedirect.com/science?_ob=MiamiImageURL&amp;_cid=272069&amp;_user=686465&amp;_pii=S0099133310000078&amp;_check=y&amp;_origin=search&amp;_zone=rslt_list_item&amp;_coverDate=2010-03-31&amp;wchp=dGLbVlS-zSkzk&amp;md5=02690e5a52d4c8b1ca26ac2f0dbe751f&amp;pid=1-s2.0-S0099133310000078-main.pdf</t>
  </si>
  <si>
    <t>Exploring mitochondrial evolution and metabolism organization principles by comparative analysis of metabolic networks Supplementary content </t>
  </si>
  <si>
    <t>Xiao Chang, Zhuo Wang, Pei Hao, Yuan-Yuan Li, Yi-Xue Li</t>
  </si>
  <si>
    <t>Genomics</t>
  </si>
  <si>
    <t>http://pdn.sciencedirect.com/science?_ob=MiamiImageURL&amp;_cid=272501&amp;_user=686465&amp;_pii=S0888754310000546&amp;_check=y&amp;_origin=search&amp;_zone=rslt_list_item&amp;_coverDate=2010-06-30&amp;wchp=dGLbVlS-zSkzk&amp;md5=cd3f84a3d7e17348912542b4e307a8a9&amp;pid=1-s2.0-S0888754310000546-main.pdf</t>
  </si>
  <si>
    <t>Globalization and heterogenization: Cultural and civilizational clustering in telecommunicative space (1989–1999)</t>
  </si>
  <si>
    <t>Sorin Adam Matei</t>
  </si>
  <si>
    <t>http://pdn.sciencedirect.com/science?_ob=MiamiImageURL&amp;_cid=271579&amp;_user=686465&amp;_pii=S0736585305000456&amp;_check=y&amp;_origin=search&amp;_zone=rslt_list_item&amp;_coverDate=2006-11-30&amp;wchp=dGLbVlS-zSkzk&amp;md5=95b45885e1af8e82a2e204ef5d8bfb09&amp;pid=1-s2.0-S0736585305000456-main.pdf</t>
  </si>
  <si>
    <t>Information gathering through alliances Supplementary content </t>
  </si>
  <si>
    <t>Wilko Letterie, John Hagedoorn, Hans van Kranenburg, Franz Palm</t>
  </si>
  <si>
    <t>http://pdn.sciencedirect.com/science?_ob=MiamiImageURL&amp;_cid=271649&amp;_user=686465&amp;_pii=S016726810600271X&amp;_check=y&amp;_origin=search&amp;_zone=rslt_list_item&amp;_coverDate=2008-05-31&amp;wchp=dGLbVlS-zSkzk&amp;md5=3deb2825f8bd71410872d446f10b8ef1&amp;pid=1-s2.0-S016726810600271X-main.pdf</t>
  </si>
  <si>
    <t>Do the aged and knowledgeable men enjoy more prestige? A test of predictions from the prestige-bias model of cultural transmission Supplementary content </t>
  </si>
  <si>
    <t>Victoria Reyes-Garcia, Jose Luis Molina, James Broesch, Laura Calvet, Tomas Huanca, Judith Saus, Susan Tanner, William R. Leonard, Thomas W. McDade, TAPS Bolivian Study Team</t>
  </si>
  <si>
    <t>Evolution and Human Behavior</t>
  </si>
  <si>
    <t>http://pdn.sciencedirect.com/science?_ob=MiamiImageURL&amp;_cid=271894&amp;_user=686465&amp;_pii=S1090513808000275&amp;_check=y&amp;_origin=search&amp;_zone=rslt_list_item&amp;_coverDate=2008-07-31&amp;wchp=dGLbVlS-zSkzk&amp;md5=de5a76a652c0f6b513d389a1dc06d6c9&amp;pid=1-s2.0-S1090513808000275-main.pdf</t>
  </si>
  <si>
    <t>Structured literature image finder: Parsing text and figures in biomedical literature</t>
  </si>
  <si>
    <t>Amr Ahmed, Andrew Arnold, Luis Pedro Coelho, Joshua Kangas, Abdul-Saboor Sheikh, Eric Xing, William Cohen, Robert F. Murphy</t>
  </si>
  <si>
    <t>http://pdn.sciencedirect.com/science?_ob=MiamiImageURL&amp;_cid=272989&amp;_user=686465&amp;_pii=S1570826810000247&amp;_check=y&amp;_origin=search&amp;_zone=rslt_list_item&amp;_coverDate=2010-07-31&amp;wchp=dGLbVlS-zSkzk&amp;md5=e84420c3de852fb012b40e946d4e80e9&amp;pid=1-s2.0-S1570826810000247-main.pdf</t>
  </si>
  <si>
    <t>Combining discrete SVM and fixed cardinality warping distances for multivariate time series classification</t>
  </si>
  <si>
    <t>C. Orsenigo, C. Vercellis</t>
  </si>
  <si>
    <t>http://pdn.sciencedirect.com/science?_ob=MiamiImageURL&amp;_cid=272206&amp;_user=686465&amp;_pii=S0031320310002694&amp;_check=y&amp;_origin=search&amp;_zone=rslt_list_item&amp;_coverDate=2010-11-30&amp;wchp=dGLbVlS-zSkzk&amp;md5=c0aeb4e1ed1a07ea4af50a4ac5176d08&amp;pid=1-s2.0-S0031320310002694-main.pdf</t>
  </si>
  <si>
    <t>Enhanced display of scientific articles using extended metadata</t>
  </si>
  <si>
    <t>Roderic D.M. Page</t>
  </si>
  <si>
    <t>http://pdn.sciencedirect.com/science?_ob=MiamiImageURL&amp;_cid=272989&amp;_user=686465&amp;_pii=S157082681000020X&amp;_check=y&amp;_origin=search&amp;_zone=rslt_list_item&amp;_coverDate=2010-07-31&amp;wchp=dGLbVlS-zSkzk&amp;md5=35e7dd60253c51dd95c985bce6cd502e&amp;pid=1-s2.0-S157082681000020X-main.pdf</t>
  </si>
  <si>
    <t>Learning in innovation networks: Some simulation experiments</t>
  </si>
  <si>
    <t>Nigel Gilbert, Petra Ahrweiler, Andreas Pyka</t>
  </si>
  <si>
    <t>http://pdn.sciencedirect.com/science?_ob=MiamiImageURL&amp;_cid=271529&amp;_user=686465&amp;_pii=S0378437106012714&amp;_check=y&amp;_origin=search&amp;_zone=rslt_list_item&amp;_coverDate=2007-05-01&amp;wchp=dGLbVlS-zSkzk&amp;md5=21c76b4053db51ab4dc5bb188df6b3af&amp;pid=1-s2.0-S0378437106012714-main.pdf</t>
  </si>
  <si>
    <t>A novel approach of mining write-prints for authorship attribution in e-mail forensics</t>
  </si>
  <si>
    <t>Farkhund Iqbal, Rachid Hadjidj, Benjamin C.M. Fung, Mourad Debbabi</t>
  </si>
  <si>
    <t>http://pdn.sciencedirect.com/science?_ob=MiamiImageURL&amp;_cid=273059&amp;_user=686465&amp;_pii=S1742287608000315&amp;_check=y&amp;_origin=search&amp;_zone=rslt_list_item&amp;_coverDate=2008-09-30&amp;wchp=dGLbVlS-zSkzk&amp;md5=1f16ed13c362ed6f5a0074c62e86e2ef&amp;pid=1-s2.0-S1742287608000315-main.pdf</t>
  </si>
  <si>
    <t>Reflect: A practical approach to web semantics</t>
  </si>
  <si>
    <t>Se&amp;aacute;n I. O’Donoghue, Heiko Horn, Evangelos Pafilis, Sven Haag, Michael Kuhn, Venkata P. Satagopam, Reinhard Schneider, Lars J. Jensen</t>
  </si>
  <si>
    <t>http://pdn.sciencedirect.com/science?_ob=MiamiImageURL&amp;_cid=272989&amp;_user=686465&amp;_pii=S1570826810000193&amp;_check=y&amp;_origin=search&amp;_zone=rslt_list_item&amp;_coverDate=2010-07-31&amp;wchp=dGLbVlS-zSkzk&amp;md5=50b5f6a28a7e4ac1a6263340b1efe053&amp;pid=1-s2.0-S1570826810000193-main.pdf</t>
  </si>
  <si>
    <t>Christian Hirschi, Karin Ingold, Uwe Serd&amp;uuml;lt</t>
  </si>
  <si>
    <t>http://pdn.sciencedirect.com/science?_ob=MiamiImageURL&amp;_cid=277811&amp;_user=686465&amp;_pii=S1877042810018501&amp;_check=y&amp;_origin=search&amp;_zone=rslt_list_item&amp;_coverDate=2010-12-31&amp;wchp=dGLbVlS-zSkzk&amp;md5=59e7cd54c0ed8169b6db19e7427c8f92&amp;pid=1-s2.0-S1877042810018501-main.pdf</t>
  </si>
  <si>
    <t>http://pdn.sciencedirect.com/science?_ob=MiamiImageURL&amp;_cid=272989&amp;_user=686465&amp;_pii=S1570826810000417&amp;_check=y&amp;_origin=search&amp;_zone=rslt_list_item&amp;_coverDate=2010-07-31&amp;_docsubtype=edb&amp;wchp=dGLbVlS-zSkzk&amp;md5=95e5b0ed1694fc3b106f9da4efce58e9&amp;pid=1-s2.0-S1570826810000417-main.pdf</t>
  </si>
  <si>
    <t>Semantic Web and Social Web heading towards Living Documents in the Life Sciences</t>
  </si>
  <si>
    <t>Alexander Garcia-Castro, Alberto Labarga, Leyla Garcia, Olga Giraldo, Cesar Monta&amp;ntilde;a, John A. Bateman</t>
  </si>
  <si>
    <t>http://pdn.sciencedirect.com/science?_ob=MiamiImageURL&amp;_cid=272989&amp;_user=686465&amp;_pii=S1570826810000223&amp;_check=y&amp;_origin=search&amp;_zone=rslt_list_item&amp;_coverDate=2010-07-31&amp;wchp=dGLbVlS-zSkzk&amp;md5=ff2737e18406ab44b44c535fbb083758&amp;pid=1-s2.0-S1570826810000223-main.pdf</t>
  </si>
  <si>
    <t>Introduction to the Special Issue</t>
  </si>
  <si>
    <t>E.H. Hovy, Susie Stephens</t>
  </si>
  <si>
    <t>http://pdn.sciencedirect.com/science?_ob=MiamiImageURL&amp;_cid=272989&amp;_user=686465&amp;_pii=S1570826810000259&amp;_check=y&amp;_origin=search&amp;_zone=rslt_list_item&amp;_coverDate=2010-07-31&amp;wchp=dGLbVlS-zSkzk&amp;md5=858b1f9aeb5784d65aa393c42675c50a&amp;pid=1-s2.0-S1570826810000259-main.pdf</t>
  </si>
  <si>
    <t>Supporting browsing-specific information needs: Introducing the Citation-Sensitive In-Browser Summariser</t>
  </si>
  <si>
    <t>Stephen Wan, C&amp;eacute;cile Paris, Robert Dale</t>
  </si>
  <si>
    <t>http://pdn.sciencedirect.com/science?_ob=MiamiImageURL&amp;_cid=272989&amp;_user=686465&amp;_pii=S1570826810000181&amp;_check=y&amp;_origin=search&amp;_zone=rslt_list_item&amp;_coverDate=2010-07-31&amp;wchp=dGLbVlS-zSkzk&amp;md5=99a225795376f846fa4264609e89da7c&amp;pid=1-s2.0-S1570826810000181-main.pdf</t>
  </si>
  <si>
    <t>Dynamic visualization of statistical learning in the context of high-dimensional textual data Supplementary content </t>
  </si>
  <si>
    <t>Michael Greenacre, Trevor Hastie</t>
  </si>
  <si>
    <t>http://pdn.sciencedirect.com/science?_ob=MiamiImageURL&amp;_cid=272989&amp;_user=686465&amp;_pii=S1570826810000260&amp;_check=y&amp;_origin=search&amp;_zone=rslt_list_item&amp;_coverDate=2010-07-31&amp;wchp=dGLbVlS-zSkzk&amp;md5=8dc13f528b24d7e3c42731fc0c67b165&amp;pid=1-s2.0-S1570826810000260-main.pdf</t>
  </si>
  <si>
    <t>Interactive publication: The document as a research tool</t>
  </si>
  <si>
    <t>George R. Thoma, Glenn Ford, Sameer Antani, Dina Demner-Fushman, Michael Chung, Matthew Simpson</t>
  </si>
  <si>
    <t>http://pdn.sciencedirect.com/science?_ob=MiamiImageURL&amp;_cid=272989&amp;_user=686465&amp;_pii=S1570826810000235&amp;_check=y&amp;_origin=search&amp;_zone=rslt_list_item&amp;_coverDate=2010-07-31&amp;wchp=dGLbVlS-zSkzk&amp;md5=acac4c77ca7974c2f16f73014e71e14e&amp;pid=1-s2.0-S1570826810000235-main.pdf</t>
  </si>
  <si>
    <t>On compressing frequent patterns</t>
  </si>
  <si>
    <t>Dong Xin, Jiawei Han, Xifeng Yan, Hong Cheng</t>
  </si>
  <si>
    <t>http://pdn.sciencedirect.com/science?_ob=MiamiImageURL&amp;_cid=271546&amp;_user=686465&amp;_pii=S0169023X06000188&amp;_check=y&amp;_origin=search&amp;_zone=rslt_list_item&amp;_coverDate=2007-01-31&amp;wchp=dGLbVlS-zSkzk&amp;md5=1dfbdfeb081d49461693a78325eb17b5&amp;pid=1-s2.0-S0169023X06000188-main.pdf</t>
  </si>
  <si>
    <t>Enhancing border security: Mutual information analysis to identify suspect vehicles</t>
  </si>
  <si>
    <t>Siddharth Kaza, Yuan Wang, Hsinchun Chen</t>
  </si>
  <si>
    <t>http://pdn.sciencedirect.com/science?_ob=MiamiImageURL&amp;_cid=271653&amp;_user=686465&amp;_pii=S0167923606001254&amp;_check=y&amp;_origin=search&amp;_zone=rslt_list_item&amp;_coverDate=2007-02-28&amp;wchp=dGLbVlS-zSkzk&amp;md5=d3fe4869a98c4481da62775d9812603b&amp;pid=1-s2.0-S0167923606001254-main.pdf</t>
  </si>
  <si>
    <t>A probabilistic model of integration</t>
  </si>
  <si>
    <t>Stephan Olariu, Jeffrey V. Nickerson</t>
  </si>
  <si>
    <t>http://pdn.sciencedirect.com/science?_ob=MiamiImageURL&amp;_cid=271653&amp;_user=686465&amp;_pii=S0167923607002217&amp;_check=y&amp;_origin=search&amp;_zone=rslt_list_item&amp;_coverDate=2008-11-30&amp;wchp=dGLbVlS-zSkzk&amp;md5=559786d0ba12d3c4214216ae469f6761&amp;pid=1-s2.0-S0167923607002217-main.pdf</t>
  </si>
  <si>
    <t>Automatic construction of a large-scale situation ontology by mining how-to instructions from the web</t>
  </si>
  <si>
    <t>Yuchul Jung, Jihee Ryu, Kyung-min Kim, Sung-Hyon Myaeng</t>
  </si>
  <si>
    <t>http://pdn.sciencedirect.com/science?_ob=MiamiImageURL&amp;_cid=272989&amp;_user=686465&amp;_pii=S1570826810000302&amp;_check=y&amp;_origin=search&amp;_zone=rslt_list_item&amp;_coverDate=2010-07-31&amp;wchp=dGLbVlS-zSkzk&amp;md5=1a46305e85c495420381585f5e9ebd34&amp;pid=1-s2.0-S1570826810000302-main.pdf</t>
  </si>
  <si>
    <t>Peptide classification using optimal and information theoretic syntactic modeling</t>
  </si>
  <si>
    <t>E. Ayg&amp;uuml;n, B.J. Oommen, Z. Cataltepe</t>
  </si>
  <si>
    <t>http://pdn.sciencedirect.com/science?_ob=MiamiImageURL&amp;_cid=272206&amp;_user=686465&amp;_pii=S0031320310002463&amp;_check=y&amp;_origin=search&amp;_zone=rslt_list_item&amp;_coverDate=2010-11-30&amp;wchp=dGLbVlS-zSkzk&amp;md5=04eaade118ccce5ba74fd7f21a27f0c8&amp;pid=1-s2.0-S0031320310002463-main.pdf</t>
  </si>
  <si>
    <t>Evaluating ontology mapping techniques: An experiment in public safety information sharing</t>
  </si>
  <si>
    <t>Siddharth Kaza, Hsinchun Chen</t>
  </si>
  <si>
    <t>http://pdn.sciencedirect.com/science?_ob=MiamiImageURL&amp;_cid=271653&amp;_user=686465&amp;_pii=S0167923607002199&amp;_check=y&amp;_origin=search&amp;_zone=rslt_list_item&amp;_coverDate=2008-11-30&amp;wchp=dGLbVlS-zSkzk&amp;md5=5747c4a3f61581b5f9929c94e2d19986&amp;pid=1-s2.0-S0167923607002199-main.pdf</t>
  </si>
  <si>
    <t>The moderating role of socio-semantic networks on online buzz diffusion</t>
  </si>
  <si>
    <t>Hyejun Lee, Dong Il Lee, Taeho Kim, Juhyun Lee</t>
  </si>
  <si>
    <t>http://pdn.sciencedirect.com/science?_ob=MiamiImageURL&amp;_cid=271680&amp;_user=686465&amp;_pii=S0148296312000707&amp;_check=y&amp;_origin=search&amp;_zone=rslt_list_item&amp;_coverDate=2012-03-09&amp;wchp=dGLbVlB-zSkzk&amp;md5=f3431cee6ac83c5d334a1035795af030&amp;pid=1-s2.0-S0148296312000707-main.pdf</t>
  </si>
  <si>
    <t>ScienceDirect - 2011 a 2013 - Page 1.htm</t>
  </si>
  <si>
    <t>An exploration of a quasi-stable online network: A longitudinal perspective</t>
  </si>
  <si>
    <t>Laura C. Farrell, Julie Fudge</t>
  </si>
  <si>
    <t>http://pdn.sciencedirect.com/science?_ob=MiamiImageURL&amp;_cid=271802&amp;_user=686465&amp;_pii=S0747563212003573&amp;_check=y&amp;_origin=search&amp;_zone=rslt_list_item&amp;_coverDate=2013-05-31&amp;wchp=dGLbVlB-zSkzk&amp;md5=e1d4f9807d0022a333b8fadcbe962f5c&amp;pid=1-s2.0-S0747563212003573-main.pdf</t>
  </si>
  <si>
    <t>Social network analysis for e-learning environments</t>
  </si>
  <si>
    <t>Petek A?kar</t>
  </si>
  <si>
    <t>http://pdn.sciencedirect.com/science?_ob=MiamiImageURL&amp;_cid=277811&amp;_user=686465&amp;_pii=S187704281102622X&amp;_check=y&amp;_origin=search&amp;_zone=rslt_list_item&amp;_coverDate=2011-12-31&amp;wchp=dGLbVlB-zSkzk&amp;md5=f18ab940cec23f9636c4a76c6ec3fa50&amp;pid=1-s2.0-S187704281102622X-main.pdf</t>
  </si>
  <si>
    <t>Chapter 3 - Social Network Analysis: Measuring, Mapping, and Modeling Collections of Connections</t>
  </si>
  <si>
    <t>Derek L. Hansen, Ben Shneiderman, Marc A. Smith</t>
  </si>
  <si>
    <t>Analyzing Social Media Networks with NodeXL</t>
  </si>
  <si>
    <t>Warning system for online market research – Identifying critical situations in online opinion formation</t>
  </si>
  <si>
    <t>Carolin Kaiser, Sabine Schlick, Freimut Bodendorf</t>
  </si>
  <si>
    <t>http://pdn.sciencedirect.com/science?_ob=MiamiImageURL&amp;_cid=271505&amp;_user=686465&amp;_pii=S0950705111000542&amp;_check=y&amp;_origin=search&amp;_zone=rslt_list_item&amp;_coverDate=2011-08-31&amp;wchp=dGLbVlB-zSkzk&amp;md5=1c20d5c2e29e89165f755bf039bcdfbb&amp;pid=1-s2.0-S0950705111000542-main.pdf</t>
  </si>
  <si>
    <t>Emergent Leadership in Virtual Collaboration Settings: A Social Network Analysis Approach</t>
  </si>
  <si>
    <t>Juliana Sutanto, Chuan-Hoo Tan, Boris Battistini, Chee Wei Phang</t>
  </si>
  <si>
    <t>Long Range Planning</t>
  </si>
  <si>
    <t>http://pdn.sciencedirect.com/science?_ob=MiamiImageURL&amp;_cid=271874&amp;_user=686465&amp;_pii=S0024630111000422&amp;_check=y&amp;_origin=search&amp;_zone=rslt_list_item&amp;_coverDate=2011-12-31&amp;wchp=dGLbVlB-zSkzk&amp;md5=37f7b0ef37cb19011cebcdd46b51d6e9&amp;pid=1-s2.0-S0024630111000422-main.pdf</t>
  </si>
  <si>
    <t>Social network analysis in accounting information systems research</t>
  </si>
  <si>
    <t>James Worrell, Molly Wasko, Allen Johnston</t>
  </si>
  <si>
    <t>International Journal of Accounting Information Systems</t>
  </si>
  <si>
    <t>http://pdn.sciencedirect.com/science?_ob=MiamiImageURL&amp;_cid=272163&amp;_user=686465&amp;_pii=S1467089511000388&amp;_check=y&amp;_origin=search&amp;_zone=rslt_list_item&amp;_coverDate=2011-07-29&amp;wchp=dGLbVlB-zSkzk&amp;md5=b3e0b443646170a72e7a4d97ad819748&amp;pid=1-s2.0-S1467089511000388-main.pdf</t>
  </si>
  <si>
    <t>Social network analysis of web links to eliminate false positives in collaborative anti-spam systems</t>
  </si>
  <si>
    <t>Zac Sadan, David G. Schwartz</t>
  </si>
  <si>
    <t>http://pdn.sciencedirect.com/science?_ob=MiamiImageURL&amp;_cid=272436&amp;_user=686465&amp;_pii=S1084804511001160&amp;_check=y&amp;_origin=search&amp;_zone=rslt_list_item&amp;_coverDate=2011-09-30&amp;wchp=dGLbVlB-zSkzk&amp;md5=64284a8067bf4e3126d042baeb3a5bd0&amp;pid=1-s2.0-S1084804511001160-main.pdf</t>
  </si>
  <si>
    <t>Combining ranking concept and social network analysis to detect collusive groups in online auctions</t>
  </si>
  <si>
    <t>Shi-Jen Lin, Yi-Ying Jheng, Cheng-Hsien Yu</t>
  </si>
  <si>
    <t>http://pdn.sciencedirect.com/science?_ob=MiamiImageURL&amp;_cid=271506&amp;_user=686465&amp;_pii=S0957417412002837&amp;_check=y&amp;_origin=search&amp;_zone=rslt_list_item&amp;_coverDate=2012-08-31&amp;wchp=dGLbVlB-zSkzk&amp;md5=89ed94e74c904d1de16eed7e679cbbf3&amp;pid=1-s2.0-S0957417412002837-main.pdf</t>
  </si>
  <si>
    <t>The role of scaffolding and motivation in CSCL</t>
  </si>
  <si>
    <t>Bart Rienties, Bas Giesbers, Dirk Tempelaar, Simon Lygo-Baker, Mien Segers, Wim Gijselaers</t>
  </si>
  <si>
    <t>http://pdn.sciencedirect.com/science?_ob=MiamiImageURL&amp;_cid=271849&amp;_user=686465&amp;_pii=S0360131512000942&amp;_check=y&amp;_origin=search&amp;_zone=rslt_list_item&amp;_coverDate=2012-11-30&amp;wchp=dGLbVlB-zSkzk&amp;md5=d53556ed2420a59b4c6a7658d8b15d5d&amp;pid=1-s2.0-S0360131512000942-main.pdf</t>
  </si>
  <si>
    <t>Online social networks: A survey of a global phenomenon</t>
  </si>
  <si>
    <t>Julia Heidemann, Mathias Klier, Florian Probst</t>
  </si>
  <si>
    <t>http://pdn.sciencedirect.com/science?_ob=MiamiImageURL&amp;_cid=271990&amp;_user=686465&amp;_pii=S1389128612003088&amp;_check=y&amp;_origin=search&amp;_zone=rslt_list_item&amp;_coverDate=2012-12-17&amp;wchp=dGLbVlB-zSkzk&amp;md5=28a0437066ef34e5553cea71cf9fe509&amp;pid=1-s2.0-S1389128612003088-main.pdf</t>
  </si>
  <si>
    <t>A case study of online instructional collaborative discussion activities for problem-solving using situated scenarios: An examination of content and behavior cluster analysis</t>
  </si>
  <si>
    <t>Huei-Tse Hou</t>
  </si>
  <si>
    <t>http://pdn.sciencedirect.com/science?_ob=MiamiImageURL&amp;_cid=271849&amp;_user=686465&amp;_pii=S0360131510002988&amp;_check=y&amp;_origin=search&amp;_zone=rslt_list_item&amp;_coverDate=2011-04-30&amp;wchp=dGLbVlB-zSkzk&amp;md5=2530ef9b86ad51ee85f6a9c5d2c41b65&amp;pid=1-s2.0-S0360131510002988-main.pdf</t>
  </si>
  <si>
    <t>Online Formative Assessments with Social Network Awareness</t>
  </si>
  <si>
    <t>Jian-Wei Lin, Yuan-Cheng Lai</t>
  </si>
  <si>
    <t>http://pdn.sciencedirect.com/science?_ob=MiamiImageURL&amp;_cid=271849&amp;_user=686465&amp;_pii=S036013151300047X&amp;_check=y&amp;_origin=search&amp;_zone=rslt_list_item&amp;_coverDate=2013-03-07&amp;wchp=dGLbVlB-zSkzk&amp;md5=56cf3819a3c48e8d38ec81a7144186f8&amp;pid=1-s2.0-S036013151300047X-main.pdf</t>
  </si>
  <si>
    <t>Mapping online social networks of Korean politicians</t>
  </si>
  <si>
    <t>Chien-leng Hsu, Han Woo Park</t>
  </si>
  <si>
    <t>http://pdn.sciencedirect.com/science?_ob=MiamiImageURL&amp;_cid=272070&amp;_user=686465&amp;_pii=S0740624X12000111&amp;_check=y&amp;_origin=search&amp;_zone=rslt_list_item&amp;_coverDate=2012-04-30&amp;wchp=dGLbVlB-zSkzk&amp;md5=e4014b5309ae8c45444bec3130a0df7e&amp;pid=1-s2.0-S0740624X12000111-main.pdf</t>
  </si>
  <si>
    <t>Conceptualizing means-end chains of user goals as networks</t>
  </si>
  <si>
    <t>Sabine Matook</t>
  </si>
  <si>
    <t>http://pdn.sciencedirect.com/science?_ob=MiamiImageURL&amp;_cid=271670&amp;_user=686465&amp;_pii=S0378720612000845&amp;_check=y&amp;_origin=search&amp;_zone=rslt_list_item&amp;_coverDate=2013-01-31&amp;wchp=dGLbVlB-zSkzk&amp;md5=fedcca4972e055af05ed8654e62f802b&amp;pid=1-s2.0-S0378720612000845-main.pdf</t>
  </si>
  <si>
    <t>A novel two-stage phased modeling framework for early fraud detection in online auctions</t>
  </si>
  <si>
    <t>Wen-Hsi Chang, Jau-Shien Chang</t>
  </si>
  <si>
    <t>http://pdn.sciencedirect.com/science?_ob=MiamiImageURL&amp;_cid=271506&amp;_user=686465&amp;_pii=S0957417411003964&amp;_check=y&amp;_origin=search&amp;_zone=rslt_list_item&amp;_coverDate=2011-09-30&amp;wchp=dGLbVlB-zSkzk&amp;md5=3685589a740b5bb4479048ce070ca047&amp;pid=1-s2.0-S0957417411003964-main.pdf</t>
  </si>
  <si>
    <t>Chapter 15 - Online Resources</t>
  </si>
  <si>
    <t>Yangchang Zhao</t>
  </si>
  <si>
    <t>R and Data Mining</t>
  </si>
  <si>
    <t>An improved mix framework for opinion leader identification in online learning communities</t>
  </si>
  <si>
    <t>Yanyan Li, Shaoqian Ma, Yonghe Zhang, Ronghuai Huang, Kinshuk</t>
  </si>
  <si>
    <t>http://pdn.sciencedirect.com/science?_ob=MiamiImageURL&amp;_cid=271505&amp;_user=686465&amp;_pii=S0950705113000099&amp;_check=y&amp;_origin=search&amp;_zone=rslt_list_item&amp;_coverDate=2013-05-31&amp;wchp=dGLbVlB-zSkzk&amp;md5=b708d95481cd231eb8f61295ca7a4866&amp;pid=1-s2.0-S0950705113000099-main.pdf</t>
  </si>
  <si>
    <t>A social recommender mechanism for improving knowledge sharing in online forums</t>
  </si>
  <si>
    <t>Yung-Ming Li, Tzu-Fong Liao, Cheng-Yang Lai</t>
  </si>
  <si>
    <t>http://pdn.sciencedirect.com/science?_ob=MiamiImageURL&amp;_cid=271647&amp;_user=686465&amp;_pii=S0306457312000234&amp;_check=y&amp;_origin=search&amp;_zone=rslt_list_item&amp;_coverDate=2012-09-30&amp;wchp=dGLbVlB-zSkzk&amp;md5=5c2757436ac0c0047b524b7c20e5f893&amp;pid=1-s2.0-S0306457312000234-main.pdf</t>
  </si>
  <si>
    <t>Analyzing the social knowledge construction behavioral patterns of an online synchronous collaborative discussion instructional activity using an instant messaging tool: A case study</t>
  </si>
  <si>
    <t>Huei-Tse Hou, Sheng-Yi Wu</t>
  </si>
  <si>
    <t>http://pdn.sciencedirect.com/science?_ob=MiamiImageURL&amp;_cid=271849&amp;_user=686465&amp;_pii=S0360131511000509&amp;_check=y&amp;_origin=search&amp;_zone=rslt_list_item&amp;_coverDate=2011-09-30&amp;wchp=dGLbVlB-zSkzk&amp;md5=a8dea8abc37ef8b4d0859da213f5d14d&amp;pid=1-s2.0-S0360131511000509-main.pdf</t>
  </si>
  <si>
    <t>Who is talking? An ontology-based opinion leader identification framework for word-of-mouth marketing in online social blogs</t>
  </si>
  <si>
    <t>Feng Li, Timon C. Du</t>
  </si>
  <si>
    <t>http://pdn.sciencedirect.com/science?_ob=MiamiImageURL&amp;_cid=271653&amp;_user=686465&amp;_pii=S016792361000240X&amp;_check=y&amp;_origin=search&amp;_zone=rslt_list_item&amp;_coverDate=2011-04-30&amp;wchp=dGLbVlB-zSkzk&amp;md5=603da48ccc65410f31bdf087f2a58762&amp;pid=1-s2.0-S016792361000240X-main.pdf</t>
  </si>
  <si>
    <t>Learning through online peer discourse: Structural equation modeling points to the role of discourse activities in individual understanding</t>
  </si>
  <si>
    <t>Elisabeth Paus, Christina S. Werner, Regina Jucks</t>
  </si>
  <si>
    <t>http://pdn.sciencedirect.com/science?_ob=MiamiImageURL&amp;_cid=271849&amp;_user=686465&amp;_pii=S0360131511003241&amp;_check=y&amp;_origin=search&amp;_zone=rslt_list_item&amp;_coverDate=2012-05-31&amp;wchp=dGLbVlB-zSkzk&amp;md5=041bf492538c9d29ba1fa5d208ac3747&amp;pid=1-s2.0-S0360131511003241-main.pdf</t>
  </si>
  <si>
    <t>Exploring the behavioral patterns of learners in an educational massively multiple online role-playing game (MMORPG)</t>
  </si>
  <si>
    <t>http://pdn.sciencedirect.com/science?_ob=MiamiImageURL&amp;_cid=271849&amp;_user=686465&amp;_pii=S0360131511003009&amp;_check=y&amp;_origin=search&amp;_zone=rslt_list_item&amp;_coverDate=2012-05-31&amp;wchp=dGLbVlB-zSkzk&amp;md5=beb0b97a873c10d111b93d79743cb0af&amp;pid=1-s2.0-S0360131511003009-main.pdf</t>
  </si>
  <si>
    <t>Bridge analysis in a Social Internetworking Scenario</t>
  </si>
  <si>
    <t>Francesco Buccafurri, Vincenzo Daniele Foti, Gianluca Lax, Antonino Nocera, Domenico Ursino</t>
  </si>
  <si>
    <t>http://pdn.sciencedirect.com/science?_ob=MiamiImageURL&amp;_cid=271625&amp;_user=686465&amp;_pii=S002002551200686X&amp;_check=y&amp;_origin=search&amp;_zone=rslt_list_item&amp;_coverDate=2013-03-01&amp;wchp=dGLbVlB-zSkzk&amp;md5=fade194d6f5446fc1459615ec6278d2e&amp;pid=1-s2.0-S002002551200686X-main.pdf</t>
  </si>
  <si>
    <t>Towards Growing a COIN in a Medical Research Community</t>
  </si>
  <si>
    <t>Peter A. Gloor, Francesca Grippa, Amy Borgert, Richard B. Colletti, George Dellal, Peter Margolis, Michael Seid</t>
  </si>
  <si>
    <t>http://pdn.sciencedirect.com/science?_ob=MiamiImageURL&amp;_cid=277811&amp;_user=686465&amp;_pii=S1877042811023846&amp;_check=y&amp;_origin=search&amp;_zone=rslt_list_item&amp;_coverDate=2011-12-31&amp;wchp=dGLbVlB-zSkzk&amp;md5=b9a07252909ff593a737caa32321aec1&amp;pid=1-s2.0-S1877042811023846-main.pdf</t>
  </si>
  <si>
    <t>Social Network Analysis of Childhood and Youth Physical Activity: A Systematic Review Supplementary content </t>
  </si>
  <si>
    <t>Kyle Macdonald-Wallis, Russell Jago, Jonathan A.C. Sterne</t>
  </si>
  <si>
    <t>http://pdn.sciencedirect.com/science?_ob=MiamiImageURL&amp;_cid=271902&amp;_user=686465&amp;_pii=S0749379712006186&amp;_check=y&amp;_origin=search&amp;_zone=rslt_list_item&amp;_coverDate=2012-12-31&amp;wchp=dGLbVlB-zSkzk&amp;md5=0d40ee6ee7a6a7d3e599b2eb36bc7c8e&amp;pid=1-s2.0-S0749379712006186-main.pdf</t>
  </si>
  <si>
    <t>Mining competitor relationships from online news: A network-based approach</t>
  </si>
  <si>
    <t>Zhongming Ma, Gautam Pant, Olivia R.L. Sheng</t>
  </si>
  <si>
    <t>http://pdn.sciencedirect.com/science?_ob=MiamiImageURL&amp;_cid=272634&amp;_user=686465&amp;_pii=S156742231000092X&amp;_check=y&amp;_origin=search&amp;_zone=rslt_list_item&amp;_coverDate=2011-08-31&amp;wchp=dGLbVlB-zSkzk&amp;md5=2c0b8947a7f8ae47ef7d59d4e83fc774&amp;pid=1-s2.0-S156742231000092X-main.pdf</t>
  </si>
  <si>
    <t>A diagnosis framework for identifying the current knowledge sharing activity status in a community of practice</t>
  </si>
  <si>
    <t>Sung-jin Kim, Jong-yi Hong, Eui-ho Suh</t>
  </si>
  <si>
    <t>http://pdn.sciencedirect.com/science?_ob=MiamiImageURL&amp;_cid=271506&amp;_user=686465&amp;_pii=S0957417412008081&amp;_check=y&amp;_origin=search&amp;_zone=rslt_list_item&amp;_coverDate=2012-12-15&amp;wchp=dGLbVlB-zSkzk&amp;md5=dc390f098f4c2896a9080de7e031f22b&amp;pid=1-s2.0-S0957417412008081-main.pdf</t>
  </si>
  <si>
    <t>Discovering interest groups for marketing in virtual communities: An integrated approach</t>
  </si>
  <si>
    <t>Kai-Yu Wang, I-Hsien Ting, Hui-Ju Wu</t>
  </si>
  <si>
    <t>http://pdn.sciencedirect.com/science?_ob=MiamiImageURL&amp;_cid=271680&amp;_user=686465&amp;_pii=S0148296312000690&amp;_check=y&amp;_origin=search&amp;_zone=rslt_list_item&amp;_coverDate=2012-03-03&amp;wchp=dGLbVlB-zSkzk&amp;md5=b0faf41e677777b879200f1035b74ba5&amp;pid=1-s2.0-S0148296312000690-main.pdf</t>
  </si>
  <si>
    <t>Visual Enterprise Network Analytics - Visualizing Organizational Change</t>
  </si>
  <si>
    <t>Florian Windhager, Lukas Zenk, Paolo Federico</t>
  </si>
  <si>
    <t>http://pdn.sciencedirect.com/science?_ob=MiamiImageURL&amp;_cid=277811&amp;_user=686465&amp;_pii=S1877042811013796&amp;_check=y&amp;_origin=search&amp;_zone=rslt_list_item&amp;_coverDate=2011-12-31&amp;wchp=dGLbVlB-zSkzk&amp;md5=06a38b76e9beb4d9944757bbab9e4f20&amp;pid=1-s2.0-S1877042811013796-main.pdf</t>
  </si>
  <si>
    <t>Grouping Partners for Cooperative Learning Using Genetic Algorithm and Social Network Analysis</t>
  </si>
  <si>
    <t>Rong-Chang Chen, Shih-Ying Chen, Jyun-You Fan, Yen-Ting Chen</t>
  </si>
  <si>
    <t>Procedia Engineering</t>
  </si>
  <si>
    <t>http://pdn.sciencedirect.com/science?_ob=MiamiImageURL&amp;_cid=278653&amp;_user=686465&amp;_pii=S1877705812005991&amp;_check=y&amp;_origin=search&amp;_zone=rslt_list_item&amp;_coverDate=2012-12-31&amp;wchp=dGLbVlB-zSkzk&amp;md5=18980b14b241f7beb45abee64d6eadeb&amp;pid=1-s2.0-S1877705812005991-main.pdf</t>
  </si>
  <si>
    <t>Dynamics of email communications among university students throughout a semester</t>
  </si>
  <si>
    <t>Shahadat Uddin, Michael J. Jacobson</t>
  </si>
  <si>
    <t>http://pdn.sciencedirect.com/science?_ob=MiamiImageURL&amp;_cid=271849&amp;_user=686465&amp;_pii=S0360131513000183&amp;_check=y&amp;_origin=search&amp;_zone=rslt_list_item&amp;_coverDate=2013-05-31&amp;wchp=dGLbVlB-zSkzk&amp;md5=8197aef3c8480cce91d450f2d07315eb&amp;pid=1-s2.0-S0360131513000183-main.pdf</t>
  </si>
  <si>
    <t>Combining social network and semantic concept analysis for personalized academic researcher recommendation</t>
  </si>
  <si>
    <t>Yunhong Xu, Xitong Guo, Jinxing Hao, Jian Ma, Raymond Y.K. Lau, Wei Xu</t>
  </si>
  <si>
    <t>http://pdn.sciencedirect.com/science?_ob=MiamiImageURL&amp;_cid=271653&amp;_user=686465&amp;_pii=S0167923612001996&amp;_check=y&amp;_origin=search&amp;_zone=rslt_list_item&amp;_coverDate=2012-12-31&amp;wchp=dGLbVlB-zSkzk&amp;md5=c529308c8ff71d6da942b4f3e60baf88&amp;pid=1-s2.0-S0167923612001996-main.pdf</t>
  </si>
  <si>
    <t>Online collective identity: The case of the environmental movement</t>
  </si>
  <si>
    <t>Robert Ackland, Mathieu O’Neil</t>
  </si>
  <si>
    <t>http://pdn.sciencedirect.com/science?_ob=MiamiImageURL&amp;_cid=271850&amp;_user=686465&amp;_pii=S0378873311000153&amp;_check=y&amp;_origin=search&amp;_zone=rslt_list_item&amp;_coverDate=2011-07-31&amp;wchp=dGLbVlB-zSkzk&amp;md5=7f235fce9ff251ceaabb48443b79e4c7&amp;pid=1-s2.0-S0378873311000153-main.pdf</t>
  </si>
  <si>
    <t>The social processes of production and validation of knowledge in particle physics: Preliminary theoretical and methodological observations</t>
  </si>
  <si>
    <t>Elisa Bellotti</t>
  </si>
  <si>
    <t>http://pdn.sciencedirect.com/science?_ob=MiamiImageURL&amp;_cid=277811&amp;_user=686465&amp;_pii=S187704281100019X&amp;_check=y&amp;_origin=search&amp;_zone=rslt_list_item&amp;_coverDate=2011-12-31&amp;wchp=dGLbVlB-zSkzk&amp;md5=2d24c60bdaf16061011fa19bc07c318b&amp;pid=1-s2.0-S187704281100019X-main.pdf</t>
  </si>
  <si>
    <t>Reputation management in an open source developer social network: An empirical study on determinants of positive evaluations Supplementary content </t>
  </si>
  <si>
    <t>Daning Hu, J. Leon Zhao, Jiesi Cheng</t>
  </si>
  <si>
    <t>http://pdn.sciencedirect.com/science?_ob=MiamiImageURL&amp;_cid=271653&amp;_user=686465&amp;_pii=S0167923612000632&amp;_check=y&amp;_origin=search&amp;_zone=rslt_list_item&amp;_coverDate=2012-06-30&amp;wchp=dGLbVlB-zSkzk&amp;md5=d326831a2abfb5d3b5b29ae12f4105a8&amp;pid=1-s2.0-S0167923612000632-main.pdf</t>
  </si>
  <si>
    <t>Research on Field Characteristics of Shared Earth System Science Data Using Keyword Analysis and Visualization</t>
  </si>
  <si>
    <t>Runda Liu, Haiqing Lin, Hui Zhao</t>
  </si>
  <si>
    <t>http://pdn.sciencedirect.com/science?_ob=MiamiImageURL&amp;_cid=270397&amp;_user=686465&amp;_pii=S1878029611002866&amp;_check=y&amp;_origin=search&amp;_zone=rslt_list_item&amp;_coverDate=2011-12-31&amp;wchp=dGLbVlB-zSkzk&amp;md5=2cc285349bae4bd6006325ae3520c660&amp;pid=1-s2.0-S1878029611002866-main.pdf</t>
  </si>
  <si>
    <t>Modeling SNA Result to Improve Learning Community</t>
  </si>
  <si>
    <t>Nina Bijedic, Indira Hamulic, Emina Junuz, Ismet Maksumic, Dragica Radosav</t>
  </si>
  <si>
    <t>http://pdn.sciencedirect.com/science?_ob=MiamiImageURL&amp;_cid=277811&amp;_user=686465&amp;_pii=S1877042812049841&amp;_check=y&amp;_origin=search&amp;_zone=rslt_list_item&amp;_coverDate=2012-11-09&amp;wchp=dGLbVlB-zSkzk&amp;md5=5871dbc0060cb971dd242ecf026d2841&amp;pid=1-s2.0-S1877042812049841-main.pdf</t>
  </si>
  <si>
    <t>Distributed Teaching Presence and communicative patterns in asynchronous learning: Name versus reply networks</t>
  </si>
  <si>
    <t>Anna Engel, C&amp;eacute;sar Coll, Alfonso Bustos</t>
  </si>
  <si>
    <t>http://pdn.sciencedirect.com/science?_ob=MiamiImageURL&amp;_cid=271849&amp;_user=686465&amp;_pii=S0360131512001595&amp;_check=y&amp;_origin=search&amp;_zone=rslt_list_item&amp;_coverDate=2013-01-31&amp;wchp=dGLbVlB-zSkzk&amp;md5=72f3673835d6cbc09cff2c39237d5aa6&amp;pid=1-s2.0-S0360131512001595-main.pdf</t>
  </si>
  <si>
    <t>A local social network approach for research management</t>
  </si>
  <si>
    <t>Xiaoyan Liu, Zhiling Guo, Zhenjiang Lin, Jian Ma</t>
  </si>
  <si>
    <t>http://pdn.sciencedirect.com/science?_ob=MiamiImageURL&amp;_cid=271653&amp;_user=686465&amp;_pii=S0167923612003302&amp;_check=y&amp;_origin=search&amp;_zone=rslt_list_item&amp;_coverDate=2012-11-07&amp;wchp=dGLbVlB-zSkzk&amp;md5=37edbca2dcc06ba46cb9c1f9033953b6&amp;pid=1-s2.0-S0167923612003302-main.pdf</t>
  </si>
  <si>
    <t>Network dynamics of television use in school classes</t>
  </si>
  <si>
    <t>Thomas N. Friemel</t>
  </si>
  <si>
    <t>http://pdn.sciencedirect.com/science?_ob=MiamiImageURL&amp;_cid=271850&amp;_user=686465&amp;_pii=S0378873311000505&amp;_check=y&amp;_origin=search&amp;_zone=rslt_list_item&amp;_coverDate=2012-07-31&amp;wchp=dGLbVlB-zSkzk&amp;md5=e6db889296adcde1b5f239b98a8e656d&amp;pid=1-s2.0-S0378873311000505-main.pdf</t>
  </si>
  <si>
    <t>Identifying valuable customers on social networking sites for profit maximization</t>
  </si>
  <si>
    <t>Kaiquan Xu, Jiexun Li, Yuxia Song</t>
  </si>
  <si>
    <t>http://pdn.sciencedirect.com/science?_ob=MiamiImageURL&amp;_cid=271506&amp;_user=686465&amp;_pii=S0957417412008147&amp;_check=y&amp;_origin=search&amp;_zone=rslt_list_item&amp;_coverDate=2012-12-01&amp;wchp=dGLbVlB-zSkzk&amp;md5=b16bc017f6a09bf576f0b21cf26b3c1a&amp;pid=1-s2.0-S0957417412008147-main.pdf</t>
  </si>
  <si>
    <t>Estimating the effect of word of mouth on churn and cross-buying in the mobile phone market with Markov logic networks</t>
  </si>
  <si>
    <t>Torsten Dierkes, Martin Bichler, Ramayya Krishnan</t>
  </si>
  <si>
    <t>http://pdn.sciencedirect.com/science?_ob=MiamiImageURL&amp;_cid=271653&amp;_user=686465&amp;_pii=S0167923611000273&amp;_check=y&amp;_origin=search&amp;_zone=rslt_list_item&amp;_coverDate=2011-06-30&amp;wchp=dGLbVlB-zSkzk&amp;md5=ce57d0ce03219ad4e273cc5dc12f18e8&amp;pid=1-s2.0-S0167923611000273-main.pdf</t>
  </si>
  <si>
    <t>A relation context oriented approach to identify strong ties in social networks</t>
  </si>
  <si>
    <t>Li Ding, Dana Steil, Brandon Dixon, Allen Parrish, David Brown</t>
  </si>
  <si>
    <t>http://pdn.sciencedirect.com/science?_ob=MiamiImageURL&amp;_cid=271505&amp;_user=686465&amp;_pii=S0950705111001006&amp;_check=y&amp;_origin=search&amp;_zone=rslt_list_item&amp;_coverDate=2011-12-31&amp;wchp=dGLbVlB-zSkzk&amp;md5=6ebbd75c4d5003e9dac37220d77cdd4b&amp;pid=1-s2.0-S0950705111001006-main.pdf</t>
  </si>
  <si>
    <t>A Twitter-Based Weighted Reputation system</t>
  </si>
  <si>
    <t>Mohammad Jeragh, Eman AlQuraishi, Eman AlDwaisan</t>
  </si>
  <si>
    <t>http://pdn.sciencedirect.com/science?_ob=MiamiImageURL&amp;_cid=280203&amp;_user=686465&amp;_pii=S1877050912004760&amp;_check=y&amp;_origin=search&amp;_zone=rslt_list_item&amp;_coverDate=2012-12-31&amp;wchp=dGLbVlB-zSkzk&amp;md5=dbe9e14dd9e7ddc5cf4bd5f10dd181fc&amp;pid=1-s2.0-S1877050912004760-main.pdf</t>
  </si>
  <si>
    <t>Online Social Network Evolving Model Based on Damping Factor</t>
  </si>
  <si>
    <t>Guoyong Cai, Ruili Wang, Baohua Qiang</t>
  </si>
  <si>
    <t>http://pdn.sciencedirect.com/science?_ob=MiamiImageURL&amp;_cid=280203&amp;_user=686465&amp;_pii=S1877050912002682&amp;_check=y&amp;_origin=search&amp;_zone=rslt_list_item&amp;_coverDate=2012-12-31&amp;wchp=dGLbVlB-zSkzk&amp;md5=7550f30e824c1fdfeab7c3d0f3b85a37&amp;pid=1-s2.0-S1877050912002682-main.pdf</t>
  </si>
  <si>
    <t>Data mining of social networks represented as graphs</t>
  </si>
  <si>
    <t>David F. Nettleton</t>
  </si>
  <si>
    <t>Computer Science Review</t>
  </si>
  <si>
    <t>http://pdn.sciencedirect.com/science?_ob=MiamiImageURL&amp;_cid=276226&amp;_user=686465&amp;_pii=S1574013712000445&amp;_check=y&amp;_origin=search&amp;_zone=rslt_list_item&amp;_coverDate=2013-02-28&amp;wchp=dGLbVlB-zSkzk&amp;md5=a092bc58db66de9aa81c81a46602cdc5&amp;pid=1-s2.0-S1574013712000445-main.pdf</t>
  </si>
  <si>
    <t>Design and analysis of a social botnet</t>
  </si>
  <si>
    <t>Yazan Boshmaf, Ildar Muslukhov, Konstantin Beznosov, Matei Ripeanu</t>
  </si>
  <si>
    <t>http://pdn.sciencedirect.com/science?_ob=MiamiImageURL&amp;_cid=271990&amp;_user=686465&amp;_pii=S1389128612002150&amp;_check=y&amp;_origin=search&amp;_zone=rslt_list_item&amp;_coverDate=2012-06-27&amp;wchp=dGLbVlB-zSkzk&amp;md5=e30a5dac617b97a06008db223cc508a5&amp;pid=1-s2.0-S1389128612002150-main.pdf</t>
  </si>
  <si>
    <t>Will they stay or will they go? How network properties of WebICs predict dropout rates of valuable Wikipedians</t>
  </si>
  <si>
    <t>J&amp;uuml;rgen Lerner, Patrick Kenis, Denise van Raaij, Ulrik Brandes</t>
  </si>
  <si>
    <t>http://pdn.sciencedirect.com/science?_ob=MiamiImageURL&amp;_cid=271956&amp;_user=686465&amp;_pii=S0263237311000053&amp;_check=y&amp;_origin=search&amp;_zone=rslt_list_item&amp;_coverDate=2011-10-31&amp;wchp=dGLbVlB-zSkzk&amp;md5=d6cfd2b9919e0dc8083a7114de3f9307&amp;pid=1-s2.0-S0263237311000053-main.pdf</t>
  </si>
  <si>
    <t>ExpertRank: A topic-aware expert finding algorithm for online knowledge communities</t>
  </si>
  <si>
    <t>G. Alan Wang, Jian Jiao, Alan S. Abrahams, Weiguo Fan, Zhongju Zhang</t>
  </si>
  <si>
    <t>http://pdn.sciencedirect.com/science?_ob=MiamiImageURL&amp;_cid=271653&amp;_user=686465&amp;_pii=S0167923612003867&amp;_check=y&amp;_origin=search&amp;_zone=rslt_list_item&amp;_coverDate=2013-02-28&amp;wchp=dGLbVlB-zSkzk&amp;md5=75cc9a1c8d56543f134996fd34616984&amp;pid=1-s2.0-S0167923612003867-main.pdf</t>
  </si>
  <si>
    <t>Are friends overrated? A study for the social news aggregator Digg.com</t>
  </si>
  <si>
    <t>Christian Doerr, Norbert Blenn, Siyu Tang, Piet Van Mieghem</t>
  </si>
  <si>
    <t>http://pdn.sciencedirect.com/science?_ob=MiamiImageURL&amp;_cid=271515&amp;_user=686465&amp;_pii=S0140366412000485&amp;_check=y&amp;_origin=search&amp;_zone=rslt_list_item&amp;_coverDate=2012-04-01&amp;wchp=dGLbVlB-zSkzk&amp;md5=1e51ee43741e432b1f8662d49b49f2b7&amp;pid=1-s2.0-S0140366412000485-main.pdf</t>
  </si>
  <si>
    <t>Studying the effectiveness of multi-user immersive environments for collaborative evaluation tasks</t>
  </si>
  <si>
    <t>Carlos-Miguel Lorenzo, Miguel &amp;Aacute;ngel Sicilia, Salvador S&amp;aacute;nchez</t>
  </si>
  <si>
    <t>http://pdn.sciencedirect.com/science?_ob=MiamiImageURL&amp;_cid=271849&amp;_user=686465&amp;_pii=S0360131512001443&amp;_check=y&amp;_origin=search&amp;_zone=rslt_list_item&amp;_coverDate=2012-12-31&amp;wchp=dGLbVlB-zSkzk&amp;md5=95f9e63400eadc9010f92bafc0d1d02d&amp;pid=1-s2.0-S0360131512001443-main.pdf</t>
  </si>
  <si>
    <t>Analyzing Cultural Differences in Collaborative Innovation Networks by Analyzing Editing Behavior in Different-Language Wikipedias</t>
  </si>
  <si>
    <t>Keiichi Nemoto, Peter A. Gloor</t>
  </si>
  <si>
    <t>http://pdn.sciencedirect.com/science?_ob=MiamiImageURL&amp;_cid=277811&amp;_user=686465&amp;_pii=S1877042811024013&amp;_check=y&amp;_origin=search&amp;_zone=rslt_list_item&amp;_coverDate=2011-12-31&amp;wchp=dGLbVlB-zSkzk&amp;md5=906380a809820e882c0c194c0e8ae125&amp;pid=1-s2.0-S1877042811024013-main.pdf</t>
  </si>
  <si>
    <t>A window on emergent European social network analysis</t>
  </si>
  <si>
    <t>http://pdn.sciencedirect.com/science?_ob=MiamiImageURL&amp;_cid=277811&amp;_user=686465&amp;_pii=S1877042811000024&amp;_check=y&amp;_origin=search&amp;_zone=rslt_list_item&amp;_coverDate=2011-12-31&amp;wchp=dGLbVlB-zSkzk&amp;md5=b9c2f9aa436e3be150db020547ee5f7d&amp;pid=1-s2.0-S1877042811000024-main.pdf</t>
  </si>
  <si>
    <t>Using social network analysis to examine collaborative relationships among PhD and DNP students and faculty in a research-intensive university school of nursing</t>
  </si>
  <si>
    <t>Jacqueline A. Merrill, Sunmoo Yoon, Elaine Larson, Judy Honig, Nancy Reame</t>
  </si>
  <si>
    <t>http://pdn.sciencedirect.com/science?_ob=MiamiImageURL&amp;_cid=272472&amp;_user=686465&amp;_pii=S0029655412002266&amp;_check=y&amp;_origin=search&amp;_zone=rslt_list_item&amp;_coverDate=2012-10-01&amp;wchp=dGLbVlB-zSkzk&amp;md5=cfe0f7bec742f5325880d74036083c87&amp;pid=1-s2.0-S0029655412002266-main.pdf</t>
  </si>
  <si>
    <t>Chapter 3 - Privacy-Preserving Social Network Integration, Analysis, and Mining</t>
  </si>
  <si>
    <t>Christopher C. Yang</t>
  </si>
  <si>
    <t>Intelligent Systems for Security Informatics</t>
  </si>
  <si>
    <t>Chapter 14 - YouTube: Contrasting Patterns of Content, Interaction, and Prominence</t>
  </si>
  <si>
    <t>Dana Rotman, Jennifer Golbeck</t>
  </si>
  <si>
    <t>Structure of the social network of Beninese library and information professionals</t>
  </si>
  <si>
    <t>Eustache M&amp;ecirc;gnigb&amp;ecirc;to</t>
  </si>
  <si>
    <t>http://pdn.sciencedirect.com/science?_ob=MiamiImageURL&amp;_cid=272458&amp;_user=686465&amp;_pii=S1057231711000543&amp;_check=y&amp;_origin=search&amp;_zone=rslt_list_item&amp;_coverDate=2011-12-31&amp;wchp=dGLbVlB-zSkzk&amp;md5=719d7337041127a4ae9133d064f5ab03&amp;pid=1-s2.0-S1057231711000543-main.pdf</t>
  </si>
  <si>
    <t>Is it important to know Jack? Using social network analysis to assess regional business connectivity in Bristol</t>
  </si>
  <si>
    <t>Tom Alcott, Dimitrios C. Christopoulos</t>
  </si>
  <si>
    <t>http://pdn.sciencedirect.com/science?_ob=MiamiImageURL&amp;_cid=277811&amp;_user=686465&amp;_pii=S1877042811000139&amp;_check=y&amp;_origin=search&amp;_zone=rslt_list_item&amp;_coverDate=2011-12-31&amp;wchp=dGLbVlB-zSkzk&amp;md5=630a8a676c03c59cf5be96afdbd06654&amp;pid=1-s2.0-S1877042811000139-main.pdf</t>
  </si>
  <si>
    <t>Social Network Analysis of Kuwait Publicly-Held Corporations</t>
  </si>
  <si>
    <t>Khaled Mahdi, Ahmed Almajid, Maytham Safar, Hernan Riquelme, Sadegh Torabi</t>
  </si>
  <si>
    <t>http://pdn.sciencedirect.com/science?_ob=MiamiImageURL&amp;_cid=280203&amp;_user=686465&amp;_pii=S1877050912003948&amp;_check=y&amp;_origin=search&amp;_zone=rslt_list_item&amp;_coverDate=2012-12-31&amp;wchp=dGLbVlB-zSkzk&amp;md5=ff161f696cd39710c4c1b48ed4cbdbf8&amp;pid=1-s2.0-S1877050912003948-main.pdf</t>
  </si>
  <si>
    <t>Social learning network analysis model to identify learning patterns using ontology clustering techniques and meaningful learning</t>
  </si>
  <si>
    <t>Andi Besse Firdausiah Mansur, Norazah Yusof</t>
  </si>
  <si>
    <t>http://pdn.sciencedirect.com/science?_ob=MiamiImageURL&amp;_cid=271849&amp;_user=686465&amp;_pii=S036013151200276X&amp;_check=y&amp;_origin=search&amp;_zone=rslt_list_item&amp;_coverDate=2013-04-30&amp;wchp=dGLbVlB-zSkzk&amp;md5=c3751773f46424f5ab1e4377fbb6eb50&amp;pid=1-s2.0-S036013151200276X-main.pdf</t>
  </si>
  <si>
    <t>Characterizing communication networks in a web-based classroom: Cognitive styles and linguistic behavior of self-organizing groups in online discussions</t>
  </si>
  <si>
    <t>Pamela Vercellone-Smith, Kathryn Jablokow, Curtis Friedel</t>
  </si>
  <si>
    <t>http://pdn.sciencedirect.com/science?_ob=MiamiImageURL&amp;_cid=271849&amp;_user=686465&amp;_pii=S0360131512000073&amp;_check=y&amp;_origin=search&amp;_zone=rslt_list_item&amp;_coverDate=2012-09-30&amp;wchp=dGLbVlB-zSkzk&amp;md5=735f7295cb2328eb0eae01481aceb9c7&amp;pid=1-s2.0-S0360131512000073-main.pdf</t>
  </si>
  <si>
    <t>Improving learning management through semantic web and social networks in e-learning environments</t>
  </si>
  <si>
    <t>M.P. Cu&amp;eacute;llar, M. Delgado, M.C. Pegalajar</t>
  </si>
  <si>
    <t>http://pdn.sciencedirect.com/science?_ob=MiamiImageURL&amp;_cid=271506&amp;_user=686465&amp;_pii=S0957417410010377&amp;_check=y&amp;_origin=search&amp;_zone=rslt_list_item&amp;_coverDate=2011-04-30&amp;wchp=dGLbVlB-zSkzk&amp;md5=fa4e48fab17a7e4190e9d0c7097faff2&amp;pid=1-s2.0-S0957417410010377-main.pdf</t>
  </si>
  <si>
    <t>Community Evolution Mining in Dynamic Social Networks</t>
  </si>
  <si>
    <t>Mansoureh Takaffoli, Farzad Sangi, Justin Fagnan, Osmar R. Z&amp;auml;?ane</t>
  </si>
  <si>
    <t>http://pdn.sciencedirect.com/science?_ob=MiamiImageURL&amp;_cid=277811&amp;_user=686465&amp;_pii=S1877042811013784&amp;_check=y&amp;_origin=search&amp;_zone=rslt_list_item&amp;_coverDate=2011-12-31&amp;wchp=dGLbVlB-zSkzk&amp;md5=842b6f36703030ec5f85915182f932af&amp;pid=1-s2.0-S1877042811013784-main.pdf</t>
  </si>
  <si>
    <t>Whither information security? Examining the complementarities and substitutive effects among IT and information security firms</t>
  </si>
  <si>
    <t>Lara Khansa, Divakaran Liginlal</t>
  </si>
  <si>
    <t>http://pdn.sciencedirect.com/science?_ob=MiamiImageURL&amp;_cid=271677&amp;_user=686465&amp;_pii=S026840121100140X&amp;_check=y&amp;_origin=search&amp;_zone=rslt_list_item&amp;_coverDate=2012-06-30&amp;wchp=dGLbVlB-zSkzk&amp;md5=4e0a8a675339f6301b13e10c945c9e09&amp;pid=1-s2.0-S026840121100140X-main.pdf</t>
  </si>
  <si>
    <t>The social network paradigm and applications in pharmacy</t>
  </si>
  <si>
    <t>Andrea L. Kjos, Marcia M. Worley, Jon C. Schommer</t>
  </si>
  <si>
    <t>Research in Social and Administrative Pharmacy</t>
  </si>
  <si>
    <t>http://pdn.sciencedirect.com/science?_ob=MiamiImageURL&amp;_cid=273422&amp;_user=686465&amp;_pii=S1551741112000836&amp;_check=y&amp;_origin=search&amp;_zone=rslt_list_item&amp;_coverDate=2012-10-12&amp;wchp=dGLbVlB-zSkzk&amp;md5=6d018d2d6512b104119bd9a01abbe0d4&amp;pid=1-s2.0-S1551741112000836-main.pdf</t>
  </si>
  <si>
    <t>A novel measure of edge centrality in social networks</t>
  </si>
  <si>
    <t>Pasquale De Meo, Emilio Ferrara, Giacomo Fiumara, Angela Ricciardello</t>
  </si>
  <si>
    <t>http://pdn.sciencedirect.com/science?_ob=MiamiImageURL&amp;_cid=271505&amp;_user=686465&amp;_pii=S0950705112000160&amp;_check=y&amp;_origin=search&amp;_zone=rslt_list_item&amp;_coverDate=2012-06-30&amp;wchp=dGLbVlB-zSkzk&amp;md5=260f050bf0a3b234848c8c1ac48acadd&amp;pid=1-s2.0-S0950705112000160-main.pdf</t>
  </si>
  <si>
    <t>Reciprocity, Social Curation and the Emergence of Blogging: A Study in Community Formation</t>
  </si>
  <si>
    <t>Rudolf Ammann</t>
  </si>
  <si>
    <t>http://pdn.sciencedirect.com/science?_ob=MiamiImageURL&amp;_cid=277811&amp;_user=686465&amp;_pii=S1877042811013760&amp;_check=y&amp;_origin=search&amp;_zone=rslt_list_item&amp;_coverDate=2011-12-31&amp;wchp=dGLbVlB-zSkzk&amp;md5=c6e8621a96acfcdc2d7548d316f389a8&amp;pid=1-s2.0-S1877042811013760-main.pdf</t>
  </si>
  <si>
    <t>Leveraging personal photos to inferring friendships in social network services</t>
  </si>
  <si>
    <t>Heung-Nam Kim, Abdulmotaleb El Saddik, Jin-Guk Jung</t>
  </si>
  <si>
    <t>http://pdn.sciencedirect.com/science?_ob=MiamiImageURL&amp;_cid=271506&amp;_user=686465&amp;_pii=S0957417412000358&amp;_check=y&amp;_origin=search&amp;_zone=rslt_list_item&amp;_coverDate=2012-06-15&amp;wchp=dGLbVlB-zSkzk&amp;md5=98730ae95f885539e9804f716d0d7cf4&amp;pid=1-s2.0-S0957417412000358-main.pdf</t>
  </si>
  <si>
    <t>Rising to Stardom: An Empirical Investigation of the Diffusion of User-generated Content</t>
  </si>
  <si>
    <t>Yuping Liu-Thompkins, Michelle Rogerson</t>
  </si>
  <si>
    <t>http://pdn.sciencedirect.com/science?_ob=MiamiImageURL&amp;_cid=277809&amp;_user=686465&amp;_pii=S1094996811000818&amp;_check=y&amp;_origin=search&amp;_zone=rslt_list_item&amp;_coverDate=2012-05-31&amp;wchp=dGLbVlB-zSkzk&amp;md5=96da200331f93106b66c3f3839efac47&amp;pid=1-s2.0-S1094996811000818-main.pdf</t>
  </si>
  <si>
    <t>CLAS: a Collaborative learning awareness system</t>
  </si>
  <si>
    <t>Hamid Seridi, Yacine Lafifi, Noureddine Gouasmi</t>
  </si>
  <si>
    <t>http://pdn.sciencedirect.com/science?_ob=MiamiImageURL&amp;_cid=277811&amp;_user=686465&amp;_pii=S1877042811030199&amp;_check=y&amp;_origin=search&amp;_zone=rslt_list_item&amp;_coverDate=2012-12-31&amp;wchp=dGLbVlB-zSkzk&amp;md5=bb8d1db0280b81ba6886d4dead2e92a8&amp;pid=1-s2.0-S1877042811030199-main.pdf</t>
  </si>
  <si>
    <t>Putting humans in the loop: Social computing for Water Resources Management</t>
  </si>
  <si>
    <t>P. Fraternali, A. Castelletti, R. Soncini-Sessa, C. Vaca Ruiz, A.E. Rizzoli</t>
  </si>
  <si>
    <t>Environmental Modelling &amp; Software</t>
  </si>
  <si>
    <t>http://pdn.sciencedirect.com/science?_ob=MiamiImageURL&amp;_cid=271872&amp;_user=686465&amp;_pii=S1364815212000849&amp;_check=y&amp;_origin=search&amp;_zone=rslt_list_item&amp;_coverDate=2012-11-30&amp;wchp=dGLbVlB-zSkzk&amp;md5=9cb108b4576eb780a960165bf23cc8b2&amp;pid=1-s2.0-S1364815212000849-main.pdf</t>
  </si>
  <si>
    <t>Chapter 15 - Wiki Networks: Connections of Creativity and Collaboration</t>
  </si>
  <si>
    <t>Howard T. Welser, Patrick Underwood, Dan Cosley, Derek Hansen, Laura W. Black</t>
  </si>
  <si>
    <t>Localization versus globalization of social networks</t>
  </si>
  <si>
    <t>Yasin Hamidi, Yasaman Hamidi, Shahrbanou Mehrbabak</t>
  </si>
  <si>
    <t>http://pdn.sciencedirect.com/science?_ob=MiamiImageURL&amp;_cid=280203&amp;_user=686465&amp;_pii=S1877050910004072&amp;_check=y&amp;_origin=search&amp;_zone=rslt_list_item&amp;_coverDate=2011-12-31&amp;wchp=dGLbVlB-zSkzk&amp;md5=d45e11bd1f6143c546c77f7a0906f9d8&amp;pid=1-s2.0-S1877050910004072-main.pdf</t>
  </si>
  <si>
    <t>A sock puppet detection algorithm on virtual spaces</t>
  </si>
  <si>
    <t>Zhan Bu, Zhengyou Xia, Jiandong Wang</t>
  </si>
  <si>
    <t>http://pdn.sciencedirect.com/science?_ob=MiamiImageURL&amp;_cid=271505&amp;_user=686465&amp;_pii=S0950705112002365&amp;_check=y&amp;_origin=search&amp;_zone=rslt_list_item&amp;_coverDate=2013-01-31&amp;wchp=dGLbVlB-zSkzk&amp;md5=560294e4e056972519a68d2da0e5749a&amp;pid=1-s2.0-S0950705112002365-main.pdf</t>
  </si>
  <si>
    <t>Towards Identifying the Challenges Associated with Emerging Large Scale Social Networks</t>
  </si>
  <si>
    <t>Haroon Malik, Ahsan Samad Malik</t>
  </si>
  <si>
    <t>http://pdn.sciencedirect.com/science?_ob=MiamiImageURL&amp;_cid=280203&amp;_user=686465&amp;_pii=S187705091100384X&amp;_check=y&amp;_origin=search&amp;_zone=rslt_list_item&amp;_coverDate=2011-12-31&amp;wchp=dGLbVlB-zSkzk&amp;md5=bfd8ea692d8f28c603bd961e9456be1b&amp;pid=1-s2.0-S187705091100384X-main.pdf</t>
  </si>
  <si>
    <t>Chapter 8 - Email: The Lifeblood of Modern Communication</t>
  </si>
  <si>
    <t>Factors influencing beliefs for adoption of a learning analytics tool: An empirical study Supplementary content </t>
  </si>
  <si>
    <t>Liaqat Ali, Mohsen Asadi, Dragan Gaševi?, Jelena Jovanovi?, Marek Hatala</t>
  </si>
  <si>
    <t>http://pdn.sciencedirect.com/science?_ob=MiamiImageURL&amp;_cid=271849&amp;_user=686465&amp;_pii=S0360131512002515&amp;_check=y&amp;_origin=search&amp;_zone=rslt_list_item&amp;_coverDate=2013-03-31&amp;wchp=dGLbVlB-zSkzk&amp;md5=862bfa61c7943afe8920dc2f99791250&amp;pid=1-s2.0-S0360131512002515-main.pdf</t>
  </si>
  <si>
    <t>Geovisual evaluation of public participation in decision making: The grapevine</t>
  </si>
  <si>
    <t>Robert Aguirre, Timothy Nyerges</t>
  </si>
  <si>
    <t>http://pdn.sciencedirect.com/science?_ob=MiamiImageURL&amp;_cid=272325&amp;_user=686465&amp;_pii=S1045926X10000790&amp;_check=y&amp;_origin=search&amp;_zone=rslt_list_item&amp;_coverDate=2011-08-31&amp;wchp=dGLbVlB-zSkzk&amp;md5=936bb0ee56a9a9d257c18316324a2c0d&amp;pid=1-s2.0-S1045926X10000790-main.pdf</t>
  </si>
  <si>
    <t>Chapter 10 - Twitter: Conversation, Entertainment, and Information, All in One Network!</t>
  </si>
  <si>
    <t>Vladimir Barash, Scott Golder</t>
  </si>
  <si>
    <t>Chapter 1 - Revealing the Hidden World of the Dark Web: Social Media Forums and Videos</t>
  </si>
  <si>
    <t>Hsinchun Chen, Dorothy Denning, Nancy Roberts, Catherine A. Larson, Ximing Yu, Chun-Neng Huang</t>
  </si>
  <si>
    <t>A personalized trustworthy seller recommendation in an open market</t>
  </si>
  <si>
    <t>Seungsup Lee, Keunho Choi, Yongmoo Suh</t>
  </si>
  <si>
    <t>http://pdn.sciencedirect.com/science?_ob=MiamiImageURL&amp;_cid=271506&amp;_user=686465&amp;_pii=S0957417412010159&amp;_check=y&amp;_origin=search&amp;_zone=rslt_list_item&amp;_coverDate=2013-03-31&amp;wchp=dGLbVlB-zSkzk&amp;md5=30ce189a5b37cdf902114790b49d971d&amp;pid=1-s2.0-S0957417412010159-main.pdf</t>
  </si>
  <si>
    <t>Diversity of social ties in scientific collaboration networks</t>
  </si>
  <si>
    <t>Quan Shi, Bo Xu, Xiaomin Xu, Yanghua Xiao, Wei Wang, Hengshan Wang</t>
  </si>
  <si>
    <t>http://pdn.sciencedirect.com/science?_ob=MiamiImageURL&amp;_cid=271529&amp;_user=686465&amp;_pii=S037843711100519X&amp;_check=y&amp;_origin=search&amp;_zone=rslt_list_item&amp;_coverDate=2011-11-01&amp;wchp=dGLbVlB-zSkzk&amp;md5=50128b97142cab46e6d503a79c4651e4&amp;pid=1-s2.0-S037843711100519X-main.pdf</t>
  </si>
  <si>
    <t>Social network analysis via multi-state reliability and conditional influence models</t>
  </si>
  <si>
    <t>Kellie Schneider, Chase Rainwater, Ed Pohl, Ivan Hernandez, Jose Emmanuel Ramirez-Marquez</t>
  </si>
  <si>
    <t>Reliability Engineering &amp; System Safety</t>
  </si>
  <si>
    <t>http://pdn.sciencedirect.com/science?_ob=MiamiImageURL&amp;_cid=271430&amp;_user=686465&amp;_pii=S0951832012001512&amp;_check=y&amp;_origin=search&amp;_zone=rslt_list_item&amp;_coverDate=2013-01-31&amp;wchp=dGLbVlB-zSkzk&amp;md5=803702b960f06fee7c088a19c8ea4d49&amp;pid=1-s2.0-S0951832012001512-main.pdf</t>
  </si>
  <si>
    <t>Exploiting user interest similarity and social links for micro-blog forwarding in mobile opportunistic networks</t>
  </si>
  <si>
    <t>S.M. Allen, M.J. Chorley, G.B. Colombo, E. Jaho, M. Karaliopoulos, I. Stavrakakis, R.M. Whitaker</t>
  </si>
  <si>
    <t>Pervasive and Mobile Computing</t>
  </si>
  <si>
    <t>http://pdn.sciencedirect.com/science?_ob=MiamiImageURL&amp;_cid=273419&amp;_user=686465&amp;_pii=S1574119211001544&amp;_check=y&amp;_origin=search&amp;_zone=rslt_list_item&amp;_coverDate=2011-12-27&amp;wchp=dGLbVlB-zSkzk&amp;md5=56a0ffd5b763c729fd4fa31648a11b22&amp;pid=1-s2.0-S1574119211001544-main.pdf</t>
  </si>
  <si>
    <t>Discovering target groups in social networking sites: An effective method for maximizing joint influential power</t>
  </si>
  <si>
    <t>Kaiquan Xu, Xitong Guo, Jiexun Li, Raymond Y.K. Lau, Stephen S.Y. Liao</t>
  </si>
  <si>
    <t>http://pdn.sciencedirect.com/science?_ob=MiamiImageURL&amp;_cid=272634&amp;_user=686465&amp;_pii=S1567422312000129&amp;_check=y&amp;_origin=search&amp;_zone=rslt_list_item&amp;_coverDate=2012-08-31&amp;wchp=dGLbVlB-zSkzk&amp;md5=9856cfbb3817ab14df588a7f202cb0c0&amp;pid=1-s2.0-S1567422312000129-main.pdf</t>
  </si>
  <si>
    <t>Building a Knowledge Brokering System using social network analysis: A case study of the Korean financial industry</t>
  </si>
  <si>
    <t>Sungjin Kim, Euiho Suh, Youngjoon Jun</t>
  </si>
  <si>
    <t>http://pdn.sciencedirect.com/science?_ob=MiamiImageURL&amp;_cid=271506&amp;_user=686465&amp;_pii=S0957417411008025&amp;_check=y&amp;_origin=search&amp;_zone=rslt_list_item&amp;_coverDate=2011-12-31&amp;wchp=dGLbVlB-zSkzk&amp;md5=f77661d5d8d8e8ae52f559f8a2f9fa52&amp;pid=1-s2.0-S0957417411008025-main.pdf</t>
  </si>
  <si>
    <t>Modelling user participation in organisations as networks</t>
  </si>
  <si>
    <t>Christopher Durugbo</t>
  </si>
  <si>
    <t>http://pdn.sciencedirect.com/science?_ob=MiamiImageURL&amp;_cid=271506&amp;_user=686465&amp;_pii=S0957417412003260&amp;_check=y&amp;_origin=search&amp;_zone=rslt_list_item&amp;_coverDate=2012-08-31&amp;wchp=dGLbVlB-zSkzk&amp;md5=5346aca3cf60ee9ccf686c2e7dc9805e&amp;pid=1-s2.0-S0957417412003260-main.pdf</t>
  </si>
  <si>
    <t>Oksana Y. Buzhdygan, Bernard C. Patten, Caner Kazanci, Qianqian Ma, Svitlana S. Rudenko</t>
  </si>
  <si>
    <t>http://pdn.sciencedirect.com/science?_ob=MiamiImageURL&amp;_cid=271743&amp;_user=686465&amp;_pii=S0304380012001044&amp;_check=y&amp;_origin=search&amp;_zone=rslt_list_item&amp;_coverDate=2012-10-24&amp;wchp=dGLbVlB-zSkzk&amp;md5=ff165e997c6f142afae6837cd5e3b30a&amp;pid=1-s2.0-S0304380012001044-main.pdf</t>
  </si>
  <si>
    <t>A comparison of email networks and off-line social networks: A study of a medium-sized bank</t>
  </si>
  <si>
    <t>Rebeka Johnson, Bal&amp;aacute;zs Kov&amp;aacute;cs, Andr&amp;aacute;s Vicsek</t>
  </si>
  <si>
    <t>http://pdn.sciencedirect.com/science?_ob=MiamiImageURL&amp;_cid=271850&amp;_user=686465&amp;_pii=S0378873312000123&amp;_check=y&amp;_origin=search&amp;_zone=rslt_list_item&amp;_coverDate=2012-10-31&amp;wchp=dGLbVlB-zSkzk&amp;md5=bc15c4e94af850180af9235ac18544a7&amp;pid=1-s2.0-S0378873312000123-main.pdf</t>
  </si>
  <si>
    <t>Identifying influential stock indices from global stock markets: A social network analysis approach</t>
  </si>
  <si>
    <t>Ram Babu Roy, Uttam Kumar Sarkar</t>
  </si>
  <si>
    <t>http://pdn.sciencedirect.com/science?_ob=MiamiImageURL&amp;_cid=280203&amp;_user=686465&amp;_pii=S1877050911003826&amp;_check=y&amp;_origin=search&amp;_zone=rslt_list_item&amp;_coverDate=2011-12-31&amp;wchp=dGLbVlB-zSkzk&amp;md5=9a11d388d92846e5e1d9f9e0e9c7ed1b&amp;pid=1-s2.0-S1877050911003826-main.pdf</t>
  </si>
  <si>
    <t>A diffusion mechanism for social advertising over microblogs</t>
  </si>
  <si>
    <t>Yung-Ming Li, Ya-Lin Shiu</t>
  </si>
  <si>
    <t>http://pdn.sciencedirect.com/science?_ob=MiamiImageURL&amp;_cid=271653&amp;_user=686465&amp;_pii=S0167923612000826&amp;_check=y&amp;_origin=search&amp;_zone=rslt_list_item&amp;_coverDate=2012-12-31&amp;wchp=dGLbVlB-zSkzk&amp;md5=4fe3308093fc327f4c6822670049360c&amp;pid=1-s2.0-S0167923612000826-main.pdf</t>
  </si>
  <si>
    <t>The challenge of e-participation in the digital city: Exploring generational influences among community telecentre users</t>
  </si>
  <si>
    <t>Arlene Bailey, Ojelanki Ngwenyama</t>
  </si>
  <si>
    <t>http://pdn.sciencedirect.com/science?_ob=MiamiImageURL&amp;_cid=271579&amp;_user=686465&amp;_pii=S0736585310000572&amp;_check=y&amp;_origin=search&amp;_zone=rslt_list_item&amp;_coverDate=2011-08-31&amp;wchp=dGLbVlB-zSkzk&amp;md5=cceadecfab69ae8861b65d5afa54044b&amp;pid=1-s2.0-S0736585310000572-main.pdf</t>
  </si>
  <si>
    <t>Reputation inflation detection in a Chinese C2C market</t>
  </si>
  <si>
    <t>Weijia You, Lu Liu, Mu Xia, Chenggong Lv</t>
  </si>
  <si>
    <t>http://pdn.sciencedirect.com/science?_ob=MiamiImageURL&amp;_cid=272634&amp;_user=686465&amp;_pii=S1567422311000329&amp;_check=y&amp;_origin=search&amp;_zone=rslt_list_item&amp;_coverDate=2011-10-31&amp;wchp=dGLbVlB-zSkzk&amp;md5=e299798d5005e1fd047e5ef6cf988afb&amp;pid=1-s2.0-S1567422311000329-main.pdf</t>
  </si>
  <si>
    <t>Twitter reciprocal reply networks exhibit assortativity with respect to happiness Supplementary content </t>
  </si>
  <si>
    <t>Catherine A. Bliss, Isabel M. Kloumann, Kameron Decker Harris, Christopher M. Danforth, Peter Sheridan Dodds</t>
  </si>
  <si>
    <t>Journal of Computational Science</t>
  </si>
  <si>
    <t>http://pdn.sciencedirect.com/science?_ob=MiamiImageURL&amp;_cid=280179&amp;_user=686465&amp;_pii=S187775031200049X&amp;_check=y&amp;_origin=search&amp;_zone=rslt_list_item&amp;_coverDate=2012-09-30&amp;wchp=dGLbVlB-zSkzk&amp;md5=079c17382954d77a89151a2a0c3d8e81&amp;pid=1-s2.0-S187775031200049X-main.pdf</t>
  </si>
  <si>
    <t>Developing methods for understanding social behavior in a 3D virtual learning environment</t>
  </si>
  <si>
    <t>Matthew Schmidt, James M. Laffey, Carla T. Schmidt, Xianhui Wang, Janine Stichter</t>
  </si>
  <si>
    <t>http://pdn.sciencedirect.com/science?_ob=MiamiImageURL&amp;_cid=271802&amp;_user=686465&amp;_pii=S0747563211002196&amp;_check=y&amp;_origin=search&amp;_zone=rslt_list_item&amp;_coverDate=2012-03-31&amp;wchp=dGLbVlB-zSkzk&amp;md5=dda1b453cbd51c00a06a99018e8f35dc&amp;pid=1-s2.0-S0747563211002196-main.pdf</t>
  </si>
  <si>
    <t>A graph-based action network framework to identify prestigious members through member's prestige evolution</t>
  </si>
  <si>
    <t>Dongyuan Lu, Qiudan Li, Stephen Shaoyi Liao</t>
  </si>
  <si>
    <t>http://pdn.sciencedirect.com/science?_ob=MiamiImageURL&amp;_cid=271653&amp;_user=686465&amp;_pii=S0167923611002405&amp;_check=y&amp;_origin=search&amp;_zone=rslt_list_item&amp;_coverDate=2012-04-30&amp;wchp=dGLbVlB-zSkzk&amp;md5=72f031513740781867ef247489472e15&amp;pid=1-s2.0-S0167923611002405-main.pdf</t>
  </si>
  <si>
    <t>A semantic network approach to analyzing virtual team interactions in the early stages of conceptual design</t>
  </si>
  <si>
    <t>Matthias Uflacker, Alexander Zeier</t>
  </si>
  <si>
    <t>Future Generation Computer Systems</t>
  </si>
  <si>
    <t>http://pdn.sciencedirect.com/science?_ob=MiamiImageURL&amp;_cid=271521&amp;_user=686465&amp;_pii=S0167739X10000865&amp;_check=y&amp;_origin=search&amp;_zone=rslt_list_item&amp;_coverDate=2011-01-31&amp;wchp=dGLbVlB-zSkzk&amp;md5=1b0130c3721e4e680e1ca2300c82829a&amp;pid=1-s2.0-S0167739X10000865-main.pdf</t>
  </si>
  <si>
    <t>How is the Semantic Web evolving? A dynamic social network perspective</t>
  </si>
  <si>
    <t>Lina Zhou, Li Ding, Tim Finin</t>
  </si>
  <si>
    <t>http://pdn.sciencedirect.com/science?_ob=MiamiImageURL&amp;_cid=271802&amp;_user=686465&amp;_pii=S0747563210002207&amp;_check=y&amp;_origin=search&amp;_zone=rslt_list_item&amp;_coverDate=2011-07-31&amp;wchp=dGLbVlB-zSkzk&amp;md5=3a924463abbe84de8e7a18f1d4ae38a3&amp;pid=1-s2.0-S0747563210002207-main.pdf</t>
  </si>
  <si>
    <t>Do cell phones, iPods/MP3 players, siblings and friends matter? Predictors of child body mass in a U.S. Southern Border City Middle School</t>
  </si>
  <si>
    <t>Marcus Antonius Ynalvez, Ruby Ynalvez, Marivic Torregosa, Horacio Palacios, John Kilburn</t>
  </si>
  <si>
    <t>Obesity Research &amp; Clinical Practice</t>
  </si>
  <si>
    <t>http://pdn.sciencedirect.com/science?_ob=MiamiImageURL&amp;_cid=273610&amp;_user=686465&amp;_pii=S1871403X11000263&amp;_check=y&amp;_origin=search&amp;_zone=rslt_list_item&amp;_coverDate=2012-03-31&amp;wchp=dGLbVlB-zSkzk&amp;md5=3f2434c762eb7746b3613b03e04c1bd2&amp;pid=1-s2.0-S1871403X11000263-main.pdf</t>
  </si>
  <si>
    <t>Framing the structure of global open innovation research</t>
  </si>
  <si>
    <t>Hsin-Ning Su, Pei-Chun Lee</t>
  </si>
  <si>
    <t>http://pdn.sciencedirect.com/science?_ob=MiamiImageURL&amp;_cid=273584&amp;_user=686465&amp;_pii=S1751157711001076&amp;_check=y&amp;_origin=search&amp;_zone=rslt_list_item&amp;_coverDate=2012-04-30&amp;wchp=dGLbVlB-zSkzk&amp;md5=ce52a42b8ce23be1a3e8e35b998200fd&amp;pid=1-s2.0-S1751157711001076-main.pdf</t>
  </si>
  <si>
    <t>Capturing context: Integrating spatial and social network analyses</t>
  </si>
  <si>
    <t>jimi adams, Katherine Faust, Gina S. Lovasi</t>
  </si>
  <si>
    <t>http://pdn.sciencedirect.com/science?_ob=MiamiImageURL&amp;_cid=271850&amp;_user=686465&amp;_pii=S0378873311000608&amp;_check=y&amp;_origin=search&amp;_zone=rslt_list_item&amp;_coverDate=2012-01-31&amp;wchp=dGLbVlB-zSkzk&amp;md5=f7920e6a32533141b80e72e335d9c704&amp;pid=1-s2.0-S0378873311000608-main.pdf</t>
  </si>
  <si>
    <t>Clusters, recipients and reciprocity: Extracting more value from email communication networks</t>
  </si>
  <si>
    <t>Ofer Engel</t>
  </si>
  <si>
    <t>http://pdn.sciencedirect.com/science?_ob=MiamiImageURL&amp;_cid=277811&amp;_user=686465&amp;_pii=S1877042811000218&amp;_check=y&amp;_origin=search&amp;_zone=rslt_list_item&amp;_coverDate=2011-12-31&amp;wchp=dGLbVlB-zSkzk&amp;md5=a581f4650dea1e22d0ffa7af11c57973&amp;pid=1-s2.0-S1877042811000218-main.pdf</t>
  </si>
  <si>
    <t>Modular and flexible causality control on the Web</t>
  </si>
  <si>
    <t>http://pdn.sciencedirect.com/science?_ob=MiamiImageURL&amp;_cid=271600&amp;_user=686465&amp;_pii=S016764231200216X&amp;_check=y&amp;_origin=search&amp;_zone=rslt_list_item&amp;_coverDate=2012-12-20&amp;wchp=dGLbVlB-zSkzk&amp;md5=9a0229cf106d7793e21e13b373a676fd&amp;pid=1-s2.0-S016764231200216X-main.pdf</t>
  </si>
  <si>
    <t>The importance of popularity, rational thinking style and nonverbal sensitivity to achieve academic success</t>
  </si>
  <si>
    <t>Loredana Ivan</t>
  </si>
  <si>
    <t>http://pdn.sciencedirect.com/science?_ob=MiamiImageURL&amp;_cid=277811&amp;_user=686465&amp;_pii=S1877042811027595&amp;_check=y&amp;_origin=search&amp;_zone=rslt_list_item&amp;_coverDate=2011-12-31&amp;wchp=dGLbVlB-zSkzk&amp;md5=0220cbd2ce51366b89e2cc35eebf87db&amp;pid=1-s2.0-S1877042811027595-main.pdf</t>
  </si>
  <si>
    <t>Discovering influencers for marketing in the blogosphere</t>
  </si>
  <si>
    <t>Yung-Ming Li, Cheng-Yang Lai, Ching-Wen Chen</t>
  </si>
  <si>
    <t>http://pdn.sciencedirect.com/science?_ob=MiamiImageURL&amp;_cid=271625&amp;_user=686465&amp;_pii=S0020025511003550&amp;_check=y&amp;_origin=search&amp;_zone=rslt_list_item&amp;_coverDate=2011-12-01&amp;wchp=dGLbVlB-zSkzk&amp;md5=e37d46c4c2d7316d2d7746446d82c745&amp;pid=1-s2.0-S0020025511003550-main.pdf</t>
  </si>
  <si>
    <t>Incremental face recognition for large-scale social network services</t>
  </si>
  <si>
    <t>Kwontaeg Choi, Kar-Ann Toh, Hyeran Byun</t>
  </si>
  <si>
    <t>http://pdn.sciencedirect.com/science?_ob=MiamiImageURL&amp;_cid=272206&amp;_user=686465&amp;_pii=S0031320312000635&amp;_check=y&amp;_origin=search&amp;_zone=rslt_list_item&amp;_coverDate=2012-08-31&amp;wchp=dGLbVlB-zSkzk&amp;md5=146e52500ee756d4b35cbe5c9c95931d&amp;pid=1-s2.0-S0031320312000635-main.pdf</t>
  </si>
  <si>
    <t>Recommender systems</t>
  </si>
  <si>
    <t>Linyuan L&amp;uuml;, Mat&amp;uacute;š Medo, Chi Ho Yeung, Yi-Cheng Zhang, Zi-Ke Zhang, Tao Zhou</t>
  </si>
  <si>
    <t>http://pdn.sciencedirect.com/science?_ob=MiamiImageURL&amp;_cid=271542&amp;_user=686465&amp;_pii=S0370157312000828&amp;_check=y&amp;_origin=search&amp;_zone=rslt_list_item&amp;_coverDate=2012-10-31&amp;wchp=dGLbVlB-zSkzk&amp;md5=c9ac353c67ec2302a62dbf35c8405222&amp;pid=1-s2.0-S0370157312000828-main.pdf</t>
  </si>
  <si>
    <t>An approach to identify influential building blocks and linkages in an information resource network</t>
  </si>
  <si>
    <t>Sudip Bhattacharjee, James R. Marsden, Harpreet Singh</t>
  </si>
  <si>
    <t>http://pdn.sciencedirect.com/science?_ob=MiamiImageURL&amp;_cid=271653&amp;_user=686465&amp;_pii=S0167923611001266&amp;_check=y&amp;_origin=search&amp;_zone=rslt_list_item&amp;_coverDate=2011-12-31&amp;wchp=dGLbVlB-zSkzk&amp;md5=80e16059729fb2525b86f63ee185c592&amp;pid=1-s2.0-S0167923611001266-main.pdf</t>
  </si>
  <si>
    <t>Group based trajectories of network formation and dynamics</t>
  </si>
  <si>
    <t>Sharique Hasan</t>
  </si>
  <si>
    <t>http://pdn.sciencedirect.com/science?_ob=MiamiImageURL&amp;_cid=271850&amp;_user=686465&amp;_pii=S0378873312000226&amp;_check=y&amp;_origin=search&amp;_zone=rslt_list_item&amp;_coverDate=2012-10-31&amp;wchp=dGLbVlB-zSkzk&amp;md5=b2438d29d5e291c903c6c3e8aff130eb&amp;pid=1-s2.0-S0378873312000226-main.pdf</t>
  </si>
  <si>
    <t>An analysis of friendship networks, social connectedness, homesickness, and satisfaction levels of international students</t>
  </si>
  <si>
    <t>Blake Hendrickson, Devan Rosen, R. Kelly Aune</t>
  </si>
  <si>
    <t>http://pdn.sciencedirect.com/science?_ob=MiamiImageURL&amp;_cid=272065&amp;_user=686465&amp;_pii=S0147176710000799&amp;_check=y&amp;_origin=search&amp;_zone=rslt_list_item&amp;_coverDate=2011-05-31&amp;wchp=dGLbVlB-zSkzk&amp;md5=f63a11a2f2952ee738e1ea27987ed751&amp;pid=1-s2.0-S0147176710000799-main.pdf</t>
  </si>
  <si>
    <t>Recommendation of similar users, resources and social networks in a Social Internetworking Scenario</t>
  </si>
  <si>
    <t>Pasquale De Meo, Antonino Nocera, Giorgio Terracina, Domenico Ursino</t>
  </si>
  <si>
    <t>http://pdn.sciencedirect.com/science?_ob=MiamiImageURL&amp;_cid=271625&amp;_user=686465&amp;_pii=S0020025510005943&amp;_check=y&amp;_origin=search&amp;_zone=rslt_list_item&amp;_coverDate=2011-04-01&amp;wchp=dGLbVlB-zSkzk&amp;md5=3360f6d2d4e9edfd236b82601ef34efd&amp;pid=1-s2.0-S0020025510005943-main.pdf</t>
  </si>
  <si>
    <t>Interaction mining and skill-dependent recommendations for multi-objective team composition</t>
  </si>
  <si>
    <t>Christoph Dorn, Florian Skopik, Daniel Schall, Schahram Dustdar</t>
  </si>
  <si>
    <t>http://pdn.sciencedirect.com/science?_ob=MiamiImageURL&amp;_cid=271546&amp;_user=686465&amp;_pii=S0169023X11000826&amp;_check=y&amp;_origin=search&amp;_zone=rslt_list_item&amp;_coverDate=2011-10-31&amp;wchp=dGLbVlB-zSkzk&amp;md5=6136e9884bc709819182b3bbe07dd6b1&amp;pid=1-s2.0-S0169023X11000826-main.pdf</t>
  </si>
  <si>
    <t>Knowledge construction in an outsider community: Extending the communities of practice concept</t>
  </si>
  <si>
    <t>Joachim Kimmerle, Ansgar Thiel, Kim-Kristin Gerbing, Martina Bientzle, Iassen Halatchliyski, Ulrike Cress</t>
  </si>
  <si>
    <t>http://pdn.sciencedirect.com/science?_ob=MiamiImageURL&amp;_cid=271802&amp;_user=686465&amp;_pii=S0747563212002671&amp;_check=y&amp;_origin=search&amp;_zone=rslt_list_item&amp;_coverDate=2013-05-31&amp;wchp=dGLbVlB-zSkzk&amp;md5=84e3dd928dc099ad2e72fa504cc81df4&amp;pid=1-s2.0-S0747563212002671-main.pdf</t>
  </si>
  <si>
    <t>Role defining using behavior-based clustering in telecommunication network</t>
  </si>
  <si>
    <t>Tian Zhu, Bai Wang, Bin Wu, Chuanxi Zhu</t>
  </si>
  <si>
    <t>http://pdn.sciencedirect.com/science?_ob=MiamiImageURL&amp;_cid=271506&amp;_user=686465&amp;_pii=S0957417410010080&amp;_check=y&amp;_origin=search&amp;_zone=rslt_list_item&amp;_coverDate=2011-04-30&amp;wchp=dGLbVlB-zSkzk&amp;md5=1d5e3ea5a93d11834b08c148096dde8c&amp;pid=1-s2.0-S0957417410010080-main.pdf</t>
  </si>
  <si>
    <t>Emerging innovation networks and the print-on-paper sociotechnical regime</t>
  </si>
  <si>
    <t>Athena Piterou, Fred Steward</t>
  </si>
  <si>
    <t>http://pdn.sciencedirect.com/science?_ob=MiamiImageURL&amp;_cid=277811&amp;_user=686465&amp;_pii=S1877042811000152&amp;_check=y&amp;_origin=search&amp;_zone=rslt_list_item&amp;_coverDate=2011-12-31&amp;wchp=dGLbVlB-zSkzk&amp;md5=8b081ae209b25b4491ad55e4af5c8055&amp;pid=1-s2.0-S1877042811000152-main.pdf</t>
  </si>
  <si>
    <t>A qualitative evaluation of evolution of a learning analytics tool</t>
  </si>
  <si>
    <t>Liaqat Ali, Marek Hatala, Dragan Gaševi?, Jelena Jovanovi?</t>
  </si>
  <si>
    <t>http://pdn.sciencedirect.com/science?_ob=MiamiImageURL&amp;_cid=271849&amp;_user=686465&amp;_pii=S0360131511002089&amp;_check=y&amp;_origin=search&amp;_zone=rslt_list_item&amp;_coverDate=2012-01-31&amp;wchp=dGLbVlB-zSkzk&amp;md5=968b9b5828ebe6d04adf31e68f0cc7be&amp;pid=1-s2.0-S0360131511002089-main.pdf</t>
  </si>
  <si>
    <t>The end justifies the definition: The manifold outlooks on the digital divide and their practical usefulness for policy-making</t>
  </si>
  <si>
    <t>Martin Hilbert</t>
  </si>
  <si>
    <t>http://pdn.sciencedirect.com/science?_ob=MiamiImageURL&amp;_cid=271735&amp;_user=686465&amp;_pii=S0308596111001145&amp;_check=y&amp;_origin=search&amp;_zone=rslt_list_item&amp;_coverDate=2011-09-30&amp;wchp=dGLbVlB-zSkzk&amp;md5=8d0fe65db4ec1c95e641d55c980e1ad0&amp;pid=1-s2.0-S0308596111001145-main.pdf</t>
  </si>
  <si>
    <t>The evolution of alliance structure in China’s mobile telecommunication industry and implications for international standardization</t>
  </si>
  <si>
    <t>Jooyoung Kwak, Heejin Lee, Do Bum Chung</t>
  </si>
  <si>
    <t>http://pdn.sciencedirect.com/science?_ob=MiamiImageURL&amp;_cid=271735&amp;_user=686465&amp;_pii=S0308596112001401&amp;_check=y&amp;_origin=search&amp;_zone=rslt_list_item&amp;_coverDate=2012-12-31&amp;wchp=dGLbVlB-zSkzk&amp;md5=486f49e5dc19c53e79d01938c258d9fe&amp;pid=1-s2.0-S0308596112001401-main.pdf</t>
  </si>
  <si>
    <t>Social networks and spatial configuration—How office layouts drive social interaction</t>
  </si>
  <si>
    <t>Kerstin Sailer, Ian McCulloh</t>
  </si>
  <si>
    <t>http://pdn.sciencedirect.com/science?_ob=MiamiImageURL&amp;_cid=271850&amp;_user=686465&amp;_pii=S0378873311000323&amp;_check=y&amp;_origin=search&amp;_zone=rslt_list_item&amp;_coverDate=2012-01-31&amp;wchp=dGLbVlB-zSkzk&amp;md5=156359b939c50826303e8176b9454c89&amp;pid=1-s2.0-S0378873311000323-main.pdf</t>
  </si>
  <si>
    <t>Simulation-based workforce assignment in a multi-organizational social network for alliance-based software development</t>
  </si>
  <si>
    <t>Nurcin Celik, Seungho Lee, Esfandyar Mazhari, Young-Jun Son, Robin Lemaire, Keith G. Provan</t>
  </si>
  <si>
    <t>Simulation Modelling Practice and Theory</t>
  </si>
  <si>
    <t>http://pdn.sciencedirect.com/science?_ob=MiamiImageURL&amp;_cid=272648&amp;_user=686465&amp;_pii=S1569190X11001250&amp;_check=y&amp;_origin=search&amp;_zone=rslt_list_item&amp;_coverDate=2011-11-30&amp;wchp=dGLbVlB-zSkzk&amp;md5=18dbe1c0382ea606e043f470cf0fbb76&amp;pid=1-s2.0-S1569190X11001250-main.pdf</t>
  </si>
  <si>
    <t>An approach to providing a user of a “social folksonomy” with recommendations of similar users and potentially interesting resources</t>
  </si>
  <si>
    <t>Antonino Nocera, Domenico Ursino</t>
  </si>
  <si>
    <t>http://pdn.sciencedirect.com/science?_ob=MiamiImageURL&amp;_cid=271505&amp;_user=686465&amp;_pii=S0950705111001122&amp;_check=y&amp;_origin=search&amp;_zone=rslt_list_item&amp;_coverDate=2011-12-31&amp;wchp=dGLbVlB-zSkzk&amp;md5=0aa54274230c66c73bcfb6492c40cbeb&amp;pid=1-s2.0-S0950705111001122-main.pdf</t>
  </si>
  <si>
    <t>Power dimensions and influence reputation in tourist destinations: Empirical evidence from a network of actors and stakeholders</t>
  </si>
  <si>
    <t>Pietro Beritelli, Christian Laesser</t>
  </si>
  <si>
    <t>http://pdn.sciencedirect.com/science?_ob=MiamiImageURL&amp;_cid=271716&amp;_user=686465&amp;_pii=S0261517711000021&amp;_check=y&amp;_origin=search&amp;_zone=rslt_list_item&amp;_coverDate=2011-12-31&amp;wchp=dGLbVlB-zSkzk&amp;md5=7cc1627c0507d3f492100a961feddaf1&amp;pid=1-s2.0-S0261517711000021-main.pdf</t>
  </si>
  <si>
    <t>A literature review and classification of recommender systems research</t>
  </si>
  <si>
    <t>Deuk Hee Park, Hyea Kyeong Kim, Il Young Choi, Jae Kyeong Kim</t>
  </si>
  <si>
    <t>http://pdn.sciencedirect.com/science?_ob=MiamiImageURL&amp;_cid=271506&amp;_user=686465&amp;_pii=S0957417412002825&amp;_check=y&amp;_origin=search&amp;_zone=rslt_list_item&amp;_coverDate=2012-09-01&amp;wchp=dGLbVlB-zSkzk&amp;md5=142f3fe74254aafdfca22f2b02efd227&amp;pid=1-s2.0-S0957417412002825-main.pdf</t>
  </si>
  <si>
    <t>Contextual web searches in Facebook using learning materials and discussion messages</t>
  </si>
  <si>
    <t>Jo&amp;atilde;o Carlos Prates, Eduardo Fritzen, Sean W.M. Siqueira, Maria Helena L.B. Braz, Leila C.V. de Andrade</t>
  </si>
  <si>
    <t>http://pdn.sciencedirect.com/science?_ob=MiamiImageURL&amp;_cid=271802&amp;_user=686465&amp;_pii=S0747563212001525&amp;_check=y&amp;_origin=search&amp;_zone=rslt_list_item&amp;_coverDate=2013-03-31&amp;wchp=dGLbVlB-zSkzk&amp;md5=5f84f47793122243b26254a577e824f3&amp;pid=1-s2.0-S0747563212001525-main.pdf</t>
  </si>
  <si>
    <t>Social Support</t>
  </si>
  <si>
    <t>D.L. Vietze</t>
  </si>
  <si>
    <t>Encyclopedia of Adolescence</t>
  </si>
  <si>
    <t>Analyzing collaborative networks emerging in Enterprise 2.0: the Taolin Platform</t>
  </si>
  <si>
    <t>Michela Ferron, Paolo Massa, Francesca Odella</t>
  </si>
  <si>
    <t>http://pdn.sciencedirect.com/science?_ob=MiamiImageURL&amp;_cid=277811&amp;_user=686465&amp;_pii=S1877042811000115&amp;_check=y&amp;_origin=search&amp;_zone=rslt_list_item&amp;_coverDate=2011-12-31&amp;wchp=dGLbVlB-zSkzk&amp;md5=1bc6ead19969bf270d2cb28673a4d88a&amp;pid=1-s2.0-S1877042811000115-main.pdf</t>
  </si>
  <si>
    <t>WNavis: Navigating Wikipedia semantically with an SNA-based summarization technique</t>
  </si>
  <si>
    <t>I-Chin Wu, Yi-Sheng Lin</t>
  </si>
  <si>
    <t>http://pdn.sciencedirect.com/science?_ob=MiamiImageURL&amp;_cid=271653&amp;_user=686465&amp;_pii=S016792361200098X&amp;_check=y&amp;_origin=search&amp;_zone=rslt_list_item&amp;_coverDate=2012-12-31&amp;wchp=dGLbVlB-zSkzk&amp;md5=c8db982eeae2a6b2f694e9476c749112&amp;pid=1-s2.0-S016792361200098X-main.pdf</t>
  </si>
  <si>
    <t>Evaluation of the knowledge-sharing social network of hospital-based infection preventionists in Kentucky</t>
  </si>
  <si>
    <t>Timothy L. Wiemken, Julio A. Ramirez, Philip Polgreen, Paula Peyrani, Ruth M. Carrico</t>
  </si>
  <si>
    <t>American Journal of Infection Control</t>
  </si>
  <si>
    <t>http://pdn.sciencedirect.com/science?_ob=MiamiImageURL&amp;_cid=272359&amp;_user=686465&amp;_pii=S0196655311008406&amp;_check=y&amp;_origin=search&amp;_zone=rslt_list_item&amp;_coverDate=2012-06-30&amp;wchp=dGLbVlB-zSkzk&amp;md5=78c1c98a4f2b89fd22253e30e669d28e&amp;pid=1-s2.0-S0196655311008406-main.pdf</t>
  </si>
  <si>
    <t>Understanding key issues in designing and using knowledge flow networks: An optimization-based managerial benchmarking approach Supplementary content </t>
  </si>
  <si>
    <t>Su Dong, Monica Johar, Ram Kumar</t>
  </si>
  <si>
    <t>http://pdn.sciencedirect.com/science?_ob=MiamiImageURL&amp;_cid=271653&amp;_user=686465&amp;_pii=S0167923612001030&amp;_check=y&amp;_origin=search&amp;_zone=rslt_list_item&amp;_coverDate=2012-06-30&amp;wchp=dGLbVlB-zSkzk&amp;md5=805691b95ec7d43e4309c8614ce12ffa&amp;pid=1-s2.0-S0167923612001030-main.pdf</t>
  </si>
  <si>
    <t>Visualization methods for longitudinal social networks and stochastic actor-oriented modeling</t>
  </si>
  <si>
    <t>Ulrik Brandes, Natalie Indlekofer, Martin Mader</t>
  </si>
  <si>
    <t>http://pdn.sciencedirect.com/science?_ob=MiamiImageURL&amp;_cid=271850&amp;_user=686465&amp;_pii=S0378873311000347&amp;_check=y&amp;_origin=search&amp;_zone=rslt_list_item&amp;_coverDate=2012-07-31&amp;wchp=dGLbVlB-zSkzk&amp;md5=a8a15aec080b1c44481db2f386cf449c&amp;pid=1-s2.0-S0378873311000347-main.pdf</t>
  </si>
  <si>
    <t>Idea Competitions under scrutiny: Acquisition, intelligence or public relations mechanism?</t>
  </si>
  <si>
    <t>Letizia Mortara, Simon J. Ford, Manuel Jaeger</t>
  </si>
  <si>
    <t>http://pdn.sciencedirect.com/science?_ob=MiamiImageURL&amp;_cid=271733&amp;_user=686465&amp;_pii=S0040162513000097&amp;_check=y&amp;_origin=search&amp;_zone=rslt_list_item&amp;_coverDate=2013-02-26&amp;wchp=dGLbVlB-zSkzk&amp;md5=a2ec02064cfea91fc4cd6e349f24f7e3&amp;pid=1-s2.0-S0040162513000097-main.pdf</t>
  </si>
  <si>
    <t>Value ontology-based multi-aspect intellectual asset valuation method for decision-making support in k-commerce</t>
  </si>
  <si>
    <t>Tsung-Yi Chen</t>
  </si>
  <si>
    <t>http://pdn.sciencedirect.com/science?_ob=MiamiImageURL&amp;_cid=271506&amp;_user=686465&amp;_pii=S0957417410012339&amp;_check=y&amp;_origin=search&amp;_zone=rslt_list_item&amp;_coverDate=2011-05-31&amp;wchp=dGLbVlB-zSkzk&amp;md5=b0ec4085f8eea0ffe0c769e3dbf67464&amp;pid=1-s2.0-S0957417410012339-main.pdf</t>
  </si>
  <si>
    <t>Social distance in a virtual world experiment</t>
  </si>
  <si>
    <t>Marina Fiedler, Ernan Haruvy, Sherry Xin Li</t>
  </si>
  <si>
    <t>http://pdn.sciencedirect.com/science?_ob=MiamiImageURL&amp;_cid=272351&amp;_user=686465&amp;_pii=S0899825610001442&amp;_check=y&amp;_origin=search&amp;_zone=rslt_list_item&amp;_coverDate=2011-06-30&amp;wchp=dGLbVlB-zSkzk&amp;md5=211fd6b3de0d7d662becf42222e62b7d&amp;pid=1-s2.0-S0899825610001442-main.pdf</t>
  </si>
  <si>
    <t>Relationships of Spatial Properties in Low-Cost Flats Configurations and Residents’ Local Social Contacts</t>
  </si>
  <si>
    <t>Azhan Abdul Aziz, Abdullah Sani Ahmad, Sharifah Salwa Syed Mahdzar</t>
  </si>
  <si>
    <t>http://pdn.sciencedirect.com/science?_ob=MiamiImageURL&amp;_cid=277811&amp;_user=686465&amp;_pii=S1877042812057345&amp;_check=y&amp;_origin=search&amp;_zone=rslt_list_item&amp;_coverDate=2012-12-19&amp;wchp=dGLbVlB-zSkzk&amp;md5=70b9e5199400ce7a9433711b1950ebf8&amp;pid=1-s2.0-S1877042812057345-main.pdf</t>
  </si>
  <si>
    <t>Identifying strengths and weaknesses of landscape visualisation for effective communication of future alternatives</t>
  </si>
  <si>
    <t>Christopher J. Pettit, Christopher M. Raymond, Brett A. Bryan, Hayden Lewis</t>
  </si>
  <si>
    <t>Landscape and Urban Planning</t>
  </si>
  <si>
    <t>http://pdn.sciencedirect.com/science?_ob=MiamiImageURL&amp;_cid=271853&amp;_user=686465&amp;_pii=S0169204611000193&amp;_check=y&amp;_origin=search&amp;_zone=rslt_list_item&amp;_coverDate=2011-04-15&amp;wchp=dGLbVlB-zSkzk&amp;md5=4db9484e22274529c270b6fcc69ce567&amp;pid=1-s2.0-S0169204611000193-main.pdf</t>
  </si>
  <si>
    <t>Deterministic sublinear-time approximations for metric 1-median selection</t>
  </si>
  <si>
    <t>Ching-Lueh Chang</t>
  </si>
  <si>
    <t>Information Processing Letters</t>
  </si>
  <si>
    <t>http://pdn.sciencedirect.com/science?_ob=MiamiImageURL&amp;_cid=271527&amp;_user=686465&amp;_pii=S0020019013000483&amp;_check=y&amp;_origin=search&amp;_zone=rslt_list_item&amp;_coverDate=2013-04-30&amp;wchp=dGLbVlB-zSkzk&amp;md5=8da8b3ee269aa971b222bf29e7efea05&amp;pid=1-s2.0-S0020019013000483-main.pdf</t>
  </si>
  <si>
    <t>What's in a crowd? Analysis of face-to-face behavioral networks</t>
  </si>
  <si>
    <t>Lorenzo Isella, Juliette Stehl&amp;eacute;, Alain Barrat, Ciro Cattuto, Jean-Fran&amp;ccedil;ois Pinton, Wouter Van den Broeck</t>
  </si>
  <si>
    <t>http://pdn.sciencedirect.com/science?_ob=MiamiImageURL&amp;_cid=272314&amp;_user=686465&amp;_pii=S0022519310006284&amp;_check=y&amp;_origin=search&amp;_zone=rslt_list_item&amp;_coverDate=2011-02-21&amp;wchp=dGLbVlB-zSkzk&amp;md5=e18932337f5fc3645903f20b5812e88f&amp;pid=1-s2.0-S0022519310006284-main.pdf</t>
  </si>
  <si>
    <t>The role of cultural dimensions of international and Dutch students on academic and social integration and academic performance in the Netherlands</t>
  </si>
  <si>
    <t>Bart Rienties, Dirk Tempelaar</t>
  </si>
  <si>
    <t>http://pdn.sciencedirect.com/science?_ob=MiamiImageURL&amp;_cid=272065&amp;_user=686465&amp;_pii=S0147176712001368&amp;_check=y&amp;_origin=search&amp;_zone=rslt_list_item&amp;_coverDate=2012-12-11&amp;wchp=dGLbVlB-zSkzk&amp;md5=b240cf624fa7a520f45df855b232cd67&amp;pid=1-s2.0-S0147176712001368-main.pdf</t>
  </si>
  <si>
    <t>Rational Research model for ranking semantic entities</t>
  </si>
  <si>
    <t>Wang Wei, Payam Barnaghi, Andrzej Bargiela</t>
  </si>
  <si>
    <t>http://pdn.sciencedirect.com/science?_ob=MiamiImageURL&amp;_cid=271625&amp;_user=686465&amp;_pii=S0020025511001198&amp;_check=y&amp;_origin=search&amp;_zone=rslt_list_item&amp;_coverDate=2011-07-01&amp;wchp=dGLbVlB-zSkzk&amp;md5=7c8a115bb20dedcc5da9fd35655f9c5d&amp;pid=1-s2.0-S0020025511001198-main.pdf</t>
  </si>
  <si>
    <t>Global animal disease surveillance</t>
  </si>
  <si>
    <t>A. Perez, M. AlKhamis, U. Carlsson, B. Brito, R. Carrasco-Medanic, Z. Whedbee, P. Willeberg</t>
  </si>
  <si>
    <t>Spatial and Spatio-temporal Epidemiology</t>
  </si>
  <si>
    <t>http://pdn.sciencedirect.com/science?_ob=MiamiImageURL&amp;_cid=278658&amp;_user=686465&amp;_pii=S1877584511000293&amp;_check=y&amp;_origin=search&amp;_zone=rslt_list_item&amp;_coverDate=2011-09-30&amp;wchp=dGLbVlB-zSkzk&amp;md5=e6c35670980e72fd9f78fc1c7d8f598c&amp;pid=1-s2.0-S1877584511000293-main.pdf</t>
  </si>
  <si>
    <t>Improved Bayesian inference for the stochastic block model with application to large networks</t>
  </si>
  <si>
    <t>Aaron F. McDaid, Thomas Brendan Murphy, Nial Friel, Neil J. Hurley</t>
  </si>
  <si>
    <t>http://pdn.sciencedirect.com/science?_ob=MiamiImageURL&amp;_cid=271708&amp;_user=686465&amp;_pii=S0167947312003891&amp;_check=y&amp;_origin=search&amp;_zone=rslt_list_item&amp;_coverDate=2013-04-30&amp;wchp=dGLbVlB-zSkzk&amp;md5=47653edbad44815425ff378e6a3ea5fb&amp;pid=1-s2.0-S0167947312003891-main.pdf</t>
  </si>
  <si>
    <t>Modeling complex systems with adaptive networks</t>
  </si>
  <si>
    <t>Hiroki Sayama, Irene Pestov, Jeffrey Schmidt, Benjamin James Bush, Chun Wong, Junichi Yamanoi, Thilo Gross</t>
  </si>
  <si>
    <t>http://pdn.sciencedirect.com/science?_ob=MiamiImageURL&amp;_cid=271503&amp;_user=686465&amp;_pii=S0898122112007018&amp;_check=y&amp;_origin=search&amp;_zone=rslt_list_item&amp;_coverDate=2013-01-02&amp;wchp=dGLbVlB-zSkzk&amp;md5=d7cfb9febb47440f594209f66a781246&amp;pid=1-s2.0-S0898122112007018-main.pdf</t>
  </si>
  <si>
    <t>Estimating network properties from snowball sampled data</t>
  </si>
  <si>
    <t>Johannes Illenberger, Gunnar Fl&amp;ouml;tter&amp;ouml;d</t>
  </si>
  <si>
    <t>http://pdn.sciencedirect.com/science?_ob=MiamiImageURL&amp;_cid=271850&amp;_user=686465&amp;_pii=S0378873312000548&amp;_check=y&amp;_origin=search&amp;_zone=rslt_list_item&amp;_coverDate=2012-10-31&amp;wchp=dGLbVlB-zSkzk&amp;md5=4470171cd898c9ad4010c5934e75f49f&amp;pid=1-s2.0-S0378873312000548-main.pdf</t>
  </si>
  <si>
    <t>Identification of Salmonella enterica species- and subgroup-specific genomic regions using Panseq 2.0 Supplementary content </t>
  </si>
  <si>
    <t>Chad Laing, Andre Villegas, Eduardo N. Taboada, Andrew Kropinski, James E. Thomas, Victor P.J. Gannon</t>
  </si>
  <si>
    <t>Infection, Genetics and Evolution</t>
  </si>
  <si>
    <t>http://pdn.sciencedirect.com/science?_ob=MiamiImageURL&amp;_cid=272223&amp;_user=686465&amp;_pii=S1567134811003509&amp;_check=y&amp;_origin=search&amp;_zone=rslt_list_item&amp;_coverDate=2011-12-31&amp;wchp=dGLbVlB-zSkzk&amp;md5=bc9a279f769cd06e27fae3cdab61126e&amp;pid=1-s2.0-S1567134811003509-main.pdf</t>
  </si>
  <si>
    <t>Degree centrality for semantic abstraction summarization of therapeutic studies</t>
  </si>
  <si>
    <t>Han Zhang, Marcelo Fiszman, Dongwook Shin, Christopher M. Miller, Graciela Rosemblat, Thomas C. Rindflesch</t>
  </si>
  <si>
    <t>http://pdn.sciencedirect.com/science?_ob=MiamiImageURL&amp;_cid=272371&amp;_user=686465&amp;_pii=S1532046411000773&amp;_check=y&amp;_origin=search&amp;_zone=rslt_list_item&amp;_coverDate=2011-10-31&amp;wchp=dGLbVlB-zSkzk&amp;md5=20d86dfac55824bc8564e4721c8b8ba8&amp;pid=1-s2.0-S1532046411000773-main.pdf</t>
  </si>
  <si>
    <t>Transformational leadership, job satisfaction, and team performance: A multilevel mediation model of trust</t>
  </si>
  <si>
    <t>Susanne Braun, Claudia Peus, Silke Weisweiler, Dieter Frey</t>
  </si>
  <si>
    <t>http://pdn.sciencedirect.com/science?_ob=MiamiImageURL&amp;_cid=272081&amp;_user=686465&amp;_pii=S1048984312001075&amp;_check=y&amp;_origin=search&amp;_zone=rslt_list_item&amp;_coverDate=2013-02-28&amp;wchp=dGLbVlB-zSkzk&amp;md5=d483908bd33275355ee1c4408655c24c&amp;pid=1-s2.0-S1048984312001075-main.pdf</t>
  </si>
  <si>
    <t>Everything at once: Comparative analysis of the genomes of bacterial pathogens</t>
  </si>
  <si>
    <t>Chad R. Laing, Yongxiang Zhang, James E. Thomas, Victor P.J. Gannon</t>
  </si>
  <si>
    <t>Veterinary Microbiology</t>
  </si>
  <si>
    <t>http://pdn.sciencedirect.com/science?_ob=MiamiImageURL&amp;_cid=271229&amp;_user=686465&amp;_pii=S0378113511003427&amp;_check=y&amp;_origin=search&amp;_zone=rslt_list_item&amp;_coverDate=2011-11-21&amp;wchp=dGLbVlB-zSkzk&amp;md5=d3d3ee5a78b9482afdc2ead826e0171d&amp;pid=1-s2.0-S0378113511003427-main.pdf</t>
  </si>
  <si>
    <t>Correcting for the impact of gregariousness in social network analyses Supplementary content </t>
  </si>
  <si>
    <t>Sophie Godde, Lionel Humbert, Steeve D. C&amp;ocirc;t&amp;eacute;, Denis R&amp;eacute;ale, Hal Whitehead</t>
  </si>
  <si>
    <t>http://pdn.sciencedirect.com/science?_ob=MiamiImageURL&amp;_cid=272524&amp;_user=686465&amp;_pii=S0003347212005593&amp;_check=y&amp;_origin=search&amp;_zone=rslt_list_item&amp;_coverDate=2013-03-31&amp;wchp=dGLbVlB-zSkzk&amp;md5=0d8a1432be0f0bd277c1ea885532dab7&amp;pid=1-s2.0-S0003347212005593-main.pdf</t>
  </si>
  <si>
    <t>Social network analysis and dual rover communications</t>
  </si>
  <si>
    <t>Harry L. Litaker Jr., Robert L. Howard Jr.</t>
  </si>
  <si>
    <t>http://pdn.sciencedirect.com/science?_ob=MiamiImageURL&amp;_cid=271447&amp;_user=686465&amp;_pii=S0094576512002044&amp;_check=y&amp;_origin=search&amp;_zone=rslt_list_item&amp;_coverDate=2012-07-06&amp;wchp=dGLbVlB-zSkzk&amp;md5=8cf004471df8b2a788d34cbb85686597&amp;pid=1-s2.0-S0094576512002044-main.pdf</t>
  </si>
  <si>
    <t>Analysing sustainable development social structures in an international civil engineering consultancy</t>
  </si>
  <si>
    <t>Nicholas Meese, Chris McMahon</t>
  </si>
  <si>
    <t>http://pdn.sciencedirect.com/science?_ob=MiamiImageURL&amp;_cid=271750&amp;_user=686465&amp;_pii=S0959652611003891&amp;_check=y&amp;_origin=search&amp;_zone=rslt_list_item&amp;_coverDate=2012-03-31&amp;wchp=dGLbVlB-zSkzk&amp;md5=7ea4891d27ff99ebb220b1fe39494c6c&amp;pid=1-s2.0-S0959652611003891-main.pdf</t>
  </si>
  <si>
    <t>The intersection of sport management and sociology of sport research: A social network perspective</t>
  </si>
  <si>
    <t>Adam Love, Damon P.S. Andrew</t>
  </si>
  <si>
    <t>Sport Management Review</t>
  </si>
  <si>
    <t>http://pdn.sciencedirect.com/science?_ob=MiamiImageURL&amp;_cid=277345&amp;_user=686465&amp;_pii=S1441352311000490&amp;_check=y&amp;_origin=search&amp;_zone=rslt_list_item&amp;_coverDate=2012-05-31&amp;wchp=dGLbVlB-zSkzk&amp;md5=104e44b16bbed1c03e5f35538eb10838&amp;pid=1-s2.0-S1441352311000490-main.pdf</t>
  </si>
  <si>
    <t>Application of social network theory to prioritizing Oil &amp; Gas industries protection in a networked critical infrastructure system</t>
  </si>
  <si>
    <t>C.-L. Chai, X. Liu, W.J. Zhang, Z. Baber</t>
  </si>
  <si>
    <t>Journal of Loss Prevention in the Process Industries</t>
  </si>
  <si>
    <t>http://pdn.sciencedirect.com/science?_ob=MiamiImageURL&amp;_cid=271494&amp;_user=686465&amp;_pii=S0950423011000805&amp;_check=y&amp;_origin=search&amp;_zone=rslt_list_item&amp;_coverDate=2011-09-30&amp;wchp=dGLbVlB-zSkzk&amp;md5=fdd5c38d4f70450c0433cf2216a4da29&amp;pid=1-s2.0-S0950423011000805-main.pdf</t>
  </si>
  <si>
    <t>Structural investigation of supply networks: A social network analysis approach</t>
  </si>
  <si>
    <t>Yusoon Kim, Thomas Y. Choi, Tingting Yan, Kevin Dooley</t>
  </si>
  <si>
    <t>http://pdn.sciencedirect.com/science?_ob=MiamiImageURL&amp;_cid=271694&amp;_user=686465&amp;_pii=S0272696310000860&amp;_check=y&amp;_origin=search&amp;_zone=rslt_list_item&amp;_coverDate=2011-03-31&amp;wchp=dGLbVlB-zSkzk&amp;md5=e9eab59ade7a3bf4e30bc6dfdb38b144&amp;pid=1-s2.0-S0272696310000860-main.pdf</t>
  </si>
  <si>
    <t>Evaluating Form and Function of Regional Partnerships: Applying Social Network Analysis to the Network for a Healthy California, 2001-2007</t>
  </si>
  <si>
    <t>Jennifer Gregson, Marcy Sowa, Heather Kohler Flynn</t>
  </si>
  <si>
    <t>Journal of Nutrition Education and Behavior</t>
  </si>
  <si>
    <t>http://pdn.sciencedirect.com/science?_ob=MiamiImageURL&amp;_cid=273502&amp;_user=686465&amp;_pii=S1499404611000947&amp;_check=y&amp;_origin=search&amp;_zone=rslt_list_item&amp;_coverDate=2011-08-31&amp;wchp=dGLbVlB-zSkzk&amp;md5=d68c6c7014d5b3cd5dce8de6613cc842&amp;pid=1-s2.0-S1499404611000947-main.pdf</t>
  </si>
  <si>
    <t>Forms of collaboration and social fit in wildlife management: A comparison of policy networks in Alaska</t>
  </si>
  <si>
    <t>Chanda L. Meek</t>
  </si>
  <si>
    <t>Global Environmental Change</t>
  </si>
  <si>
    <t>http://pdn.sciencedirect.com/science?_ob=MiamiImageURL&amp;_cid=271866&amp;_user=686465&amp;_pii=S0959378012001161&amp;_check=y&amp;_origin=search&amp;_zone=rslt_list_item&amp;_coverDate=2013-02-28&amp;wchp=dGLbVlB-zSkzk&amp;md5=fc1870fa95044e82b3a925b6b5bcdba4&amp;pid=1-s2.0-S0959378012001161-main.pdf</t>
  </si>
  <si>
    <t>Adding the spatial dimension to the social network analysis of an epidemic: Investigation of the 2007 outbreak of equine influenza in Australia</t>
  </si>
  <si>
    <t>Simon M. Firestone, Robert M. Christley, Michael P. Ward, Navneet K. Dhand</t>
  </si>
  <si>
    <t>http://pdn.sciencedirect.com/science?_ob=MiamiImageURL&amp;_cid=271186&amp;_user=686465&amp;_pii=S0167587712000384&amp;_check=y&amp;_origin=search&amp;_zone=rslt_list_item&amp;_coverDate=2012-09-15&amp;wchp=dGLbVlB-zSkzk&amp;md5=102cc98bb0230fd67eb404b16023aa6c&amp;pid=1-s2.0-S0167587712000384-main.pdf</t>
  </si>
  <si>
    <t>Social network analysis of mixed-species flocks: exploring the structure and evolution of interspecific social behaviour</t>
  </si>
  <si>
    <t>Damien R. Farine, Colin J. Garroway, Ben C. Sheldon</t>
  </si>
  <si>
    <t>http://pdn.sciencedirect.com/science?_ob=MiamiImageURL&amp;_cid=272524&amp;_user=686465&amp;_pii=S0003347212003570&amp;_check=y&amp;_origin=search&amp;_zone=rslt_list_item&amp;_coverDate=2012-11-30&amp;wchp=dGLbVlB-zSkzk&amp;md5=2ccce7098b3a783df8529ff67e0669eb&amp;pid=1-s2.0-S0003347212003570-main.pdf</t>
  </si>
  <si>
    <t>Structure and morphology of industrial symbiosis networks: The case of Kalundborg</t>
  </si>
  <si>
    <t>Teresa Domenech, Michael Davies</t>
  </si>
  <si>
    <t>http://pdn.sciencedirect.com/science?_ob=MiamiImageURL&amp;_cid=277811&amp;_user=686465&amp;_pii=S1877042811000127&amp;_check=y&amp;_origin=search&amp;_zone=rslt_list_item&amp;_coverDate=2011-12-31&amp;wchp=dGLbVlB-zSkzk&amp;md5=d2a1d3258d9c0432fd2d357a3207d66b&amp;pid=1-s2.0-S1877042811000127-main.pdf</t>
  </si>
  <si>
    <t>Dynamics of Social Networks</t>
  </si>
  <si>
    <t>http://pdn.sciencedirect.com/science?_ob=MiamiImageURL&amp;_cid=277811&amp;_user=686465&amp;_pii=S1877042811013735&amp;_check=y&amp;_origin=search&amp;_zone=rslt_list_item&amp;_coverDate=2011-12-31&amp;wchp=dGLbVlB-zSkzk&amp;md5=c03b96b3613b6934fba945ad594100c4&amp;pid=1-s2.0-S1877042811013735-main.pdf</t>
  </si>
  <si>
    <t>Concept maps as network data: Analysis of a concept map using the methods of social network analysis</t>
  </si>
  <si>
    <t>Daniel McLinden</t>
  </si>
  <si>
    <t>Evaluation and Program Planning</t>
  </si>
  <si>
    <t>http://pdn.sciencedirect.com/science?_ob=MiamiImageURL&amp;_cid=271855&amp;_user=686465&amp;_pii=S0149718912000456&amp;_check=y&amp;_origin=search&amp;_zone=rslt_list_item&amp;_coverDate=2013-02-28&amp;wchp=dGLbVlB-zSkzk&amp;md5=fdcfe39d543f0c9dc08785eb635236de&amp;pid=1-s2.0-S0149718912000456-main.pdf</t>
  </si>
  <si>
    <t>Adaptive e-mails intention finding system based on words social networks</t>
  </si>
  <si>
    <t>Ching-Hao Mao, Hahn-Ming Lee, Che-Fu Yeh</t>
  </si>
  <si>
    <t>http://pdn.sciencedirect.com/science?_ob=MiamiImageURL&amp;_cid=272436&amp;_user=686465&amp;_pii=S1084804511000841&amp;_check=y&amp;_origin=search&amp;_zone=rslt_list_item&amp;_coverDate=2011-09-30&amp;wchp=dGLbVlB-zSkzk&amp;md5=df737f13ad0d57b90f39b125caaba959&amp;pid=1-s2.0-S1084804511000841-main.pdf</t>
  </si>
  <si>
    <t>The role of social networks in forest landscape planning</t>
  </si>
  <si>
    <t>Alessandro Paletto, Fabrizio Ferretti, Isabella De Meo</t>
  </si>
  <si>
    <t>http://pdn.sciencedirect.com/science?_ob=MiamiImageURL&amp;_cid=272157&amp;_user=686465&amp;_pii=S1389934111001912&amp;_check=y&amp;_origin=search&amp;_zone=rslt_list_item&amp;_coverDate=2012-02-29&amp;wchp=dGLbVlB-zSkzk&amp;md5=af761826c888055202eefef4cd8ecac0&amp;pid=1-s2.0-S1389934111001912-main.pdf</t>
  </si>
  <si>
    <t>New product adoption in social networks: Why direction matters</t>
  </si>
  <si>
    <t>Oliver Hinz, Christian Schulze, Carsten Takac</t>
  </si>
  <si>
    <t>http://pdn.sciencedirect.com/science?_ob=MiamiImageURL&amp;_cid=271680&amp;_user=686465&amp;_pii=S0148296312002007&amp;_check=y&amp;_origin=search&amp;_zone=rslt_list_item&amp;_coverDate=2012-08-17&amp;wchp=dGLbVlB-zSkzk&amp;md5=0dc1690434be2c58489dbbdb3a790599&amp;pid=1-s2.0-S0148296312002007-main.pdf</t>
  </si>
  <si>
    <t>Measuring Social Network Structure of Clinical Teams Caring for Patients with Complex Conditions</t>
  </si>
  <si>
    <t>Margaret Palazzolo, Francesca Grippa, Andrea Booth, Stacy Rechner, John Bucuvalas, Peter Gloor</t>
  </si>
  <si>
    <t>http://pdn.sciencedirect.com/science?_ob=MiamiImageURL&amp;_cid=277811&amp;_user=686465&amp;_pii=S1877042811023858&amp;_check=y&amp;_origin=search&amp;_zone=rslt_list_item&amp;_coverDate=2011-12-31&amp;wchp=dGLbVlB-zSkzk&amp;md5=7c331a2d0f67e6b9467d7baf2460f567&amp;pid=1-s2.0-S1877042811023858-main.pdf</t>
  </si>
  <si>
    <t>A framework for exploring organizational structure in dynamic social networks</t>
  </si>
  <si>
    <t>Jiangtao Qiu, Zhangxi Lin</t>
  </si>
  <si>
    <t>http://pdn.sciencedirect.com/science?_ob=MiamiImageURL&amp;_cid=271653&amp;_user=686465&amp;_pii=S0167923611000406&amp;_check=y&amp;_origin=search&amp;_zone=rslt_list_item&amp;_coverDate=2011-11-30&amp;wchp=dGLbVlB-zSkzk&amp;md5=c699742f8343f7eb5beec2d4d71d2356&amp;pid=1-s2.0-S0167923611000406-main.pdf</t>
  </si>
  <si>
    <t>Organisational adaptation in an activist network: Social networks, leadership, and change in al-Muhajiroun</t>
  </si>
  <si>
    <t>Michael Kenney, John Horgan, Cale Horne, Peter Vining, Kathleen M. Carley, Michael W. Bigrigg, Mia Bloom, Kurt Braddock</t>
  </si>
  <si>
    <t>http://pdn.sciencedirect.com/science?_ob=MiamiImageURL&amp;_cid=271441&amp;_user=686465&amp;_pii=S0003687012000683&amp;_check=y&amp;_origin=search&amp;_zone=rslt_list_item&amp;_coverDate=2012-06-21&amp;wchp=dGLbVlB-zSkzk&amp;md5=2bef51e8ac937c7803ba24398f9aff24&amp;pid=1-s2.0-S0003687012000683-main.pdf</t>
  </si>
  <si>
    <t>TrendPerceptor: A property–function based technology intelligence system for identifying technology trends from patents</t>
  </si>
  <si>
    <t>Janghyeok Yoon, Kwangsoo Kim</t>
  </si>
  <si>
    <t>http://pdn.sciencedirect.com/science?_ob=MiamiImageURL&amp;_cid=271506&amp;_user=686465&amp;_pii=S0957417411012851&amp;_check=y&amp;_origin=search&amp;_zone=rslt_list_item&amp;_coverDate=2012-02-15&amp;wchp=dGLbVlB-zSkzk&amp;md5=6da827648e8ce7d824a7a68f37a0511f&amp;pid=1-s2.0-S0957417411012851-main.pdf</t>
  </si>
  <si>
    <t>Candidate change agent identification among men at risk for HIV infection Supplementary content </t>
  </si>
  <si>
    <t>John A. Schneider, Rachel B. McFadden, Edward O. Laumann, S.G. Prem Kumar, Sabitha R. Gandham, Ganesh Oruganti</t>
  </si>
  <si>
    <t>http://pdn.sciencedirect.com/science?_ob=MiamiImageURL&amp;_cid=271821&amp;_user=686465&amp;_pii=S0277953612004509&amp;_check=y&amp;_origin=search&amp;_zone=rslt_list_item&amp;_coverDate=2012-10-31&amp;wchp=dGLbVlB-zSkzk&amp;md5=b12bcc006a050cf858470b3446c44c85&amp;pid=1-s2.0-S0277953612004509-main.pdf</t>
  </si>
  <si>
    <t>Social network meets Sherlock Holmes: investigating the missing links of fraud</t>
  </si>
  <si>
    <t>Ram D Gopal, Raymond A Patterson, Erik Rolland, Dmitry Zhdanov</t>
  </si>
  <si>
    <t>http://pdn.sciencedirect.com/science?_ob=MiamiImageURL&amp;_cid=271971&amp;_user=686465&amp;_pii=S136137231270074X&amp;_check=y&amp;_origin=search&amp;_zone=rslt_list_item&amp;_coverDate=2012-07-31&amp;wchp=dGLbVlB-zSkzk&amp;md5=944d83bf9df63c226ba262cb47cc757e&amp;pid=1-s2.0-S136137231270074X-main.pdf</t>
  </si>
  <si>
    <t>The effect of group counseling practices on trust building among counseling trainees: From the perspective of social network analysis</t>
  </si>
  <si>
    <t>Filiz G&amp;uuml;ltekin, Zeynep Erkan, Selim T&amp;uuml;z&amp;uuml;nt&amp;uuml;rk</t>
  </si>
  <si>
    <t>http://pdn.sciencedirect.com/science?_ob=MiamiImageURL&amp;_cid=277811&amp;_user=686465&amp;_pii=S1877042811006653&amp;_check=y&amp;_origin=search&amp;_zone=rslt_list_item&amp;_coverDate=2011-12-31&amp;wchp=dGLbVlB-zSkzk&amp;md5=c46c1fbd45e5e8c0c4af50ea1f1b0e19&amp;pid=1-s2.0-S1877042811006653-main.pdf</t>
  </si>
  <si>
    <t>Evaluation of an Eco-industrial Park Based on a Social Network Analysis</t>
  </si>
  <si>
    <t>H.M. Zheng, Y. Zhang, N.J. Yang</t>
  </si>
  <si>
    <t>http://pdn.sciencedirect.com/science?_ob=MiamiImageURL&amp;_cid=270397&amp;_user=686465&amp;_pii=S1878029612001569&amp;_check=y&amp;_origin=search&amp;_zone=rslt_list_item&amp;_coverDate=2012-12-31&amp;wchp=dGLbVlB-zSkzk&amp;md5=154d13fb7d5bae271cda12da2efa645d&amp;pid=1-s2.0-S1878029612001569-main.pdf</t>
  </si>
  <si>
    <t>The cohesion of intercorporate networks in France</t>
  </si>
  <si>
    <t>Catherine Comet, Narciso Pizarro</t>
  </si>
  <si>
    <t>http://pdn.sciencedirect.com/science?_ob=MiamiImageURL&amp;_cid=277811&amp;_user=686465&amp;_pii=S1877042811000097&amp;_check=y&amp;_origin=search&amp;_zone=rslt_list_item&amp;_coverDate=2011-12-31&amp;wchp=dGLbVlB-zSkzk&amp;md5=d8f4617a344b276738f14c13b23ad07a&amp;pid=1-s2.0-S1877042811000097-main.pdf</t>
  </si>
  <si>
    <t>Towards “Honest Signals” of Creativity – Identifying Personality Characteristics Through Microscopic Social Network Analysis</t>
  </si>
  <si>
    <t>Peter A. Gloor, Kai Fischbach, Hauke Fuehres, Casper Lassenius, Tuomas Niinim&amp;auml;ki, Daniel Olguin Olguin, Sandy Pentland, Arttu Piri, Johannes Putzke</t>
  </si>
  <si>
    <t>http://pdn.sciencedirect.com/science?_ob=MiamiImageURL&amp;_cid=277811&amp;_user=686465&amp;_pii=S1877042811024001&amp;_check=y&amp;_origin=search&amp;_zone=rslt_list_item&amp;_coverDate=2011-12-31&amp;wchp=dGLbVlB-zSkzk&amp;md5=34510a22fe40d2b27037c792a3ce2588&amp;pid=1-s2.0-S1877042811024001-main.pdf</t>
  </si>
  <si>
    <t>The (uncertain) invisible college of Spanish accounting scholars</t>
  </si>
  <si>
    <t>Crist&amp;oacute;bal Casanueva, Carlos Larrinaga</t>
  </si>
  <si>
    <t>http://pdn.sciencedirect.com/science?_ob=MiamiImageURL&amp;_cid=272346&amp;_user=686465&amp;_pii=S1045235412000858&amp;_check=y&amp;_origin=search&amp;_zone=rslt_list_item&amp;_coverDate=2013-02-28&amp;wchp=dGLbVlB-zSkzk&amp;md5=dc28c07149109a28eabe7a4196c06f71&amp;pid=1-s2.0-S1045235412000858-main.pdf</t>
  </si>
  <si>
    <t>Exploring the directed h-degree in directed weighted networks</t>
  </si>
  <si>
    <t>Star X. Zhao, Fred Y. Ye</t>
  </si>
  <si>
    <t>http://pdn.sciencedirect.com/science?_ob=MiamiImageURL&amp;_cid=273584&amp;_user=686465&amp;_pii=S1751157712000508&amp;_check=y&amp;_origin=search&amp;_zone=rslt_list_item&amp;_coverDate=2012-10-31&amp;wchp=dGLbVlB-zSkzk&amp;md5=72e284bc48d7d3dd55f4b4778f3ebd6c&amp;pid=1-s2.0-S1751157712000508-main.pdf</t>
  </si>
  <si>
    <t>Use of Maximal Spanning Trees and the Gamma Test of Monotone Trend in the Development and Assessment of Teams</t>
  </si>
  <si>
    <t>Nicole Bhalla Fernandez, Juliet Aiken, James T. Smith III</t>
  </si>
  <si>
    <t>http://pdn.sciencedirect.com/science?_ob=MiamiImageURL&amp;_cid=277811&amp;_user=686465&amp;_pii=S1877042811023986&amp;_check=y&amp;_origin=search&amp;_zone=rslt_list_item&amp;_coverDate=2011-12-31&amp;wchp=dGLbVlB-zSkzk&amp;md5=e7ac75e2186001ce415e7ac81b38315f&amp;pid=1-s2.0-S1877042811023986-main.pdf</t>
  </si>
  <si>
    <t>The e-government research domain: A triple helix network analysis of collaboration at the regional, country, and institutional levels</t>
  </si>
  <si>
    <t>Gohar Feroz Khan, Han Woo Park</t>
  </si>
  <si>
    <t>http://pdn.sciencedirect.com/science?_ob=MiamiImageURL&amp;_cid=272070&amp;_user=686465&amp;_pii=S0740624X13000105&amp;_check=y&amp;_origin=search&amp;_zone=rslt_list_item&amp;_coverDate=2013-02-16&amp;wchp=dGLbVlB-zSkzk&amp;md5=9e4701f333455fbbc7a91e04566a764d&amp;pid=1-s2.0-S0740624X13000105-main.pdf</t>
  </si>
  <si>
    <t>Understanding project interdependencies: The role of visual representation, culture and process</t>
  </si>
  <si>
    <t>Catherine P. Killen, Cai Kjaer</t>
  </si>
  <si>
    <t>http://pdn.sciencedirect.com/science?_ob=MiamiImageURL&amp;_cid=271951&amp;_user=686465&amp;_pii=S0263786312000269&amp;_check=y&amp;_origin=search&amp;_zone=rslt_list_item&amp;_coverDate=2012-07-31&amp;wchp=dGLbVlB-zSkzk&amp;md5=bf27045bcaedd5dfeb72c623b819b380&amp;pid=1-s2.0-S0263786312000269-main.pdf</t>
  </si>
  <si>
    <t>Cooperation among prominent actors in a tourist destination</t>
  </si>
  <si>
    <t>Pietro Beritelli</t>
  </si>
  <si>
    <t>http://pdn.sciencedirect.com/science?_ob=MiamiImageURL&amp;_cid=271796&amp;_user=686465&amp;_pii=S016073831000157X&amp;_check=y&amp;_origin=search&amp;_zone=rslt_list_item&amp;_coverDate=2011-04-30&amp;wchp=dGLbVlB-zSkzk&amp;md5=65112d86e37c48ef5efd57bf4832b225&amp;pid=1-s2.0-S016073831000157X-main.pdf</t>
  </si>
  <si>
    <t>Coalition networks and relational policy analysis</t>
  </si>
  <si>
    <t>Oliver C. F&amp;uuml;g</t>
  </si>
  <si>
    <t>http://pdn.sciencedirect.com/science?_ob=MiamiImageURL&amp;_cid=277811&amp;_user=686465&amp;_pii=S1877042811000036&amp;_check=y&amp;_origin=search&amp;_zone=rslt_list_item&amp;_coverDate=2011-12-31&amp;wchp=dGLbVlB-zSkzk&amp;md5=897905d7b0eeec72754544d34cb0fdfb&amp;pid=1-s2.0-S1877042811000036-main.pdf</t>
  </si>
  <si>
    <t>WhiteScript: Using social network analysis parameters to balance between browser usability and malware exposure</t>
  </si>
  <si>
    <t>Zac Sadan, David Schwartz</t>
  </si>
  <si>
    <t>http://pdn.sciencedirect.com/science?_ob=MiamiImageURL&amp;_cid=271887&amp;_user=686465&amp;_pii=S0167404810000842&amp;_check=y&amp;_origin=search&amp;_zone=rslt_list_item&amp;_coverDate=2011-01-31&amp;wchp=dGLbVlB-zSkzk&amp;md5=052eeb9259bf4d149bdc3fd24720e77f&amp;pid=1-s2.0-S0167404810000842-main.pdf</t>
  </si>
  <si>
    <t>Service chain-based business alliance formation in service-oriented architecture</t>
  </si>
  <si>
    <t>http://pdn.sciencedirect.com/science?_ob=MiamiImageURL&amp;_cid=271506&amp;_user=686465&amp;_pii=S0957417410007918&amp;_check=y&amp;_origin=search&amp;_zone=rslt_list_item&amp;_coverDate=2011-03-31&amp;wchp=dGLbVlB-zSkzk&amp;md5=83aebabb3b016c11dccff959e31ef08e&amp;pid=1-s2.0-S0957417410007918-main.pdf</t>
  </si>
  <si>
    <t>Random errors in egocentric networks</t>
  </si>
  <si>
    <t>Zack W. Almquist</t>
  </si>
  <si>
    <t>http://pdn.sciencedirect.com/science?_ob=MiamiImageURL&amp;_cid=271850&amp;_user=686465&amp;_pii=S0378873312000214&amp;_check=y&amp;_origin=search&amp;_zone=rslt_list_item&amp;_coverDate=2012-10-31&amp;wchp=dGLbVlB-zSkzk&amp;md5=24c1299501c115fcd9e0c0f803d1e45a&amp;pid=1-s2.0-S0378873312000214-main.pdf</t>
  </si>
  <si>
    <t>The strength of direct ties: Evidence from the electronic game industry</t>
  </si>
  <si>
    <t>J&amp;ouml;rg Claussen, Oliver Falck, Thorsten Grohsjean</t>
  </si>
  <si>
    <t>International Journal of Industrial Organization</t>
  </si>
  <si>
    <t>http://pdn.sciencedirect.com/science?_ob=MiamiImageURL&amp;_cid=271699&amp;_user=686465&amp;_pii=S016771871100083X&amp;_check=y&amp;_origin=search&amp;_zone=rslt_list_item&amp;_coverDate=2012-03-31&amp;wchp=dGLbVlB-zSkzk&amp;md5=83c6111fe6489cc4cba41a98cc504861&amp;pid=1-s2.0-S016771871100083X-main.pdf</t>
  </si>
  <si>
    <t>Exploring computer supported collaborative coordination through social networks</t>
  </si>
  <si>
    <t>Szabolcs Feczak, Liaquat Hossain</t>
  </si>
  <si>
    <t>http://pdn.sciencedirect.com/science?_ob=MiamiImageURL&amp;_cid=272085&amp;_user=686465&amp;_pii=S1047831011000216&amp;_check=y&amp;_origin=search&amp;_zone=rslt_list_item&amp;_coverDate=2011-12-31&amp;wchp=dGLbVlB-zSkzk&amp;md5=5cc316f35e18d5515e138ceda42d34dd&amp;pid=1-s2.0-S1047831011000216-main.pdf</t>
  </si>
  <si>
    <t>A social network-empowered research analytics framework for project selection</t>
  </si>
  <si>
    <t>Thushari Silva, Zhiling Guo, Jian Ma, Hongbing Jiang, Huaping Chen</t>
  </si>
  <si>
    <t>http://pdn.sciencedirect.com/science?_ob=MiamiImageURL&amp;_cid=271653&amp;_user=686465&amp;_pii=S0167923613000146&amp;_check=y&amp;_origin=search&amp;_zone=rslt_list_item&amp;_coverDate=2013-01-09&amp;wchp=dGLbVlB-zSkzk&amp;md5=5749e1f34742b37ec539a15041801065&amp;pid=1-s2.0-S0167923613000146-main.pdf</t>
  </si>
  <si>
    <t>Evolution of Coauthorship in Public Health Services and Systems Research Supplementary content </t>
  </si>
  <si>
    <t>Michael E. Bales, Stephen B. Johnson, Jonathan W. Keeling, Kathleen M. Carley, Frank Kunkel, Jacqueline A. Merrill</t>
  </si>
  <si>
    <t>http://pdn.sciencedirect.com/science?_ob=MiamiImageURL&amp;_cid=271902&amp;_user=686465&amp;_pii=S074937971100239X&amp;_check=y&amp;_origin=search&amp;_zone=rslt_list_item&amp;_coverDate=2011-07-31&amp;wchp=dGLbVlB-zSkzk&amp;md5=3e9ba840e59c9294d797165c9cabb472&amp;pid=1-s2.0-S074937971100239X-main.pdf</t>
  </si>
  <si>
    <t>Social Network Developing Process Driven by Conflict in Mass Contingency Events</t>
  </si>
  <si>
    <t>Dehai Liu, Weiguo Wang, Qingquan Wang</t>
  </si>
  <si>
    <t>Systems Engineering Procedia</t>
  </si>
  <si>
    <t>http://pdn.sciencedirect.com/science?_ob=MiamiImageURL&amp;_cid=280850&amp;_user=686465&amp;_pii=S2211381912000872&amp;_check=y&amp;_origin=search&amp;_zone=rslt_list_item&amp;_coverDate=2012-12-31&amp;wchp=dGLbVlB-zSkzk&amp;md5=cdb6d0c7bf3d2880484f74201ae18714&amp;pid=1-s2.0-S2211381912000872-main.pdf</t>
  </si>
  <si>
    <t>Food-sharing networks in Lamalera, Indonesia: status, sharing, and signaling Supplementary content </t>
  </si>
  <si>
    <t>David A. Nolin</t>
  </si>
  <si>
    <t>http://pdn.sciencedirect.com/science?_ob=MiamiImageURL&amp;_cid=271894&amp;_user=686465&amp;_pii=S1090513811001188&amp;_check=y&amp;_origin=search&amp;_zone=rslt_list_item&amp;_coverDate=2012-07-31&amp;wchp=dGLbVlB-zSkzk&amp;md5=c8e6784526e67c2e3e565daf6098138f&amp;pid=1-s2.0-S1090513811001188-main.pdf</t>
  </si>
  <si>
    <t>Social integration, participation, and community resource management</t>
  </si>
  <si>
    <t>Carina Cavalcanti, Stefanie Engel, Andreas Leibbrandt</t>
  </si>
  <si>
    <t>Journal of Environmental Economics and Management</t>
  </si>
  <si>
    <t>http://pdn.sciencedirect.com/science?_ob=MiamiImageURL&amp;_cid=272401&amp;_user=686465&amp;_pii=S0095069612000964&amp;_check=y&amp;_origin=search&amp;_zone=rslt_list_item&amp;_coverDate=2012-09-29&amp;wchp=dGLbVlB-zSkzk&amp;md5=a2b16fae05011eb78e0d4b1a5763bb55&amp;pid=1-s2.0-S0095069612000964-main.pdf</t>
  </si>
  <si>
    <t>Mapping issues and envisaging futures: An evolutionary scenario approach</t>
  </si>
  <si>
    <t>Ozcan Saritas, Yanuar Nugroho</t>
  </si>
  <si>
    <t>http://pdn.sciencedirect.com/science?_ob=MiamiImageURL&amp;_cid=271733&amp;_user=686465&amp;_pii=S0040162511002046&amp;_check=y&amp;_origin=search&amp;_zone=rslt_list_item&amp;_coverDate=2012-03-31&amp;wchp=dGLbVlB-zSkzk&amp;md5=9736a4e4db080586ec88da33480944fb&amp;pid=1-s2.0-S0040162511002046-main.pdf</t>
  </si>
  <si>
    <t>A network approach for researching political feasibility of healthcare reform: The case of universal healthcare system in Taiwan Supplementary content </t>
  </si>
  <si>
    <t>Guang-Xu Wang</t>
  </si>
  <si>
    <t>http://pdn.sciencedirect.com/science?_ob=MiamiImageURL&amp;_cid=271821&amp;_user=686465&amp;_pii=S0277953612006685&amp;_check=y&amp;_origin=search&amp;_zone=rslt_list_item&amp;_coverDate=2012-12-31&amp;wchp=dGLbVlB-zSkzk&amp;md5=d6a5cf9ad639041a43f21ffa80f09a55&amp;pid=1-s2.0-S0277953612006685-main.pdf</t>
  </si>
  <si>
    <t>A genetic search of patterns of behaviour in OSS communities</t>
  </si>
  <si>
    <t>M.R. Mart&amp;iacute;nez-Torres</t>
  </si>
  <si>
    <t>http://pdn.sciencedirect.com/science?_ob=MiamiImageURL&amp;_cid=271506&amp;_user=686465&amp;_pii=S0957417412007993&amp;_check=y&amp;_origin=search&amp;_zone=rslt_list_item&amp;_coverDate=2012-12-15&amp;wchp=dGLbVlB-zSkzk&amp;md5=cdbd1b61098ef5c8dccfa69f85b21d17&amp;pid=1-s2.0-S0957417412007993-main.pdf</t>
  </si>
  <si>
    <t>Do hens have friends?</t>
  </si>
  <si>
    <t>Siobhan M. Abeyesinghe, Julian A. Drewe, Lucy Asher, Christopher M. Wathes, Lisa M. Collins</t>
  </si>
  <si>
    <t>http://pdn.sciencedirect.com/science?_ob=MiamiImageURL&amp;_cid=271155&amp;_user=686465&amp;_pii=S0168159112003656&amp;_check=y&amp;_origin=search&amp;_zone=rslt_list_item&amp;_coverDate=2013-01-15&amp;wchp=dGLbVlB-zSkzk&amp;md5=282fd55f9b9445bd38c2699f86b0e14e&amp;pid=1-s2.0-S0168159112003656-main.pdf</t>
  </si>
  <si>
    <t>Learning relational policies from electronic health record access logs</t>
  </si>
  <si>
    <t>Bradley Malin, Steve Nyemba, John Paulett</t>
  </si>
  <si>
    <t>http://pdn.sciencedirect.com/science?_ob=MiamiImageURL&amp;_cid=272371&amp;_user=686465&amp;_pii=S1532046411000098&amp;_check=y&amp;_origin=search&amp;_zone=rslt_list_item&amp;_coverDate=2011-04-30&amp;wchp=dGLbVlB-zSkzk&amp;md5=1bf9e5b08793a9a4115b1de7448ca7b7&amp;pid=1-s2.0-S1532046411000098-main.pdf</t>
  </si>
  <si>
    <t>An evolutionary factor analysis computation for mining website structures</t>
  </si>
  <si>
    <t>M.R. Mart&amp;iacute;nez-Torres, S.L. Toral, B. Palacios, F. Barrero</t>
  </si>
  <si>
    <t>http://pdn.sciencedirect.com/science?_ob=MiamiImageURL&amp;_cid=271506&amp;_user=686465&amp;_pii=S0957417412006082&amp;_check=y&amp;_origin=search&amp;_zone=rslt_list_item&amp;_coverDate=2012-10-15&amp;wchp=dGLbVlB-zSkzk&amp;md5=e18f43edd4da7adb71875dd6d1c2c40e&amp;pid=1-s2.0-S0957417412006082-main.pdf</t>
  </si>
  <si>
    <t>Case studies of IT sophistication in nursing homes: A mixed method approach to examine communication strategies about pressure ulcer prevention practices</t>
  </si>
  <si>
    <t>Gregory L. Alexander, Linsey M. Steege, Kalyan S. Pasupathy, Keely Wise</t>
  </si>
  <si>
    <t>http://pdn.sciencedirect.com/science?_ob=MiamiImageURL&amp;_cid=271473&amp;_user=686465&amp;_pii=S0169814112001229&amp;_check=y&amp;_origin=search&amp;_zone=rslt_list_item&amp;_coverDate=2013-01-11&amp;wchp=dGLbVlB-zSkzk&amp;md5=f82278e5e4494a838b370c2566756aac&amp;pid=1-s2.0-S0169814112001229-main.pdf</t>
  </si>
  <si>
    <t>A multi-faceted and automatic knowledge elicitation system (MAKES) for managing unstructured information</t>
  </si>
  <si>
    <t>C.F. Cheung, W.B. Lee, W.M. Wang, Y. Wang, W.M. Yeung</t>
  </si>
  <si>
    <t>http://pdn.sciencedirect.com/science?_ob=MiamiImageURL&amp;_cid=271506&amp;_user=686465&amp;_pii=S0957417410011772&amp;_check=y&amp;_origin=search&amp;_zone=rslt_list_item&amp;_coverDate=2011-05-31&amp;wchp=dGLbVlB-zSkzk&amp;md5=b404b166d40623d42888a6c8ea0cdd84&amp;pid=1-s2.0-S0957417410011772-main.pdf</t>
  </si>
  <si>
    <t>Environmental effects on social interaction networks and male reproductive behaviour in guppies, Poecilia reticulata</t>
  </si>
  <si>
    <t>M. Edenbrow, S.K. Darden, I.W. Ramnarine, J.P. Evans, R. James, D.P. Croft</t>
  </si>
  <si>
    <t>http://pdn.sciencedirect.com/science?_ob=MiamiImageURL&amp;_cid=272524&amp;_user=686465&amp;_pii=S0003347210004690&amp;_check=y&amp;_origin=search&amp;_zone=rslt_list_item&amp;_coverDate=2011-03-31&amp;wchp=dGLbVlB-zSkzk&amp;md5=47216d2cdd7068a34c2e0f2467371157&amp;pid=1-s2.0-S0003347210004690-main.pdf</t>
  </si>
  <si>
    <t>Social network influences on adolescent substance use: Disentangling structural equivalence from cohesion Supplementary content </t>
  </si>
  <si>
    <t>Kayo Fujimoto, Thomas W. Valente</t>
  </si>
  <si>
    <t>http://pdn.sciencedirect.com/science?_ob=MiamiImageURL&amp;_cid=271821&amp;_user=686465&amp;_pii=S0277953612001761&amp;_check=y&amp;_origin=search&amp;_zone=rslt_list_item&amp;_coverDate=2012-06-30&amp;wchp=dGLbVlB-zSkzV&amp;md5=bc7bb828750eda6fc2de11345eeae81f&amp;pid=1-s2.0-S0277953612001761-main.pdf</t>
  </si>
  <si>
    <t>ScienceDirect - 2011 a 2013 - Page 2.htm</t>
  </si>
  <si>
    <t>Frans Hermans, Dirk van Apeldoorn, Marian Stuiver, Kasper Kok</t>
  </si>
  <si>
    <t>http://pdn.sciencedirect.com/science?_ob=MiamiImageURL&amp;_cid=271666&amp;_user=686465&amp;_pii=S0048733312002314&amp;_check=y&amp;_origin=search&amp;_zone=rslt_list_item&amp;_coverDate=2012-11-30&amp;wchp=dGLbVlB-zSkzV&amp;md5=55fe4357fcdec2ba546f1e49a01c1fbf&amp;pid=1-s2.0-S0048733312002314-main.pdf</t>
  </si>
  <si>
    <t>Jeffrey Pattillo, Nataly Youssef, Sergiy Butenko</t>
  </si>
  <si>
    <t>European Journal of Operational Research</t>
  </si>
  <si>
    <t>http://pdn.sciencedirect.com/science?_ob=MiamiImageURL&amp;_cid=271700&amp;_user=686465&amp;_pii=S0377221712007679&amp;_check=y&amp;_origin=search&amp;_zone=rslt_list_item&amp;_coverDate=2013-04-01&amp;wchp=dGLbVlB-zSkzV&amp;md5=3bc60db500cdab03dbe92ddf641645cd&amp;pid=1-s2.0-S0377221712007679-main.pdf</t>
  </si>
  <si>
    <t>Research Forecasting for Health Information Technology (HIT), using technology intelligence</t>
  </si>
  <si>
    <t>Nima A. Behkami, Tugrul U. Daim</t>
  </si>
  <si>
    <t>http://pdn.sciencedirect.com/science?_ob=MiamiImageURL&amp;_cid=271733&amp;_user=686465&amp;_pii=S004016251100182X&amp;_check=y&amp;_origin=search&amp;_zone=rslt_list_item&amp;_coverDate=2012-03-31&amp;wchp=dGLbVlB-zSkzV&amp;md5=63bfb1ea46b65cf906c6b4450d52fe13&amp;pid=1-s2.0-S004016251100182X-main.pdf</t>
  </si>
  <si>
    <t>Social and spatial processes associated with childhood diarrheal disease in Matlab, Bangladesh</t>
  </si>
  <si>
    <t>Carolina Perez-Heydrich, Jill M. Furgurson, Sophia Giebultowicz, Jennifer J. Winston, Mohammad Yunus, Peter Kim Streatfield, Michael Emch</t>
  </si>
  <si>
    <t>Health &amp; Place</t>
  </si>
  <si>
    <t>http://pdn.sciencedirect.com/science?_ob=MiamiImageURL&amp;_cid=271845&amp;_user=686465&amp;_pii=S1353829212001700&amp;_check=y&amp;_origin=search&amp;_zone=rslt_list_item&amp;_coverDate=2013-01-31&amp;wchp=dGLbVlB-zSkzV&amp;md5=ef1baae89d578f0845e2ddd06a80333d&amp;pid=1-s2.0-S1353829212001700-main.pdf</t>
  </si>
  <si>
    <t>On Bounded-Degree Vertex Deletion parameterized by treewidth</t>
  </si>
  <si>
    <t>Nadja Betzler, Robert Bredereck, Rolf Niedermeier, Johannes Uhlmann</t>
  </si>
  <si>
    <t>Discrete Applied Mathematics</t>
  </si>
  <si>
    <t>http://pdn.sciencedirect.com/science?_ob=MiamiImageURL&amp;_cid=271602&amp;_user=686465&amp;_pii=S0166218X11003118&amp;_check=y&amp;_origin=search&amp;_zone=rslt_list_item&amp;_coverDate=2012-01-31&amp;wchp=dGLbVlB-zSkzV&amp;md5=4281ef784dbc48886a6ef73b8d430ab2&amp;pid=1-s2.0-S0166218X11003118-main.pdf</t>
  </si>
  <si>
    <t>Social computational systems</t>
  </si>
  <si>
    <t>Nitin Agarwal, Xiaowei Xu</t>
  </si>
  <si>
    <t>http://pdn.sciencedirect.com/science?_ob=MiamiImageURL&amp;_cid=280179&amp;_user=686465&amp;_pii=S1877750311000688&amp;_check=y&amp;_origin=search&amp;_zone=rslt_list_item&amp;_coverDate=2011-08-31&amp;wchp=dGLbVlB-zSkzV&amp;md5=916a4aeb9f8c3e4c77dee2e12034a781&amp;pid=1-s2.0-S1877750311000688-main.pdf</t>
  </si>
  <si>
    <t>Distinguishing between political brokerage &amp; political entrepreneurship</t>
  </si>
  <si>
    <t>Dimitrios Christopoulos, Karin Ingold</t>
  </si>
  <si>
    <t>http://pdn.sciencedirect.com/science?_ob=MiamiImageURL&amp;_cid=277811&amp;_user=686465&amp;_pii=S1877042811000073&amp;_check=y&amp;_origin=search&amp;_zone=rslt_list_item&amp;_coverDate=2011-12-31&amp;wchp=dGLbVlB-zSkzV&amp;md5=729bf53f0753eeeb6f8acef6f675ee2a&amp;pid=1-s2.0-S1877042811000073-main.pdf</t>
  </si>
  <si>
    <t>Social network correlates of food availability in an endangered population of killer whales, Orcinus orca</t>
  </si>
  <si>
    <t>Emma A. Foster, Daniel W. Franks, Lesley J. Morrell, Ken C. Balcomb, Kim M. Parsons, Astrid van Ginneken, Darren P. Croft</t>
  </si>
  <si>
    <t>http://pdn.sciencedirect.com/science?_ob=MiamiImageURL&amp;_cid=272524&amp;_user=686465&amp;_pii=S0003347211005616&amp;_check=y&amp;_origin=search&amp;_zone=rslt_list_item&amp;_coverDate=2012-03-31&amp;wchp=dGLbVlB-zSkzV&amp;md5=494c399d562c4797e4b88d6f208f4289&amp;pid=1-s2.0-S0003347211005616-main.pdf</t>
  </si>
  <si>
    <t>Analyzing event stream dynamics in two-mode networks: An exploratory analysis of private communication in a question and answer community</t>
  </si>
  <si>
    <t>Christoph Stadtfeld, Andreas Geyer-Schulz</t>
  </si>
  <si>
    <t>http://pdn.sciencedirect.com/science?_ob=MiamiImageURL&amp;_cid=271850&amp;_user=686465&amp;_pii=S0378873311000487&amp;_check=y&amp;_origin=search&amp;_zone=rslt_list_item&amp;_coverDate=2011-10-31&amp;wchp=dGLbVlB-zSkzV&amp;md5=710f888ee02f4e1738ad38b49b1e0081&amp;pid=1-s2.0-S0378873311000487-main.pdf</t>
  </si>
  <si>
    <t>Teaming up: Linking collaboration networks, collective efficacy, and student achievement</t>
  </si>
  <si>
    <t>Nienke M. Moolenaar, Peter J.C. Sleegers, Alan J. Daly</t>
  </si>
  <si>
    <t>http://pdn.sciencedirect.com/science?_ob=MiamiImageURL&amp;_cid=271838&amp;_user=686465&amp;_pii=S0742051X11001156&amp;_check=y&amp;_origin=search&amp;_zone=rslt_list_item&amp;_coverDate=2012-02-29&amp;wchp=dGLbVlB-zSkzV&amp;md5=4f65a105cb35fd5377f184df0d435889&amp;pid=1-s2.0-S0742051X11001156-main.pdf</t>
  </si>
  <si>
    <t>Policy, project and operational networks: Channels and conduits for learning in forest biodiversity conservation</t>
  </si>
  <si>
    <t>Eeva Primmer</t>
  </si>
  <si>
    <t>http://pdn.sciencedirect.com/science?_ob=MiamiImageURL&amp;_cid=272157&amp;_user=686465&amp;_pii=S1389934110000833&amp;_check=y&amp;_origin=search&amp;_zone=rslt_list_item&amp;_coverDate=2011-02-28&amp;wchp=dGLbVlB-zSkzV&amp;md5=bafa3c9c604d7662a17abf39aae9e410&amp;pid=1-s2.0-S1389934110000833-main.pdf</t>
  </si>
  <si>
    <t>Social and spatial networks: Kinship distance and dwelling unit proximity in rural Thailand</t>
  </si>
  <si>
    <t>Ashton M. Verdery, Barbara Entwisle, Katherine Faust, Ronald R. Rindfuss</t>
  </si>
  <si>
    <t>http://pdn.sciencedirect.com/science?_ob=MiamiImageURL&amp;_cid=271850&amp;_user=686465&amp;_pii=S037887331100027X&amp;_check=y&amp;_origin=search&amp;_zone=rslt_list_item&amp;_coverDate=2012-01-31&amp;wchp=dGLbVlB-zSkzV&amp;md5=17bbb7bb9a0693e6a8796b6b07e84563&amp;pid=1-s2.0-S037887331100027X-main.pdf</t>
  </si>
  <si>
    <t>Geographical influences of an emerging network of gang rivalries</t>
  </si>
  <si>
    <t>Rachel A. Hegemann, Laura M. Smith, Alethea B.T. Barbaro, Andrea L. Bertozzi, Shannon E. Reid, George E. Tita</t>
  </si>
  <si>
    <t>http://pdn.sciencedirect.com/science?_ob=MiamiImageURL&amp;_cid=271529&amp;_user=686465&amp;_pii=S037843711100447X&amp;_check=y&amp;_origin=search&amp;_zone=rslt_list_item&amp;_coverDate=2011-10-15&amp;wchp=dGLbVlB-zSkzV&amp;md5=c5531cf239bf7ed406e84a5d33095a24&amp;pid=1-s2.0-S037843711100447X-main.pdf</t>
  </si>
  <si>
    <t>PHIS: A system for scouting potential hubs and for favoring their “growth” in a Social Internetworking Scenario</t>
  </si>
  <si>
    <t>http://pdn.sciencedirect.com/science?_ob=MiamiImageURL&amp;_cid=271505&amp;_user=686465&amp;_pii=S0950705112001979&amp;_check=y&amp;_origin=search&amp;_zone=rslt_list_item&amp;_coverDate=2012-12-31&amp;wchp=dGLbVlB-zSkzV&amp;md5=0c52852ce1f30c2654cd2e49cfd3d20c&amp;pid=1-s2.0-S0950705112001979-main.pdf</t>
  </si>
  <si>
    <t>Chapter 5 - Tie Strength</t>
  </si>
  <si>
    <t>Jennifer Golbeck</t>
  </si>
  <si>
    <t>Analyzing the Social Web</t>
  </si>
  <si>
    <t>Change by whom? Four ways of adding actors and governance in backcasting studies</t>
  </si>
  <si>
    <t>Josefin Wangel</t>
  </si>
  <si>
    <t>http://pdn.sciencedirect.com/science?_ob=MiamiImageURL&amp;_cid=271788&amp;_user=686465&amp;_pii=S0016328711001467&amp;_check=y&amp;_origin=search&amp;_zone=rslt_list_item&amp;_coverDate=2011-10-31&amp;wchp=dGLbVlB-zSkzV&amp;md5=ad32490b9857d60297fd2be51dc91bea&amp;pid=1-s2.0-S0016328711001467-main.pdf</t>
  </si>
  <si>
    <t>Take the car keys away: Metropolitan structure and the long road to delinquency</t>
  </si>
  <si>
    <t>Gisela Bichler, Carlena A. Orosco, Joseph A. Schwartz</t>
  </si>
  <si>
    <t>http://pdn.sciencedirect.com/science?_ob=MiamiImageURL&amp;_cid=271758&amp;_user=686465&amp;_pii=S0047235211001279&amp;_check=y&amp;_origin=search&amp;_zone=rslt_list_item&amp;_coverDate=2012-02-29&amp;wchp=dGLbVlB-zSkzV&amp;md5=c650962fc59544e094e4d62b2f84c7b5&amp;pid=1-s2.0-S0047235211001279-main.pdf</t>
  </si>
  <si>
    <t>L.J.N. Brent, S. Semple, C. Dubuc, M. Heistermann, A. MacLarnon</t>
  </si>
  <si>
    <t>http://pdn.sciencedirect.com/science?_ob=MiamiImageURL&amp;_cid=271085&amp;_user=686465&amp;_pii=S0031938410003501&amp;_check=y&amp;_origin=search&amp;_zone=rslt_list_item&amp;_coverDate=2011-01-10&amp;wchp=dGLbVlB-zSkzV&amp;md5=cdf041f3bc5cb7c74961db18306b06e1&amp;pid=1-s2.0-S0031938410003501-main.pdf</t>
  </si>
  <si>
    <t>Peer network position and shopping behavior among adolescents</t>
  </si>
  <si>
    <t>Elodie Gentina, Samuel K. Bonsu</t>
  </si>
  <si>
    <t>Journal of Retailing and Consumer Services</t>
  </si>
  <si>
    <t>http://pdn.sciencedirect.com/science?_ob=MiamiImageURL&amp;_cid=271706&amp;_user=686465&amp;_pii=S0969698912001294&amp;_check=y&amp;_origin=search&amp;_zone=rslt_list_item&amp;_coverDate=2013-01-31&amp;wchp=dGLbVlB-zSkzV&amp;md5=b87557f4172c0472d490e72379e91691&amp;pid=1-s2.0-S0969698912001294-main.pdf</t>
  </si>
  <si>
    <t>A comparative study of heterogeneous item recommendations in social systems</t>
  </si>
  <si>
    <t>Alejandro Bellog&amp;iacute;n, Iv&amp;aacute;n Cantador, Pablo Castells</t>
  </si>
  <si>
    <t>http://pdn.sciencedirect.com/science?_ob=MiamiImageURL&amp;_cid=271625&amp;_user=686465&amp;_pii=S0020025512006329&amp;_check=y&amp;_origin=search&amp;_zone=rslt_list_item&amp;_coverDate=2013-02-01&amp;wchp=dGLbVlB-zSkzV&amp;md5=8881b276fe81c403f3270f3b454100a5&amp;pid=1-s2.0-S0020025512006329-main.pdf</t>
  </si>
  <si>
    <t>Mining temporal patterns in popularity of web items</t>
  </si>
  <si>
    <t>Woong-Kee Loh, Sandeep Mane, Jaideep Srivastava</t>
  </si>
  <si>
    <t>http://pdn.sciencedirect.com/science?_ob=MiamiImageURL&amp;_cid=271625&amp;_user=686465&amp;_pii=S0020025511003380&amp;_check=y&amp;_origin=search&amp;_zone=rslt_list_item&amp;_coverDate=2011-11-15&amp;wchp=dGLbVlB-zSkzV&amp;md5=16b8b7eaa93074fab318402b4da10284&amp;pid=1-s2.0-S0020025511003380-main.pdf</t>
  </si>
  <si>
    <t>Academic patenting in Europe: An overview of recent research and new perspectives</t>
  </si>
  <si>
    <t>http://pdn.sciencedirect.com/science?_ob=MiamiImageURL&amp;_cid=271774&amp;_user=686465&amp;_pii=S0172219012000403&amp;_check=y&amp;_origin=search&amp;_zone=rslt_list_item&amp;_coverDate=2012-09-30&amp;wchp=dGLbVlB-zSkzV&amp;md5=0442e41b7fea4a77ea079235a6a8ed2f&amp;pid=1-s2.0-S0172219012000403-main.pdf</t>
  </si>
  <si>
    <t>Impact of public and private research funding on scientific production: The case of nanotechnology</t>
  </si>
  <si>
    <t>Catherine Beaudry, Sedki Allaoui</t>
  </si>
  <si>
    <t>http://pdn.sciencedirect.com/science?_ob=MiamiImageURL&amp;_cid=271666&amp;_user=686465&amp;_pii=S0048733312000832&amp;_check=y&amp;_origin=search&amp;_zone=rslt_list_item&amp;_coverDate=2012-11-30&amp;wchp=dGLbVlB-zSkzV&amp;md5=54092b618cac5982b26106ca74d44297&amp;pid=1-s2.0-S0048733312000832-main.pdf</t>
  </si>
  <si>
    <t>Social relation extraction from texts using a support-vector-machine-based dependency trigram kernel</t>
  </si>
  <si>
    <t>Maengsik Choi, Harksoo Kim</t>
  </si>
  <si>
    <t>http://pdn.sciencedirect.com/science?_ob=MiamiImageURL&amp;_cid=271647&amp;_user=686465&amp;_pii=S0306457312000544&amp;_check=y&amp;_origin=search&amp;_zone=rslt_list_item&amp;_coverDate=2013-01-31&amp;wchp=dGLbVlB-zSkzV&amp;md5=016cdf18ac0f92db65923ab0d02d08fc&amp;pid=1-s2.0-S0306457312000544-main.pdf</t>
  </si>
  <si>
    <t>Chapter 3 - Network Structure and Measures</t>
  </si>
  <si>
    <t>Desert networks: A conceptual model for the impact of scarce, variable and patchy resources Supplementary content </t>
  </si>
  <si>
    <t>R.R.J. McAllister, S. Holcombe, J. Davies, J. Cleary, A. Boyle, P. Tremblay, D.M. Stafford Smith, D. Rockstroh, M. LaFlamme, M. Young, M.F. Rola-Rubzen</t>
  </si>
  <si>
    <t>Journal of Arid Environments</t>
  </si>
  <si>
    <t>http://pdn.sciencedirect.com/science?_ob=MiamiImageURL&amp;_cid=272559&amp;_user=686465&amp;_pii=S0140196310002569&amp;_check=y&amp;_origin=search&amp;_zone=rslt_list_item&amp;_coverDate=2011-02-28&amp;wchp=dGLbVlB-zSkzV&amp;md5=d4a14b00d1905561cd4362a52e07fb6b&amp;pid=1-s2.0-S0140196310002569-main.pdf</t>
  </si>
  <si>
    <t>MapReduce based Betweenness Approximation Engineering in Large Scale Graph</t>
  </si>
  <si>
    <t>Xiaolong Deng, Yuxiao Li</t>
  </si>
  <si>
    <t>http://pdn.sciencedirect.com/science?_ob=MiamiImageURL&amp;_cid=280850&amp;_user=686465&amp;_pii=S2211381912000690&amp;_check=y&amp;_origin=search&amp;_zone=rslt_list_item&amp;_coverDate=2012-12-31&amp;wchp=dGLbVlB-zSkzV&amp;md5=adce407ad124d048d860dd813e0242f7&amp;pid=1-s2.0-S2211381912000690-main.pdf</t>
  </si>
  <si>
    <t>Supervised learning algorithms for multi-class classification problems with partial class memberships</t>
  </si>
  <si>
    <t>Willem Waegeman, Jan Verwaeren, Bram Slabbinck, Bernard De Baets</t>
  </si>
  <si>
    <t>http://pdn.sciencedirect.com/science?_ob=MiamiImageURL&amp;_cid=271522&amp;_user=686465&amp;_pii=S0165011410004768&amp;_check=y&amp;_origin=search&amp;_zone=rslt_list_item&amp;_coverDate=2011-12-01&amp;wchp=dGLbVlB-zSkzV&amp;md5=1b32c659e81ed4082d5125ddf4166104&amp;pid=1-s2.0-S0165011410004768-main.pdf</t>
  </si>
  <si>
    <t>The economics of social computing: Some preliminary findings on healthcare organizations</t>
  </si>
  <si>
    <t>Ricky C. Leung, Kalyan S. Pasupathy</t>
  </si>
  <si>
    <t>http://pdn.sciencedirect.com/science?_ob=MiamiImageURL&amp;_cid=280179&amp;_user=686465&amp;_pii=S187775031100055X&amp;_check=y&amp;_origin=search&amp;_zone=rslt_list_item&amp;_coverDate=2011-08-31&amp;wchp=dGLbVlB-zSkzV&amp;md5=a3ffd3fb3964f2598c4f87dea9449f99&amp;pid=1-s2.0-S187775031100055X-main.pdf</t>
  </si>
  <si>
    <t>An agent-based model of network effects on tax compliance and evasion</t>
  </si>
  <si>
    <t>Amanda L. Andrei, Kevin Comer, Matthew Koehler</t>
  </si>
  <si>
    <t>Journal of Economic Psychology</t>
  </si>
  <si>
    <t>http://pdn.sciencedirect.com/science?_ob=MiamiImageURL&amp;_cid=271667&amp;_user=686465&amp;_pii=S0167487013000044&amp;_check=y&amp;_origin=search&amp;_zone=rslt_list_item&amp;_coverDate=2013-01-18&amp;wchp=dGLbVlB-zSkzV&amp;md5=4fe45ca146aea08b9e2dbf859129b54a&amp;pid=1-s2.0-S0167487013000044-main.pdf</t>
  </si>
  <si>
    <t>Beyond graphs: A new synthesis</t>
  </si>
  <si>
    <t>Claudio Mattiussi, Peter D&amp;uuml;rr, Daniel Marbach, Dario Floreano</t>
  </si>
  <si>
    <t>http://pdn.sciencedirect.com/science?_ob=MiamiImageURL&amp;_cid=280179&amp;_user=686465&amp;_pii=S1877750311000147&amp;_check=y&amp;_origin=search&amp;_zone=rslt_list_item&amp;_coverDate=2011-05-31&amp;wchp=dGLbVlB-zSkzV&amp;md5=bd9db20e71c37791ee81053b59c6b3eb&amp;pid=1-s2.0-S1877750311000147-main.pdf</t>
  </si>
  <si>
    <t>CENTRALISED DECENTRALISATION OF TOURISM DEVELOPMENT: A Network Perspective</t>
  </si>
  <si>
    <t>Albert N. Kimbu, Michael Z. Ngoasong</t>
  </si>
  <si>
    <t>http://pdn.sciencedirect.com/science?_ob=MiamiImageURL&amp;_cid=271796&amp;_user=686465&amp;_pii=S0160738312001399&amp;_check=y&amp;_origin=search&amp;_zone=rslt_list_item&amp;_coverDate=2013-01-31&amp;wchp=dGLbVlB-zSkzV&amp;md5=686253517912835cf6ddef645cd5ec7f&amp;pid=1-s2.0-S0160738312001399-main.pdf</t>
  </si>
  <si>
    <t>The public sector as broker: an interim report</t>
  </si>
  <si>
    <t>Leroy White, Dimitrios C. Christopoulos</t>
  </si>
  <si>
    <t>http://pdn.sciencedirect.com/science?_ob=MiamiImageURL&amp;_cid=277811&amp;_user=686465&amp;_pii=S1877042811000176&amp;_check=y&amp;_origin=search&amp;_zone=rslt_list_item&amp;_coverDate=2011-12-31&amp;wchp=dGLbVlB-zSkzV&amp;md5=67582c32d55eda79f05c4c53685642e0&amp;pid=1-s2.0-S1877042811000176-main.pdf</t>
  </si>
  <si>
    <t>The Structure of Strategic Networks in Professionalization Process of Occupations</t>
  </si>
  <si>
    <t>Erdem Kirkbesoglu, Deniz Umut Erhan</t>
  </si>
  <si>
    <t>http://pdn.sciencedirect.com/science?_ob=MiamiImageURL&amp;_cid=277811&amp;_user=686465&amp;_pii=S1877042812044679&amp;_check=y&amp;_origin=search&amp;_zone=rslt_list_item&amp;_coverDate=2012-10-12&amp;wchp=dGLbVlB-zSkzV&amp;md5=8f99d1dc9fdfe70c67c364dcdc02da3c&amp;pid=1-s2.0-S1877042812044679-main.pdf</t>
  </si>
  <si>
    <t>Exploring a functional approach to attitudinal brand loyalty</t>
  </si>
  <si>
    <t>Rebekah Russell-Bennett, Charmine E.J. H&amp;auml;rtel, Steve Worthington</t>
  </si>
  <si>
    <t>http://pdn.sciencedirect.com/science?_ob=MiamiImageURL&amp;_cid=278544&amp;_user=686465&amp;_pii=S1441358212000481&amp;_check=y&amp;_origin=search&amp;_zone=rslt_list_item&amp;_coverDate=2013-02-28&amp;wchp=dGLbVlB-zSkzV&amp;md5=9bb67ec5eeda374d76e431d6c0565af3&amp;pid=1-s2.0-S1441358212000481-main.pdf</t>
  </si>
  <si>
    <t>Modelling collaboration using complex networks</t>
  </si>
  <si>
    <t>Christopher Durugbo, Windo Hutabarat, Ashutosh Tiwari, Jeffrey R. Alcock</t>
  </si>
  <si>
    <t>http://pdn.sciencedirect.com/science?_ob=MiamiImageURL&amp;_cid=271625&amp;_user=686465&amp;_pii=S0020025511001551&amp;_check=y&amp;_origin=search&amp;_zone=rslt_list_item&amp;_coverDate=2011-08-01&amp;wchp=dGLbVlB-zSkzV&amp;md5=9fcc0b302981b965b2729315629e2868&amp;pid=1-s2.0-S0020025511001551-main.pdf</t>
  </si>
  <si>
    <t>Belief-Oriented Segregation in Policy Networks</t>
  </si>
  <si>
    <t>Adam Douglas Henry</t>
  </si>
  <si>
    <t>http://pdn.sciencedirect.com/science?_ob=MiamiImageURL&amp;_cid=277811&amp;_user=686465&amp;_pii=S1877042811013759&amp;_check=y&amp;_origin=search&amp;_zone=rslt_list_item&amp;_coverDate=2011-12-31&amp;wchp=dGLbVlB-zSkzV&amp;md5=599cb73b2253dd4255953f5e54dbd2d5&amp;pid=1-s2.0-S1877042811013759-main.pdf</t>
  </si>
  <si>
    <t>Predicting Stock Market Indicators Through Twitter “I hope it is not as bad as I fear”</t>
  </si>
  <si>
    <t>Xue Zhang, Hauke Fuehres, Peter A. Gloor</t>
  </si>
  <si>
    <t>http://pdn.sciencedirect.com/science?_ob=MiamiImageURL&amp;_cid=277811&amp;_user=686465&amp;_pii=S1877042811023895&amp;_check=y&amp;_origin=search&amp;_zone=rslt_list_item&amp;_coverDate=2011-12-31&amp;wchp=dGLbVlB-zSkzV&amp;md5=6ca3922880c0394b158d4775279b48f1&amp;pid=1-s2.0-S1877042811023895-main.pdf</t>
  </si>
  <si>
    <t>Epistemic communities in universities</t>
  </si>
  <si>
    <t>Tim Gore</t>
  </si>
  <si>
    <t>http://pdn.sciencedirect.com/science?_ob=MiamiImageURL&amp;_cid=277811&amp;_user=686465&amp;_pii=S1877042811000140&amp;_check=y&amp;_origin=search&amp;_zone=rslt_list_item&amp;_coverDate=2011-12-31&amp;wchp=dGLbVlB-zSkzV&amp;md5=37894688c8ae3ea6fb442c882bffd065&amp;pid=1-s2.0-S1877042811000140-main.pdf</t>
  </si>
  <si>
    <t>A Network Representation of Households by Health Exclusion, Poverty, and Unemployment</t>
  </si>
  <si>
    <t>Sevinc Rende, Deniz Rende, Nihat Baysal</t>
  </si>
  <si>
    <t>http://pdn.sciencedirect.com/science?_ob=MiamiImageURL&amp;_cid=277811&amp;_user=686465&amp;_pii=S1877042811013802&amp;_check=y&amp;_origin=search&amp;_zone=rslt_list_item&amp;_coverDate=2011-12-31&amp;wchp=dGLbVlB-zSkzV&amp;md5=4fc417deaf15547271b70f8aa49a9112&amp;pid=1-s2.0-S1877042811013802-main.pdf</t>
  </si>
  <si>
    <t>Network robustness and irreversibility of information diffusion in Complex networks</t>
  </si>
  <si>
    <t>Maytham Safar, Khaled Mahdi, Sadeq Torabi</t>
  </si>
  <si>
    <t>http://pdn.sciencedirect.com/science?_ob=MiamiImageURL&amp;_cid=280179&amp;_user=686465&amp;_pii=S1877750311000482&amp;_check=y&amp;_origin=search&amp;_zone=rslt_list_item&amp;_coverDate=2011-08-31&amp;wchp=dGLbVlB-zSkzV&amp;md5=19715f14a768846fb8a17c0e2d8b9ace&amp;pid=1-s2.0-S1877750311000482-main.pdf</t>
  </si>
  <si>
    <t>The Impact of Peer Social Networks on Adolescent Alcohol Use Initiation</t>
  </si>
  <si>
    <t>Marlon P. Mundt</t>
  </si>
  <si>
    <t>Academic Pediatrics</t>
  </si>
  <si>
    <t>http://pdn.sciencedirect.com/science?_ob=MiamiImageURL&amp;_cid=277741&amp;_user=686465&amp;_pii=S1876285911001355&amp;_check=y&amp;_origin=search&amp;_zone=rslt_list_item&amp;_coverDate=2011-10-31&amp;wchp=dGLbVlB-zSkzV&amp;md5=d90039c9ffd50840c9c13963a97e6534&amp;pid=1-s2.0-S1876285911001355-main.pdf</t>
  </si>
  <si>
    <t>Social Networks and Positive and Negative Affect</t>
  </si>
  <si>
    <t>Danica Vukadinovic Greetham, Robert Hurling, Gabrielle Osborne, Alex Linley</t>
  </si>
  <si>
    <t>http://pdn.sciencedirect.com/science?_ob=MiamiImageURL&amp;_cid=277811&amp;_user=686465&amp;_pii=S1877042811013747&amp;_check=y&amp;_origin=search&amp;_zone=rslt_list_item&amp;_coverDate=2011-12-31&amp;wchp=dGLbVlB-zSkzV&amp;md5=bc76e45bcda43814c1fc8da835955988&amp;pid=1-s2.0-S1877042811013747-main.pdf</t>
  </si>
  <si>
    <t>Learning from name generator/interpreters in mass surveys: Findings from Turkey</t>
  </si>
  <si>
    <t>Ali &amp;Ccedil;arko?lu, Cerem I. Cenker</t>
  </si>
  <si>
    <t>http://pdn.sciencedirect.com/science?_ob=MiamiImageURL&amp;_cid=277811&amp;_user=686465&amp;_pii=S1877042811000206&amp;_check=y&amp;_origin=search&amp;_zone=rslt_list_item&amp;_coverDate=2011-12-31&amp;wchp=dGLbVlB-zSkzV&amp;md5=6f5fe7288a8b16586b4ec970cdc23962&amp;pid=1-s2.0-S1877042811000206-main.pdf</t>
  </si>
  <si>
    <t>The role of community of practice in developing creative industry projects</t>
  </si>
  <si>
    <t>Marco Bettiol, Silvia Rita Sedita</t>
  </si>
  <si>
    <t>http://pdn.sciencedirect.com/science?_ob=MiamiImageURL&amp;_cid=271951&amp;_user=686465&amp;_pii=S0263786311000081&amp;_check=y&amp;_origin=search&amp;_zone=rslt_list_item&amp;_coverDate=2011-05-31&amp;wchp=dGLbVlB-zSkzV&amp;md5=34af7ff70ef58ba53979d36943be2540&amp;pid=1-s2.0-S0263786311000081-main.pdf</t>
  </si>
  <si>
    <t>Evaluating innovation networks in emerging technologies</t>
  </si>
  <si>
    <t>Tessa van der Valk, Maryse M.H. Chappin, Govert W. Gijsbers</t>
  </si>
  <si>
    <t>http://pdn.sciencedirect.com/science?_ob=MiamiImageURL&amp;_cid=271733&amp;_user=686465&amp;_pii=S0040162510001496&amp;_check=y&amp;_origin=search&amp;_zone=rslt_list_item&amp;_coverDate=2011-01-31&amp;wchp=dGLbVlB-zSkzV&amp;md5=1899691356ee712555e59c3fdb35eb59&amp;pid=1-s2.0-S0040162510001496-main.pdf</t>
  </si>
  <si>
    <t>Networks of action and events over time. A multilevel discrete-time event history model for longitudinal network data</t>
  </si>
  <si>
    <t>Wouter de Nooy</t>
  </si>
  <si>
    <t>http://pdn.sciencedirect.com/science?_ob=MiamiImageURL&amp;_cid=271850&amp;_user=686465&amp;_pii=S0378873310000481&amp;_check=y&amp;_origin=search&amp;_zone=rslt_list_item&amp;_coverDate=2011-01-31&amp;wchp=dGLbVlB-zSkzV&amp;md5=2093b37bf844b527c3ef7e53be3688fe&amp;pid=1-s2.0-S0378873310000481-main.pdf</t>
  </si>
  <si>
    <t>A sociologically inspired heuristic for optimization algorithms: A case study on ant systems</t>
  </si>
  <si>
    <t>Richardson Ribeiro, Fabr?&amp;acute;cio Enembreck</t>
  </si>
  <si>
    <t>http://pdn.sciencedirect.com/science?_ob=MiamiImageURL&amp;_cid=271506&amp;_user=686465&amp;_pii=S0957417412010743&amp;_check=y&amp;_origin=search&amp;_zone=rslt_list_item&amp;_coverDate=2013-04-30&amp;wchp=dGLbVlB-zSkzV&amp;md5=eaaa6d6a9b906364cada2f79b704bbe9&amp;pid=1-s2.0-S0957417412010743-main.pdf</t>
  </si>
  <si>
    <t>12 - Trophic Network Analysis: Comparison of System-Wide Properties</t>
  </si>
  <si>
    <t>Oksana Y. Buzhdygan, Bernard C. Patten, Svitlana S. Rudenko</t>
  </si>
  <si>
    <t>Developments in Environmental Modelling</t>
  </si>
  <si>
    <t>Social Media Integration in Higher Education. Cross-Course Google Plus Integration Shown in the Example of a Master's Degree Course in Management</t>
  </si>
  <si>
    <t>Birgit Oberer, Alptekin Erkollar</t>
  </si>
  <si>
    <t>http://pdn.sciencedirect.com/science?_ob=MiamiImageURL&amp;_cid=277811&amp;_user=686465&amp;_pii=S1877042812026547&amp;_check=y&amp;_origin=search&amp;_zone=rslt_list_item&amp;_coverDate=2012-12-31&amp;wchp=dGLbVlB-zSkzV&amp;md5=01ddf6d4791fd6e37c172c7b42873c22&amp;pid=1-s2.0-S1877042812026547-main.pdf</t>
  </si>
  <si>
    <t>Extended structures of mediation: Re-examining brokerage in dynamic networks</t>
  </si>
  <si>
    <t>Emma S. Spiro, Ryan M. Acton, Carter T. Butts</t>
  </si>
  <si>
    <t>http://pdn.sciencedirect.com/science?_ob=MiamiImageURL&amp;_cid=271850&amp;_user=686465&amp;_pii=S0378873313000087&amp;_check=y&amp;_origin=search&amp;_zone=rslt_list_item&amp;_coverDate=2013-03-07&amp;wchp=dGLbVlB-zSkzV&amp;md5=27d3531c7e4e992efe843e9e9dee5e63&amp;pid=1-s2.0-S0378873313000087-main.pdf</t>
  </si>
  <si>
    <t>Chapter 6 - Social Computing in ISI: A Synthetic View</t>
  </si>
  <si>
    <t>Wenji Mao, Fei-Yue Wang</t>
  </si>
  <si>
    <t>Advances in Intelligence and Security Informatics</t>
  </si>
  <si>
    <t>A generalization of Nemhauser and Trotter?s local optimization theorem</t>
  </si>
  <si>
    <t>Michael R. Fellows, Jiong Guo, Hannes Moser, Rolf Niedermeier</t>
  </si>
  <si>
    <t>Journal of Computer and System Sciences</t>
  </si>
  <si>
    <t>http://pdn.sciencedirect.com/science?_ob=MiamiImageURL&amp;_cid=272574&amp;_user=686465&amp;_pii=S002200001000142X&amp;_check=y&amp;_origin=search&amp;_zone=rslt_list_item&amp;_coverDate=2011-11-30&amp;wchp=dGLbVlB-zSkzV&amp;md5=93a0ec0889897b4ed4e9251c923642c6&amp;pid=1-s2.0-S002200001000142X-main.pdf</t>
  </si>
  <si>
    <t>Gatekeeper search and selection strategies: Relational and network governance in a cultural market</t>
  </si>
  <si>
    <t>Pacey Foster, Stephen P. Borgatti, Candace Jones</t>
  </si>
  <si>
    <t>http://pdn.sciencedirect.com/science?_ob=MiamiImageURL&amp;_cid=271764&amp;_user=686465&amp;_pii=S0304422X11000477&amp;_check=y&amp;_origin=search&amp;_zone=rslt_list_item&amp;_coverDate=2011-08-31&amp;wchp=dGLbVlB-zSkzV&amp;md5=b815d9697fe35d779f7404758835ddb6&amp;pid=1-s2.0-S0304422X11000477-main.pdf</t>
  </si>
  <si>
    <t>Experience Effect in E-Learning Research</t>
  </si>
  <si>
    <t>Bing Wu, WenXia Xu, Jun Ge</t>
  </si>
  <si>
    <t>Physics Procedia</t>
  </si>
  <si>
    <t>http://pdn.sciencedirect.com/science?_ob=MiamiImageURL&amp;_cid=277348&amp;_user=686465&amp;_pii=S187538921200346X&amp;_check=y&amp;_origin=search&amp;_zone=rslt_list_item&amp;_coverDate=2012-12-31&amp;wchp=dGLbVlB-zSkzV&amp;md5=25437b8fefd6172da6182be6b9a2df1d&amp;pid=1-s2.0-S187538921200346X-main.pdf</t>
  </si>
  <si>
    <t>Automatic Full Text Analysis in Public Social Media – Adoption of a Software Prototype to Investigate Political Communication</t>
  </si>
  <si>
    <t>Stefan Stieglitz, Christian Kaufhold</t>
  </si>
  <si>
    <t>http://pdn.sciencedirect.com/science?_ob=MiamiImageURL&amp;_cid=280203&amp;_user=686465&amp;_pii=S1877050911004297&amp;_check=y&amp;_origin=search&amp;_zone=rslt_list_item&amp;_coverDate=2011-12-31&amp;wchp=dGLbVlB-zSkzV&amp;md5=34aed9cc933476b25a2e158b74d5c025&amp;pid=1-s2.0-S1877050911004297-main.pdf</t>
  </si>
  <si>
    <t>The impact of university–industry collaboration networks on innovation in nanobiopharmaceuticals</t>
  </si>
  <si>
    <t>Jiancheng Guan, Qingjun Zhao</t>
  </si>
  <si>
    <t>http://pdn.sciencedirect.com/science?_ob=MiamiImageURL&amp;_cid=271733&amp;_user=686465&amp;_pii=S0040162512002995&amp;_check=y&amp;_origin=search&amp;_zone=rslt_list_item&amp;_coverDate=2012-12-20&amp;wchp=dGLbVlB-zSkzV&amp;md5=e3dd8773a6ad69b5c6acde1143b27f40&amp;pid=1-s2.0-S0040162512002995-main.pdf</t>
  </si>
  <si>
    <t>The gendered transition to college: The role of culture in ego-network evolution</t>
  </si>
  <si>
    <t>Danielle Kane</t>
  </si>
  <si>
    <t>http://pdn.sciencedirect.com/science?_ob=MiamiImageURL&amp;_cid=271764&amp;_user=686465&amp;_pii=S0304422X11000465&amp;_check=y&amp;_origin=search&amp;_zone=rslt_list_item&amp;_coverDate=2011-08-31&amp;wchp=dGLbVlB-zSkzV&amp;md5=e5bdbcaf4adc76bdb94bb8193874923d&amp;pid=1-s2.0-S0304422X11000465-main.pdf</t>
  </si>
  <si>
    <t>Set Pair Community Mining and Situation Analysis Based on Web Social Network</t>
  </si>
  <si>
    <t>Zhang Chunying, Liang Ruitao, Liu Lu, Wang Jing</t>
  </si>
  <si>
    <t>http://pdn.sciencedirect.com/science?_ob=MiamiImageURL&amp;_cid=278653&amp;_user=686465&amp;_pii=S1877705811021485&amp;_check=y&amp;_origin=search&amp;_zone=rslt_list_item&amp;_coverDate=2011-12-31&amp;wchp=dGLbVlB-zSkzV&amp;md5=cbce2d6e54ab16cea012be85b12ca063&amp;pid=1-s2.0-S1877705811021485-main.pdf</t>
  </si>
  <si>
    <t>Networks of corporate power revisited</t>
  </si>
  <si>
    <t>http://pdn.sciencedirect.com/science?_ob=MiamiImageURL&amp;_cid=277811&amp;_user=686465&amp;_pii=S1877042811000085&amp;_check=y&amp;_origin=search&amp;_zone=rslt_list_item&amp;_coverDate=2011-12-31&amp;wchp=dGLbVlB-zSkzV&amp;md5=0c0885aef67f55c6786848b5d3c0e6c0&amp;pid=1-s2.0-S1877042811000085-main.pdf</t>
  </si>
  <si>
    <t>A review of tourism and climate change as an evolving knowledge domain</t>
  </si>
  <si>
    <t>Susanne Becken</t>
  </si>
  <si>
    <t>Tourism Management Perspectives</t>
  </si>
  <si>
    <t>http://pdn.sciencedirect.com/science?_ob=MiamiImageURL&amp;_cid=282075&amp;_user=686465&amp;_pii=S2211973612000943&amp;_check=y&amp;_origin=search&amp;_zone=rslt_list_item&amp;_coverDate=2013-04-30&amp;wchp=dGLbVlB-zSkzV&amp;md5=a22b2af444ff2a71f9300f8af67a057e&amp;pid=1-s2.0-S2211973612000943-main.pdf</t>
  </si>
  <si>
    <t>Individual connectedness in innovation networks: On the role of individual motivation</t>
  </si>
  <si>
    <t>Rick Aalbers, Wilfred Dolfsma, Otto Koppius</t>
  </si>
  <si>
    <t>http://pdn.sciencedirect.com/science?_ob=MiamiImageURL&amp;_cid=271666&amp;_user=686465&amp;_pii=S004873331200234X&amp;_check=y&amp;_origin=search&amp;_zone=rslt_list_item&amp;_coverDate=2013-01-20&amp;wchp=dGLbVlB-zSkzV&amp;md5=4e3a89b1944eff2c35e137b552dba488&amp;pid=1-s2.0-S004873331200234X-main.pdf</t>
  </si>
  <si>
    <t>The impact of Social Multimedia Systems on cyberlearners</t>
  </si>
  <si>
    <t>Leyla Zhuhadar, Rong Yang, Miltiadis D. Lytras</t>
  </si>
  <si>
    <t>http://pdn.sciencedirect.com/science?_ob=MiamiImageURL&amp;_cid=271802&amp;_user=686465&amp;_pii=S074756321200266X&amp;_check=y&amp;_origin=search&amp;_zone=rslt_list_item&amp;_coverDate=2013-03-31&amp;wchp=dGLbVlB-zSkzV&amp;md5=e02d27d953bb58b92fd0af46d1bc4bf5&amp;pid=1-s2.0-S074756321200266X-main.pdf</t>
  </si>
  <si>
    <t>Compatible cognition amongst road users: The compatibility of driver, motorcyclist, and cyclist situation awareness</t>
  </si>
  <si>
    <t>Paul M. Salmon, Kristie L. Young, Miranda Cornelissen</t>
  </si>
  <si>
    <t>Safety Science</t>
  </si>
  <si>
    <t>http://pdn.sciencedirect.com/science?_ob=MiamiImageURL&amp;_cid=271730&amp;_user=686465&amp;_pii=S0925753512000756&amp;_check=y&amp;_origin=search&amp;_zone=rslt_list_item&amp;_coverDate=2012-04-10&amp;wchp=dGLbVlB-zSkzV&amp;md5=b8a86b161598e6d028f55c995ecbd26e&amp;pid=1-s2.0-S0925753512000756-main.pdf</t>
  </si>
  <si>
    <t>Teaching creativity in self-organizing studio network: implications for architectural education</t>
  </si>
  <si>
    <t>Ayse &amp;Ouml;zbil Torun, I??lay Tek&amp;ccedil;e, Nur Esin</t>
  </si>
  <si>
    <t>http://pdn.sciencedirect.com/science?_ob=MiamiImageURL&amp;_cid=277811&amp;_user=686465&amp;_pii=S1877042811025778&amp;_check=y&amp;_origin=search&amp;_zone=rslt_list_item&amp;_coverDate=2011-12-31&amp;wchp=dGLbVlB-zSkzV&amp;md5=741e4834e07e31a945cb84c09e058c1d&amp;pid=1-s2.0-S1877042811025778-main.pdf</t>
  </si>
  <si>
    <t>Can opinion be stable in an open network with hierarchy? An agent-based model of the Commercial Court of Paris</t>
  </si>
  <si>
    <t>Juliette Rouchier, Paola Tubaro</t>
  </si>
  <si>
    <t>http://pdn.sciencedirect.com/science?_ob=MiamiImageURL&amp;_cid=277811&amp;_user=686465&amp;_pii=S1877042811000164&amp;_check=y&amp;_origin=search&amp;_zone=rslt_list_item&amp;_coverDate=2011-12-31&amp;wchp=dGLbVlB-zSkzV&amp;md5=e15b9bb198949fab2d7de77908474e81&amp;pid=1-s2.0-S1877042811000164-main.pdf</t>
  </si>
  <si>
    <t>The research collaboration in Chinese cardiology and cardiovasology field</t>
  </si>
  <si>
    <t>Qi Yu, Hongfang Shao, Zhiguang Duan</t>
  </si>
  <si>
    <t>International Journal of Cardiology</t>
  </si>
  <si>
    <t>http://pdn.sciencedirect.com/science?_ob=MiamiImageURL&amp;_cid=271057&amp;_user=686465&amp;_pii=S0167527312002240&amp;_check=y&amp;_origin=search&amp;_zone=rslt_list_item&amp;_coverDate=2012-03-27&amp;wchp=dGLbVlB-zSkzV&amp;md5=89dc0b0cfaa15a2c344408f26c8fd634&amp;pid=1-s2.0-S0167527312002240-main.pdf</t>
  </si>
  <si>
    <t>A new blockmodeling based hierarchical clustering algorithm for web social networks</t>
  </si>
  <si>
    <t>Shaojie Qiao, Tianrui Li, Hong Li, Jing Peng, Hongmei Chen</t>
  </si>
  <si>
    <t>http://pdn.sciencedirect.com/science?_ob=MiamiImageURL&amp;_cid=271095&amp;_user=686465&amp;_pii=S0952197612000073&amp;_check=y&amp;_origin=search&amp;_zone=rslt_list_item&amp;_coverDate=2012-04-30&amp;wchp=dGLbVlB-zSkzV&amp;md5=9485ff4a492738d002999ddbdb235dce&amp;pid=1-s2.0-S0952197612000073-main.pdf</t>
  </si>
  <si>
    <t>Using network based text analysis to analyze trends in Microsoft’s security innovations</t>
  </si>
  <si>
    <t>Tabitha James, Lara Khansa, Deborah F. Cook, Olga Bruyaka, Kellie B. Keeling</t>
  </si>
  <si>
    <t>http://pdn.sciencedirect.com/science?_ob=MiamiImageURL&amp;_cid=271887&amp;_user=686465&amp;_pii=S0167404813000333&amp;_check=y&amp;_origin=search&amp;_zone=rslt_list_item&amp;_coverDate=2013-02-27&amp;wchp=dGLbVlB-zSkzV&amp;md5=4656a3d07e66f51fa12fce809f348ee4&amp;pid=1-s2.0-S0167404813000333-main.pdf</t>
  </si>
  <si>
    <t>A comparison of identity merge algorithms for software repositories</t>
  </si>
  <si>
    <t>Mathieu Goeminne, Tom Mens</t>
  </si>
  <si>
    <t>http://pdn.sciencedirect.com/science?_ob=MiamiImageURL&amp;_cid=271600&amp;_user=686465&amp;_pii=S0167642311002048&amp;_check=y&amp;_origin=search&amp;_zone=rslt_list_item&amp;_coverDate=2011-12-01&amp;wchp=dGLbVlB-zSkzV&amp;md5=b1f1e527eb649ecd12951c3dae500abd&amp;pid=1-s2.0-S0167642311002048-main.pdf</t>
  </si>
  <si>
    <t>Bounded budget betweenness centrality game for strategic network formations</t>
  </si>
  <si>
    <t>Xiaohui Bei, Wei Chen, Shang-Hua Teng, Jialin Zhang, Jiajie Zhu</t>
  </si>
  <si>
    <t>http://pdn.sciencedirect.com/science?_ob=MiamiImageURL&amp;_cid=271538&amp;_user=686465&amp;_pii=S0304397511008218&amp;_check=y&amp;_origin=search&amp;_zone=rslt_list_item&amp;_coverDate=2011-12-09&amp;wchp=dGLbVlB-zSkzV&amp;md5=7aa9fa1028bc50f4a82617f0e5843837&amp;pid=1-s2.0-S0304397511008218-main.pdf</t>
  </si>
  <si>
    <t>The Research on the Relationship between Industrial Development and Environmental Pollutant Emission</t>
  </si>
  <si>
    <t>Wang Maojun, Xu Jie, Yang Xuechun, Wen Jin</t>
  </si>
  <si>
    <t>Energy Procedia</t>
  </si>
  <si>
    <t>http://pdn.sciencedirect.com/science?_ob=MiamiImageURL&amp;_cid=277910&amp;_user=686465&amp;_pii=S1876610211010332&amp;_check=y&amp;_origin=search&amp;_zone=rslt_list_item&amp;_coverDate=2011-12-31&amp;wchp=dGLbVlB-zSkzV&amp;md5=1047e50f2cc8f419b74a9cf62c945ece&amp;pid=1-s2.0-S1876610211010332-main.pdf</t>
  </si>
  <si>
    <t>Graph ambiguity</t>
  </si>
  <si>
    <t>Lorenzo Livi, Antonello Rizzi</t>
  </si>
  <si>
    <t>http://pdn.sciencedirect.com/science?_ob=MiamiImageURL&amp;_cid=271522&amp;_user=686465&amp;_pii=S0165011413000043&amp;_check=y&amp;_origin=search&amp;_zone=rslt_list_item&amp;_coverDate=2013-01-09&amp;wchp=dGLbVlB-zSkzV&amp;md5=8dddd9b110ef709865e9679f1f77c42d&amp;pid=1-s2.0-S0165011413000043-main.pdf</t>
  </si>
  <si>
    <t>Analysis of keyword networks in MIS research and implications for predicting knowledge evolution</t>
  </si>
  <si>
    <t>Jinho Choi, Sangyoon Yi, Kun Chang Lee</t>
  </si>
  <si>
    <t>http://pdn.sciencedirect.com/science?_ob=MiamiImageURL&amp;_cid=271670&amp;_user=686465&amp;_pii=S0378720611000784&amp;_check=y&amp;_origin=search&amp;_zone=rslt_list_item&amp;_coverDate=2011-12-31&amp;wchp=dGLbVlB-zSkzV&amp;md5=3d240dcb9bf484bd66c464e4b6980863&amp;pid=1-s2.0-S0378720611000784-main.pdf</t>
  </si>
  <si>
    <t>Mining direct antagonistic communities in signed social networks</t>
  </si>
  <si>
    <t>David Lo, Didi Surian, Philips Kokoh Prasetyo, Kuan Zhang, Ee-Peng Lim</t>
  </si>
  <si>
    <t>http://pdn.sciencedirect.com/science?_ob=MiamiImageURL&amp;_cid=271647&amp;_user=686465&amp;_pii=S0306457313000058&amp;_check=y&amp;_origin=search&amp;_zone=rslt_list_item&amp;_coverDate=2013-07-31&amp;wchp=dGLbVlB-zSkzV&amp;md5=122eb8582b35e96d37682ae546d57f89&amp;pid=1-s2.0-S0306457313000058-main.pdf</t>
  </si>
  <si>
    <t>Scientific collaboration and endorsement: Network analysis of coauthorship and citation networks</t>
  </si>
  <si>
    <t>Ying Ding</t>
  </si>
  <si>
    <t>http://pdn.sciencedirect.com/science?_ob=MiamiImageURL&amp;_cid=273584&amp;_user=686465&amp;_pii=S1751157710000957&amp;_check=y&amp;_origin=search&amp;_zone=rslt_list_item&amp;_coverDate=2011-01-31&amp;wchp=dGLbVlB-zSkzV&amp;md5=f52ed154a42aeeb0e6b49f0cebcf3d18&amp;pid=1-s2.0-S1751157710000957-main.pdf</t>
  </si>
  <si>
    <t>An O(n2) algorithm for detecting communities of unbalanced sizes in large scale social networks</t>
  </si>
  <si>
    <t>H. Zardi, L. Ben Romdhane, MARS (Modeling of Automated Reasoning Systems) Research Group</t>
  </si>
  <si>
    <t>http://pdn.sciencedirect.com/science?_ob=MiamiImageURL&amp;_cid=271505&amp;_user=686465&amp;_pii=S0950705112001736&amp;_check=y&amp;_origin=search&amp;_zone=rslt_list_item&amp;_coverDate=2013-01-31&amp;wchp=dGLbVlB-zSkzV&amp;md5=868daae10acaa9d09504d141a3c790ac&amp;pid=1-s2.0-S0950705112001736-main.pdf</t>
  </si>
  <si>
    <t>User acceptance and corporate intranet quality: An evaluation with iQual</t>
  </si>
  <si>
    <t>Stuart J. Barnes, Richard Vidgen</t>
  </si>
  <si>
    <t>http://pdn.sciencedirect.com/science?_ob=MiamiImageURL&amp;_cid=271670&amp;_user=686465&amp;_pii=S0378720612000158&amp;_check=y&amp;_origin=search&amp;_zone=rslt_list_item&amp;_coverDate=2012-05-31&amp;wchp=dGLbVlB-zSkzV&amp;md5=b22d298cc660d615af93aa12206a1a5f&amp;pid=1-s2.0-S0378720612000158-main.pdf</t>
  </si>
  <si>
    <t>Knowledge mapping for rapidly evolving domains: A design science approach</t>
  </si>
  <si>
    <t>Yan Dang, Yulei Zhang, Paul Jen-Hwa Hu, Susan A. Brown, Hsinchun Chen</t>
  </si>
  <si>
    <t>http://pdn.sciencedirect.com/science?_ob=MiamiImageURL&amp;_cid=271653&amp;_user=686465&amp;_pii=S0167923610001806&amp;_check=y&amp;_origin=search&amp;_zone=rslt_list_item&amp;_coverDate=2011-01-31&amp;wchp=dGLbVlB-zSkzV&amp;md5=51c11bd2e8d52edb675a00de371d471e&amp;pid=1-s2.0-S0167923610001806-main.pdf</t>
  </si>
  <si>
    <t>On the localization of the personalized PageRank of complex networks</t>
  </si>
  <si>
    <t>http://pdn.sciencedirect.com/science?_ob=MiamiImageURL&amp;_cid=271586&amp;_user=686465&amp;_pii=S0024379512007835&amp;_check=y&amp;_origin=search&amp;_zone=rslt_list_item&amp;_coverDate=2012-12-24&amp;wchp=dGLbVlB-zSkzV&amp;md5=80efafdc6bee7cf28ab1e741a7a44c95&amp;pid=1-s2.0-S0024379512007835-main.pdf</t>
  </si>
  <si>
    <t>Network structure and team performance: The case of English Premier League soccer teams</t>
  </si>
  <si>
    <t>Thomas U. Grund</t>
  </si>
  <si>
    <t>http://pdn.sciencedirect.com/science?_ob=MiamiImageURL&amp;_cid=271850&amp;_user=686465&amp;_pii=S0378873312000500&amp;_check=y&amp;_origin=search&amp;_zone=rslt_list_item&amp;_coverDate=2012-10-31&amp;wchp=dGLbVlB-zSkzV&amp;md5=86cbcbd855d23adb54e3d5b1a559df7a&amp;pid=1-s2.0-S0378873312000500-main.pdf</t>
  </si>
  <si>
    <t>Women's position in intra organizational informal relationship networks: an application of network analysis approach</t>
  </si>
  <si>
    <t>Hannaneh Mohammadi. K, Mahnaz Hosseinzadeh, Aliyeh Kazemi</t>
  </si>
  <si>
    <t>http://pdn.sciencedirect.com/science?_ob=MiamiImageURL&amp;_cid=277811&amp;_user=686465&amp;_pii=S1877042812009391&amp;_check=y&amp;_origin=search&amp;_zone=rslt_list_item&amp;_coverDate=2012-12-31&amp;wchp=dGLbVlB-zSkzV&amp;md5=6380ca9ac10a5893f8201c552894d03b&amp;pid=1-s2.0-S1877042812009391-main.pdf</t>
  </si>
  <si>
    <t>No escape from the dominant theories: The analysis of intellectual pillars of technology management in developing countries Supplementary content </t>
  </si>
  <si>
    <t>Berna Beyhan, Dilek Cetindamar</t>
  </si>
  <si>
    <t>http://pdn.sciencedirect.com/science?_ob=MiamiImageURL&amp;_cid=271733&amp;_user=686465&amp;_pii=S0040162510002167&amp;_check=y&amp;_origin=search&amp;_zone=rslt_list_item&amp;_coverDate=2011-01-31&amp;wchp=dGLbVlB-zSkzV&amp;md5=5ecfeeba8abdc741a2bfd9fcbd349ff4&amp;pid=1-s2.0-S0040162510002167-main.pdf</t>
  </si>
  <si>
    <t>Social network theory applied to resting-state fMRI connectivity data in the identification of epilepsy networks with iterative feature selection</t>
  </si>
  <si>
    <t>Xiaohui Zhang, Fuyuze Tokoglu, Michiro Negishi, Jagriti Arora, Scott Winstanley, Dennis D. Spencer, R. Todd Constable</t>
  </si>
  <si>
    <t>Journal of Neuroscience Methods</t>
  </si>
  <si>
    <t>http://pdn.sciencedirect.com/science?_ob=MiamiImageURL&amp;_cid=271055&amp;_user=686465&amp;_pii=S016502701100224X&amp;_check=y&amp;_origin=search&amp;_zone=rslt_list_item&amp;_coverDate=2011-07-15&amp;wchp=dGLbVlB-zSkzV&amp;md5=53e261a3b5662bc3e26adf1ec10e22dd&amp;pid=1-s2.0-S016502701100224X-main.pdf</t>
  </si>
  <si>
    <t>A Socio-Technical Perspective on Interdisciplinary Interactions During the Development of Complex Engineered Systems</t>
  </si>
  <si>
    <t>Anna-Maria Rivas McGowan, Shanna Daly, Wayne Baker, Panos Papalambros, Colleen Seifert</t>
  </si>
  <si>
    <t>http://pdn.sciencedirect.com/science?_ob=MiamiImageURL&amp;_cid=280203&amp;_user=686465&amp;_pii=S187705091300121X&amp;_check=y&amp;_origin=search&amp;_zone=rslt_list_item&amp;_coverDate=2013-12-31&amp;wchp=dGLbVlB-zSkzV&amp;md5=52b3c135fba9b1c4a6c0eaa387964e30&amp;pid=1-s2.0-S187705091300121X-main.pdf</t>
  </si>
  <si>
    <t>Indicators of the interdisciplinarity of journals: Diversity, centrality, and citations</t>
  </si>
  <si>
    <t>Loet Leydesdorff, Ismael Rafols</t>
  </si>
  <si>
    <t>http://pdn.sciencedirect.com/science?_ob=MiamiImageURL&amp;_cid=273584&amp;_user=686465&amp;_pii=S1751157710000854&amp;_check=y&amp;_origin=search&amp;_zone=rslt_list_item&amp;_coverDate=2011-01-31&amp;wchp=dGLbVlB-zSkzV&amp;md5=692a2fe6fed20a136b58eba31fea95db&amp;pid=1-s2.0-S1751157710000854-main.pdf</t>
  </si>
  <si>
    <t>Seats at the table: The network of the editorial boards in information and library science</t>
  </si>
  <si>
    <t>Alberto Baccini, Lucio Barabesi</t>
  </si>
  <si>
    <t>http://pdn.sciencedirect.com/science?_ob=MiamiImageURL&amp;_cid=273584&amp;_user=686465&amp;_pii=S1751157711000137&amp;_check=y&amp;_origin=search&amp;_zone=rslt_list_item&amp;_coverDate=2011-07-31&amp;wchp=dGLbVlB-zSkzV&amp;md5=5b3b9f2374e35dc5f0188eec742da714&amp;pid=1-s2.0-S1751157711000137-main.pdf</t>
  </si>
  <si>
    <t>Finding “interesting” trends in social networks using frequent pattern mining and self organizing maps</t>
  </si>
  <si>
    <t>Puteri N.E. Nohuddin, Frans Coenen, Rob Christley, Christian Setzkorn, Yogesh Patel, Shane Williams</t>
  </si>
  <si>
    <t>http://pdn.sciencedirect.com/science?_ob=MiamiImageURL&amp;_cid=271505&amp;_user=686465&amp;_pii=S0950705111001420&amp;_check=y&amp;_origin=search&amp;_zone=rslt_list_item&amp;_coverDate=2012-05-31&amp;wchp=dGLbVlB-zSkzV&amp;md5=e17145d41510c0dedb5682ed22f943c5&amp;pid=1-s2.0-S0950705111001420-main.pdf</t>
  </si>
  <si>
    <t>Constructivist Approach in Virtual Universities</t>
  </si>
  <si>
    <t>Abbas Abdoli Sejzi, Baharuddin bin Aris</t>
  </si>
  <si>
    <t>http://pdn.sciencedirect.com/science?_ob=MiamiImageURL&amp;_cid=277811&amp;_user=686465&amp;_pii=S1877042812041341&amp;_check=y&amp;_origin=search&amp;_zone=rslt_list_item&amp;_coverDate=2012-10-08&amp;wchp=dGLbVlB-zSkzV&amp;md5=d8859a96b60d8eba7dc7dfc2a27dd2eb&amp;pid=1-s2.0-S1877042812041341-main.pdf</t>
  </si>
  <si>
    <t>A note on maximizing the spread of influence in social networks</t>
  </si>
  <si>
    <t>Eyal Even-Dar, Asaf Shapira</t>
  </si>
  <si>
    <t>http://pdn.sciencedirect.com/science?_ob=MiamiImageURL&amp;_cid=271527&amp;_user=686465&amp;_pii=S0020019010003650&amp;_check=y&amp;_origin=search&amp;_zone=rslt_list_item&amp;_coverDate=2011-01-15&amp;wchp=dGLbVlB-zSkzV&amp;md5=f6221e2946607bff89f770ec0ccb9e93&amp;pid=1-s2.0-S0020019010003650-main.pdf</t>
  </si>
  <si>
    <t>System Design Framework for Equity/Fairness among Actors</t>
  </si>
  <si>
    <t>Datu B. Agusdinata</t>
  </si>
  <si>
    <t>http://pdn.sciencedirect.com/science?_ob=MiamiImageURL&amp;_cid=280203&amp;_user=686465&amp;_pii=S1877050913001191&amp;_check=y&amp;_origin=search&amp;_zone=rslt_list_item&amp;_coverDate=2013-12-31&amp;wchp=dGLbVlB-zSkzV&amp;md5=3bd4cb274e292f9cd35ca42e28d29234&amp;pid=1-s2.0-S1877050913001191-main.pdf</t>
  </si>
  <si>
    <t>Sociodynamic Discrete Choice on Networks in Space: Role of Utility Parameters and Connectivity in Emergent Outcomes</t>
  </si>
  <si>
    <t>Elenna R. Dugundji, L&amp;aacute;szl&amp;oacute; Guly&amp;aacute;s</t>
  </si>
  <si>
    <t>http://pdn.sciencedirect.com/science?_ob=MiamiImageURL&amp;_cid=280203&amp;_user=686465&amp;_pii=S1877050912004644&amp;_check=y&amp;_origin=search&amp;_zone=rslt_list_item&amp;_coverDate=2012-12-31&amp;wchp=dGLbVlB-zSkzV&amp;md5=3fa2b22a3e34734f1bd802d918168eeb&amp;pid=1-s2.0-S1877050912004644-main.pdf</t>
  </si>
  <si>
    <t>Perceived entitativity of social networks</t>
  </si>
  <si>
    <t>Tasuku Igarashi, Yoshihisa Kashima</t>
  </si>
  <si>
    <t>Journal of Experimental Social Psychology</t>
  </si>
  <si>
    <t>http://pdn.sciencedirect.com/science?_ob=MiamiImageURL&amp;_cid=272387&amp;_user=686465&amp;_pii=S0022103111001168&amp;_check=y&amp;_origin=search&amp;_zone=rslt_list_item&amp;_coverDate=2011-11-30&amp;wchp=dGLbVlB-zSkzV&amp;md5=096ace85a9e8cf84e18a683f876f7d05&amp;pid=1-s2.0-S0022103111001168-main.pdf</t>
  </si>
  <si>
    <t>Inter-Agency Collaboration in the Care of Children with Complex Chronic Conditions</t>
  </si>
  <si>
    <t>Savithri Nageswaran, Edward H. Ip, Shannon L. Golden, T. Michael O’Shea, Douglas Easterling</t>
  </si>
  <si>
    <t>http://pdn.sciencedirect.com/science?_ob=MiamiImageURL&amp;_cid=277741&amp;_user=686465&amp;_pii=S1876285912000368&amp;_check=y&amp;_origin=search&amp;_zone=rslt_list_item&amp;_coverDate=2012-06-30&amp;wchp=dGLbVlB-zSkzV&amp;md5=4e8d0e8c1b1ed457a564212af94b5c0c&amp;pid=1-s2.0-S1876285912000368-main.pdf</t>
  </si>
  <si>
    <t>An overview of the literature on technology roadmapping (TRM): Contributions and trends</t>
  </si>
  <si>
    <t>http://pdn.sciencedirect.com/science?_ob=MiamiImageURL&amp;_cid=271733&amp;_user=686465&amp;_pii=S0040162512002934&amp;_check=y&amp;_origin=search&amp;_zone=rslt_list_item&amp;_coverDate=2013-02-01&amp;wchp=dGLbVlB-zSkzV&amp;md5=c2c3a532fe629e7f6e3b4f589ab21208&amp;pid=1-s2.0-S0040162512002934-main.pdf</t>
  </si>
  <si>
    <t>HPC Simulations of Information Propagation Over Social Networks</t>
  </si>
  <si>
    <t>Jiangming Jin, Stephen John Turner, Bu-Sung Lee, Jianlong Zhong, Bingsheng He</t>
  </si>
  <si>
    <t>http://pdn.sciencedirect.com/science?_ob=MiamiImageURL&amp;_cid=280203&amp;_user=686465&amp;_pii=S1877050912001524&amp;_check=y&amp;_origin=search&amp;_zone=rslt_list_item&amp;_coverDate=2012-12-31&amp;wchp=dGLbVlB-zSkzV&amp;md5=3703358acbb203463b3a2cc04950eaba&amp;pid=1-s2.0-S1877050912001524-main.pdf</t>
  </si>
  <si>
    <t>A robust trust model for service-oriented systems</t>
  </si>
  <si>
    <t>Xing Su, Minjie Zhang, Yi Mu, Quan Bai</t>
  </si>
  <si>
    <t>http://pdn.sciencedirect.com/science?_ob=MiamiImageURL&amp;_cid=272574&amp;_user=686465&amp;_pii=S0022000012001730&amp;_check=y&amp;_origin=search&amp;_zone=rslt_list_item&amp;_coverDate=2012-12-13&amp;wchp=dGLbVlB-zSkzV&amp;md5=c4d6d5d5d013474f446563cdc693d15c&amp;pid=1-s2.0-S0022000012001730-main.pdf</t>
  </si>
  <si>
    <t>High-Level fusion for intelligence applications using Recombinant Cognition Synthesis</t>
  </si>
  <si>
    <t>Marco A. Solano, Stephen Ekwaro-Osire, Murat M. Tanik</t>
  </si>
  <si>
    <t>Information Fusion</t>
  </si>
  <si>
    <t>http://pdn.sciencedirect.com/science?_ob=MiamiImageURL&amp;_cid=272144&amp;_user=686465&amp;_pii=S1566253510000758&amp;_check=y&amp;_origin=search&amp;_zone=rslt_list_item&amp;_coverDate=2012-01-31&amp;wchp=dGLbVlB-zSkzV&amp;md5=b7ec411e00fb91d2183d05f22812a29f&amp;pid=1-s2.0-S1566253510000758-main.pdf</t>
  </si>
  <si>
    <t>Chapter 12 - WWW Hyperlink Networks</t>
  </si>
  <si>
    <t>Robert Ackland</t>
  </si>
  <si>
    <t>Students' self-regulation for interaction with others in online learning environments</t>
  </si>
  <si>
    <t>Moon-Heum Cho, B. Joon Kim</t>
  </si>
  <si>
    <t>http://pdn.sciencedirect.com/science?_ob=MiamiImageURL&amp;_cid=272103&amp;_user=686465&amp;_pii=S1096751612000796&amp;_check=y&amp;_origin=search&amp;_zone=rslt_list_item&amp;_coverDate=2013-04-30&amp;wchp=dGLbVlB-zSkzV&amp;md5=765362b98b3284cbe2b282e0a48a1933&amp;pid=1-s2.0-S1096751612000796-main.pdf</t>
  </si>
  <si>
    <t>Store survival in online marketplace: An empirical investigation</t>
  </si>
  <si>
    <t>Youwei Wang, Shan Wang, Yulin Fang, Patrick Y.K. Chau</t>
  </si>
  <si>
    <t>http://pdn.sciencedirect.com/science?_ob=MiamiImageURL&amp;_cid=271653&amp;_user=686465&amp;_pii=S0167923612003375&amp;_check=y&amp;_origin=search&amp;_zone=rslt_list_item&amp;_coverDate=2012-11-08&amp;wchp=dGLbVlB-zSkzV&amp;md5=19c782ecf9d6237101fb287489139996&amp;pid=1-s2.0-S0167923612003375-main.pdf</t>
  </si>
  <si>
    <t>Leveraging social grouping for trust building in foreign electronic commerce firms: An exploratory study</t>
  </si>
  <si>
    <t>Yani Shi, Choon Ling Sia, Huaping Chen</t>
  </si>
  <si>
    <t>http://pdn.sciencedirect.com/science?_ob=MiamiImageURL&amp;_cid=271677&amp;_user=686465&amp;_pii=S0268401213000285&amp;_check=y&amp;_origin=search&amp;_zone=rslt_list_item&amp;_coverDate=2013-06-30&amp;wchp=dGLbVlB-zSkzV&amp;md5=c0863911c969fd384f745d85c8d7c980&amp;pid=1-s2.0-S0268401213000285-main.pdf</t>
  </si>
  <si>
    <t>Social interaction in online support groups: Preference for online social interaction over offline social interaction</t>
  </si>
  <si>
    <t>Jae Eun Chung</t>
  </si>
  <si>
    <t>http://pdn.sciencedirect.com/science?_ob=MiamiImageURL&amp;_cid=271802&amp;_user=686465&amp;_pii=S0747563213000228&amp;_check=y&amp;_origin=search&amp;_zone=rslt_list_item&amp;_coverDate=2013-07-31&amp;wchp=dGLbVlB-zSkzV&amp;md5=80c2555d728aafd4412b518d7a0b604a&amp;pid=1-s2.0-S0747563213000228-main.pdf</t>
  </si>
  <si>
    <t>Networking, Storytelling and Knowledge Production in First-Year Writing</t>
  </si>
  <si>
    <t>Octavia Davis, Bill Marsh</t>
  </si>
  <si>
    <t>http://pdn.sciencedirect.com/science?_ob=MiamiImageURL&amp;_cid=272079&amp;_user=686465&amp;_pii=S8755461512000217&amp;_check=y&amp;_origin=search&amp;_zone=rslt_list_item&amp;_coverDate=2012-06-30&amp;wchp=dGLbVlB-zSkzV&amp;md5=264f0365b8059307cc84d257c4c37a99&amp;pid=1-s2.0-S8755461512000217-main.pdf</t>
  </si>
  <si>
    <t>An analytical framework for quantifying and testing patterns of temporal dynamics in social networks Supplementary content </t>
  </si>
  <si>
    <t>Elizabeth A. Hobson, Michael L. Avery, Timothy F. Wright</t>
  </si>
  <si>
    <t>http://pdn.sciencedirect.com/science?_ob=MiamiImageURL&amp;_cid=272524&amp;_user=686465&amp;_pii=S000334721200468X&amp;_check=y&amp;_origin=search&amp;_zone=rslt_list_item&amp;_coverDate=2013-01-31&amp;wchp=dGLbVlB-zSkzV&amp;md5=f8ca1c3ba0b3f944ee70998468847ba3&amp;pid=1-s2.0-S000334721200468X-main.pdf</t>
  </si>
  <si>
    <t>Emergent clustering methods for empirical OM research Supplementary content </t>
  </si>
  <si>
    <t>Michael J. Brusco, Douglas Steinley, J. Dennis Cradit, Renu Singh</t>
  </si>
  <si>
    <t>http://pdn.sciencedirect.com/science?_ob=MiamiImageURL&amp;_cid=271694&amp;_user=686465&amp;_pii=S0272696312000514&amp;_check=y&amp;_origin=search&amp;_zone=rslt_list_item&amp;_coverDate=2012-09-30&amp;wchp=dGLbVlB-zSkzV&amp;md5=a8f411f8a3d132ba4f862f3cff91bd41&amp;pid=1-s2.0-S0272696312000514-main.pdf</t>
  </si>
  <si>
    <t>Knowledge exchange and policy influence in a marine resource governance network Supplementary content </t>
  </si>
  <si>
    <t>Kristen Weiss, Mark Hamann, Michael Kinney, Helene Marsh</t>
  </si>
  <si>
    <t>http://pdn.sciencedirect.com/science?_ob=MiamiImageURL&amp;_cid=271866&amp;_user=686465&amp;_pii=S0959378011001427&amp;_check=y&amp;_origin=search&amp;_zone=rslt_list_item&amp;_coverDate=2012-02-29&amp;wchp=dGLbVlB-zSkzV&amp;md5=74b64f77da53e573ff6c7ec7d2be994a&amp;pid=1-s2.0-S0959378011001427-main.pdf</t>
  </si>
  <si>
    <t>Factors influencing social capital in rural tourism communities in South Korea Supplementary content  </t>
  </si>
  <si>
    <t>Duk-Byeong Park, Kwang-Woo Lee, Hyun-Suk Choi, Yooshik Yoon</t>
  </si>
  <si>
    <t>http://pdn.sciencedirect.com/science?_ob=MiamiImageURL&amp;_cid=271716&amp;_user=686465&amp;_pii=S0261517712000374&amp;_check=y&amp;_origin=search&amp;_zone=rslt_list_item&amp;_coverDate=2012-12-31&amp;wchp=dGLbVlB-zSkzV&amp;md5=1285fc734d6af2b7a37eb59551f86301&amp;pid=1-s2.0-S0261517712000374-main.pdf</t>
  </si>
  <si>
    <t>How do you perceive environmental change? Fuzzy Cognitive Mapping informing stakeholder analysis for environmental policy making and non-market valuation Supplementary content </t>
  </si>
  <si>
    <t>Areti D. Kontogianni, Elpiniki I. Papageorgiou, Christos Tourkolias</t>
  </si>
  <si>
    <t>http://pdn.sciencedirect.com/science?_ob=MiamiImageURL&amp;_cid=272229&amp;_user=686465&amp;_pii=S156849461200227X&amp;_check=y&amp;_origin=search&amp;_zone=rslt_list_item&amp;_coverDate=2012-12-31&amp;wchp=dGLbVlB-zSkzV&amp;md5=0d7d364b6bf177d76230659cbae2adce&amp;pid=1-s2.0-S156849461200227X-main.pdf</t>
  </si>
  <si>
    <t>A social network perspective on measurements of dominance hierarchies Supplementary content </t>
  </si>
  <si>
    <t>Daizaburo Shizuka, David B. McDonald</t>
  </si>
  <si>
    <t>http://pdn.sciencedirect.com/science?_ob=MiamiImageURL&amp;_cid=272524&amp;_user=686465&amp;_pii=S0003347212000310&amp;_check=y&amp;_origin=search&amp;_zone=rslt_list_item&amp;_coverDate=2012-04-30&amp;wchp=dGLbVlB-zSkzV&amp;md5=c87791d24be0061df7bf2db228d8c5b1&amp;pid=1-s2.0-S0003347212000310-main.pdf</t>
  </si>
  <si>
    <t>Effects of computer support, collaboration, and time lag on performance self-efficacy and transfer of training: A longitudinal meta-analysis</t>
  </si>
  <si>
    <t>Andreas Gegenfurtner, Koen Veermans, Marja Vauras</t>
  </si>
  <si>
    <t>http://pdn.sciencedirect.com/science?_ob=MiamiImageURL&amp;_cid=273542&amp;_user=686465&amp;_pii=S1747938X12000188&amp;_check=y&amp;_origin=search&amp;_zone=rslt_list_item&amp;_coverDate=2013-01-31&amp;wchp=dGLbVlB-zSkzV&amp;md5=126a61d2740fe8f8201bced86a39d6f2&amp;pid=1-s2.0-S1747938X12000188-main.pdf</t>
  </si>
  <si>
    <t>The effects of a player’s network centrality on resource accessibility, game enjoyment, and continuance intention: A study on online gaming communities</t>
  </si>
  <si>
    <t>Cheng-Chieh Hsiao, Jyh-Shen Chiou</t>
  </si>
  <si>
    <t>http://pdn.sciencedirect.com/science?_ob=MiamiImageURL&amp;_cid=272634&amp;_user=686465&amp;_pii=S1567422311000615&amp;_check=y&amp;_origin=search&amp;_zone=rslt_list_item&amp;_coverDate=2012-02-29&amp;wchp=dGLbVlB-zSkzV&amp;md5=1bcb0ffa96827d2892a835fc2492fb2e&amp;pid=1-s2.0-S1567422311000615-main.pdf</t>
  </si>
  <si>
    <t>The impact of online community position on online game continuance intention: Do game knowledge and community size matter?</t>
  </si>
  <si>
    <t>http://pdn.sciencedirect.com/science?_ob=MiamiImageURL&amp;_cid=271670&amp;_user=686465&amp;_pii=S0378720612000638&amp;_check=y&amp;_origin=search&amp;_zone=rslt_list_item&amp;_coverDate=2012-10-31&amp;wchp=dGLbVlB-zSkzV&amp;md5=3b2a1a866a66c8b21a1d881edbe998fb&amp;pid=1-s2.0-S0378720612000638-main.pdf</t>
  </si>
  <si>
    <t>Influence of participation, facilitator styles, and metacognitive reflection on knowledge building in online university courses</t>
  </si>
  <si>
    <t>Stefano Cacciamani, Donatella Cesareni, Francesca Martini, Tiziana Ferrini, Nobuko Fujita</t>
  </si>
  <si>
    <t>http://pdn.sciencedirect.com/science?_ob=MiamiImageURL&amp;_cid=271849&amp;_user=686465&amp;_pii=S0360131511002636&amp;_check=y&amp;_origin=search&amp;_zone=rslt_list_item&amp;_coverDate=2012-04-30&amp;wchp=dGLbVlB-zSkzV&amp;md5=7a430d9496566bf490f49d3a275bc2d2&amp;pid=1-s2.0-S0360131511002636-main.pdf</t>
  </si>
  <si>
    <t>An effective early fraud detection method for online auctions</t>
  </si>
  <si>
    <t>http://pdn.sciencedirect.com/science?_ob=MiamiImageURL&amp;_cid=272634&amp;_user=686465&amp;_pii=S1567422312000191&amp;_check=y&amp;_origin=search&amp;_zone=rslt_list_item&amp;_coverDate=2012-08-31&amp;wchp=dGLbVlB-zSkzV&amp;md5=fd963962ca1c865af1533633e05a56b2&amp;pid=1-s2.0-S1567422312000191-main.pdf</t>
  </si>
  <si>
    <t>Online activity recognition using evolving classifiers</t>
  </si>
  <si>
    <t>Fco. Javier Ord&amp;oacute;&amp;ntilde;ez, Jos&amp;eacute; Antonio Iglesias, Paula de Toledo, Agapito Ledezma, Araceli Sanchis</t>
  </si>
  <si>
    <t>http://pdn.sciencedirect.com/science?_ob=MiamiImageURL&amp;_cid=271506&amp;_user=686465&amp;_pii=S0957417412010275&amp;_check=y&amp;_origin=search&amp;_zone=rslt_list_item&amp;_coverDate=2013-03-31&amp;wchp=dGLbVlB-zSkzV&amp;md5=40a0a15457a7adc6482792bda9d30036&amp;pid=1-s2.0-S0957417412010275-main.pdf</t>
  </si>
  <si>
    <t>Users structure and behavior on an online social network during a political protest</t>
  </si>
  <si>
    <t>A.J. Morales, J.C. Losada, R.M. Benito</t>
  </si>
  <si>
    <t>http://pdn.sciencedirect.com/science?_ob=MiamiImageURL&amp;_cid=271529&amp;_user=686465&amp;_pii=S037843711200386X&amp;_check=y&amp;_origin=search&amp;_zone=rslt_list_item&amp;_coverDate=2012-11-01&amp;wchp=dGLbVlB-zSkzV&amp;md5=e9fd0a69bd3854def53101939fd13714&amp;pid=1-s2.0-S037843711200386X-main.pdf</t>
  </si>
  <si>
    <t>Assembly effect of groups in online social networks</t>
  </si>
  <si>
    <t>W. Fan, K.H. Yeung, K.Y. Wong</t>
  </si>
  <si>
    <t>http://pdn.sciencedirect.com/science?_ob=MiamiImageURL&amp;_cid=271529&amp;_user=686465&amp;_pii=S037843711200982X&amp;_check=y&amp;_origin=search&amp;_zone=rslt_list_item&amp;_coverDate=2013-03-01&amp;wchp=dGLbVlB-zSkzV&amp;md5=4f32831d79f6baf7664a55a76561735e&amp;pid=1-s2.0-S037843711200982X-main.pdf</t>
  </si>
  <si>
    <t>The impact of Arab cultural values on online social networking: The case of Facebook</t>
  </si>
  <si>
    <t>Khaled Saleh Al Omoush, Saad Ghaleb Yaseen, Mohammad Atwah Alma’aitah</t>
  </si>
  <si>
    <t>http://pdn.sciencedirect.com/science?_ob=MiamiImageURL&amp;_cid=271802&amp;_user=686465&amp;_pii=S0747563212002105&amp;_check=y&amp;_origin=search&amp;_zone=rslt_list_item&amp;_coverDate=2012-11-30&amp;wchp=dGLbVlB-zSkzV&amp;md5=45a25138e2f9319af68da6cb14db6760&amp;pid=1-s2.0-S0747563212002105-main.pdf</t>
  </si>
  <si>
    <t>Trust, distrust and lack of confidence of users in online social media-sharing communities</t>
  </si>
  <si>
    <t>Young Ae Kim, Muhammad A. Ahmad</t>
  </si>
  <si>
    <t>http://pdn.sciencedirect.com/science?_ob=MiamiImageURL&amp;_cid=271505&amp;_user=686465&amp;_pii=S0950705112002572&amp;_check=y&amp;_origin=search&amp;_zone=rslt_list_item&amp;_coverDate=2013-01-31&amp;wchp=dGLbVlB-zSkzV&amp;md5=2d282f05ffe0ab6cbe591c2cc47e099d&amp;pid=1-s2.0-S0950705112002572-main.pdf</t>
  </si>
  <si>
    <t>A temporal network analysis reveals the unprofitability of arbitrage in The Prosper Marketplace</t>
  </si>
  <si>
    <t>U. Redmond, P. Cunningham</t>
  </si>
  <si>
    <t>http://pdn.sciencedirect.com/science?_ob=MiamiImageURL&amp;_cid=271506&amp;_user=686465&amp;_pii=S0957417412013188&amp;_check=y&amp;_origin=search&amp;_zone=rslt_list_item&amp;_coverDate=2013-07-31&amp;wchp=dGLbVlB-zSkzV&amp;md5=40645c5704103cc1c0bf4aeb55fa4e43&amp;pid=1-s2.0-S0957417412013188-main.pdf</t>
  </si>
  <si>
    <t>Ubiquitous conference management system for mobile recommendation services based on mobilizing social networks: A case study of u-conference</t>
  </si>
  <si>
    <t>http://pdn.sciencedirect.com/science?_ob=MiamiImageURL&amp;_cid=271506&amp;_user=686465&amp;_pii=S0957417411005860&amp;_check=y&amp;_origin=search&amp;_zone=rslt_list_item&amp;_coverDate=2011-09-15&amp;wchp=dGLbVlB-zSkzV&amp;md5=90dc2b9686f692d99032fd53881abb65&amp;pid=1-s2.0-S0957417411005860-main.pdf</t>
  </si>
  <si>
    <t>Enhancing community detection using a network weighting strategy</t>
  </si>
  <si>
    <t>Pasquale De Meo, Emilio Ferrara, Giacomo Fiumara, Alessandro Provetti</t>
  </si>
  <si>
    <t>http://pdn.sciencedirect.com/science?_ob=MiamiImageURL&amp;_cid=271625&amp;_user=686465&amp;_pii=S0020025512005488&amp;_check=y&amp;_origin=search&amp;_zone=rslt_list_item&amp;_coverDate=2013-02-10&amp;wchp=dGLbVlB-zSkzV&amp;md5=c8ba3acd7e67462ba14f4a37236a0cde&amp;pid=1-s2.0-S0020025512005488-main.pdf</t>
  </si>
  <si>
    <t>Individuals’ personal network characteristics and patterns of Facebook use: A social network approach</t>
  </si>
  <si>
    <t>Namkee Park, Seungyoon Lee, Jang Hyun Kim</t>
  </si>
  <si>
    <t>http://pdn.sciencedirect.com/science?_ob=MiamiImageURL&amp;_cid=271802&amp;_user=686465&amp;_pii=S0747563212001136&amp;_check=y&amp;_origin=search&amp;_zone=rslt_list_item&amp;_coverDate=2012-09-30&amp;wchp=dGLbVlB-zSkzV&amp;md5=04664b8ff2dab0ec78d4ae3108763305&amp;pid=1-s2.0-S0747563212001136-main.pdf</t>
  </si>
  <si>
    <t>Impact and degree of user sociability in social media Supplementary content </t>
  </si>
  <si>
    <t>Hyoseop Shin, Jeehoon Lee</t>
  </si>
  <si>
    <t>http://pdn.sciencedirect.com/science?_ob=MiamiImageURL&amp;_cid=271625&amp;_user=686465&amp;_pii=S0020025512000680&amp;_check=y&amp;_origin=search&amp;_zone=rslt_list_item&amp;_coverDate=2012-08-01&amp;wchp=dGLbVlB-zSkzV&amp;md5=4b50adc40bb1e6e86d816370d4a0861d&amp;pid=1-s2.0-S0020025512000680-main.pdf</t>
  </si>
  <si>
    <t>Chapter 13 - Social Behavior, Cooperation, and Kinship</t>
  </si>
  <si>
    <t>Michael D. Breed, Janice Moore</t>
  </si>
  <si>
    <t>Animal Behavior</t>
  </si>
  <si>
    <t>Application of evolutionary computation techniques for the identification of innovators in open innovation communities</t>
  </si>
  <si>
    <t>http://pdn.sciencedirect.com/science?_ob=MiamiImageURL&amp;_cid=271506&amp;_user=686465&amp;_pii=S0957417412011943&amp;_check=y&amp;_origin=search&amp;_zone=rslt_list_item&amp;_coverDate=2013-06-01&amp;wchp=dGLbVlB-zSkzV&amp;md5=f3e7659529277367a47e1d4c53fff0c7&amp;pid=1-s2.0-S0957417412011943-main.pdf</t>
  </si>
  <si>
    <t>Participatory assessment of adaptation strategies to flood risk in the Upper Brahmaputra and Danube river basins Supplementary content </t>
  </si>
  <si>
    <t>Lucia Ceccato, Valentina Giannini, Carlo Giupponi</t>
  </si>
  <si>
    <t>Environmental Science &amp; Policy</t>
  </si>
  <si>
    <t>http://pdn.sciencedirect.com/science?_ob=MiamiImageURL&amp;_cid=271991&amp;_user=686465&amp;_pii=S146290111100092X&amp;_check=y&amp;_origin=search&amp;_zone=rslt_list_item&amp;_coverDate=2011-12-31&amp;wchp=dGLbVlB-zSkzV&amp;md5=af76d7a8e70807d5b20b8830aaa1bfe7&amp;pid=1-s2.0-S146290111100092X-main.pdf</t>
  </si>
  <si>
    <t>Structure and attribute index for approximate graph matching in large graphs</t>
  </si>
  <si>
    <t>Linhong Zhu, Wee Keong Ng, James Cheng</t>
  </si>
  <si>
    <t>http://pdn.sciencedirect.com/science?_ob=MiamiImageURL&amp;_cid=271528&amp;_user=686465&amp;_pii=S0306437911000433&amp;_check=y&amp;_origin=search&amp;_zone=rslt_list_item&amp;_coverDate=2011-09-30&amp;wchp=dGLbVlB-zSkzV&amp;md5=cde7e9271c143432520997511ca0b48a&amp;pid=1-s2.0-S0306437911000433-main.pdf</t>
  </si>
  <si>
    <t>Finding the needle: a risk-based ranking of product listings at online auction sites for non-delivery fraud prediction</t>
  </si>
  <si>
    <t>V. Almendra</t>
  </si>
  <si>
    <t>http://pdn.sciencedirect.com/science?_ob=MiamiImageURL&amp;_cid=271506&amp;_user=686465&amp;_pii=S0957417413001437&amp;_check=y&amp;_origin=search&amp;_zone=rslt_list_item&amp;_coverDate=2013-03-04&amp;wchp=dGLbVlB-zSkzV&amp;md5=0aa487e813f175f55fbbf7e7dd670237&amp;pid=1-s2.0-S0957417413001437-main.pdf</t>
  </si>
  <si>
    <t>Students' views of collaboration and online participation in Knowledge Forum</t>
  </si>
  <si>
    <t>Carol K.K. Chan, Yuen-Yan Chan</t>
  </si>
  <si>
    <t>http://pdn.sciencedirect.com/science?_ob=MiamiImageURL&amp;_cid=271849&amp;_user=686465&amp;_pii=S0360131510002551&amp;_check=y&amp;_origin=search&amp;_zone=rslt_list_item&amp;_coverDate=2011-08-31&amp;wchp=dGLbVlB-zSkzV&amp;md5=6afeb6e34b9e02908703a1a5ad7a5703&amp;pid=1-s2.0-S0360131510002551-main.pdf</t>
  </si>
  <si>
    <t>Relationship strength estimation for online social networks with the study on Facebook</t>
  </si>
  <si>
    <t>Xiaojian Zhao, Jin Yuan, Guangda Li, Xiaoming Chen, Zhoujun Li</t>
  </si>
  <si>
    <t>http://pdn.sciencedirect.com/science?_ob=MiamiImageURL&amp;_cid=271597&amp;_user=686465&amp;_pii=S092523121200152X&amp;_check=y&amp;_origin=search&amp;_zone=rslt_list_item&amp;_coverDate=2012-10-15&amp;wchp=dGLbVlB-zSkzV&amp;md5=1ab06c6b38398f58f60ac9861bd5f4a9&amp;pid=1-s2.0-S092523121200152X-main.pdf</t>
  </si>
  <si>
    <t>Modeling and predicting the popularity of online contents with Cox proportional hazard regression model</t>
  </si>
  <si>
    <t>Jong Gun Lee, Sue Moon, Kav&amp;eacute; Salamatian</t>
  </si>
  <si>
    <t>http://pdn.sciencedirect.com/science?_ob=MiamiImageURL&amp;_cid=271597&amp;_user=686465&amp;_pii=S0925231211004218&amp;_check=y&amp;_origin=search&amp;_zone=rslt_list_item&amp;_coverDate=2012-01-15&amp;wchp=dGLbVlB-zSkzV&amp;md5=f26b7cbc520581ba7b61748d5daea9a6&amp;pid=1-s2.0-S0925231211004218-main.pdf</t>
  </si>
  <si>
    <t>Key success factors for online auctions: Analysis of auctions of fashion clothing</t>
  </si>
  <si>
    <t>Chang-Lin Yang, Rong-Hwa Huang</t>
  </si>
  <si>
    <t>http://pdn.sciencedirect.com/science?_ob=MiamiImageURL&amp;_cid=271506&amp;_user=686465&amp;_pii=S0957417410014934&amp;_check=y&amp;_origin=search&amp;_zone=rslt_list_item&amp;_coverDate=2011-06-30&amp;wchp=dGLbVlB-zSkzV&amp;md5=c839e9248d4d791579127addd1ce3c30&amp;pid=1-s2.0-S0957417410014934-main.pdf</t>
  </si>
  <si>
    <t>Multi-aspect sentiment analysis for Chinese online social reviews based on topic modeling and HowNet lexicon</t>
  </si>
  <si>
    <t>Fu Xianghua, Liu Guo, Guo Yanyan, Wang Zhiqiang</t>
  </si>
  <si>
    <t>http://pdn.sciencedirect.com/science?_ob=MiamiImageURL&amp;_cid=271505&amp;_user=686465&amp;_pii=S0950705112002158&amp;_check=y&amp;_origin=search&amp;_zone=rslt_list_item&amp;_coverDate=2013-01-31&amp;wchp=dGLbVlB-zSkzV&amp;md5=ccd7cfcdca4e320fa6ab48b9e6f10940&amp;pid=1-s2.0-S0950705112002158-main.pdf</t>
  </si>
  <si>
    <t>Measuring product susceptibility in online product review social network</t>
  </si>
  <si>
    <t>Yunjie (Calvin) Xu, Cheng Zhang, Ling Xue</t>
  </si>
  <si>
    <t>http://pdn.sciencedirect.com/science?_ob=MiamiImageURL&amp;_cid=271653&amp;_user=686465&amp;_pii=S0167923613000183&amp;_check=y&amp;_origin=search&amp;_zone=rslt_list_item&amp;_coverDate=2013-01-10&amp;wchp=dGLbVlB-zSkzV&amp;md5=f72ba59ba4bedf26e565687903658ef9&amp;pid=1-s2.0-S0167923613000183-main.pdf</t>
  </si>
  <si>
    <t>A last updating evolution model for online social networks</t>
  </si>
  <si>
    <t>Zhan Bu, Zhengyou Xia, Jiandong Wang, Chengcui Zhang</t>
  </si>
  <si>
    <t>http://pdn.sciencedirect.com/science?_ob=MiamiImageURL&amp;_cid=271529&amp;_user=686465&amp;_pii=S0378437113000204&amp;_check=y&amp;_origin=search&amp;_zone=rslt_list_item&amp;_coverDate=2013-01-17&amp;wchp=dGLbVlB-zSkzV&amp;md5=441231716581bb5196e493a52ae94dd7&amp;pid=1-s2.0-S0378437113000204-main.pdf</t>
  </si>
  <si>
    <t>Convenience or credibility? A study of college student online research behaviors</t>
  </si>
  <si>
    <t>J. Patrick Biddix, Chung Joo Chung, Han Woo Park</t>
  </si>
  <si>
    <t>http://pdn.sciencedirect.com/science?_ob=MiamiImageURL&amp;_cid=272103&amp;_user=686465&amp;_pii=S1096751611000042&amp;_check=y&amp;_origin=search&amp;_zone=rslt_list_item&amp;_coverDate=2011-07-31&amp;wchp=dGLbVlB-zSkzV&amp;md5=f959e091b530e3e0298670b8cb373dfa&amp;pid=1-s2.0-S1096751611000042-main.pdf</t>
  </si>
  <si>
    <t>Amanda L. Traud, Peter J. Mucha, Mason A. Porter</t>
  </si>
  <si>
    <t>http://pdn.sciencedirect.com/science?_ob=MiamiImageURL&amp;_cid=271529&amp;_user=686465&amp;_pii=S0378437111009186&amp;_check=y&amp;_origin=search&amp;_zone=rslt_list_item&amp;_coverDate=2012-08-15&amp;wchp=dGLbVlB-zSkzV&amp;md5=0ab4648f8b65a28b851ce5dc756c87c3&amp;pid=1-s2.0-S0378437111009186-main.pdf</t>
  </si>
  <si>
    <t>Institutional and country collaboration in an online service of scientific profiles: Google Scholar Citations</t>
  </si>
  <si>
    <t>Jos&amp;eacute; Luis Ortega, Isidro F. Aguillo</t>
  </si>
  <si>
    <t>http://pdn.sciencedirect.com/science?_ob=MiamiImageURL&amp;_cid=273584&amp;_user=686465&amp;_pii=S1751157713000023&amp;_check=y&amp;_origin=search&amp;_zone=rslt_list_item&amp;_coverDate=2013-04-30&amp;wchp=dGLbVlB-zSkzV&amp;md5=7e2dc9608e43bda42f7de0937ac265c5&amp;pid=1-s2.0-S1751157713000023-main.pdf</t>
  </si>
  <si>
    <t>Reputation rating modeling for open environment lack of communication by using online social cognition</t>
  </si>
  <si>
    <t>Lei Jiang, Lixin Ding, Jianxun Liu, Jinjun Chen</t>
  </si>
  <si>
    <t>http://pdn.sciencedirect.com/science?_ob=MiamiImageURL&amp;_cid=272436&amp;_user=686465&amp;_pii=S1084804511000610&amp;_check=y&amp;_origin=search&amp;_zone=rslt_list_item&amp;_coverDate=2012-05-31&amp;wchp=dGLbVlB-zSkzV&amp;md5=b1ea22958a75b7d2331629c23745359d&amp;pid=1-s2.0-S1084804511000610-main.pdf</t>
  </si>
  <si>
    <t>Learning and best practices for learning in open-source software communities</t>
  </si>
  <si>
    <t>Vandana Singh, Lila Holt</t>
  </si>
  <si>
    <t>http://pdn.sciencedirect.com/science?_ob=MiamiImageURL&amp;_cid=271849&amp;_user=686465&amp;_pii=S0360131512002862&amp;_check=y&amp;_origin=search&amp;_zone=rslt_list_item&amp;_coverDate=2013-04-30&amp;wchp=dGLbVlB-zSkzV&amp;md5=1fa7b0f6fe814c66da5c400b64700c2d&amp;pid=1-s2.0-S0360131512002862-main.pdf</t>
  </si>
  <si>
    <t>Influence relation estimation based on lexical entrainment in conversation</t>
  </si>
  <si>
    <t>Tomoharu Iwata, Shinji Watanabe</t>
  </si>
  <si>
    <t>Speech Communication</t>
  </si>
  <si>
    <t>http://pdn.sciencedirect.com/science?_ob=MiamiImageURL&amp;_cid=271578&amp;_user=686465&amp;_pii=S0167639312001045&amp;_check=y&amp;_origin=search&amp;_zone=rslt_list_item&amp;_coverDate=2013-02-28&amp;wchp=dGLbVlB-zSkzV&amp;md5=2f37f974a91c45fe6da6191e16236f5c&amp;pid=1-s2.0-S0167639312001045-main.pdf</t>
  </si>
  <si>
    <t>A time-varying propagation model of hot topic on BBS sites and Blog networks</t>
  </si>
  <si>
    <t>Beibei Zhang, Xiaohong Guan, Muhammad Junaid Khan, Yadong Zhou</t>
  </si>
  <si>
    <t>http://pdn.sciencedirect.com/science?_ob=MiamiImageURL&amp;_cid=271625&amp;_user=686465&amp;_pii=S0020025511004828&amp;_check=y&amp;_origin=search&amp;_zone=rslt_list_item&amp;_coverDate=2012-03-15&amp;wchp=dGLbVlB-zSkzV&amp;md5=d0268aee14767e9f2e4dc8a9e56e3758&amp;pid=1-s2.0-S0020025511004828-main.pdf</t>
  </si>
  <si>
    <t>Unsupervised and supervised learning to evaluate event relatedness based on content mining from social-media streams</t>
  </si>
  <si>
    <t>Chung-Hong Lee</t>
  </si>
  <si>
    <t>http://pdn.sciencedirect.com/science?_ob=MiamiImageURL&amp;_cid=271506&amp;_user=686465&amp;_pii=S0957417412007841&amp;_check=y&amp;_origin=search&amp;_zone=rslt_list_item&amp;_coverDate=2012-12-15&amp;wchp=dGLbVlB-zSkzV&amp;md5=8e417dadbc086cc8a14e8bbc7e32d24b&amp;pid=1-s2.0-S0957417412007841-main.pdf</t>
  </si>
  <si>
    <t>Towards an understanding of the use of an institutional repository with integrated social networking tools: A case study of PocketKnowledge</t>
  </si>
  <si>
    <t>Stephen Asunka, Hui Soo Chae, Gary Natriello</t>
  </si>
  <si>
    <t>http://pdn.sciencedirect.com/science?_ob=MiamiImageURL&amp;_cid=272068&amp;_user=686465&amp;_pii=S074081881000109X&amp;_check=y&amp;_origin=search&amp;_zone=rslt_list_item&amp;_coverDate=2011-01-31&amp;wchp=dGLbVlB-zSkzV&amp;md5=678d7e68f13392352ddc0d96297cd9ee&amp;pid=1-s2.0-S074081881000109X-main.pdf</t>
  </si>
  <si>
    <t>Reputation evaluation for choosing a trustworthy counterparty in C2C e-commerce</t>
  </si>
  <si>
    <t>Fan Wu, Hsiao-Hui Li, Yo-Hsin Kuo</t>
  </si>
  <si>
    <t>http://pdn.sciencedirect.com/science?_ob=MiamiImageURL&amp;_cid=272634&amp;_user=686465&amp;_pii=S1567422310000803&amp;_check=y&amp;_origin=search&amp;_zone=rslt_list_item&amp;_coverDate=2011-08-31&amp;wchp=dGLbVlB-zSkzV&amp;md5=ae8922c841052e3d931043465342dba8&amp;pid=1-s2.0-S1567422310000803-main.pdf</t>
  </si>
  <si>
    <t>Effects of a soft cut-off on node-degree in the Twitter social network</t>
  </si>
  <si>
    <t>Saptarshi Ghosh, Ajitesh Srivastava, Niloy Ganguly</t>
  </si>
  <si>
    <t>http://pdn.sciencedirect.com/science?_ob=MiamiImageURL&amp;_cid=271515&amp;_user=686465&amp;_pii=S014036641200028X&amp;_check=y&amp;_origin=search&amp;_zone=rslt_list_item&amp;_coverDate=2012-04-01&amp;wchp=dGLbVlB-zSkzV&amp;md5=c3ae736c37e2debfb42fc10a5373d5e8&amp;pid=1-s2.0-S014036641200028X-main.pdf</t>
  </si>
  <si>
    <t>Context-Dependent Product Evaluations: An Empirical Analysis of Internet Book Reviews</t>
  </si>
  <si>
    <t>Ye Hu, Xinxin Li</t>
  </si>
  <si>
    <t>http://pdn.sciencedirect.com/science?_ob=MiamiImageURL&amp;_cid=277809&amp;_user=686465&amp;_pii=S1094996810000691&amp;_check=y&amp;_origin=search&amp;_zone=rslt_list_item&amp;_coverDate=2011-08-31&amp;wchp=dGLbVlB-zSkzV&amp;md5=9ce81f53e2a582708fab4274210768b9&amp;pid=1-s2.0-S1094996810000691-main.pdf</t>
  </si>
  <si>
    <t>An approach to measuring influence and cognitive similarity in computer-mediated communication</t>
  </si>
  <si>
    <t>http://pdn.sciencedirect.com/science?_ob=MiamiImageURL&amp;_cid=271802&amp;_user=686465&amp;_pii=S0747563211002433&amp;_check=y&amp;_origin=search&amp;_zone=rslt_list_item&amp;_coverDate=2012-03-31&amp;wchp=dGLbVlB-zSkzV&amp;md5=63f36c48b5bbb508206843246c273683&amp;pid=1-s2.0-S0747563211002433-main.pdf</t>
  </si>
  <si>
    <t>Online collaboration: Collaborative behavior patterns and factors affecting globally distributed team performance</t>
  </si>
  <si>
    <t>Fatma Cemile Ser&amp;ccedil;e, Kathleen Swigger, Ferda Nur Alpaslan, Robert Brazile, George Dafoulas, Victor Lopez</t>
  </si>
  <si>
    <t>http://pdn.sciencedirect.com/science?_ob=MiamiImageURL&amp;_cid=271802&amp;_user=686465&amp;_pii=S0747563210002931&amp;_check=y&amp;_origin=search&amp;_zone=rslt_list_item&amp;_coverDate=2011-01-31&amp;wchp=dGLbVlB-zSkzV&amp;md5=717bb392a7b25eae01d0ce3579d500c8&amp;pid=1-s2.0-S0747563210002931-main.pdf</t>
  </si>
  <si>
    <t>Topic correlation and individual influence analysis in online forums</t>
  </si>
  <si>
    <t>http://pdn.sciencedirect.com/science?_ob=MiamiImageURL&amp;_cid=271506&amp;_user=686465&amp;_pii=S0957417411014357&amp;_check=y&amp;_origin=search&amp;_zone=rslt_list_item&amp;_coverDate=2012-03-31&amp;wchp=dGLbVlB-zSkzV&amp;md5=161782626800a0814c23bc5c4f53ba56&amp;pid=1-s2.0-S0957417411014357-main.pdf</t>
  </si>
  <si>
    <t>Expertise ranking using activity and contextual link measures</t>
  </si>
  <si>
    <t>Daniel Schall</t>
  </si>
  <si>
    <t>http://pdn.sciencedirect.com/science?_ob=MiamiImageURL&amp;_cid=271546&amp;_user=686465&amp;_pii=S0169023X11001133&amp;_check=y&amp;_origin=search&amp;_zone=rslt_list_item&amp;_coverDate=2012-01-31&amp;wchp=dGLbVlB-zSkzV&amp;md5=7da5bc11af5e3b1751561c97bce8cb7a&amp;pid=1-s2.0-S0169023X11001133-main.pdf</t>
  </si>
  <si>
    <t>How does network structure affect partnerships for promoting physical activity? Evidence from Brazil and Colombia</t>
  </si>
  <si>
    <t>Diana C. Parra, Marsela Dauti, Jenine K. Harris, Lissette Reyes, Deborah C. Malta, Ross C. Brownson, Mario A. Quintero, Michael Pratt</t>
  </si>
  <si>
    <t>http://pdn.sciencedirect.com/science?_ob=MiamiImageURL&amp;_cid=271821&amp;_user=686465&amp;_pii=S0277953611005272&amp;_check=y&amp;_origin=search&amp;_zone=rslt_list_item&amp;_coverDate=2011-11-30&amp;wchp=dGLbVlB-zSkzV&amp;md5=5e588a2834a688ad6264773413974d24&amp;pid=1-s2.0-S0277953611005272-main.pdf</t>
  </si>
  <si>
    <t>Construction of a large-scale test set for author disambiguation</t>
  </si>
  <si>
    <t>In-Su Kang, Pyung Kim, Seungwoo Lee, Hanmin Jung, Beom-Jong You</t>
  </si>
  <si>
    <t>http://pdn.sciencedirect.com/science?_ob=MiamiImageURL&amp;_cid=271647&amp;_user=686465&amp;_pii=S0306457310000865&amp;_check=y&amp;_origin=search&amp;_zone=rslt_list_item&amp;_coverDate=2011-05-31&amp;wchp=dGLbVlB-zSkzV&amp;md5=2650ee8b7c6c306c4b4a2bdc0ae63428&amp;pid=1-s2.0-S0306457310000865-main.pdf</t>
  </si>
  <si>
    <t>Social networks – The future for health care delivery</t>
  </si>
  <si>
    <t>Frances Griffiths, Jonathan Cave, Felicity Boardman, Justin Ren, Teresa Pawlikowska, Robin Ball, Aileen Clarke, Alan Cohen</t>
  </si>
  <si>
    <t>http://pdn.sciencedirect.com/science?_ob=MiamiImageURL&amp;_cid=271821&amp;_user=686465&amp;_pii=S0277953612006302&amp;_check=y&amp;_origin=search&amp;_zone=rslt_list_item&amp;_coverDate=2012-12-31&amp;wchp=dGLbVlB-zSkzV&amp;md5=3ccba2b9a87407479d777d6ac7a5d8f2&amp;pid=1-s2.0-S0277953612006302-main.pdf</t>
  </si>
  <si>
    <t>A trust prediction framework in rating-based experience sharing social networks without a Web of Trust</t>
  </si>
  <si>
    <t>Young Ae Kim, Rasik Phalak</t>
  </si>
  <si>
    <t>http://pdn.sciencedirect.com/science?_ob=MiamiImageURL&amp;_cid=271625&amp;_user=686465&amp;_pii=S0020025511006700&amp;_check=y&amp;_origin=search&amp;_zone=rslt_list_item&amp;_coverDate=2012-05-15&amp;wchp=dGLbVlB-zSkzV&amp;md5=1dc53b6225ac9a2373638d6d7c4d6fe4&amp;pid=1-s2.0-S0020025511006700-main.pdf</t>
  </si>
  <si>
    <t>Improving information security management: An analysis of ID–password usage and a new login vulnerability measure</t>
  </si>
  <si>
    <t>Youngsok Bang, Dong-Joo Lee, Yoon-Soo Bae, Jae-Hyeon Ahn</t>
  </si>
  <si>
    <t>http://pdn.sciencedirect.com/science?_ob=MiamiImageURL&amp;_cid=271677&amp;_user=686465&amp;_pii=S0268401212000023&amp;_check=y&amp;_origin=search&amp;_zone=rslt_list_item&amp;_coverDate=2012-10-31&amp;wchp=dGLbVlB-zSkzV&amp;md5=2cc846f7e5effb3c7d36d6603b00eb2b&amp;pid=1-s2.0-S0268401212000023-main.pdf</t>
  </si>
  <si>
    <t>Information exchange in virtual communities under extreme disaster conditions</t>
  </si>
  <si>
    <t>Yong Lu, Dan Yang</t>
  </si>
  <si>
    <t>http://pdn.sciencedirect.com/science?_ob=MiamiImageURL&amp;_cid=271653&amp;_user=686465&amp;_pii=S0167923610001922&amp;_check=y&amp;_origin=search&amp;_zone=rslt_list_item&amp;_coverDate=2011-01-31&amp;wchp=dGLbVlB-zSkzV&amp;md5=62992033e3f5e33c36d178ffe5c38cd4&amp;pid=1-s2.0-S0167923610001922-main.pdf</t>
  </si>
  <si>
    <t>Purchasing behavior in social virtual worlds: An examination of Habbo Hotel</t>
  </si>
  <si>
    <t>Matti M&amp;auml;ntym&amp;auml;ki, Jari Salo</t>
  </si>
  <si>
    <t>http://pdn.sciencedirect.com/science?_ob=MiamiImageURL&amp;_cid=271677&amp;_user=686465&amp;_pii=S0268401212001715&amp;_check=y&amp;_origin=search&amp;_zone=rslt_list_item&amp;_coverDate=2013-04-30&amp;wchp=dGLbVlB-zSkzV&amp;md5=65a29e18a64732674e9a11a2e610196b&amp;pid=1-s2.0-S0268401212001715-main.pdf</t>
  </si>
  <si>
    <t>Measurement error in network data: A re-classification</t>
  </si>
  <si>
    <t>Dan J. Wang, Xiaolin Shi, Daniel A. McFarland, Jure Leskovec</t>
  </si>
  <si>
    <t>http://pdn.sciencedirect.com/science?_ob=MiamiImageURL&amp;_cid=271850&amp;_user=686465&amp;_pii=S0378873312000056&amp;_check=y&amp;_origin=search&amp;_zone=rslt_list_item&amp;_coverDate=2012-10-31&amp;wchp=dGLbVlB-zSkzV&amp;md5=a736c169dc7054d48b88c5d356805fd4&amp;pid=1-s2.0-S0378873312000056-main.pdf</t>
  </si>
  <si>
    <t>Recommendation as link prediction in bipartite graphs: A graph kernel-based machine learning approach</t>
  </si>
  <si>
    <t>Xin Li, Hsinchun Chen</t>
  </si>
  <si>
    <t>http://pdn.sciencedirect.com/science?_ob=MiamiImageURL&amp;_cid=271653&amp;_user=686465&amp;_pii=S0167923612002540&amp;_check=y&amp;_origin=search&amp;_zone=rslt_list_item&amp;_coverDate=2013-01-31&amp;wchp=dGLbVlB-zSkzV&amp;md5=ba46d70f8828f6fa3baab1b8c28233d0&amp;pid=1-s2.0-S0167923612002540-main.pdf</t>
  </si>
  <si>
    <t>User attractor: An operator for the evaluation of social influence</t>
  </si>
  <si>
    <t>Fei Hao, Zheng Pei, Chunsheng Zhu, Guojun Wang, Laurence T. Yang</t>
  </si>
  <si>
    <t>http://pdn.sciencedirect.com/science?_ob=MiamiImageURL&amp;_cid=271521&amp;_user=686465&amp;_pii=S0167739X12000957&amp;_check=y&amp;_origin=search&amp;_zone=rslt_list_item&amp;_coverDate=2012-05-17&amp;wchp=dGLbVlB-zSkzV&amp;md5=f686a10d9c9a24a71a29b7f0376f48de&amp;pid=1-s2.0-S0167739X12000957-main.pdf</t>
  </si>
  <si>
    <t>Fast and accurate link prediction in social networking systems</t>
  </si>
  <si>
    <t>Alexis Papadimitriou, Panagiotis Symeonidis, Yannis Manolopoulos</t>
  </si>
  <si>
    <t>http://pdn.sciencedirect.com/science?_ob=MiamiImageURL&amp;_cid=271629&amp;_user=686465&amp;_pii=S0164121212001069&amp;_check=y&amp;_origin=search&amp;_zone=rslt_list_item&amp;_coverDate=2012-09-30&amp;wchp=dGLbVlB-zSkzV&amp;md5=378250dc1590015dda0f44575e918e4d&amp;pid=1-s2.0-S0164121212001069-main.pdf</t>
  </si>
  <si>
    <t>Assessment of H1N1 questions and answers posted on the Web</t>
  </si>
  <si>
    <t>Sujin Kim, Thomas Pinkerton, Nithya Ganesh</t>
  </si>
  <si>
    <t>http://pdn.sciencedirect.com/science?_ob=MiamiImageURL&amp;_cid=272359&amp;_user=686465&amp;_pii=S0196655311003178&amp;_check=y&amp;_origin=search&amp;_zone=rslt_list_item&amp;_coverDate=2012-04-30&amp;wchp=dGLbVlB-zSkzV&amp;md5=c9141eec802875d613d2a30fe9fc9eb1&amp;pid=1-s2.0-S0196655311003178-main.pdf</t>
  </si>
  <si>
    <t>The dark side of the Internet: Attacks, costs and responses</t>
  </si>
  <si>
    <t>Won Kim, Ok-Ran Jeong, Chulyun Kim, Jungmin So</t>
  </si>
  <si>
    <t>http://pdn.sciencedirect.com/science?_ob=MiamiImageURL&amp;_cid=271528&amp;_user=686465&amp;_pii=S0306437910001328&amp;_check=y&amp;_origin=search&amp;_zone=rslt_list_item&amp;_coverDate=2011-05-31&amp;wchp=dGLbVlB-zSkzV&amp;md5=22a9f8032f60e6f3475434b44c4c8065&amp;pid=1-s2.0-S0306437910001328-main.pdf</t>
  </si>
  <si>
    <t>Trust beyond reputation: A computational trust model based on stereotypes</t>
  </si>
  <si>
    <t>Xin Liu, Anwitaman Datta, Krzysztof Rzadca</t>
  </si>
  <si>
    <t>http://pdn.sciencedirect.com/science?_ob=MiamiImageURL&amp;_cid=272634&amp;_user=686465&amp;_pii=S156742231200049X&amp;_check=y&amp;_origin=search&amp;_zone=rslt_list_item&amp;_coverDate=2013-02-28&amp;wchp=dGLbVlB-zSkzV&amp;md5=324ce5d53dee6788ce14d290aaf613d3&amp;pid=1-s2.0-S156742231200049X-main.pdf</t>
  </si>
  <si>
    <t>The community of inquiry instrument: Validation and results in online health care disciplines</t>
  </si>
  <si>
    <t>S. Carlon, D. Bennett-Woods, B. Berg, L. Claywell, K. LeDuc, N. Marcisz, M. Mulhall, T. Noteboom, T. Snedden, K. Whalen, L. Zenoni</t>
  </si>
  <si>
    <t>http://pdn.sciencedirect.com/science?_ob=MiamiImageURL&amp;_cid=271849&amp;_user=686465&amp;_pii=S036013151200005X&amp;_check=y&amp;_origin=search&amp;_zone=rslt_list_item&amp;_coverDate=2012-09-30&amp;wchp=dGLbVlB-zSkzV&amp;md5=a22d842cc0deb71d57628630c367af0c&amp;pid=1-s2.0-S036013151200005X-main.pdf</t>
  </si>
  <si>
    <t>On the network effect in Web 2.0 applications</t>
  </si>
  <si>
    <t>Charu C. Aggarwal, Philip S. Yu</t>
  </si>
  <si>
    <t>http://pdn.sciencedirect.com/science?_ob=MiamiImageURL&amp;_cid=272634&amp;_user=686465&amp;_pii=S156742231100069X&amp;_check=y&amp;_origin=search&amp;_zone=rslt_list_item&amp;_coverDate=2012-04-30&amp;wchp=dGLbVlB-zSkzV&amp;md5=96950d8c26fe1f0aef98f3a23807bbc7&amp;pid=1-s2.0-S156742231100069X-main.pdf</t>
  </si>
  <si>
    <t>http://pdn.sciencedirect.com/science?_ob=MiamiImageURL&amp;_cid=277811&amp;_user=686465&amp;_pii=S1877042811013723&amp;_check=y&amp;_origin=search&amp;_zone=rslt_list_item&amp;_coverDate=2011-12-31&amp;wchp=dGLbVlB-zSkzV&amp;md5=eacf3afef72b584620eae9802ab7e5e7&amp;pid=1-s2.0-S1877042811013723-main.pdf</t>
  </si>
  <si>
    <t>SocialBROKER: A collaborative social space for gathering semantically-enhanced financial information</t>
  </si>
  <si>
    <t>Angel Esteban-Gil, Francisco Garcia-Sanchez, Rafael Valencia-Garcia, Jesualdo T. Fernandez-Breis</t>
  </si>
  <si>
    <t>http://pdn.sciencedirect.com/science?_ob=MiamiImageURL&amp;_cid=271506&amp;_user=686465&amp;_pii=S0957417412003375&amp;_check=y&amp;_origin=search&amp;_zone=rslt_list_item&amp;_coverDate=2012-08-31&amp;wchp=dGLbVlB-zSkzV&amp;md5=15de6b9eed8146b33a99c485a01dee3e&amp;pid=1-s2.0-S0957417412003375-main.pdf</t>
  </si>
  <si>
    <t>Janet M. Box-Steffensmeier, Dino P. Christenson</t>
  </si>
  <si>
    <t>http://pdn.sciencedirect.com/science?_ob=MiamiImageURL&amp;_cid=271850&amp;_user=686465&amp;_pii=S0378873312000457&amp;_check=y&amp;_origin=search&amp;_zone=rslt_list_item&amp;_coverDate=2012-08-14&amp;wchp=dGLbVlB-zSkzV&amp;md5=9bd48a604d1dffcf7b4aacf63981c42d&amp;pid=1-s2.0-S0378873312000457-main.pdf</t>
  </si>
  <si>
    <t>How Does Brand-related User-generated Content Differ across YouTube, Facebook, and Twitter?</t>
  </si>
  <si>
    <t>Andrew N. Smith, Eileen Fischer, Chen Yongjian</t>
  </si>
  <si>
    <t>http://pdn.sciencedirect.com/science?_ob=MiamiImageURL&amp;_cid=277809&amp;_user=686465&amp;_pii=S1094996812000059&amp;_check=y&amp;_origin=search&amp;_zone=rslt_list_item&amp;_coverDate=2012-05-31&amp;wchp=dGLbVlB-zSkzV&amp;md5=219d0019fd86af0a381828d920baf767&amp;pid=1-s2.0-S1094996812000059-main.pdf</t>
  </si>
  <si>
    <t>A novel approach to hybrid recommendation systems based on association rules mining for content recommendation in asynchronous discussion groups</t>
  </si>
  <si>
    <t>Ahmad A. Kardan, Mahnaz Ebrahimi</t>
  </si>
  <si>
    <t>http://pdn.sciencedirect.com/science?_ob=MiamiImageURL&amp;_cid=271625&amp;_user=686465&amp;_pii=S0020025512004756&amp;_check=y&amp;_origin=search&amp;_zone=rslt_list_item&amp;_coverDate=2013-01-10&amp;wchp=dGLbVlB-zSkzV&amp;md5=325aba716ee4cf8b3a63ce99a232e667&amp;pid=1-s2.0-S0020025512004756-main.pdf</t>
  </si>
  <si>
    <t>The role of social media in higher education classes (real and virtual) – A literature review</t>
  </si>
  <si>
    <t>Paul A. Tess</t>
  </si>
  <si>
    <t>http://pdn.sciencedirect.com/science?_ob=MiamiImageURL&amp;_cid=271802&amp;_user=686465&amp;_pii=S0747563212003743&amp;_check=y&amp;_origin=search&amp;_zone=rslt_list_item&amp;_coverDate=2013-01-26&amp;wchp=dGLbVlB-zSkzV&amp;md5=00a7ce5eed1cccd5889394c362edae7c&amp;pid=1-s2.0-S0747563212003743-main.pdf</t>
  </si>
  <si>
    <t>An expert system for an emergency response management in Networked Safe Service Systems</t>
  </si>
  <si>
    <t>X. Liu, W. Li, Y.L. Tu, W.J. Zhang</t>
  </si>
  <si>
    <t>http://pdn.sciencedirect.com/science?_ob=MiamiImageURL&amp;_cid=271506&amp;_user=686465&amp;_pii=S0957417411004969&amp;_check=y&amp;_origin=search&amp;_zone=rslt_list_item&amp;_coverDate=2011-09-30&amp;wchp=dGLbVlB-zSkzV&amp;md5=eed7af4ff2fee2fef0ee95f2ba19b47d&amp;pid=1-s2.0-S0957417411004969-main.pdf</t>
  </si>
  <si>
    <t>Ego network models for Future Internet social networking environments</t>
  </si>
  <si>
    <t>Andrea Passarella, Robin I.M. Dunbar, Marco Conti, Fabio Pezzoni</t>
  </si>
  <si>
    <t>http://pdn.sciencedirect.com/science?_ob=MiamiImageURL&amp;_cid=271515&amp;_user=686465&amp;_pii=S0140366412002642&amp;_check=y&amp;_origin=search&amp;_zone=rslt_list_item&amp;_coverDate=2012-11-01&amp;wchp=dGLbVlB-zSkzV&amp;md5=c78880d0362499a35fffb045dc5f3c3c&amp;pid=1-s2.0-S0140366412002642-main.pdf</t>
  </si>
  <si>
    <t>Research performance of centers of expertise for rare diseases—The influence of network integration, internal resource access and operational experience</t>
  </si>
  <si>
    <t>Henrike Hannemann-Weber, Maura Kessel, Carsten Schultz</t>
  </si>
  <si>
    <t>http://pdn.sciencedirect.com/science?_ob=MiamiImageURL&amp;_cid=271761&amp;_user=686465&amp;_pii=S0168851012000358&amp;_check=y&amp;_origin=search&amp;_zone=rslt_list_item&amp;_coverDate=2012-05-31&amp;wchp=dGLbVlB-zSkzV&amp;md5=4534dd1ac750cf203cb9f36521a3f480&amp;pid=1-s2.0-S0168851012000358-main.pdf</t>
  </si>
  <si>
    <t>Usage, barriers and measurement of social media marketing: An exploratory investigation of small and medium B2B brands</t>
  </si>
  <si>
    <t>Nina Michaelidou, Nikoletta Theofania Siamagka, George Christodoulides</t>
  </si>
  <si>
    <t>http://pdn.sciencedirect.com/science?_ob=MiamiImageURL&amp;_cid=271714&amp;_user=686465&amp;_pii=S0019850111001374&amp;_check=y&amp;_origin=search&amp;_zone=rslt_list_item&amp;_coverDate=2011-10-31&amp;wchp=dGLbVlB-zSkzV&amp;md5=48e2de975eb20fec45cfee3b94817fc3&amp;pid=1-s2.0-S0019850111001374-main.pdf</t>
  </si>
  <si>
    <t>Temporal networks</t>
  </si>
  <si>
    <t>Petter Holme, Jari Saram&amp;auml;ki</t>
  </si>
  <si>
    <t>http://pdn.sciencedirect.com/science?_ob=MiamiImageURL&amp;_cid=271542&amp;_user=686465&amp;_pii=S0370157312000841&amp;_check=y&amp;_origin=search&amp;_zone=rslt_list_item&amp;_coverDate=2012-10-31&amp;wchp=dGLbVlB-zSkzV&amp;md5=6c98e64dc171ce6d15a4030161860994&amp;pid=1-s2.0-S0370157312000841-main.pdf</t>
  </si>
  <si>
    <t>CAF: Community aware framework for large scale mobile opportunistic networks</t>
  </si>
  <si>
    <t>Abderrahmen Mtibaa, Khaled A. Harras</t>
  </si>
  <si>
    <t>http://pdn.sciencedirect.com/science?_ob=MiamiImageURL&amp;_cid=271515&amp;_user=686465&amp;_pii=S0140366412003088&amp;_check=y&amp;_origin=search&amp;_zone=rslt_list_item&amp;_coverDate=2013-01-01&amp;wchp=dGLbVlB-zSkzV&amp;md5=82d64dec25adba7f388da8bf8a299a95&amp;pid=1-s2.0-S0140366412003088-main.pdf</t>
  </si>
  <si>
    <t>The dynamic nature of trust transfer: Measurement and the influence of reciprocity</t>
  </si>
  <si>
    <t>Blanca L. Delgado-M&amp;aacute;rquez, Nuria E. Hurtado-Torres, J. Alberto Arag&amp;oacute;n-Correa</t>
  </si>
  <si>
    <t>http://pdn.sciencedirect.com/science?_ob=MiamiImageURL&amp;_cid=271653&amp;_user=686465&amp;_pii=S0167923612001194&amp;_check=y&amp;_origin=search&amp;_zone=rslt_list_item&amp;_coverDate=2012-12-31&amp;wchp=dGLbVlB-zSkzV&amp;md5=c9ac884afc54e0ccd636a6062597a3b9&amp;pid=1-s2.0-S0167923612001194-main.pdf</t>
  </si>
  <si>
    <t>The topology of collective leadership</t>
  </si>
  <si>
    <t>Noshir S. Contractor, Leslie A. DeChurch, Jay Carson, Dorothy R. Carter, Brian Keegan</t>
  </si>
  <si>
    <t>http://pdn.sciencedirect.com/science?_ob=MiamiImageURL&amp;_cid=272081&amp;_user=686465&amp;_pii=S1048984312000999&amp;_check=y&amp;_origin=search&amp;_zone=rslt_list_item&amp;_coverDate=2012-12-31&amp;wchp=dGLbVlB-zSkzV&amp;md5=b2ffc367969405c42371f4160d51ed82&amp;pid=1-s2.0-S1048984312000999-main.pdf</t>
  </si>
  <si>
    <t>Characteristics of information diffusion in blogs, in relation to information source type</t>
  </si>
  <si>
    <t>Kazuhiro Kazama, Miyuki Imada, Keiichiro Kashiwagi</t>
  </si>
  <si>
    <t>http://pdn.sciencedirect.com/science?_ob=MiamiImageURL&amp;_cid=271597&amp;_user=686465&amp;_pii=S0925231211004024&amp;_check=y&amp;_origin=search&amp;_zone=rslt_list_item&amp;_coverDate=2012-01-15&amp;wchp=dGLbVlB-zSkzV&amp;md5=bc0a876616e354e27a3723e4a3bdbbfc&amp;pid=1-s2.0-S0925231211004024-main.pdf</t>
  </si>
  <si>
    <t>Understanding Web 2.0 service models: A knowledge-creating perspective</t>
  </si>
  <si>
    <t>Shari S.C. Shang, Eldon Y. Li, Ya-Ling Wu, Oliver C.L. Hou</t>
  </si>
  <si>
    <t>http://pdn.sciencedirect.com/science?_ob=MiamiImageURL&amp;_cid=271670&amp;_user=686465&amp;_pii=S0378720611000371&amp;_check=y&amp;_origin=search&amp;_zone=rslt_list_item&amp;_coverDate=2011-05-31&amp;wchp=dGLbVlB-zSkzV&amp;md5=23cd5d6bbdbcc8a1d74315eb91734346&amp;pid=1-s2.0-S0378720611000371-main.pdf</t>
  </si>
  <si>
    <t>Facebook or Fakebook? The effects of simulated mobile applications on simulated mobile networks</t>
  </si>
  <si>
    <t>Iain Parris, Fehmi Ben Abdesslem, Tristan Henderson</t>
  </si>
  <si>
    <t>http://pdn.sciencedirect.com/science?_ob=MiamiImageURL&amp;_cid=272922&amp;_user=686465&amp;_pii=S1570870512001035&amp;_check=y&amp;_origin=search&amp;_zone=rslt_list_item&amp;_coverDate=2012-06-01&amp;wchp=dGLbVlB-zSkzV&amp;md5=90a220192a0595ea79ce294dc3f709e4&amp;pid=1-s2.0-S1570870512001035-main.pdf</t>
  </si>
  <si>
    <t>Towards a predictive cache replacement strategy for multimedia content</t>
  </si>
  <si>
    <t>Jeroen Famaey, Fr&amp;eacute;d&amp;eacute;ric Iterbeke, Tim Wauters, Filip De Turck</t>
  </si>
  <si>
    <t>http://pdn.sciencedirect.com/science?_ob=MiamiImageURL&amp;_cid=272436&amp;_user=686465&amp;_pii=S1084804512001919&amp;_check=y&amp;_origin=search&amp;_zone=rslt_list_item&amp;_coverDate=2013-01-31&amp;wchp=dGLbVlB-zSkzV&amp;md5=aff4901b73cf14caeb768603b4bf9247&amp;pid=1-s2.0-S1084804512001919-main.pdf</t>
  </si>
  <si>
    <t>Time as a limited resource: Communication strategy in mobile phone networks</t>
  </si>
  <si>
    <t>Giovanna Miritello, Esteban Moro, Rub&amp;eacute;n Lara, Roc&amp;iacute;o Mart&amp;iacute;nez-L&amp;oacute;pez, John Belchamber, Sam G.B. Roberts, Robin I.M. Dunbar</t>
  </si>
  <si>
    <t>http://pdn.sciencedirect.com/science?_ob=MiamiImageURL&amp;_cid=271850&amp;_user=686465&amp;_pii=S037887331300004X&amp;_check=y&amp;_origin=search&amp;_zone=rslt_list_item&amp;_coverDate=2013-02-08&amp;wchp=dGLbVlB-zSkzV&amp;md5=4e024314a3bf8f84fb1a010bc81a26c5&amp;pid=1-s2.0-S037887331300004X-main.pdf</t>
  </si>
  <si>
    <t>Second order centrality: Distributed assessment of nodes criticity in complex networks</t>
  </si>
  <si>
    <t>Anne-Marie Kermarrec, Erwan Le Merrer, Bruno Sericola, Gilles Tr&amp;eacute;dan</t>
  </si>
  <si>
    <t>http://pdn.sciencedirect.com/science?_ob=MiamiImageURL&amp;_cid=271515&amp;_user=686465&amp;_pii=S0140366410002689&amp;_check=y&amp;_origin=search&amp;_zone=rslt_list_item&amp;_coverDate=2011-04-15&amp;wchp=dGLbVlB-zSkzV&amp;md5=fd20a9917e98918534425c02b5d8f1b3&amp;pid=1-s2.0-S0140366410002689-main.pdf</t>
  </si>
  <si>
    <t>Research challenges towards the Future Internet</t>
  </si>
  <si>
    <t>Marco Conti, Song Chong, Serge Fdida, Weijia Jia, Holger Karl, Ying-Dar Lin, Petri M&amp;auml;h&amp;ouml;nen, Martin Maier, Refik Molva, Steve Uhlig, Moshe Zukerman</t>
  </si>
  <si>
    <t>http://pdn.sciencedirect.com/science?_ob=MiamiImageURL&amp;_cid=271515&amp;_user=686465&amp;_pii=S0140366411002714&amp;_check=y&amp;_origin=search&amp;_zone=rslt_list_item&amp;_coverDate=2011-12-01&amp;wchp=dGLbVlB-zSkzV&amp;md5=400eeef1818a93cd23ba618da5749df2&amp;pid=1-s2.0-S0140366411002714-main.pdf</t>
  </si>
  <si>
    <t>The role of consumers' network positions on information-seeking behavior of experts and novices: A power perspective</t>
  </si>
  <si>
    <t>Seung Hwan (Mark) Lee</t>
  </si>
  <si>
    <t>http://pdn.sciencedirect.com/science?_ob=MiamiImageURL&amp;_cid=271680&amp;_user=686465&amp;_pii=S0148296312001890&amp;_check=y&amp;_origin=search&amp;_zone=rslt_list_item&amp;_coverDate=2012-07-20&amp;wchp=dGLbVlB-zSkzV&amp;md5=32214899ebeb5ab751c4026025f79948&amp;pid=1-s2.0-S0148296312001890-main.pdf</t>
  </si>
  <si>
    <t>Internet-Based Depression Prevention over the Life Course: A Call for Behavioral Vaccines</t>
  </si>
  <si>
    <t>Benjamin W. Van Voorhees, Nicholas Mahoney, Rina Mazo, Alinne Z. Barrera, Christopher P. Siemer, Tracy R.G. Gladstone, Ricardo F. Mu&amp;ntilde;oz</t>
  </si>
  <si>
    <t>Psychiatric Clinics of North America</t>
  </si>
  <si>
    <t>http://pdn.sciencedirect.com/science?_ob=MiamiImageURL&amp;_cid=273368&amp;_user=686465&amp;_pii=S0193953X10000948&amp;_check=y&amp;_origin=search&amp;_zone=rslt_list_item&amp;_coverDate=2011-03-31&amp;wchp=dGLbVlB-zSkzV&amp;md5=e7e568c2d171709be513dad929970382&amp;pid=1-s2.0-S0193953X10000948-main.pdf</t>
  </si>
  <si>
    <t>Finding research trend of convergence technology based on Korean R&amp;D network</t>
  </si>
  <si>
    <t>Jae Hoon Jin, Sang Chan Park, Chong Un Pyon</t>
  </si>
  <si>
    <t>http://pdn.sciencedirect.com/science?_ob=MiamiImageURL&amp;_cid=271506&amp;_user=686465&amp;_pii=S0957417411008724&amp;_check=y&amp;_origin=search&amp;_zone=rslt_list_item&amp;_coverDate=2011-12-31&amp;wchp=dGLbVlB-zSkzV&amp;md5=753da67074eb7e71dd3ca3f619565b1e&amp;pid=1-s2.0-S0957417411008724-main.pdf</t>
  </si>
  <si>
    <t>Opportunistic social dissemination of micro-blogs</t>
  </si>
  <si>
    <t>S.M. Allen, M.J. Chorley, G.B. Colombo, R.M. Whitaker</t>
  </si>
  <si>
    <t>http://pdn.sciencedirect.com/science?_ob=MiamiImageURL&amp;_cid=272922&amp;_user=686465&amp;_pii=S1570870511001016&amp;_check=y&amp;_origin=search&amp;_zone=rslt_list_item&amp;_coverDate=2012-11-30&amp;wchp=dGLbVlB-zSkzV&amp;md5=9b24bb1a9cc83402ffa4a91b5c66548a&amp;pid=1-s2.0-S1570870511001016-main.pdf</t>
  </si>
  <si>
    <t>An Empirical Investigation of Dual Network Effects in Innovation Project Development</t>
  </si>
  <si>
    <t>Sangkil Moon</t>
  </si>
  <si>
    <t>http://pdn.sciencedirect.com/science?_ob=MiamiImageURL&amp;_cid=277809&amp;_user=686465&amp;_pii=S1094996811000247&amp;_check=y&amp;_origin=search&amp;_zone=rslt_list_item&amp;_coverDate=2011-11-30&amp;wchp=dGLbVlB-zSkzV&amp;md5=23fee272c6271cc0ca789c950a6f202a&amp;pid=1-s2.0-S1094996811000247-main.pdf</t>
  </si>
  <si>
    <t>The Solaria syndrome: Social capital in a growing hyper-technological economy</t>
  </si>
  <si>
    <t>Angelo Antoci, Fabio Sabatini, Mauro Sodini</t>
  </si>
  <si>
    <t>http://pdn.sciencedirect.com/science?_ob=MiamiImageURL&amp;_cid=271649&amp;_user=686465&amp;_pii=S0167268111000308&amp;_check=y&amp;_origin=search&amp;_zone=rslt_list_item&amp;_coverDate=2012-03-31&amp;wchp=dGLbVlB-zSkzV&amp;md5=e6c64f9e68e07fcf025910ff05e1120d&amp;pid=1-s2.0-S0167268111000308-main.pdf</t>
  </si>
  <si>
    <t>A routing protocol for socially selfish delay tolerant networks</t>
  </si>
  <si>
    <t>Qinghua Li, Wei Gao, Sencun Zhu, Guohong Cao</t>
  </si>
  <si>
    <t>http://pdn.sciencedirect.com/science?_ob=MiamiImageURL&amp;_cid=272922&amp;_user=686465&amp;_pii=S1570870511001570&amp;_check=y&amp;_origin=search&amp;_zone=rslt_list_item&amp;_coverDate=2012-11-30&amp;wchp=dGLbVlB-zSkzV&amp;md5=ec3f78361bbf8c7877f26ad6dde744a4&amp;pid=1-s2.0-S1570870511001570-main.pdf</t>
  </si>
  <si>
    <t>Professional networks, scientific collaboration, and publication productivity in resource-constrained research institutions in a developing country</t>
  </si>
  <si>
    <t>Marcus Antonius Ynalvez, Wesley M. Shrum</t>
  </si>
  <si>
    <t>http://pdn.sciencedirect.com/science?_ob=MiamiImageURL&amp;_cid=271666&amp;_user=686465&amp;_pii=S0048733310002131&amp;_check=y&amp;_origin=search&amp;_zone=rslt_list_item&amp;_coverDate=2011-03-31&amp;wchp=dGLbVlB-zSkzV&amp;md5=e56c1d5a0ec48b76352217655405c673&amp;pid=1-s2.0-S0048733310002131-main.pdf</t>
  </si>
  <si>
    <t>An e-patient’s End-user community (EUCY): The value added of social network applications</t>
  </si>
  <si>
    <t>Elaine R. Winston, B. Dawn Medlin, B. Adriana Romaniello</t>
  </si>
  <si>
    <t>http://pdn.sciencedirect.com/science?_ob=MiamiImageURL&amp;_cid=271802&amp;_user=686465&amp;_pii=S0747563211002901&amp;_check=y&amp;_origin=search&amp;_zone=rslt_list_item&amp;_coverDate=2012-05-31&amp;wchp=dGLbVlB-zSkzV&amp;md5=db22c0a1639096686c953531587705ac&amp;pid=1-s2.0-S0747563211002901-main.pdf</t>
  </si>
  <si>
    <t>Taxonomy of attacks and defense mechanisms in P2P reputation systems—Lessons for reputation system designers</t>
  </si>
  <si>
    <t>Eleni Koutrouli, Aphrodite Tsalgatidou</t>
  </si>
  <si>
    <t xml:space="preserve">http://pdn.sciencedirect.com/science?_ob=MiamiImageURL&amp;_cid=276226&amp;_user=686465&amp;_pii=S1574013712000093&amp;_check=y&amp;_origin=search&amp;_zone=rslt_list_item&amp;_coverDate=2012-05-31&amp;wchp=dGLzVlt-zSkWb&amp;md5=9d43f429312c76c6525d3f8b9557697d&amp;pid=1-s2.0-S1574013712000093-main.pdf </t>
  </si>
  <si>
    <t>ScienceDirect - 2011 a 2013 - Page 3.htm</t>
  </si>
  <si>
    <t>Successful customer value management: Key lessons and emerging trends</t>
  </si>
  <si>
    <t>Peter C. Verhoef, Katherine N. Lemon</t>
  </si>
  <si>
    <t xml:space="preserve">http://pdn.sciencedirect.com/science?_ob=MiamiImageURL&amp;_cid=271956&amp;_user=686465&amp;_pii=S0263237312000771&amp;_check=y&amp;_origin=search&amp;_zone=rslt_list_item&amp;_coverDate=2013-02-28&amp;wchp=dGLzVlt-zSkWb&amp;md5=292bbbb5b5764ec035a5862b1755720c&amp;pid=1-s2.0-S0263237312000771-main.pdf </t>
  </si>
  <si>
    <t>Social media adoption and resulting tactics in the U.S. federal government</t>
  </si>
  <si>
    <t>Ines Mergel</t>
  </si>
  <si>
    <t xml:space="preserve">http://pdn.sciencedirect.com/science?_ob=MiamiImageURL&amp;_cid=272070&amp;_user=686465&amp;_pii=S0740624X13000063&amp;_check=y&amp;_origin=search&amp;_zone=rslt_list_item&amp;_coverDate=2013-02-27&amp;wchp=dGLzVlt-zSkWb&amp;md5=d006dd23078b3bc66b97f376535556b3&amp;pid=1-s2.0-S0740624X13000063-main.pdf </t>
  </si>
  <si>
    <t>Organizing urban ecosystem services through environmental stewardship governance in New York City</t>
  </si>
  <si>
    <t>James J. Connolly, Erika S. Svendsen, Dana R. Fisher, Lindsay K. Campbell</t>
  </si>
  <si>
    <t xml:space="preserve">http://pdn.sciencedirect.com/science?_ob=MiamiImageURL&amp;_cid=271853&amp;_user=686465&amp;_pii=S0169204612002125&amp;_check=y&amp;_origin=search&amp;_zone=rslt_list_item&amp;_coverDate=2013-01-31&amp;wchp=dGLzVlt-zSkWb&amp;md5=80b105dac57ec02a7046cf5992e3a524&amp;pid=1-s2.0-S0169204612002125-main.pdf </t>
  </si>
  <si>
    <t>The impact of mobility on Mobile Ad Hoc Networks through the perspective of complex networks</t>
  </si>
  <si>
    <t>Cristiano Rezende, Azzedine Boukerche, Richard W. Pazzi, Bruno P.S. Rocha, Antonio A.F. Loureiro</t>
  </si>
  <si>
    <t>Journal of Parallel and Distributed Computing</t>
  </si>
  <si>
    <t xml:space="preserve">http://pdn.sciencedirect.com/science?_ob=MiamiImageURL&amp;_cid=272438&amp;_user=686465&amp;_pii=S0743731510002789&amp;_check=y&amp;_origin=search&amp;_zone=rslt_list_item&amp;_coverDate=2011-09-30&amp;wchp=dGLzVlt-zSkWb&amp;md5=00b552fb6d30f3e9f23fb395a5df7a0f&amp;pid=1-s2.0-S0743731510002789-main.pdf </t>
  </si>
  <si>
    <t>Efficient and adaptive congestion control for heterogeneous delay-tolerant networks</t>
  </si>
  <si>
    <t>Milena Radenkovic, Andrew Grundy</t>
  </si>
  <si>
    <t xml:space="preserve">http://pdn.sciencedirect.com/science?_ob=MiamiImageURL&amp;_cid=272922&amp;_user=686465&amp;_pii=S1570870512000637&amp;_check=y&amp;_origin=search&amp;_zone=rslt_list_item&amp;_coverDate=2012-09-30&amp;wchp=dGLzVlt-zSkWb&amp;md5=f063515c24bf5e87ae5ab8a57b8cfe9d&amp;pid=1-s2.0-S1570870512000637-main.pdf </t>
  </si>
  <si>
    <t>Obtaining the threat model for e-mail phishing</t>
  </si>
  <si>
    <t>Cleber K. Olivo, Altair O. Santin, Luiz S. Oliveira</t>
  </si>
  <si>
    <t xml:space="preserve">http://pdn.sciencedirect.com/science?_ob=MiamiImageURL&amp;_cid=272229&amp;_user=686465&amp;_pii=S1568494611002547&amp;_check=y&amp;_origin=search&amp;_zone=rslt_list_item&amp;_coverDate=2011-07-08&amp;wchp=dGLzVlt-zSkWb&amp;md5=3da505087e8c05fd0407e156995631c8&amp;pid=1-s2.0-S1568494611002547-main.pdf </t>
  </si>
  <si>
    <t>Privacy preserving release of blogosphere data in the presence of search engines</t>
  </si>
  <si>
    <t>Nacho L&amp;oacute;pez, Francesc Seb&amp;eacute;</t>
  </si>
  <si>
    <t xml:space="preserve">http://pdn.sciencedirect.com/science?_ob=MiamiImageURL&amp;_cid=271647&amp;_user=686465&amp;_pii=S0306457313000071&amp;_check=y&amp;_origin=search&amp;_zone=rslt_list_item&amp;_coverDate=2013-07-31&amp;wchp=dGLzVlt-zSkWb&amp;md5=f17b626e81f83a93c79df07542650213&amp;pid=1-s2.0-S0306457313000071-main.pdf </t>
  </si>
  <si>
    <t>Sem-Fit: A semantic based expert system to provide recommendations in the tourism domain</t>
  </si>
  <si>
    <t xml:space="preserve">http://pdn.sciencedirect.com/science?_ob=MiamiImageURL&amp;_cid=271506&amp;_user=686465&amp;_pii=S0957417411006798&amp;_check=y&amp;_origin=search&amp;_zone=rslt_list_item&amp;_coverDate=2011-09-15&amp;wchp=dGLzVlt-zSkWb&amp;md5=2ee35b0b6daa689f4ea6d61a24017020&amp;pid=1-s2.0-S0957417411006798-main.pdf </t>
  </si>
  <si>
    <t>Looking ahead in pervasive computing: Challenges and opportunities in the era of cyber–physical convergence</t>
  </si>
  <si>
    <t>Marco Conti, Sajal K. Das, Chatschik Bisdikian, Mohan Kumar, Lionel M. Ni, Andrea Passarella, George Roussos, Gerhard Tr&amp;ouml;ster, Gene Tsudik, Franco Zambonelli</t>
  </si>
  <si>
    <t xml:space="preserve">http://pdn.sciencedirect.com/science?_ob=MiamiImageURL&amp;_cid=273419&amp;_user=686465&amp;_pii=S1574119211001271&amp;_check=y&amp;_origin=search&amp;_zone=rslt_list_item&amp;_coverDate=2012-02-29&amp;wchp=dGLzVlt-zSkWb&amp;md5=16435f9dd416acff5729fe18f4d14c2b&amp;pid=1-s2.0-S1574119211001271-main.pdf </t>
  </si>
  <si>
    <t>Digital libraries and Web 3.0. The CallimachusDL approach</t>
  </si>
  <si>
    <t>&amp;Aacute;ngel Garc&amp;iacute;a-Crespo, Juan Miguel G&amp;oacute;mez-Berb&amp;iacute;s, Ricardo Colomo-Palacios, Francisco Garc&amp;iacute;a-S&amp;aacute;nchez</t>
  </si>
  <si>
    <t xml:space="preserve">http://pdn.sciencedirect.com/science?_ob=MiamiImageURL&amp;_cid=271802&amp;_user=686465&amp;_pii=S0747563210002426&amp;_check=y&amp;_origin=search&amp;_zone=rslt_list_item&amp;_coverDate=2011-07-31&amp;wchp=dGLzVlt-zSkWb&amp;md5=44bd0e48af25730cf71adeee89af2ae5&amp;pid=1-s2.0-S0747563210002426-main.pdf </t>
  </si>
  <si>
    <t>Domain driven data mining in human resource management: A review of current research</t>
  </si>
  <si>
    <t>Stefan Strohmeier, Franca Piazza</t>
  </si>
  <si>
    <t xml:space="preserve">http://pdn.sciencedirect.com/science?_ob=MiamiImageURL&amp;_cid=271506&amp;_user=686465&amp;_pii=S0957417412011839&amp;_check=y&amp;_origin=search&amp;_zone=rslt_list_item&amp;_coverDate=2013-06-01&amp;wchp=dGLzVlt-zSkWb&amp;md5=8bbc89ddb987bc6d8524618d49302c6a&amp;pid=1-s2.0-S0957417412011839-main.pdf </t>
  </si>
  <si>
    <t>Participation motifs and the emergence of organization in open productions</t>
  </si>
  <si>
    <t>Alessandro Lomi, Guido Conaldi, Marco Tonellato, Francesca Pallotti</t>
  </si>
  <si>
    <t>Structural Change and Economic Dynamics</t>
  </si>
  <si>
    <t xml:space="preserve">http://pdn.sciencedirect.com/science?_ob=MiamiImageURL&amp;_cid=271719&amp;_user=686465&amp;_pii=S0954349X13000039&amp;_check=y&amp;_origin=search&amp;_zone=rslt_list_item&amp;_coverDate=2013-01-23&amp;wchp=dGLzVlt-zSkWb&amp;md5=bad81aad0a8d94758215ff464f787068&amp;pid=1-s2.0-S0954349X13000039-main.pdf </t>
  </si>
  <si>
    <t>Examination of how social aspects moderate the relationship between task characteristics and usage of social communication technologies (SCTs) in organizations</t>
  </si>
  <si>
    <t>Chulmo Koo, Yulia Wati, Jason J. Jung</t>
  </si>
  <si>
    <t xml:space="preserve">http://pdn.sciencedirect.com/science?_ob=MiamiImageURL&amp;_cid=271677&amp;_user=686465&amp;_pii=S0268401211000168&amp;_check=y&amp;_origin=search&amp;_zone=rslt_list_item&amp;_coverDate=2011-10-31&amp;wchp=dGLzVlt-zSkWb&amp;md5=21540226d35da702c32f856c1b050f56&amp;pid=1-s2.0-S0268401211000168-main.pdf </t>
  </si>
  <si>
    <t>Generic service integration in adaptive learning experiences using IMS learning design</t>
  </si>
  <si>
    <t>Luis de-la-Fuente-Valent&amp;iacute;n, Abelardo Pardo, Carlos Delgado Kloos</t>
  </si>
  <si>
    <t xml:space="preserve">http://pdn.sciencedirect.com/science?_ob=MiamiImageURL&amp;_cid=271849&amp;_user=686465&amp;_pii=S0360131511000030&amp;_check=y&amp;_origin=search&amp;_zone=rslt_list_item&amp;_coverDate=2011-08-31&amp;wchp=dGLzVlt-zSkWb&amp;md5=ed1b4fe930d3a43e99b3cea676a9dec2&amp;pid=1-s2.0-S0360131511000030-main.pdf </t>
  </si>
  <si>
    <t>Detecting potential collusive cliques in futures markets based on trading behaviors from real data</t>
  </si>
  <si>
    <t>Junjie Wang, Shuigeng Zhou, Jihong Guan</t>
  </si>
  <si>
    <t xml:space="preserve">http://pdn.sciencedirect.com/science?_ob=MiamiImageURL&amp;_cid=271597&amp;_user=686465&amp;_pii=S0925231212000859&amp;_check=y&amp;_origin=search&amp;_zone=rslt_list_item&amp;_coverDate=2012-09-01&amp;wchp=dGLzVlt-zSkWb&amp;md5=a1539116150a992392bb4cc42c6b0625&amp;pid=1-s2.0-S0925231212000859-main.pdf </t>
  </si>
  <si>
    <t>Reorganizing clouds: A study on tag clustering and evaluation</t>
  </si>
  <si>
    <t>Alberto P&amp;eacute;rez Garc&amp;iacute;a-Plaza, Arkaitz Zubiaga, V&amp;iacute;ctor Fresno, Raquel Mart&amp;iacute;nez</t>
  </si>
  <si>
    <t xml:space="preserve">http://pdn.sciencedirect.com/science?_ob=MiamiImageURL&amp;_cid=271506&amp;_user=686465&amp;_pii=S0957417412003715&amp;_check=y&amp;_origin=search&amp;_zone=rslt_list_item&amp;_coverDate=2012-08-31&amp;wchp=dGLzVlt-zSkWb&amp;md5=b8d99f949eed34be0d4ad0cedc15be6c&amp;pid=1-s2.0-S0957417412003715-main.pdf </t>
  </si>
  <si>
    <t>Identifying influential nodes in complex networks</t>
  </si>
  <si>
    <t>Duanbing Chen, Linyuan L&amp;uuml;, Ming-Sheng Shang, Yi-Cheng Zhang, Tao Zhou</t>
  </si>
  <si>
    <t xml:space="preserve">http://pdn.sciencedirect.com/science?_ob=MiamiImageURL&amp;_cid=271529&amp;_user=686465&amp;_pii=S0378437111007333&amp;_check=y&amp;_origin=search&amp;_zone=rslt_list_item&amp;_coverDate=2012-02-15&amp;wchp=dGLzVlt-zSkWb&amp;md5=9eeb492194ea870d1473408716cf5654&amp;pid=1-s2.0-S0378437111007333-main.pdf </t>
  </si>
  <si>
    <t>You are what you tweet: Personality expression and perception on Twitter</t>
  </si>
  <si>
    <t>Lin Qiu, Han Lin, Jonathan Ramsay, Fang Yang</t>
  </si>
  <si>
    <t>Journal of Research in Personality</t>
  </si>
  <si>
    <t xml:space="preserve">http://pdn.sciencedirect.com/science?_ob=MiamiImageURL&amp;_cid=272465&amp;_user=686465&amp;_pii=S009265661200133X&amp;_check=y&amp;_origin=search&amp;_zone=rslt_list_item&amp;_coverDate=2012-12-31&amp;wchp=dGLzVlt-zSkWb&amp;md5=cbfe690fa959ed53db3972dc53c3770e&amp;pid=1-s2.0-S009265661200133X-main.pdf </t>
  </si>
  <si>
    <t>A software architecture for Twitter collection, search and geolocation services</t>
  </si>
  <si>
    <t>M. Oussalah, F. Bhat, K. Challis, T. Schnier</t>
  </si>
  <si>
    <t xml:space="preserve">http://pdn.sciencedirect.com/science?_ob=MiamiImageURL&amp;_cid=271505&amp;_user=686465&amp;_pii=S0950705112002055&amp;_check=y&amp;_origin=search&amp;_zone=rslt_list_item&amp;_coverDate=2013-01-31&amp;wchp=dGLzVlt-zSkWb&amp;md5=dcafba4418adbc7021140408a25d8cf0&amp;pid=1-s2.0-S0950705112002055-main.pdf </t>
  </si>
  <si>
    <t>Resilience enhancing expansion strategies for water distribution systems: A network theory approach</t>
  </si>
  <si>
    <t>A. Yazdani, R. Appiah Otoo, P. Jeffrey</t>
  </si>
  <si>
    <t xml:space="preserve">http://pdn.sciencedirect.com/science?_ob=MiamiImageURL&amp;_cid=271872&amp;_user=686465&amp;_pii=S1364815211001770&amp;_check=y&amp;_origin=search&amp;_zone=rslt_list_item&amp;_coverDate=2011-12-31&amp;wchp=dGLzVlt-zSkWb&amp;md5=000d4620839ae164a89411ac9d7f39af&amp;pid=1-s2.0-S1364815211001770-main.pdf </t>
  </si>
  <si>
    <t>5 - “Keystone Species” of Molecular Interaction Networks</t>
  </si>
  <si>
    <t>Federico Vaggi, Attila Csik&amp;aacute;sz-Nagy</t>
  </si>
  <si>
    <t>Chapter 8 - Social Process Theories of Crime</t>
  </si>
  <si>
    <t>Stephen E. Brown, Finn-Aage Esbensen, Gilbert Geis</t>
  </si>
  <si>
    <t>Criminology (Eighth Edition)</t>
  </si>
  <si>
    <t>The physics of communicability in complex networks</t>
  </si>
  <si>
    <t>Ernesto Estrada, Naomichi Hatano, Michele Benzi</t>
  </si>
  <si>
    <t xml:space="preserve">http://pdn.sciencedirect.com/science?_ob=MiamiImageURL&amp;_cid=271542&amp;_user=686465&amp;_pii=S0370157312000154&amp;_check=y&amp;_origin=search&amp;_zone=rslt_list_item&amp;_coverDate=2012-05-31&amp;wchp=dGLzVlt-zSkWb&amp;md5=d4c9940a1ad7944a26d83984a01df56d&amp;pid=1-s2.0-S0370157312000154-main.pdf </t>
  </si>
  <si>
    <t>Digital access, political networks and the diffusion of democracy</t>
  </si>
  <si>
    <t>Lauren Rhue, Arun Sundararajan</t>
  </si>
  <si>
    <t xml:space="preserve">http://pdn.sciencedirect.com/science?_ob=MiamiImageURL&amp;_cid=271850&amp;_user=686465&amp;_pii=S0378873312000524&amp;_check=y&amp;_origin=search&amp;_zone=rslt_list_item&amp;_coverDate=2013-02-13&amp;wchp=dGLzVlt-zSkWb&amp;md5=01c60f05e9596ba51a59d8d4c7361f10&amp;pid=1-s2.0-S0378873312000524-main.pdf </t>
  </si>
  <si>
    <t>Self-similar scaling of density in complex real-world networks</t>
  </si>
  <si>
    <t>Neli Blagus, Lovro Šubelj, Marko Bajec</t>
  </si>
  <si>
    <t xml:space="preserve">http://pdn.sciencedirect.com/science?_ob=MiamiImageURL&amp;_cid=271529&amp;_user=686465&amp;_pii=S0378437111009915&amp;_check=y&amp;_origin=search&amp;_zone=rslt_list_item&amp;_coverDate=2012-04-15&amp;wchp=dGLzVlt-zSkWb&amp;md5=9e4b9de86f607e5a2246c97bc0622f16&amp;pid=1-s2.0-S0378437111009915-main.pdf </t>
  </si>
  <si>
    <t>An on-road network analysis-based approach to studying driver situation awareness at rail level crossings</t>
  </si>
  <si>
    <t>Paul M. Salmon, Michael G. Lenn&amp;eacute;, Kristie L. Young, Guy H. Walker</t>
  </si>
  <si>
    <t xml:space="preserve">http://pdn.sciencedirect.com/science?_ob=MiamiImageURL&amp;_cid=271664&amp;_user=686465&amp;_pii=S0001457512003193&amp;_check=y&amp;_origin=search&amp;_zone=rslt_list_item&amp;_coverDate=2012-10-10&amp;wchp=dGLzVlt-zSkWb&amp;md5=30b65996bfcd0dfa80b4347296f755bb&amp;pid=1-s2.0-S0001457512003193-main.pdf </t>
  </si>
  <si>
    <t>Strangers help friends to communicate in opportunistic networks</t>
  </si>
  <si>
    <t>Sabrina Gaito, Elena Pagani, Gian Paolo Rossi</t>
  </si>
  <si>
    <t xml:space="preserve">http://pdn.sciencedirect.com/science?_ob=MiamiImageURL&amp;_cid=271990&amp;_user=686465&amp;_pii=S1389128610003142&amp;_check=y&amp;_origin=search&amp;_zone=rslt_list_item&amp;_coverDate=2011-02-01&amp;wchp=dGLzVlt-zSkWb&amp;md5=e4ad2f98b83082fd3a69b89f8887526b&amp;pid=1-s2.0-S1389128610003142-main.pdf </t>
  </si>
  <si>
    <t>A new clustering method and its application in social networks</t>
  </si>
  <si>
    <t>Peixin Zhao, Cun-Quan Zhang</t>
  </si>
  <si>
    <t xml:space="preserve">http://pdn.sciencedirect.com/science?_ob=MiamiImageURL&amp;_cid=271524&amp;_user=686465&amp;_pii=S016786551100184X&amp;_check=y&amp;_origin=search&amp;_zone=rslt_list_item&amp;_coverDate=2011-11-01&amp;wchp=dGLzVlt-zSkWb&amp;md5=770e5addb2327eefd6c5819e0348c3a1&amp;pid=1-s2.0-S016786551100184X-main.pdf </t>
  </si>
  <si>
    <t>Sustainable commute in a car-dominant city: Factors affecting alternative mode choices among university students</t>
  </si>
  <si>
    <t>Jiangping Zhou</t>
  </si>
  <si>
    <t xml:space="preserve">http://pdn.sciencedirect.com/science?_ob=MiamiImageURL&amp;_cid=271795&amp;_user=686465&amp;_pii=S0965856412000651&amp;_check=y&amp;_origin=search&amp;_zone=rslt_list_item&amp;_coverDate=2012-08-31&amp;wchp=dGLzVlt-zSkWb&amp;md5=9751bbfce9ca6a281a80627f27e8ef00&amp;pid=1-s2.0-S0965856412000651-main.pdf </t>
  </si>
  <si>
    <t>Learning to play the game: Student publishing as an indicator of future scholarly success</t>
  </si>
  <si>
    <t>Diogo Pinheiro, Julia Melkers, Jan Youtie</t>
  </si>
  <si>
    <t xml:space="preserve">http://pdn.sciencedirect.com/science?_ob=MiamiImageURL&amp;_cid=271733&amp;_user=686465&amp;_pii=S004016251200220X&amp;_check=y&amp;_origin=search&amp;_zone=rslt_list_item&amp;_coverDate=2012-11-28&amp;wchp=dGLzVlt-zSkWb&amp;md5=5b8f54882fe0701fb4fd10f13177d9d6&amp;pid=1-s2.0-S004016251200220X-main.pdf </t>
  </si>
  <si>
    <t>Modeling the influence of social networks and environment on energy balance and obesity</t>
  </si>
  <si>
    <t>Philippe J. Giabbanelli, Azadeh Alimadad, Vahid Dabbaghian, Diane T. Finegood</t>
  </si>
  <si>
    <t xml:space="preserve">http://pdn.sciencedirect.com/science?_ob=MiamiImageURL&amp;_cid=280179&amp;_user=686465&amp;_pii=S1877750312000063&amp;_check=y&amp;_origin=search&amp;_zone=rslt_list_item&amp;_coverDate=2012-03-31&amp;wchp=dGLzVlt-zSkWb&amp;md5=2377cd9c21f4c7e0e7dca4daeb2a8967&amp;pid=1-s2.0-S1877750312000063-main.pdf </t>
  </si>
  <si>
    <t>PB-ADVISOR: A private banking multi-investment portfolio advisor</t>
  </si>
  <si>
    <t>Israel Gonzalez-Carrasco, Ricardo Colomo-Palacios, Jose Luis Lopez-Cuadrado, &amp;Aacute;ngel Garc?&amp;acute;a-Crespo, Bel&amp;eacute;n Ruiz-Mezcua</t>
  </si>
  <si>
    <t xml:space="preserve">http://pdn.sciencedirect.com/science?_ob=MiamiImageURL&amp;_cid=271625&amp;_user=686465&amp;_pii=S0020025512002526&amp;_check=y&amp;_origin=search&amp;_zone=rslt_list_item&amp;_coverDate=2012-11-05&amp;wchp=dGLzVlt-zSkWb&amp;md5=17e6f58927c8dcc153199659a009f5a9&amp;pid=1-s2.0-S0020025512002526-main.pdf </t>
  </si>
  <si>
    <t>Applications of graph theory to an English rhyming corpus</t>
  </si>
  <si>
    <t>Morgan Sonderegger</t>
  </si>
  <si>
    <t>Computer Speech &amp; Language</t>
  </si>
  <si>
    <t xml:space="preserve">http://pdn.sciencedirect.com/science?_ob=MiamiImageURL&amp;_cid=272453&amp;_user=686465&amp;_pii=S0885230810000422&amp;_check=y&amp;_origin=search&amp;_zone=rslt_list_item&amp;_coverDate=2011-07-31&amp;wchp=dGLzVlt-zSkWb&amp;md5=b6f80e6c24c6d1653bd28009d2baa885&amp;pid=1-s2.0-S0885230810000422-main.pdf </t>
  </si>
  <si>
    <t>A role for systems epidemiology in tuberculosis research</t>
  </si>
  <si>
    <t>I&amp;ntilde;aki Comas, Sebastien Gagneux</t>
  </si>
  <si>
    <t>Trends in Microbiology</t>
  </si>
  <si>
    <t xml:space="preserve">http://pdn.sciencedirect.com/science?_ob=MiamiImageURL&amp;_cid=271202&amp;_user=686465&amp;_pii=S0966842X11001399&amp;_check=y&amp;_origin=search&amp;_zone=rslt_list_item&amp;_coverDate=2011-10-31&amp;wchp=dGLzVlt-zSkWb&amp;md5=a4e97cb94a10afbd0de2a2653fbf7fc5&amp;pid=1-s2.0-S0966842X11001399-main.pdf </t>
  </si>
  <si>
    <t>Single-brand retailers: Building brand loyalty in the off-line environment</t>
  </si>
  <si>
    <t>Robert Jones, Youn-Kyung Kim</t>
  </si>
  <si>
    <t xml:space="preserve">http://pdn.sciencedirect.com/science?_ob=MiamiImageURL&amp;_cid=271706&amp;_user=686465&amp;_pii=S0969698911000166&amp;_check=y&amp;_origin=search&amp;_zone=rslt_list_item&amp;_coverDate=2011-07-31&amp;wchp=dGLzVlt-zSkWb&amp;md5=0af113b5a72d9581691958790471b979&amp;pid=1-s2.0-S0969698911000166-main.pdf </t>
  </si>
  <si>
    <t xml:space="preserve">http://pdn.sciencedirect.com/science?_ob=MiamiImageURL&amp;_cid=271706&amp;_user=686465&amp;_pii=S0969698911000178&amp;_check=y&amp;_origin=search&amp;_zone=rslt_list_item&amp;_coverDate=2011-03-17&amp;wchp=dGLzVlt-zSkWb&amp;md5=80f344d51d62c3178a950dad1a0e2b92&amp;pid=1-s2.0-S0969698911000178-main.pdf </t>
  </si>
  <si>
    <t>Interpersonal exchanges in discussion forums: A study of learning communities in distance learning settings</t>
  </si>
  <si>
    <t>Patr&amp;iacute;cia B. Scherer Bassani</t>
  </si>
  <si>
    <t xml:space="preserve">http://pdn.sciencedirect.com/science?_ob=MiamiImageURL&amp;_cid=271849&amp;_user=686465&amp;_pii=S0360131510003301&amp;_check=y&amp;_origin=search&amp;_zone=rslt_list_item&amp;_coverDate=2011-05-31&amp;wchp=dGLzVlt-zSkWb&amp;md5=ac4a6d3e20471c93b9885c39370e18f7&amp;pid=1-s2.0-S0360131510003301-main.pdf </t>
  </si>
  <si>
    <t>Community analysis through semantic rules and role composition derivation</t>
  </si>
  <si>
    <t>Matthew Rowe, Miriam Fernandez, Sofia Angeletou, Harith Alani</t>
  </si>
  <si>
    <t xml:space="preserve">http://pdn.sciencedirect.com/science?_ob=MiamiImageURL&amp;_cid=272989&amp;_user=686465&amp;_pii=S157082681200056X&amp;_check=y&amp;_origin=search&amp;_zone=rslt_list_item&amp;_coverDate=2013-01-31&amp;wchp=dGLzVlt-zSkWb&amp;md5=ce1eca770a0885a58729fe614aa8d23e&amp;pid=1-s2.0-S157082681200056X-main.pdf </t>
  </si>
  <si>
    <t>The New Threat of Digital Marketing</t>
  </si>
  <si>
    <t>Kathryn C. Montgomery, Jeff Chester, Sonya A. Grier, Lori Dorfman</t>
  </si>
  <si>
    <t>Pediatric Clinics of North America</t>
  </si>
  <si>
    <t xml:space="preserve">http://pdn.sciencedirect.com/science?_ob=MiamiImageURL&amp;_cid=273323&amp;_user=686465&amp;_pii=S0031395512000235&amp;_check=y&amp;_origin=search&amp;_zone=rslt_list_item&amp;_coverDate=2012-06-30&amp;wchp=dGLzVlt-zSkWb&amp;md5=f26ed8bccd0b07d1a17d636336187fc1&amp;pid=1-s2.0-S0031395512000235-main.pdf </t>
  </si>
  <si>
    <t>A syntactical approach for interpersonal trust prediction in social web applications: Combining contextual and structural data</t>
  </si>
  <si>
    <t>Kiyana Zolfaghar, Abdollah Aghaie</t>
  </si>
  <si>
    <t xml:space="preserve">http://pdn.sciencedirect.com/science?_ob=MiamiImageURL&amp;_cid=271505&amp;_user=686465&amp;_pii=S0950705111001493&amp;_check=y&amp;_origin=search&amp;_zone=rslt_list_item&amp;_coverDate=2012-02-29&amp;wchp=dGLzVlt-zSkWb&amp;md5=96874a70a79f9b8ad3517f5faa9b45f2&amp;pid=1-s2.0-S0950705111001493-main.pdf </t>
  </si>
  <si>
    <t>Chapter 9 - Thread Networks: Mapping Message Boards and Email Lists</t>
  </si>
  <si>
    <t>Evolution of trust networks in social web applications using supervised learning</t>
  </si>
  <si>
    <t xml:space="preserve">http://pdn.sciencedirect.com/science?_ob=MiamiImageURL&amp;_cid=280203&amp;_user=686465&amp;_pii=S1877050910005120&amp;_check=y&amp;_origin=search&amp;_zone=rslt_list_item&amp;_coverDate=2011-12-31&amp;wchp=dGLzVlt-zSkWb&amp;md5=36bd72ba8103b37f373e9354601a20c8&amp;pid=1-s2.0-S1877050910005120-main.pdf </t>
  </si>
  <si>
    <t>Social networking federation: A position paper</t>
  </si>
  <si>
    <t>Wu Chao, Yike Guo, Bo Zhou</t>
  </si>
  <si>
    <t>Computers &amp; Electrical Engineering</t>
  </si>
  <si>
    <t xml:space="preserve">http://pdn.sciencedirect.com/science?_ob=MiamiImageURL&amp;_cid=271419&amp;_user=686465&amp;_pii=S0045790611002047&amp;_check=y&amp;_origin=search&amp;_zone=rslt_list_item&amp;_coverDate=2012-03-31&amp;wchp=dGLzVlt-zSkWb&amp;md5=7ec30fa1b7baa55c910e89f841831a89&amp;pid=1-s2.0-S0045790611002047-main.pdf </t>
  </si>
  <si>
    <t>User community discovery from multi-relational networks</t>
  </si>
  <si>
    <t>Zhongfeng Zhang, Qiudan Li, Daniel Zeng, Heng Gao</t>
  </si>
  <si>
    <t xml:space="preserve">http://pdn.sciencedirect.com/science?_ob=MiamiImageURL&amp;_cid=271653&amp;_user=686465&amp;_pii=S0167923612002473&amp;_check=y&amp;_origin=search&amp;_zone=rslt_list_item&amp;_coverDate=2013-01-31&amp;wchp=dGLzVlt-zSkWb&amp;md5=1a7d9a965ed2d27feff6c4e6bb1c4411&amp;pid=1-s2.0-S0167923612002473-main.pdf </t>
  </si>
  <si>
    <t>Annotation-based access control for collaborative information spaces</t>
  </si>
  <si>
    <t>Peyman Nasirifard, Vassilios Peristeras, Stefan Decker</t>
  </si>
  <si>
    <t xml:space="preserve">http://pdn.sciencedirect.com/science?_ob=MiamiImageURL&amp;_cid=271802&amp;_user=686465&amp;_pii=S0747563210002268&amp;_check=y&amp;_origin=search&amp;_zone=rslt_list_item&amp;_coverDate=2011-07-31&amp;wchp=dGLzVlt-zSkWb&amp;md5=56ecea52a70db17585da9c390c737cb7&amp;pid=1-s2.0-S0747563210002268-main.pdf </t>
  </si>
  <si>
    <t>Chapter 2 - Social Media: New Technologies of Collaboration</t>
  </si>
  <si>
    <t>Chapter 13 - Social Information Filtering</t>
  </si>
  <si>
    <t>On the diffusion of messages in on-line social networks</t>
  </si>
  <si>
    <t>Aditya Karnik, Atul Saroop, Vivek Borkar</t>
  </si>
  <si>
    <t>Performance Evaluation</t>
  </si>
  <si>
    <t xml:space="preserve">http://pdn.sciencedirect.com/science?_ob=MiamiImageURL&amp;_cid=271525&amp;_user=686465&amp;_pii=S0166531612001320&amp;_check=y&amp;_origin=search&amp;_zone=rslt_list_item&amp;_coverDate=2013-01-15&amp;wchp=dGLzVlt-zSkWb&amp;md5=86b62e8038ecfc91a691b2b25fa67afb&amp;pid=1-s2.0-S0166531612001320-main.pdf </t>
  </si>
  <si>
    <t>Building international entrepreneurial virtual networks in cyberspace</t>
  </si>
  <si>
    <t>Thor Sigfusson, Sylvie Chetty</t>
  </si>
  <si>
    <t xml:space="preserve">http://pdn.sciencedirect.com/science?_ob=MiamiImageURL&amp;_cid=272083&amp;_user=686465&amp;_pii=S1090951612000648&amp;_check=y&amp;_origin=search&amp;_zone=rslt_list_item&amp;_coverDate=2013-04-30&amp;wchp=dGLzVlt-zSkWb&amp;md5=7eef9783d9cf975f60e5e0beb5a7d325&amp;pid=1-s2.0-S1090951612000648-main.pdf </t>
  </si>
  <si>
    <t>Study on the Prevention and Control of Mass Incidents Based on GIS Technology</t>
  </si>
  <si>
    <t>Qiang Fan, Jianhua Zhou, Yue Zhang</t>
  </si>
  <si>
    <t xml:space="preserve">http://pdn.sciencedirect.com/science?_ob=MiamiImageURL&amp;_cid=278653&amp;_user=686465&amp;_pii=S1877705811017231&amp;_check=y&amp;_origin=search&amp;_zone=rslt_list_item&amp;_coverDate=2011-12-31&amp;wchp=dGLzVlt-zSkWb&amp;md5=994920e6bb3a44791d1078e994e55261&amp;pid=1-s2.0-S1877705811017231-main.pdf </t>
  </si>
  <si>
    <t>Collaborative personal speaker identification: A generalized approach</t>
  </si>
  <si>
    <t>Mirco Rossi, Oliver Amft, Gerhard Tr&amp;ouml;ster</t>
  </si>
  <si>
    <t xml:space="preserve">http://pdn.sciencedirect.com/science?_ob=MiamiImageURL&amp;_cid=273419&amp;_user=686465&amp;_pii=S1574119211000307&amp;_check=y&amp;_origin=search&amp;_zone=rslt_list_item&amp;_coverDate=2012-06-30&amp;wchp=dGLzVlt-zSkWb&amp;md5=a0201a284ca215ad26d606a8017ead4b&amp;pid=1-s2.0-S1574119211000307-main.pdf </t>
  </si>
  <si>
    <t>Social media use by government: From the routine to the critical</t>
  </si>
  <si>
    <t>Andrea L. Kavanaugh, Edward A. Fox, Steven D. Sheetz, Seungwon Yang, Lin Tzy Li, Donald J. Shoemaker, Apostol Natsev, Lexing Xie</t>
  </si>
  <si>
    <t xml:space="preserve">http://pdn.sciencedirect.com/science?_ob=MiamiImageURL&amp;_cid=272070&amp;_user=686465&amp;_pii=S0740624X12000871&amp;_check=y&amp;_origin=search&amp;_zone=rslt_list_item&amp;_coverDate=2012-10-31&amp;wchp=dGLzVlt-zSkWb&amp;md5=3ad10092cc08b4a95a5baa180cf22591&amp;pid=1-s2.0-S0740624X12000871-main.pdf </t>
  </si>
  <si>
    <t>Personal records on the web: Who's in charge of archiving, Hotmail or archivists? Supplementary content </t>
  </si>
  <si>
    <t>Donghee Sinn, Sue Yeon Syn, Sung-Min Kim</t>
  </si>
  <si>
    <t xml:space="preserve">http://pdn.sciencedirect.com/science?_ob=MiamiImageURL&amp;_cid=272068&amp;_user=686465&amp;_pii=S0740818811000624&amp;_check=y&amp;_origin=search&amp;_zone=rslt_list_item&amp;_coverDate=2011-10-31&amp;wchp=dGLzVlt-zSkWb&amp;md5=f8f4ae02c1c979797f3a011c4d26c238&amp;pid=1-s2.0-S0740818811000624-main.pdf </t>
  </si>
  <si>
    <t>Introduction to the special issue on advancing research methods in marketing: Editorial</t>
  </si>
  <si>
    <t>Donghoon Kim, Xiang Robert Li</t>
  </si>
  <si>
    <t xml:space="preserve">http://pdn.sciencedirect.com/science?_ob=MiamiImageURL&amp;_cid=271680&amp;_user=686465&amp;_pii=S0148296312000513&amp;_check=y&amp;_origin=search&amp;_zone=rslt_list_item&amp;_coverDate=2012-03-03&amp;wchp=dGLzVlt-zSkWb&amp;md5=3b773a91bf623c8bb472316ecef9ffa6&amp;pid=1-s2.0-S0148296312000513-main.pdf </t>
  </si>
  <si>
    <t>Sentiment Web Mining Architecture - Shahriar Movafaghi</t>
  </si>
  <si>
    <t>Shahria Movafaghi, Jack Bullock</t>
  </si>
  <si>
    <t xml:space="preserve">http://pdn.sciencedirect.com/science?_ob=MiamiImageURL&amp;_cid=277811&amp;_user=686465&amp;_pii=S1877042811024025&amp;_check=y&amp;_origin=search&amp;_zone=rslt_list_item&amp;_coverDate=2011-12-31&amp;wchp=dGLzVlt-zSkWb&amp;md5=5e7d07010c4f07478da36599ed6de63e&amp;pid=1-s2.0-S1877042811024025-main.pdf </t>
  </si>
  <si>
    <t>11 - Advanced Cluster Analysis</t>
  </si>
  <si>
    <t>Jiawei Han, Micheline Kamber, Jian Pei</t>
  </si>
  <si>
    <t>Data Mining (Third Edition)</t>
  </si>
  <si>
    <t>Strategies for predicting local trust based on trust propagation in social networks</t>
  </si>
  <si>
    <t>Young Ae Kim, Hee Seok Song</t>
  </si>
  <si>
    <t xml:space="preserve">http://pdn.sciencedirect.com/science?_ob=MiamiImageURL&amp;_cid=271505&amp;_user=686465&amp;_pii=S0950705111001249&amp;_check=y&amp;_origin=search&amp;_zone=rslt_list_item&amp;_coverDate=2011-12-31&amp;wchp=dGLzVlt-zSkWb&amp;md5=a784ea3099fcf406ccd31654a7f86a40&amp;pid=1-s2.0-S0950705111001249-main.pdf </t>
  </si>
  <si>
    <t>Acquiring and Sharing Tacit Knowledge in Software Development Teams: An Empirical Study</t>
  </si>
  <si>
    <t xml:space="preserve">http://pdn.sciencedirect.com/science?_ob=MiamiImageURL&amp;_cid=271539&amp;_user=686465&amp;_pii=S0950584913000591&amp;_check=y&amp;_origin=search&amp;_zone=rslt_list_item&amp;_coverDate=2013-03-07&amp;wchp=dGLzVlt-zSkWb&amp;md5=667bc14abebaab888426fb673f5d5f87&amp;pid=1-s2.0-S0950584913000591-main.pdf </t>
  </si>
  <si>
    <t>Chapter 7 - Cyber-Enabled Social Movement Organizations</t>
  </si>
  <si>
    <t>eCRM 2.0 applications and trends: The use and perceptions of Greek tourism firms of social networks and intelligence</t>
  </si>
  <si>
    <t>Marianna Sigala</t>
  </si>
  <si>
    <t xml:space="preserve">http://pdn.sciencedirect.com/science?_ob=MiamiImageURL&amp;_cid=271802&amp;_user=686465&amp;_pii=S0747563210000476&amp;_check=y&amp;_origin=search&amp;_zone=rslt_list_item&amp;_coverDate=2011-03-31&amp;wchp=dGLzVlt-zSkWb&amp;md5=5b4911e50873e4a91ab3fe3c66cadfef&amp;pid=1-s2.0-S0747563210000476-main.pdf </t>
  </si>
  <si>
    <t>Discussing Two New Approaches to Analyze Knowledge Construction in TEL Environments</t>
  </si>
  <si>
    <t>Margarida Lucas, Bram De Wever</t>
  </si>
  <si>
    <t xml:space="preserve">http://pdn.sciencedirect.com/science?_ob=MiamiImageURL&amp;_cid=277811&amp;_user=686465&amp;_pii=S1877042812026924&amp;_check=y&amp;_origin=search&amp;_zone=rslt_list_item&amp;_coverDate=2012-12-31&amp;wchp=dGLzVlt-zSkWb&amp;md5=39fd67914fc71fe67db8ac331e6f5bb7&amp;pid=1-s2.0-S1877042812026924-main.pdf </t>
  </si>
  <si>
    <t>SocConnect: A personalized social network aggregator and recommender</t>
  </si>
  <si>
    <t>Jie Zhang, Yuan Wang, Julita Vassileva</t>
  </si>
  <si>
    <t xml:space="preserve">http://pdn.sciencedirect.com/science?_ob=MiamiImageURL&amp;_cid=271647&amp;_user=686465&amp;_pii=S0306457312001033&amp;_check=y&amp;_origin=search&amp;_zone=rslt_list_item&amp;_coverDate=2013-05-31&amp;wchp=dGLzVlt-zSkWb&amp;md5=7540b7157da4b2269b98927c7868d635&amp;pid=1-s2.0-S0306457312001033-main.pdf </t>
  </si>
  <si>
    <t>Chapter 13 - Flickr: Linking People, Photos, and Tags</t>
  </si>
  <si>
    <t>Eduarda Mendes Rodrigues, Natasa Milic-Frayling</t>
  </si>
  <si>
    <t>Modelling provenance of DBpedia resources using Wikipedia contributions</t>
  </si>
  <si>
    <t>Fabrizio Orlandi, Alexandre Passant</t>
  </si>
  <si>
    <t xml:space="preserve">http://pdn.sciencedirect.com/science?_ob=MiamiImageURL&amp;_cid=272989&amp;_user=686465&amp;_pii=S1570826811000175&amp;_check=y&amp;_origin=search&amp;_zone=rslt_list_item&amp;_coverDate=2011-07-31&amp;wchp=dGLzVlt-zSkWb&amp;md5=42c5775c14b504ee15d229186fd899f0&amp;pid=1-s2.0-S1570826811000175-main.pdf </t>
  </si>
  <si>
    <t>Opportunistic IoT: Exploring the harmonious interaction between human and the internet of things</t>
  </si>
  <si>
    <t>Bin Guo, Daqing Zhang, Zhu Wang, Zhiwen Yu, Xingshe Zhou</t>
  </si>
  <si>
    <t xml:space="preserve">http://pdn.sciencedirect.com/science?_ob=MiamiImageURL&amp;_cid=272436&amp;_user=686465&amp;_pii=S1084804513000052&amp;_check=y&amp;_origin=search&amp;_zone=rslt_list_item&amp;_coverDate=2013-01-07&amp;wchp=dGLzVlt-zSkWb&amp;md5=ae55f92b4083931362f92582efab0121&amp;pid=1-s2.0-S1084804513000052-main.pdf </t>
  </si>
  <si>
    <t>Technology mediation in service delivery: A new typology and an agenda for managers and academics</t>
  </si>
  <si>
    <t>Jan H. Schumann, Nancy V. W&amp;uuml;nderlich, Florian Wangenheim</t>
  </si>
  <si>
    <t xml:space="preserve">http://pdn.sciencedirect.com/science?_ob=MiamiImageURL&amp;_cid=271734&amp;_user=686465&amp;_pii=S016649721100143X&amp;_check=y&amp;_origin=search&amp;_zone=rslt_list_item&amp;_coverDate=2012-02-29&amp;wchp=dGLzVlt-zSkWb&amp;md5=d46cfdd75bc6a50317f8ad51df5ab69f&amp;pid=1-s2.0-S016649721100143X-main.pdf </t>
  </si>
  <si>
    <t>How can formal research networks produce more socially robust forest science?</t>
  </si>
  <si>
    <t>Nicole L. Klenk, Gordon M. Hickey</t>
  </si>
  <si>
    <t xml:space="preserve">http://pdn.sciencedirect.com/science?_ob=MiamiImageURL&amp;_cid=272157&amp;_user=686465&amp;_pii=S1389934112001244&amp;_check=y&amp;_origin=search&amp;_zone=rslt_list_item&amp;_coverDate=2012-07-06&amp;wchp=dGLzVlt-zSkWb&amp;md5=fa4a005843c2ecb8f08c22a87f9f93d0&amp;pid=1-s2.0-S1389934112001244-main.pdf </t>
  </si>
  <si>
    <t>Chapter 14 - High-Performance Business Intelligence</t>
  </si>
  <si>
    <t>Business Intelligence (Second Edition)</t>
  </si>
  <si>
    <t>Interactive or interruptive? Instant messaging at work</t>
  </si>
  <si>
    <t>Carol X.J. Ou, Robert M. Davison</t>
  </si>
  <si>
    <t xml:space="preserve">http://pdn.sciencedirect.com/science?_ob=MiamiImageURL&amp;_cid=271653&amp;_user=686465&amp;_pii=S0167923611001126&amp;_check=y&amp;_origin=search&amp;_zone=rslt_list_item&amp;_coverDate=2011-12-31&amp;wchp=dGLzVlt-zSkWb&amp;md5=5d6e08553d4411a15630bef41a764387&amp;pid=1-s2.0-S0167923611001126-main.pdf </t>
  </si>
  <si>
    <t>Lexicon-based Comments-oriented News Sentiment Analyzer system</t>
  </si>
  <si>
    <t>A. Moreo, M. Romero, J.L. Castro, J.M. Zurita</t>
  </si>
  <si>
    <t xml:space="preserve">http://pdn.sciencedirect.com/science?_ob=MiamiImageURL&amp;_cid=271506&amp;_user=686465&amp;_pii=S0957417412003016&amp;_check=y&amp;_origin=search&amp;_zone=rslt_list_item&amp;_coverDate=2012-08-31&amp;wchp=dGLzVlt-zSkWb&amp;md5=9bd85680c127bc38de1c7ed430cb90f3&amp;pid=1-s2.0-S0957417412003016-main.pdf </t>
  </si>
  <si>
    <t>SMS spam filtering: Methods and data</t>
  </si>
  <si>
    <t>Sarah Jane Delany, Mark Buckley, Derek Greene</t>
  </si>
  <si>
    <t xml:space="preserve">http://pdn.sciencedirect.com/science?_ob=MiamiImageURL&amp;_cid=271506&amp;_user=686465&amp;_pii=S0957417412002977&amp;_check=y&amp;_origin=search&amp;_zone=rslt_list_item&amp;_coverDate=2012-08-31&amp;wchp=dGLzVlt-zSkWb&amp;md5=9e0451b89bb4c5b6b68df14f9173faf9&amp;pid=1-s2.0-S0957417412002977-main.pdf </t>
  </si>
  <si>
    <t>Dynamics of information generation and transmissions through a social network in non-recurrent transport behaviour</t>
  </si>
  <si>
    <t>Takamasa Iryo, Kazuma Yamabe, Yasuo Asakura</t>
  </si>
  <si>
    <t xml:space="preserve">http://pdn.sciencedirect.com/science?_ob=MiamiImageURL&amp;_cid=277811&amp;_user=686465&amp;_pii=S187704281101072X&amp;_check=y&amp;_origin=search&amp;_zone=rslt_list_item&amp;_coverDate=2011-12-31&amp;wchp=dGLzVlt-zSkWb&amp;md5=8306f2babd13b451c47051900bdb291a&amp;pid=1-s2.0-S187704281101072X-main.pdf </t>
  </si>
  <si>
    <t>Quantitative and qualitative approaches in Future-oriented Technology Analysis (FTA): From combination to integration?</t>
  </si>
  <si>
    <t>Karel Haegeman, Elisabetta Marinelli, Fabiana Scapolo, Andrea Ricci, Alexander Sokolov</t>
  </si>
  <si>
    <t xml:space="preserve">http://pdn.sciencedirect.com/science?_ob=MiamiImageURL&amp;_cid=271733&amp;_user=686465&amp;_pii=S0040162512002466&amp;_check=y&amp;_origin=search&amp;_zone=rslt_list_item&amp;_coverDate=2013-03-31&amp;wchp=dGLzVlt-zSkWb&amp;md5=a98a44526def0d6b9ebebaee3fd9e044&amp;pid=1-s2.0-S0040162512002466-main.pdf </t>
  </si>
  <si>
    <t>Arguing about social evaluations: From theory to experimentation</t>
  </si>
  <si>
    <t>Isaac Pinyol, Jordi Sabater-Mir</t>
  </si>
  <si>
    <t xml:space="preserve">http://pdn.sciencedirect.com/science?_ob=MiamiImageURL&amp;_cid=271876&amp;_user=686465&amp;_pii=S0888613X1200196X&amp;_check=y&amp;_origin=search&amp;_zone=rslt_list_item&amp;_coverDate=2012-12-08&amp;wchp=dGLzVlt-zSkWb&amp;md5=200767c4269b1b9014bdc5152ba749a7&amp;pid=1-s2.0-S0888613X1200196X-main.pdf </t>
  </si>
  <si>
    <t>Social network based microblog user behavior analysis</t>
  </si>
  <si>
    <t>Qiang Yan, Lianren Wu, Lan Zheng</t>
  </si>
  <si>
    <t xml:space="preserve">http://pdn.sciencedirect.com/science?_ob=MiamiImageURL&amp;_cid=271529&amp;_user=686465&amp;_pii=S0378437112010540&amp;_check=y&amp;_origin=search&amp;_zone=rslt_list_item&amp;_coverDate=2013-04-01&amp;wchp=dGLzVlt-zSkWb&amp;md5=fb5fbb9eb2c42d160929af43e556dbc1&amp;pid=1-s2.0-S0378437112010540-main.pdf </t>
  </si>
  <si>
    <t>eScience: Building our Body of Knowledge</t>
  </si>
  <si>
    <t>Valerie Maxville</t>
  </si>
  <si>
    <t xml:space="preserve">http://pdn.sciencedirect.com/science?_ob=MiamiImageURL&amp;_cid=280203&amp;_user=686465&amp;_pii=S1877050911002717&amp;_check=y&amp;_origin=search&amp;_zone=rslt_list_item&amp;_coverDate=2011-12-31&amp;wchp=dGLzVlt-zSkWb&amp;md5=6a5f6cbbace27ea1fb6f610be7ccbd78&amp;pid=1-s2.0-S1877050911002717-main.pdf </t>
  </si>
  <si>
    <t>Citation analysis as a measure of article quality, journal influence and individual researcher performance</t>
  </si>
  <si>
    <t>Julie M. Nightingale, Gill Marshall</t>
  </si>
  <si>
    <t>Radiography</t>
  </si>
  <si>
    <t xml:space="preserve">http://pdn.sciencedirect.com/science?_ob=MiamiImageURL&amp;_cid=272334&amp;_user=686465&amp;_pii=S1078817411001374&amp;_check=y&amp;_origin=search&amp;_zone=rslt_list_item&amp;_coverDate=2012-05-31&amp;wchp=dGLzVlt-zSkWb&amp;md5=00f8645eb8f84787474c0d317b26396e&amp;pid=1-s2.0-S1078817411001374-main.pdf </t>
  </si>
  <si>
    <t>SBV-Cut: Vertex-cut based graph partitioning using structural balance vertices</t>
  </si>
  <si>
    <t>Mijung Kim, K. Sel&amp;ccedil;uk Candan</t>
  </si>
  <si>
    <t xml:space="preserve">http://pdn.sciencedirect.com/science?_ob=MiamiImageURL&amp;_cid=271546&amp;_user=686465&amp;_pii=S0169023X11001480&amp;_check=y&amp;_origin=search&amp;_zone=rslt_list_item&amp;_coverDate=2012-02-29&amp;wchp=dGLzVlt-zSkWb&amp;md5=0d065161df65c5bfaf63658a62a4d7cb&amp;pid=1-s2.0-S0169023X11001480-main.pdf </t>
  </si>
  <si>
    <t>An architecture for component-based design of representative-based clustering algorithms</t>
  </si>
  <si>
    <t>Boris Delibaši?, Milan Vuki?evi?, Miloš Jovanovi?, Kathrin Kirchner, Johannes Ruhland, Milija Suknovi?</t>
  </si>
  <si>
    <t xml:space="preserve">http://pdn.sciencedirect.com/science?_ob=MiamiImageURL&amp;_cid=271546&amp;_user=686465&amp;_pii=S0169023X12000286&amp;_check=y&amp;_origin=search&amp;_zone=rslt_list_item&amp;_coverDate=2012-05-31&amp;wchp=dGLzVlt-zSkWb&amp;md5=6d627ecfce90dec97c54e86b9619f0bf&amp;pid=1-s2.0-S0169023X12000286-main.pdf </t>
  </si>
  <si>
    <t>Knowledge sharing assessment: An Ant Colony System based Data Envelopment Analysis approach</t>
  </si>
  <si>
    <t>Chuen Tse Kuah, Kuan Yew Wong, Manoj Kumar Tiwari</t>
  </si>
  <si>
    <t xml:space="preserve">http://pdn.sciencedirect.com/science?_ob=MiamiImageURL&amp;_cid=271506&amp;_user=686465&amp;_pii=S0957417412012687&amp;_check=y&amp;_origin=search&amp;_zone=rslt_list_item&amp;_coverDate=2013-06-15&amp;wchp=dGLzVlt-zSkWb&amp;md5=4e623e7680376649ad847d07ca6f8781&amp;pid=1-s2.0-S0957417412012687-main.pdf </t>
  </si>
  <si>
    <t>The political networks of Mexico and measuring centralization</t>
  </si>
  <si>
    <t>Philip A. Sinclair</t>
  </si>
  <si>
    <t xml:space="preserve">http://pdn.sciencedirect.com/science?_ob=MiamiImageURL&amp;_cid=277811&amp;_user=686465&amp;_pii=S1877042811000061&amp;_check=y&amp;_origin=search&amp;_zone=rslt_list_item&amp;_coverDate=2011-12-31&amp;wchp=dGLzVlt-zSkWb&amp;md5=bfb0278cb668b7024d4fde662136f25c&amp;pid=1-s2.0-S1877042811000061-main.pdf </t>
  </si>
  <si>
    <t>Communities of practice in academia: Testing a quantitative model</t>
  </si>
  <si>
    <t>Nicolae Nistor, Frank Fischer</t>
  </si>
  <si>
    <t>Learning, Culture and Social Interaction</t>
  </si>
  <si>
    <t xml:space="preserve">http://pdn.sciencedirect.com/science?_ob=MiamiImageURL&amp;_cid=280469&amp;_user=686465&amp;_pii=S2210656112000220&amp;_check=y&amp;_origin=search&amp;_zone=rslt_list_item&amp;_coverDate=2012-06-30&amp;wchp=dGLzVlt-zSkWb&amp;md5=ccb180d97503dc04a04bef10ea14be13&amp;pid=1-s2.0-S2210656112000220-main.pdf </t>
  </si>
  <si>
    <t>Privacy-enhanced social-network routing</t>
  </si>
  <si>
    <t>Iain Parris, Tristan Henderson</t>
  </si>
  <si>
    <t xml:space="preserve">http://pdn.sciencedirect.com/science?_ob=MiamiImageURL&amp;_cid=271515&amp;_user=686465&amp;_pii=S0140366410004767&amp;_check=y&amp;_origin=search&amp;_zone=rslt_list_item&amp;_coverDate=2012-01-01&amp;wchp=dGLzVlt-zSkWb&amp;md5=729c78e16acc7d2751d9d52ed577b0bc&amp;pid=1-s2.0-S0140366410004767-main.pdf </t>
  </si>
  <si>
    <t>Phenomenon-based Research in Management and Organisation Science: When is it Rigorous and Does it Matter?</t>
  </si>
  <si>
    <t>Georg von Krogh, Cristina Rossi-Lamastra, Stefan Haefliger</t>
  </si>
  <si>
    <t xml:space="preserve">http://pdn.sciencedirect.com/science?_ob=MiamiImageURL&amp;_cid=271874&amp;_user=686465&amp;_pii=S0024630112000295&amp;_check=y&amp;_origin=search&amp;_zone=rslt_list_item&amp;_coverDate=2012-08-31&amp;wchp=dGLzVlt-zSkWb&amp;md5=da93179cb598a13800aae12e740d606d&amp;pid=1-s2.0-S0024630112000295-main.pdf </t>
  </si>
  <si>
    <t>Chapter 21 - Quick Reference Guide</t>
  </si>
  <si>
    <t>Link prediction in complex networks: A survey</t>
  </si>
  <si>
    <t xml:space="preserve">http://pdn.sciencedirect.com/science?_ob=MiamiImageURL&amp;_cid=271529&amp;_user=686465&amp;_pii=S037843711000991X&amp;_check=y&amp;_origin=search&amp;_zone=rslt_list_item&amp;_coverDate=2011-03-15&amp;wchp=dGLzVlt-zSkWb&amp;md5=079578912b59e625cd7c5220d26265a3&amp;pid=1-s2.0-S037843711000991X-main.pdf </t>
  </si>
  <si>
    <t>Integrating expert profile, reputation and link analysis for expert finding in question-answering websites</t>
  </si>
  <si>
    <t>Duen-Ren Liu, Yu-Hsuan Chen, Wei-Chen Kao, Hsiu-Wen Wang</t>
  </si>
  <si>
    <t xml:space="preserve">http://pdn.sciencedirect.com/science?_ob=MiamiImageURL&amp;_cid=271647&amp;_user=686465&amp;_pii=S0306457312000891&amp;_check=y&amp;_origin=search&amp;_zone=rslt_list_item&amp;_coverDate=2013-01-31&amp;wchp=dGLzVlt-zSkWb&amp;md5=53ca3712afa21b97a93a3582b38396a2&amp;pid=1-s2.0-S0306457312000891-main.pdf </t>
  </si>
  <si>
    <t>Transportation Research Part C: Emerging Technologies</t>
  </si>
  <si>
    <t xml:space="preserve">http://pdn.sciencedirect.com/science?_ob=MiamiImageURL&amp;_cid=271729&amp;_user=686465&amp;_pii=S0968090X11000817&amp;_check=y&amp;_origin=search&amp;_zone=rslt_list_item&amp;_coverDate=2012-02-29&amp;wchp=dGLzVlt-zSkWb&amp;md5=c54527054e43af8039e930b5bc970ead&amp;pid=1-s2.0-S0968090X11000817-main.pdf </t>
  </si>
  <si>
    <t>Probabilistic latent tensor factorization model for link pattern prediction in multi-relational networks</t>
  </si>
  <si>
    <t>Sheng GAO, Ludovic DENOYER, Patrick GALLINARI, Jun GUO</t>
  </si>
  <si>
    <t xml:space="preserve">http://pdn.sciencedirect.com/science?_ob=MiamiImageURL&amp;_cid=274164&amp;_user=686465&amp;_pii=S1005888511604251&amp;_check=y&amp;_origin=search&amp;_zone=rslt_list_item&amp;_coverDate=2012-10-31&amp;wchp=dGLzVlt-zSkWb&amp;md5=922f6c1d415423bc6fbeac41ed801a85&amp;pid=1-s2.0-S1005888511604251-main.pdf </t>
  </si>
  <si>
    <t>Ad-hoc aggregate query processing algorithms based on bit-store for query intensive applications in cloud computing</t>
  </si>
  <si>
    <t>Donghua Yang, Yuqiang Feng, Ye Yuan, Xixian Han, Jinbao Wang, Jianzhong Li</t>
  </si>
  <si>
    <t xml:space="preserve">http://pdn.sciencedirect.com/science?_ob=MiamiImageURL&amp;_cid=271521&amp;_user=686465&amp;_pii=S0167739X12000623&amp;_check=y&amp;_origin=search&amp;_zone=rslt_list_item&amp;_coverDate=2012-03-20&amp;wchp=dGLzVlt-zSkWb&amp;md5=2be20bc55cd2ca0c09a897e2b7b36da9&amp;pid=1-s2.0-S0167739X12000623-main.pdf </t>
  </si>
  <si>
    <t>State of the library and information science blogosphere after social networks boom: A metric approach</t>
  </si>
  <si>
    <t>Daniel Torres-Salinas, &amp;Aacute;lvaro Cabezas-Clavijo, Rafael Ruiz-P&amp;eacute;rez, Emilio Delgado L&amp;oacute;pez-C&amp;oacute;zar</t>
  </si>
  <si>
    <t xml:space="preserve">http://pdn.sciencedirect.com/science?_ob=MiamiImageURL&amp;_cid=272068&amp;_user=686465&amp;_pii=S0740818811000107&amp;_check=y&amp;_origin=search&amp;_zone=rslt_list_item&amp;_coverDate=2011-04-30&amp;wchp=dGLzVlt-zSkWb&amp;md5=8f4537d4d8d09d5d12c3217c6cc6cce0&amp;pid=1-s2.0-S0740818811000107-main.pdf </t>
  </si>
  <si>
    <t>A bibliometric analysis of four sport management journals</t>
  </si>
  <si>
    <t>David Shilbury</t>
  </si>
  <si>
    <t xml:space="preserve">http://pdn.sciencedirect.com/science?_ob=MiamiImageURL&amp;_cid=277345&amp;_user=686465&amp;_pii=S1441352310000768&amp;_check=y&amp;_origin=search&amp;_zone=rslt_list_item&amp;_coverDate=2011-11-30&amp;wchp=dGLzVlt-zSkWb&amp;md5=5c5cc140fca9d30bf867ba4a47d562b0&amp;pid=1-s2.0-S1441352310000768-main.pdf </t>
  </si>
  <si>
    <t>Network analysis of a rock lobster quota lease market</t>
  </si>
  <si>
    <t>Ingrid van Putten, Katell G. Hamon, Caleb Gardner</t>
  </si>
  <si>
    <t>Fisheries Research</t>
  </si>
  <si>
    <t xml:space="preserve">http://pdn.sciencedirect.com/science?_ob=MiamiImageURL&amp;_cid=271306&amp;_user=686465&amp;_pii=S0165783610002742&amp;_check=y&amp;_origin=search&amp;_zone=rslt_list_item&amp;_coverDate=2011-01-31&amp;wchp=dGLzVlt-zSkWb&amp;md5=c29a7a47019da7fafb9d250958257b41&amp;pid=1-s2.0-S0165783610002742-main.pdf </t>
  </si>
  <si>
    <t>The effects of individual motivations and social capital on employees’ tacit and explicit knowledge sharing intentions</t>
  </si>
  <si>
    <t>Yong Sauk Hau, Byoungsoo Kim, Heeseok Lee, Young-Gul Kim</t>
  </si>
  <si>
    <t xml:space="preserve">http://pdn.sciencedirect.com/science?_ob=MiamiImageURL&amp;_cid=271677&amp;_user=686465&amp;_pii=S0268401212001314&amp;_check=y&amp;_origin=search&amp;_zone=rslt_list_item&amp;_coverDate=2013-04-30&amp;wchp=dGLzVlt-zSkWb&amp;md5=17605c8b035b953f91a1aa94f2ca21de&amp;pid=1-s2.0-S0268401212001314-main.pdf </t>
  </si>
  <si>
    <t>Affinity Paths and information diffusion in social networks</t>
  </si>
  <si>
    <t>Jos&amp;eacute; Luis Iribarren, Esteban Moro</t>
  </si>
  <si>
    <t xml:space="preserve">http://pdn.sciencedirect.com/science?_ob=MiamiImageURL&amp;_cid=271850&amp;_user=686465&amp;_pii=S0378873310000596&amp;_check=y&amp;_origin=search&amp;_zone=rslt_list_item&amp;_coverDate=2011-05-31&amp;wchp=dGLzVlt-zSkWb&amp;md5=ca66deab2499f694178aa09b772a1015&amp;pid=1-s2.0-S0378873310000596-main.pdf </t>
  </si>
  <si>
    <t>PolarityRank: Finding an equilibrium between followers and contraries in a network</t>
  </si>
  <si>
    <t>Ferm&amp;iacute;n L. Cruz, Carlos G. Vallejo, Fernando Enr?&amp;acute;quez, Jos&amp;eacute; A. Troyano</t>
  </si>
  <si>
    <t xml:space="preserve">http://pdn.sciencedirect.com/science?_ob=MiamiImageURL&amp;_cid=271647&amp;_user=686465&amp;_pii=S0306457311000823&amp;_check=y&amp;_origin=search&amp;_zone=rslt_list_item&amp;_coverDate=2012-03-31&amp;wchp=dGLzVlt-zSkWb&amp;md5=9d912acb7bab7e5fe8875d0b84d5da6a&amp;pid=1-s2.0-S0306457311000823-main.pdf </t>
  </si>
  <si>
    <t>Adding community and dynamic to topic models</t>
  </si>
  <si>
    <t>Daifeng Li, Ying Ding, Xin Shuai, Johan Bollen, Jie Tang, Shanshan Chen, Jiayi Zhu, Guilherme Rocha</t>
  </si>
  <si>
    <t xml:space="preserve">http://pdn.sciencedirect.com/science?_ob=MiamiImageURL&amp;_cid=273584&amp;_user=686465&amp;_pii=S1751157711001039&amp;_check=y&amp;_origin=search&amp;_zone=rslt_list_item&amp;_coverDate=2012-04-30&amp;wchp=dGLzVlt-zSkWb&amp;md5=a90145d3ac327a2dce0fd3678439e4ab&amp;pid=1-s2.0-S1751157711001039-main.pdf </t>
  </si>
  <si>
    <t>Computing text semantic relatedness using the contents and links of a hypertext encyclopedia</t>
  </si>
  <si>
    <t>Majid Yazdani, Andrei Popescu-Belis</t>
  </si>
  <si>
    <t xml:space="preserve">http://pdn.sciencedirect.com/science?_ob=MiamiImageURL&amp;_cid=271585&amp;_user=686465&amp;_pii=S0004370212000744&amp;_check=y&amp;_origin=search&amp;_zone=rslt_list_item&amp;_coverDate=2013-01-31&amp;wchp=dGLzVlt-zSkWb&amp;md5=6018b61b3471b62d5ca2185b76eba11f&amp;pid=1-s2.0-S0004370212000744-main.pdf </t>
  </si>
  <si>
    <t>Optimizing trees: A case for validating the maturity of network of practices</t>
  </si>
  <si>
    <t>Quan Shi, Yanghua Xiao, Nik Bessis, Yiqi Lu, Yaoliang Chen, Richard Hill</t>
  </si>
  <si>
    <t xml:space="preserve">http://pdn.sciencedirect.com/science?_ob=MiamiImageURL&amp;_cid=271503&amp;_user=686465&amp;_pii=S0898122111006353&amp;_check=y&amp;_origin=search&amp;_zone=rslt_list_item&amp;_coverDate=2012-01-31&amp;wchp=dGLzVlt-zSkWb&amp;md5=205fa1aa5455f78a410e6190b8a10082&amp;pid=1-s2.0-S0898122111006353-main.pdf </t>
  </si>
  <si>
    <t>Disease transmission on fragmented contact networks: Livestock-associated Methicillin-resistant Staphylococcus aureus in the Danish pig-industry</t>
  </si>
  <si>
    <t>M. Ciccolini, J. Dahl, M.E. Chase-Topping, M.E.J. Woolhouse</t>
  </si>
  <si>
    <t xml:space="preserve">http://pdn.sciencedirect.com/science?_ob=MiamiImageURL&amp;_cid=277421&amp;_user=686465&amp;_pii=S175543651200045X&amp;_check=y&amp;_origin=search&amp;_zone=rslt_list_item&amp;_coverDate=2012-12-31&amp;wchp=dGLzVlt-zSkWb&amp;md5=81e39debd3efe0d9bd711668ad0c6a9d&amp;pid=1-s2.0-S175543651200045X-main.pdf </t>
  </si>
  <si>
    <t>A Long Term Building Capacity Model that Prepares for Effective Disaster Relief</t>
  </si>
  <si>
    <t>Sidney Coupet, Reza Nassiri, Oluseyi Aliu, Christopher Coppola</t>
  </si>
  <si>
    <t>International Journal of Disaster Risk Reduction</t>
  </si>
  <si>
    <t xml:space="preserve">http://pdn.sciencedirect.com/science?_ob=MiamiImageURL&amp;_cid=282172&amp;_user=686465&amp;_pii=S2212420913000149&amp;_check=y&amp;_origin=search&amp;_zone=rslt_list_item&amp;_coverDate=2013-03-07&amp;wchp=dGLzVlt-zSkWb&amp;md5=cae3cf028c0d9722401e81caa3e64fd5&amp;pid=1-s2.0-S2212420913000149-main.pdf </t>
  </si>
  <si>
    <t>The game of contacts: Estimating the social visibility of groups Supplementary content </t>
  </si>
  <si>
    <t>Matthew J. Salganik, Maeve B. Mello, Alexandre H. Abdo, Neilane Bertoni, Dimitri Fazito, Francisco I. Bastos</t>
  </si>
  <si>
    <t xml:space="preserve">http://pdn.sciencedirect.com/science?_ob=MiamiImageURL&amp;_cid=271850&amp;_user=686465&amp;_pii=S0378873310000559&amp;_check=y&amp;_origin=search&amp;_zone=rslt_list_item&amp;_coverDate=2011-01-31&amp;wchp=dGLzVlt-zSkWb&amp;md5=9dba2878fc89805025793d204541e2bf&amp;pid=1-s2.0-S0378873310000559-main.pdf </t>
  </si>
  <si>
    <t>Physician social capital and the reported adoption of evidence-based medicine: Exploring the role of structural holes</t>
  </si>
  <si>
    <t>Daniele Mascia, Americo Cicchetti</t>
  </si>
  <si>
    <t xml:space="preserve">http://pdn.sciencedirect.com/science?_ob=MiamiImageURL&amp;_cid=271821&amp;_user=686465&amp;_pii=S027795361100013X&amp;_check=y&amp;_origin=search&amp;_zone=rslt_list_item&amp;_coverDate=2011-03-31&amp;wchp=dGLzVlt-zSkWb&amp;md5=c06883cf1ccf78775e2dbc0c4a4648ba&amp;pid=1-s2.0-S027795361100013X-main.pdf </t>
  </si>
  <si>
    <t>Explaining the trade-growth link: Assessing diffusion-based and structure-based models of exchange</t>
  </si>
  <si>
    <t>Rob Clark, Matthew C. Mahutga</t>
  </si>
  <si>
    <t>Social Science Research</t>
  </si>
  <si>
    <t xml:space="preserve">http://pdn.sciencedirect.com/science?_ob=MiamiImageURL&amp;_cid=272353&amp;_user=686465&amp;_pii=S0049089X12002463&amp;_check=y&amp;_origin=search&amp;_zone=rslt_list_item&amp;_coverDate=2013-03-31&amp;wchp=dGLzVlt-zSkWb&amp;md5=ddc7bb277bbbac5cfb398091e36ab218&amp;pid=1-s2.0-S0049089X12002463-main.pdf </t>
  </si>
  <si>
    <t>Is blood thicker than water? Peer effects in stent utilization among Floridian cardiologists Supplementary content </t>
  </si>
  <si>
    <t>Marco D. Huesch</t>
  </si>
  <si>
    <t xml:space="preserve">http://pdn.sciencedirect.com/science?_ob=MiamiImageURL&amp;_cid=271821&amp;_user=686465&amp;_pii=S0277953611005855&amp;_check=y&amp;_origin=search&amp;_zone=rslt_list_item&amp;_coverDate=2011-12-31&amp;wchp=dGLzVlt-zSkWb&amp;md5=9ed38ac675d90d187c1377dc77f58683&amp;pid=1-s2.0-S0277953611005855-main.pdf </t>
  </si>
  <si>
    <t>Concordance of randomized and nonrandomized studies was unrelated to translational patterns of two nutrient-disease associations Supplementary content </t>
  </si>
  <si>
    <t>Thomas A. Trikalinos, Denish Moorthy, Mei Chung, Winifred W. Yu, Jounghee Lee, Alice H. Lichtenstein, Joseph Lau</t>
  </si>
  <si>
    <t>Journal of Clinical Epidemiology</t>
  </si>
  <si>
    <t xml:space="preserve">http://pdn.sciencedirect.com/science?_ob=MiamiImageURL&amp;_cid=271297&amp;_user=686465&amp;_pii=S0895435611002265&amp;_check=y&amp;_origin=search&amp;_zone=rslt_list_item&amp;_coverDate=2012-01-31&amp;wchp=dGLzVlt-zSkWb&amp;md5=e530a65b59486f6c4647bd56e07a1e3f&amp;pid=1-s2.0-S0895435611002265-main.pdf </t>
  </si>
  <si>
    <t>Rumor clustering, consensus, and polarization: Dynamic social impact and self-organization of hearsay Supplementary content </t>
  </si>
  <si>
    <t>Nicholas DiFonzo, Martin J. Bourgeois, Jerry Suls, Christopher Homan, Noah Stupak, Bernard P. Brooks, David S. Ross, Prashant Bordia</t>
  </si>
  <si>
    <t xml:space="preserve">http://pdn.sciencedirect.com/science?_ob=MiamiImageURL&amp;_cid=272387&amp;_user=686465&amp;_pii=S0022103112002570&amp;_check=y&amp;_origin=search&amp;_zone=rslt_list_item&amp;_coverDate=2013-05-31&amp;wchp=dGLzVlt-zSkWb&amp;md5=921cbfe6332470dd98c0c7654e58d31e&amp;pid=1-s2.0-S0022103112002570-main.pdf </t>
  </si>
  <si>
    <t>Mapping the Multidisciplinary Field of Public Health Services and Systems Research Supplementary content </t>
  </si>
  <si>
    <t>Jenine K. Harris, Kate E. Beatty, Jesse D. Lecy, Julianne M. Cyr, Robert M. Shapiro II</t>
  </si>
  <si>
    <t xml:space="preserve">http://pdn.sciencedirect.com/science?_ob=MiamiImageURL&amp;_cid=271902&amp;_user=686465&amp;_pii=S0749379711002364&amp;_check=y&amp;_origin=search&amp;_zone=rslt_list_item&amp;_coverDate=2011-07-31&amp;wchp=dGLzVlt-zSkWb&amp;md5=0ed58a36751ae42c7365dbf4fde1ad4c&amp;pid=1-s2.0-S0749379711002364-main.pdf </t>
  </si>
  <si>
    <t>Project leaders as boundary spanners: Relational antecedents and performance outcomes</t>
  </si>
  <si>
    <t>S&amp;eacute;bastien Brion, Vincent Chauvet, Barth&amp;eacute;l&amp;eacute;my Chollet, Caroline Mothe</t>
  </si>
  <si>
    <t xml:space="preserve">http://pdn.sciencedirect.com/science?_ob=MiamiImageURL&amp;_cid=271951&amp;_user=686465&amp;_pii=S0263786312000026&amp;_check=y&amp;_origin=search&amp;_zone=rslt_list_item&amp;_coverDate=2012-08-31&amp;wchp=dGLzVlt-zSkWb&amp;md5=d400494f062c7b931cc3593ba45ae892&amp;pid=1-s2.0-S0263786312000026-main.pdf </t>
  </si>
  <si>
    <t>Ecological network analysis of China’s societal metabolism Supplementary content </t>
  </si>
  <si>
    <t>Yan Zhang, Hong Liu, Yating Li, Zhifeng Yang, Shengsheng Li, Naijin Yang</t>
  </si>
  <si>
    <t xml:space="preserve">http://pdn.sciencedirect.com/science?_ob=MiamiImageURL&amp;_cid=272592&amp;_user=686465&amp;_pii=S0301479711003446&amp;_check=y&amp;_origin=search&amp;_zone=rslt_list_item&amp;_coverDate=2012-01-31&amp;wchp=dGLzVlt-zSkWb&amp;md5=13af090d5f7b418e22c005d6af8b2b53&amp;pid=1-s2.0-S0301479711003446-main.pdf </t>
  </si>
  <si>
    <t>Knowledge and networks: An experimental test of how network knowledge affects coordination</t>
  </si>
  <si>
    <t>Daniel Enemark, Mathew D. McCubbins, Nicholas Weller</t>
  </si>
  <si>
    <t xml:space="preserve">http://pdn.sciencedirect.com/science?_ob=MiamiImageURL&amp;_cid=271850&amp;_user=686465&amp;_pii=S037887331200055X&amp;_check=y&amp;_origin=search&amp;_zone=rslt_list_item&amp;_coverDate=2012-11-02&amp;wchp=dGLzVlt-zSkWb&amp;md5=d7be8231a5a40d3c150f9e97ebdf2131&amp;pid=1-s2.0-S037887331200055X-main.pdf </t>
  </si>
  <si>
    <t>Influence flows in the academy: Using affiliation networks to assess peer effects among researchers</t>
  </si>
  <si>
    <t>Craig M. Rawlings, Daniel A. McFarland</t>
  </si>
  <si>
    <t xml:space="preserve">http://pdn.sciencedirect.com/science?_ob=MiamiImageURL&amp;_cid=272353&amp;_user=686465&amp;_pii=S0049089X10001985&amp;_check=y&amp;_origin=search&amp;_zone=rslt_list_item&amp;_coverDate=2011-05-31&amp;wchp=dGLzVlt-zSkWb&amp;md5=50d73d0da7b4704e251c233abb90e6fd&amp;pid=1-s2.0-S0049089X10001985-main.pdf </t>
  </si>
  <si>
    <t>A tree-network model for mining short message services seed users and its empirical analysis Supplementary content </t>
  </si>
  <si>
    <t>Yongli Li, Chong Wu, Xudong Wang, Shitang Wu</t>
  </si>
  <si>
    <t xml:space="preserve">http://pdn.sciencedirect.com/science?_ob=MiamiImageURL&amp;_cid=271505&amp;_user=686465&amp;_pii=S095070511200319X&amp;_check=y&amp;_origin=search&amp;_zone=rslt_list_item&amp;_coverDate=2013-03-31&amp;wchp=dGLzVlt-zSkWb&amp;md5=fc8eb239ffe6155f0bc5249e7ebf56f9&amp;pid=1-s2.0-S095070511200319X-main.pdf </t>
  </si>
  <si>
    <t>Chapter 10 - Civic Capital as the Missing Link</t>
  </si>
  <si>
    <t>Luigi Guiso, Paola Sapienza, Luigi Zingales</t>
  </si>
  <si>
    <t>Handbook of Social Economics</t>
  </si>
  <si>
    <t>Strategic Intelligence Management</t>
  </si>
  <si>
    <t>Social learning about levels of perinatal and infant mortality in Niakhar, Senegal Supplementary content </t>
  </si>
  <si>
    <t>John Sandberg, Steven Rytina, Val&amp;eacute;rie Delaunay, Adama S. Marra</t>
  </si>
  <si>
    <t xml:space="preserve">http://pdn.sciencedirect.com/science?_ob=MiamiImageURL&amp;_cid=271850&amp;_user=686465&amp;_pii=S0378873312000032&amp;_check=y&amp;_origin=search&amp;_zone=rslt_list_item&amp;_coverDate=2012-05-31&amp;wchp=dGLzVlt-zSkWb&amp;md5=a67bc15bc635db0677c5d6e6e2558792&amp;pid=1-s2.0-S0378873312000032-main.pdf </t>
  </si>
  <si>
    <t>Laplacian centrality: A new centrality measure for weighted networks</t>
  </si>
  <si>
    <t>Xingqin Qi, Eddie Fuller, Qin Wu, Yezhou Wu, Cun-Quan Zhang</t>
  </si>
  <si>
    <t xml:space="preserve">http://pdn.sciencedirect.com/science?_ob=MiamiImageURL&amp;_cid=271625&amp;_user=686465&amp;_pii=S0020025511006761&amp;_check=y&amp;_origin=search&amp;_zone=rslt_list_item&amp;_coverDate=2012-07-01&amp;wchp=dGLzVlt-zSkWb&amp;md5=9094b1bd6884cde53e523f54196db2b4&amp;pid=1-s2.0-S0020025511006761-main.pdf </t>
  </si>
  <si>
    <t>The New Jersey Nursing Initiative: Building Sustainable Collaboration</t>
  </si>
  <si>
    <t>Susan Bakewell-Sachs, Lynn M. Mertz, Dana Egreczky, Maryjoan Ladden</t>
  </si>
  <si>
    <t>Journal of Professional Nursing</t>
  </si>
  <si>
    <t xml:space="preserve">http://pdn.sciencedirect.com/science?_ob=MiamiImageURL&amp;_cid=272430&amp;_user=686465&amp;_pii=S8755722311001499&amp;_check=y&amp;_origin=search&amp;_zone=rslt_list_item&amp;_coverDate=2011-12-31&amp;wchp=dGLzVlt-zSkWb&amp;md5=2841cbf4b87d35e11399f9cff5e960a9&amp;pid=1-s2.0-S8755722311001499-main.pdf </t>
  </si>
  <si>
    <t>Extracting significant Website Key Objects: A Semantic Web mining approach</t>
  </si>
  <si>
    <t>Juan D. Vel&amp;aacute;squez, Luis E. Dujovne, Gaston L’Huillier</t>
  </si>
  <si>
    <t xml:space="preserve">http://pdn.sciencedirect.com/science?_ob=MiamiImageURL&amp;_cid=271095&amp;_user=686465&amp;_pii=S095219761100025X&amp;_check=y&amp;_origin=search&amp;_zone=rslt_list_item&amp;_coverDate=2011-12-31&amp;wchp=dGLzVlt-zSkWb&amp;md5=a6d346d6319a3b15e417551fe6ceb68d&amp;pid=1-s2.0-S095219761100025X-main.pdf </t>
  </si>
  <si>
    <t>Homophily and long-run integration in social networks</t>
  </si>
  <si>
    <t>Yann Bramoull&amp;eacute;, Sergio Currarini, Matthew O. Jackson, Paolo Pin, Brian W. Rogers</t>
  </si>
  <si>
    <t xml:space="preserve">http://pdn.sciencedirect.com/science?_ob=MiamiImageURL&amp;_cid=272399&amp;_user=686465&amp;_pii=S0022053112000610&amp;_check=y&amp;_origin=search&amp;_zone=rslt_list_item&amp;_coverDate=2012-09-30&amp;wchp=dGLzVlt-zSkWb&amp;md5=fb5c5691a5000b6ee62f10238fa58a79&amp;pid=1-s2.0-S0022053112000610-main.pdf </t>
  </si>
  <si>
    <t>Examining social influences on the sport commitment of Masters swimmers Supplementary content </t>
  </si>
  <si>
    <t>Bradley W. Young, Nikola Medic</t>
  </si>
  <si>
    <t xml:space="preserve">http://pdn.sciencedirect.com/science?_ob=MiamiImageURL&amp;_cid=272165&amp;_user=686465&amp;_pii=S1469029210001226&amp;_check=y&amp;_origin=search&amp;_zone=rslt_list_item&amp;_coverDate=2011-03-31&amp;wchp=dGLzVlt-zSkWb&amp;md5=94ffd8014c3ffbc737ed0e67373ff881&amp;pid=1-s2.0-S1469029210001226-main.pdf </t>
  </si>
  <si>
    <t>Career progress in centralized academic systems: Social capital and institutions in France and Italy</t>
  </si>
  <si>
    <t>Michele Pezzoni, Valerio Sterzi, Francesco Lissoni</t>
  </si>
  <si>
    <t xml:space="preserve">http://pdn.sciencedirect.com/science?_ob=MiamiImageURL&amp;_cid=271666&amp;_user=686465&amp;_pii=S0048733311002319&amp;_check=y&amp;_origin=search&amp;_zone=rslt_list_item&amp;_coverDate=2012-05-31&amp;wchp=dGLzVlt-zSkWb&amp;md5=6462f935a64de450a6cd57a4fd252cbe&amp;pid=1-s2.0-S0048733311002319-main.pdf </t>
  </si>
  <si>
    <t>S-CLONE: Socially-aware data replication for social networks</t>
  </si>
  <si>
    <t>Duc A. Tran, Khanh Nguyen, Cuong Pham</t>
  </si>
  <si>
    <t xml:space="preserve">http://pdn.sciencedirect.com/science?_ob=MiamiImageURL&amp;_cid=271990&amp;_user=686465&amp;_pii=S1389128612000746&amp;_check=y&amp;_origin=search&amp;_zone=rslt_list_item&amp;_coverDate=2012-05-03&amp;wchp=dGLzVlt-zSkWb&amp;md5=24f208e96397bb5b3cb4b607b37753f9&amp;pid=1-s2.0-S1389128612000746-main.pdf </t>
  </si>
  <si>
    <t>The potential role of nuclear energy in mitigating CO2 emissions in the United Arab Emirates</t>
  </si>
  <si>
    <t>Hasan Jamil AlFarra, Bassam Abu-Hijleh</t>
  </si>
  <si>
    <t xml:space="preserve">http://pdn.sciencedirect.com/science?_ob=MiamiImageURL&amp;_cid=271097&amp;_user=686465&amp;_pii=S0301421511009827&amp;_check=y&amp;_origin=search&amp;_zone=rslt_list_item&amp;_coverDate=2012-03-31&amp;wchp=dGLzVlt-zSkWb&amp;md5=80cff35428726edf51e9ce58486ca814&amp;pid=1-s2.0-S0301421511009827-main.pdf </t>
  </si>
  <si>
    <t>Topical perspective on massive threading and parallelism</t>
  </si>
  <si>
    <t>Robert M. Farber</t>
  </si>
  <si>
    <t>Journal of Molecular Graphics and Modelling</t>
  </si>
  <si>
    <t xml:space="preserve">http://pdn.sciencedirect.com/science?_ob=MiamiImageURL&amp;_cid=271644&amp;_user=686465&amp;_pii=S1093326311000957&amp;_check=y&amp;_origin=search&amp;_zone=rslt_list_item&amp;_coverDate=2011-09-30&amp;wchp=dGLzVlt-zSkWb&amp;md5=93c44111605609ec291473772f997962&amp;pid=1-s2.0-S1093326311000957-main.pdf </t>
  </si>
  <si>
    <t>On the dynamics of human proximity for data diffusion in ad-hoc networks</t>
  </si>
  <si>
    <t>Andr&amp;eacute; Panisson, Alain Barrat, Ciro Cattuto, Wouter Van den Broeck, Giancarlo Ruffo, Rossano Schifanella</t>
  </si>
  <si>
    <t xml:space="preserve">http://pdn.sciencedirect.com/science?_ob=MiamiImageURL&amp;_cid=272922&amp;_user=686465&amp;_pii=S1570870511001272&amp;_check=y&amp;_origin=search&amp;_zone=rslt_list_item&amp;_coverDate=2012-11-30&amp;wchp=dGLzVlt-zSkWb&amp;md5=6049003af134d3ef5c543acbcbbb5742&amp;pid=1-s2.0-S1570870511001272-main.pdf </t>
  </si>
  <si>
    <t>Geography of Twitter networks Supplementary content </t>
  </si>
  <si>
    <t>Yuri Takhteyev, Anatoliy Gruzd, Barry Wellman</t>
  </si>
  <si>
    <t xml:space="preserve">http://pdn.sciencedirect.com/science?_ob=MiamiImageURL&amp;_cid=271850&amp;_user=686465&amp;_pii=S0378873311000359&amp;_check=y&amp;_origin=search&amp;_zone=rslt_list_item&amp;_coverDate=2012-01-31&amp;wchp=dGLzVlt-zSkWb&amp;md5=33fe0c267caec0500cfb8d14a6e6352a&amp;pid=1-s2.0-S0378873311000359-main.pdf </t>
  </si>
  <si>
    <t>Female refugee networks: Rebuilding post-conflict identity</t>
  </si>
  <si>
    <t>L. Ripley Smith</t>
  </si>
  <si>
    <t xml:space="preserve">http://pdn.sciencedirect.com/science?_ob=MiamiImageURL&amp;_cid=272065&amp;_user=686465&amp;_pii=S014717671200051X&amp;_check=y&amp;_origin=search&amp;_zone=rslt_list_item&amp;_coverDate=2013-01-31&amp;wchp=dGLzVlt-zSkWb&amp;md5=1d3d870f2e7e8d570cb0b72d6fd8f371&amp;pid=1-s2.0-S014717671200051X-main.pdf </t>
  </si>
  <si>
    <t>Translation behaviour: An exploratory study within a service multinational</t>
  </si>
  <si>
    <t>Rebecca Piekkari, Denice Ellen Welch, Lawrence Stephenson Welch, Jukka-Pekka Peltonen, Tiina Vesa</t>
  </si>
  <si>
    <t>International Business Review</t>
  </si>
  <si>
    <t xml:space="preserve">http://pdn.sciencedirect.com/science?_ob=MiamiImageURL&amp;_cid=271686&amp;_user=686465&amp;_pii=S0969593112001436&amp;_check=y&amp;_origin=search&amp;_zone=rslt_list_item&amp;_coverDate=2013-01-17&amp;wchp=dGLzVlt-zSkWb&amp;md5=2cb116be889a09bd798b004d2a36d031&amp;pid=1-s2.0-S0969593112001436-main.pdf </t>
  </si>
  <si>
    <t>Apply extended self-organizing map to cluster and classify mixed-type data</t>
  </si>
  <si>
    <t>Chung-Chian Hsu, Shu-Han Lin, Wei-Shen Tai</t>
  </si>
  <si>
    <t xml:space="preserve">http://pdn.sciencedirect.com/science?_ob=MiamiImageURL&amp;_cid=271597&amp;_user=686465&amp;_pii=S0925231211004346&amp;_check=y&amp;_origin=search&amp;_zone=rslt_list_item&amp;_coverDate=2011-11-30&amp;wchp=dGLzVlt-zSkWb&amp;md5=30398dc90ff90cc27cc010d7634a77d4&amp;pid=1-s2.0-S0925231211004346-main.pdf </t>
  </si>
  <si>
    <t>Investigation of disease outbreaks with genome sequencing</t>
  </si>
  <si>
    <t>Jennifer L Gardy</t>
  </si>
  <si>
    <t>The Lancet Infectious Diseases</t>
  </si>
  <si>
    <t xml:space="preserve">http://pdn.sciencedirect.com/science?_ob=MiamiImageURL&amp;_cid=272254&amp;_user=686465&amp;_pii=S1473309912702955&amp;_check=y&amp;_origin=search&amp;_zone=rslt_list_item&amp;_coverDate=2013-02-28&amp;wchp=dGLzVlt-zSkWb&amp;md5=bff57083ea726d3d5f9f267f2e9d54dd&amp;pid=1-s2.0-S1473309912702955-main.pdf </t>
  </si>
  <si>
    <t>Seasonal variations in physical contact amongst domestic sheep and the implications for disease transmission Supplementary content </t>
  </si>
  <si>
    <t>Elizabeth Norton, St&amp;eacute;phane Benaben, Deborah Mbotha, David Schley</t>
  </si>
  <si>
    <t>Livestock Science</t>
  </si>
  <si>
    <t xml:space="preserve">http://pdn.sciencedirect.com/science?_ob=MiamiImageURL&amp;_cid=273467&amp;_user=686465&amp;_pii=S1871141311004768&amp;_check=y&amp;_origin=search&amp;_zone=rslt_list_item&amp;_coverDate=2012-05-31&amp;wchp=dGLzVlt-zSkWb&amp;md5=d6c239b7120398ba38e5c86af659c969&amp;pid=1-s2.0-S1871141311004768-main.pdf </t>
  </si>
  <si>
    <t>A collaborative approach to build evaluated web page datasets</t>
  </si>
  <si>
    <t>Ricardo Barros, Jos&amp;eacute; A. Rodrigues Nt., Geraldo B. Xex&amp;eacute;o, Jano M. de Souza</t>
  </si>
  <si>
    <t xml:space="preserve">http://pdn.sciencedirect.com/science?_ob=MiamiImageURL&amp;_cid=271521&amp;_user=686465&amp;_pii=S0167739X10001202&amp;_check=y&amp;_origin=search&amp;_zone=rslt_list_item&amp;_coverDate=2011-01-31&amp;wchp=dGLzVlt-zSkWb&amp;md5=0f8d3d85a482796a2bf41462a7471c6b&amp;pid=1-s2.0-S0167739X10001202-main.pdf </t>
  </si>
  <si>
    <t>Clustering with local restrictions</t>
  </si>
  <si>
    <t>Daniel Lokshtanov, D&amp;aacute;niel Marx</t>
  </si>
  <si>
    <t>Information and Computation</t>
  </si>
  <si>
    <t xml:space="preserve">http://pdn.sciencedirect.com/science?_ob=MiamiImageURL&amp;_cid=272575&amp;_user=686465&amp;_pii=S0890540112001575&amp;_check=y&amp;_origin=search&amp;_zone=rslt_list_item&amp;_coverDate=2013-01-31&amp;wchp=dGLzVlt-zSkWb&amp;md5=45235c458acf8251449c2e3fa164f68e&amp;pid=1-s2.0-S0890540112001575-main.pdf </t>
  </si>
  <si>
    <t>Collaboration in natural resource governance: Reconciling stakeholder expectations in deer management in Scotland</t>
  </si>
  <si>
    <t>Althea L. Davies, Rehema M. White</t>
  </si>
  <si>
    <t xml:space="preserve">http://pdn.sciencedirect.com/science?_ob=MiamiImageURL&amp;_cid=272592&amp;_user=686465&amp;_pii=S0301479712003969&amp;_check=y&amp;_origin=search&amp;_zone=rslt_list_item&amp;_coverDate=2012-12-15&amp;wchp=dGLzVlt-zSkWb&amp;md5=4fe868a0450f35fdd5d394b7245d2fce&amp;pid=1-s2.0-S0301479712003969-main.pdf </t>
  </si>
  <si>
    <t>Addressing drop-out and sustained effort issues with large practical groups using an automated delivery and assessment system</t>
  </si>
  <si>
    <t xml:space="preserve">http://pdn.sciencedirect.com/science?_ob=MiamiImageURL&amp;_cid=271849&amp;_user=686465&amp;_pii=S0360131512002084&amp;_check=y&amp;_origin=search&amp;_zone=rslt_list_item&amp;_coverDate=2013-02-28&amp;wchp=dGLzVlt-zSkWb&amp;md5=0c4c4b6f7faf3d0bd57e70b1c7e44a3c&amp;pid=1-s2.0-S0360131512002084-main.pdf </t>
  </si>
  <si>
    <t xml:space="preserve">http://pdn.sciencedirect.com/science?_ob=MiamiImageURL&amp;_cid=272314&amp;_user=686465&amp;_pii=S0022519311005315&amp;_check=y&amp;_origin=search&amp;_zone=rslt_list_item&amp;_coverDate=2012-01-21&amp;wchp=dGLzVlt-zSkWb&amp;md5=c8c455043d4b10fcb5b862205800cd71&amp;pid=1-s2.0-S0022519311005315-main.pdf </t>
  </si>
  <si>
    <t>A rule-of-thumb based on social affiliation explains collective movements in desert baboons</t>
  </si>
  <si>
    <t>Andrew J. King, Cedric Sueur, Elise Huchard, Guy Cowlishaw</t>
  </si>
  <si>
    <t xml:space="preserve">http://pdn.sciencedirect.com/science?_ob=MiamiImageURL&amp;_cid=272524&amp;_user=686465&amp;_pii=S0003347211003988&amp;_check=y&amp;_origin=search&amp;_zone=rslt_list_item&amp;_coverDate=2011-12-31&amp;wchp=dGLzVlt-zSkWb&amp;md5=2bfcf628a95783a09c914ffeea070b24&amp;pid=1-s2.0-S0003347211003988-main.pdf </t>
  </si>
  <si>
    <t>Popularity trajectories and substance use in early adolescence</t>
  </si>
  <si>
    <t>James Moody, Wendy D. Brynildsen, D. Wayne Osgood, Mark E. Feinberg, Scott Gest</t>
  </si>
  <si>
    <t xml:space="preserve">http://pdn.sciencedirect.com/science?_ob=MiamiImageURL&amp;_cid=271850&amp;_user=686465&amp;_pii=S037887331000050X&amp;_check=y&amp;_origin=search&amp;_zone=rslt_list_item&amp;_coverDate=2011-05-31&amp;wchp=dGLzVlt-zSkWb&amp;md5=42e12336e5c8dc883b755e569d1a4d0e&amp;pid=1-s2.0-S037887331000050X-main.pdf </t>
  </si>
  <si>
    <t>A social approach for learning agents</t>
  </si>
  <si>
    <t>Fabr&amp;iacute;cio Enembreck, Jean-Paul Andr&amp;eacute; Barth&amp;egrave;s</t>
  </si>
  <si>
    <t xml:space="preserve">http://pdn.sciencedirect.com/science?_ob=MiamiImageURL&amp;_cid=271506&amp;_user=686465&amp;_pii=S0957417412011220&amp;_check=y&amp;_origin=search&amp;_zone=rslt_list_item&amp;_coverDate=2013-04-30&amp;wchp=dGLzVlt-zSkWb&amp;md5=2a674947417eee811606690ac9425e93&amp;pid=1-s2.0-S0957417412011220-main.pdf </t>
  </si>
  <si>
    <t>Fairness-related challenges in mobile opportunistic networking</t>
  </si>
  <si>
    <t xml:space="preserve">http://pdn.sciencedirect.com/science?_ob=MiamiImageURL&amp;_cid=271990&amp;_user=686465&amp;_pii=S1389128612003350&amp;_check=y&amp;_origin=search&amp;_zone=rslt_list_item&amp;_coverDate=2013-01-16&amp;wchp=dGLzVlt-zSkWb&amp;md5=b810519310a1dac70cbc4407d8e09046&amp;pid=1-s2.0-S1389128612003350-main.pdf </t>
  </si>
  <si>
    <t>Expanded Borel Cayley Graphs (Ex-BCGs): A novel communication topology for multi-agent systems</t>
  </si>
  <si>
    <t>Dongsoo Kim, Eric Noel, K. Wendy Tang</t>
  </si>
  <si>
    <t xml:space="preserve">http://pdn.sciencedirect.com/science?_ob=MiamiImageURL&amp;_cid=272436&amp;_user=686465&amp;_pii=S1084804512002615&amp;_check=y&amp;_origin=search&amp;_zone=rslt_list_item&amp;_coverDate=2012-12-31&amp;wchp=dGLzVlt-zSkWb&amp;md5=dfe7dbae9c0ba81a5a093110331037d9&amp;pid=1-s2.0-S1084804512002615-main.pdf </t>
  </si>
  <si>
    <t>Quantifying leader lives: What historiometric approaches can tell us</t>
  </si>
  <si>
    <t>Gina Scott Ligon, Daniel J. Harris, Samuel T. Hunter</t>
  </si>
  <si>
    <t xml:space="preserve">http://pdn.sciencedirect.com/science?_ob=MiamiImageURL&amp;_cid=272081&amp;_user=686465&amp;_pii=S1048984312000938&amp;_check=y&amp;_origin=search&amp;_zone=rslt_list_item&amp;_coverDate=2012-12-31&amp;wchp=dGLzVlt-zSkWb&amp;md5=c3bda6236593f6bcc2b174ad37018b54&amp;pid=1-s2.0-S1048984312000938-main.pdf </t>
  </si>
  <si>
    <t>Predicting missing contacts in mobile social networks</t>
  </si>
  <si>
    <t>Kazem Jahanbakhsh, Valerie King, Gholamali C. Shoja</t>
  </si>
  <si>
    <t xml:space="preserve">http://pdn.sciencedirect.com/science?_ob=MiamiImageURL&amp;_cid=273419&amp;_user=686465&amp;_pii=S1574119212000910&amp;_check=y&amp;_origin=search&amp;_zone=rslt_list_item&amp;_coverDate=2012-10-31&amp;wchp=dGLzVlt-zSkWb&amp;md5=fff2cb05baf1f004bc18dbf307ee8697&amp;pid=1-s2.0-S1574119212000910-main.pdf </t>
  </si>
  <si>
    <t>Fission–fusion dynamics in wild giraffes may be driven by kinship, spatial overlap and individual social preferences</t>
  </si>
  <si>
    <t>Kerryn D. Carter, Jennifer M. Seddon, Celine H. Fr&amp;egrave;re, John K. Carter, Anne W. Goldizen</t>
  </si>
  <si>
    <t xml:space="preserve">http://pdn.sciencedirect.com/science?_ob=MiamiImageURL&amp;_cid=272524&amp;_user=686465&amp;_pii=S0003347212005246&amp;_check=y&amp;_origin=search&amp;_zone=rslt_list_item&amp;_coverDate=2013-02-28&amp;wchp=dGLzVlt-zSkWb&amp;md5=9c2d6f1d9a542169d831a83856467bfd&amp;pid=1-s2.0-S0003347212005246-main.pdf </t>
  </si>
  <si>
    <t>Contrasting social network and tribal theories: An applied perspective</t>
  </si>
  <si>
    <t>Luke Greenacre, Lynne Freeman, Melissa Donald</t>
  </si>
  <si>
    <t xml:space="preserve">http://pdn.sciencedirect.com/science?_ob=MiamiImageURL&amp;_cid=271680&amp;_user=686465&amp;_pii=S014829631100422X&amp;_check=y&amp;_origin=search&amp;_zone=rslt_list_item&amp;_coverDate=2011-12-28&amp;wchp=dGLzVlt-zSkWb&amp;md5=611138d32aff12ca2ec0bd5731ced6e3&amp;pid=1-s2.0-S014829631100422X-main.pdf </t>
  </si>
  <si>
    <t>Gregory W Heath, Diana C Parra, Olga L Sarmiento, Lars Bo Andersen, Neville Owen, Shifalika Goenka, Felipe Montes, Ross C Brownson, for the Lancet Physical Activity Series Working Group</t>
  </si>
  <si>
    <t>The Lancet</t>
  </si>
  <si>
    <t xml:space="preserve">http://pdn.sciencedirect.com/science?_ob=MiamiImageURL&amp;_cid=271074&amp;_user=686465&amp;_pii=S0140673612608162&amp;_check=y&amp;_origin=search&amp;_zone=rslt_list_item&amp;_coverDate=2012-07-27&amp;wchp=dGLzVlt-zSkWb&amp;md5=1da4f26bc9333e8b2b4d473ea716b65f&amp;pid=1-s2.0-S0140673612608162-main.pdf </t>
  </si>
  <si>
    <t>Bibliography</t>
  </si>
  <si>
    <t>Diamond dicing</t>
  </si>
  <si>
    <t>Hazel Webb, Daniel Lemire, Owen Kaser</t>
  </si>
  <si>
    <t xml:space="preserve">http://pdn.sciencedirect.com/science?_ob=MiamiImageURL&amp;_cid=271546&amp;_user=686465&amp;_pii=S0169023X13000025&amp;_check=y&amp;_origin=search&amp;_zone=rslt_list_item&amp;_coverDate=2013-01-18&amp;wchp=dGLzVlt-zSkWb&amp;md5=b2b2218d82ad0201f465d39994743cf6&amp;pid=1-s2.0-S0169023X13000025-main.pdf </t>
  </si>
  <si>
    <t>Inexact subgraph isomorphism in MapReduce</t>
  </si>
  <si>
    <t>Todd Plantenga</t>
  </si>
  <si>
    <t xml:space="preserve">http://pdn.sciencedirect.com/science?_ob=MiamiImageURL&amp;_cid=272438&amp;_user=686465&amp;_pii=S0743731512002559&amp;_check=y&amp;_origin=search&amp;_zone=rslt_list_item&amp;_coverDate=2013-02-28&amp;wchp=dGLzVlt-zSkWb&amp;md5=ece4fe4a075b0be66405d96dcdc04189&amp;pid=1-s2.0-S0743731512002559-main.pdf </t>
  </si>
  <si>
    <t>Actor-based analysis of peer influence in A Stop Smoking In Schools Trial (ASSIST)</t>
  </si>
  <si>
    <t>Christian Steglich, Philip Sinclair, Jo Holliday, Laurence Moore</t>
  </si>
  <si>
    <t xml:space="preserve">http://pdn.sciencedirect.com/science?_ob=MiamiImageURL&amp;_cid=271850&amp;_user=686465&amp;_pii=S0378873310000365&amp;_check=y&amp;_origin=search&amp;_zone=rslt_list_item&amp;_coverDate=2012-07-31&amp;wchp=dGLzVlt-zSkWb&amp;md5=9fc1f2319fe57c79989e93e0c378d76e&amp;pid=1-s2.0-S0378873310000365-main.pdf </t>
  </si>
  <si>
    <t>Human-mobility enabled wireless networks for emergency communications during special events</t>
  </si>
  <si>
    <t>Angela Sara Cacciapuoti, Francesco Calabrese, Marcello Caleffi, Giusy Di Lorenzo, Luigi Paura</t>
  </si>
  <si>
    <t xml:space="preserve">http://pdn.sciencedirect.com/science?_ob=MiamiImageURL&amp;_cid=273419&amp;_user=686465&amp;_pii=S157411921200017X&amp;_check=y&amp;_origin=search&amp;_zone=rslt_list_item&amp;_coverDate=2012-01-27&amp;wchp=dGLzVlt-zSkWb&amp;md5=7095012cd4ac58a82118c4c36b9d6b6f&amp;pid=1-s2.0-S157411921200017X-main.pdf </t>
  </si>
  <si>
    <t>Evidence of social communities in a spatially structured network of a free-ranging shark species</t>
  </si>
  <si>
    <t>Johann Mourier, Julie Vercelloni, Serge Planes</t>
  </si>
  <si>
    <t xml:space="preserve">http://pdn.sciencedirect.com/science?_ob=MiamiImageURL&amp;_cid=272524&amp;_user=686465&amp;_pii=S0003347211005008&amp;_check=y&amp;_origin=search&amp;_zone=rslt_list_item&amp;_coverDate=2012-02-29&amp;wchp=dGLzVlt-zSkWb&amp;md5=acc9882c8cb5af6643ceb1bb219499cf&amp;pid=1-s2.0-S0003347211005008-main.pdf </t>
  </si>
  <si>
    <t>Human-mobility enabled networks in urban environments: Is there any (mobile wireless) small world out there?</t>
  </si>
  <si>
    <t xml:space="preserve">http://pdn.sciencedirect.com/science?_ob=MiamiImageURL&amp;_cid=272922&amp;_user=686465&amp;_pii=S1570870511001569&amp;_check=y&amp;_origin=search&amp;_zone=rslt_list_item&amp;_coverDate=2012-11-30&amp;wchp=dGLzVlt-zSkWb&amp;md5=641d53a0843ab4c753e207cbc64d74f0&amp;pid=1-s2.0-S1570870511001569-main.pdf </t>
  </si>
  <si>
    <t>How journal rankings can suppress interdisciplinary research: A comparison between Innovation Studies and Business &amp; Management Supplementary content </t>
  </si>
  <si>
    <t>Ismael Rafols, Loet Leydesdorff, Alice O’Hare, Paul Nightingale, Andy Stirling</t>
  </si>
  <si>
    <t xml:space="preserve">http://pdn.sciencedirect.com/science?_ob=MiamiImageURL&amp;_cid=271666&amp;_user=686465&amp;_pii=S0048733312000765&amp;_check=y&amp;_origin=search&amp;_zone=rslt_list_item&amp;_coverDate=2012-09-30&amp;wchp=dGLzVlt-zSkWb&amp;md5=ea41afdd2bac31c4782e767f1d1c1e5f&amp;pid=1-s2.0-S0048733312000765-main.pdf </t>
  </si>
  <si>
    <t>Collaboration-based medical knowledge recommendation</t>
  </si>
  <si>
    <t>Zhengxing Huang, Xudong Lu, Huilong Duan, Chenhui Zhao</t>
  </si>
  <si>
    <t>Artificial Intelligence in Medicine</t>
  </si>
  <si>
    <t xml:space="preserve">http://pdn.sciencedirect.com/science?_ob=MiamiImageURL&amp;_cid=271219&amp;_user=686465&amp;_pii=S0933365711001400&amp;_check=y&amp;_origin=search&amp;_zone=rslt_list_item&amp;_coverDate=2012-05-31&amp;wchp=dGLzVlt-zSkWb&amp;md5=98d0a956050aa3cdb13f3577bffca151&amp;pid=1-s2.0-S0933365711001400-main.pdf </t>
  </si>
  <si>
    <t>Web 2.0 Broker: A standards-based service for spatio-temporal search of crowd-sourced information</t>
  </si>
  <si>
    <t>Laura D&amp;iacute;az, Carlos Granell, Joaqu&amp;iacute;n Huerta, Michael Gould</t>
  </si>
  <si>
    <t>Applied Geography</t>
  </si>
  <si>
    <t xml:space="preserve">http://pdn.sciencedirect.com/science?_ob=MiamiImageURL&amp;_cid=271856&amp;_user=686465&amp;_pii=S0143622812000999&amp;_check=y&amp;_origin=search&amp;_zone=rslt_list_item&amp;_coverDate=2012-11-30&amp;wchp=dGLzVlt-zSkWb&amp;md5=e948da08fa45004697160aa502fd9c2f&amp;pid=1-s2.0-S0143622812000999-main.pdf </t>
  </si>
  <si>
    <t>Disentangling social networks from spatiotemporal dynamics: the temporal structure of a dolphin society Supplementary content </t>
  </si>
  <si>
    <t>Maur&amp;iacute;cio Cantor, Leonardo Liberali Wedekin, Paulo Roberto Guimar&amp;atilde;es, F&amp;aacute;bio Gon&amp;ccedil;alves Daura-Jorge, Marcos Roberto Rossi-Santos, Paulo C&amp;eacute;sar Sim&amp;otilde;es-Lopes</t>
  </si>
  <si>
    <t xml:space="preserve">http://pdn.sciencedirect.com/science?_ob=MiamiImageURL&amp;_cid=272524&amp;_user=686465&amp;_pii=S0003347212002801&amp;_check=y&amp;_origin=search&amp;_zone=rslt_list_item&amp;_coverDate=2012-09-30&amp;wchp=dGLzVlt-zSkWb&amp;md5=a3fc917e0e44426459051b9d1f8dd64e&amp;pid=1-s2.0-S0003347212002801-main.pdf </t>
  </si>
  <si>
    <t>Talking about colds and flu: The lay diagnosis of two common illnesses among older British people</t>
  </si>
  <si>
    <t>Lindsay Prior, Meirion R. Evans, Hayley Prout</t>
  </si>
  <si>
    <t xml:space="preserve">http://pdn.sciencedirect.com/science?_ob=MiamiImageURL&amp;_cid=271821&amp;_user=686465&amp;_pii=S0277953610007987&amp;_check=y&amp;_origin=search&amp;_zone=rslt_list_item&amp;_coverDate=2011-09-30&amp;wchp=dGLzVlt-zSkWb&amp;md5=97f488971f00ac12911c683b481a0a09&amp;pid=1-s2.0-S0277953610007987-main.pdf </t>
  </si>
  <si>
    <t>Covert social movement networks and the secrecy-efficiency trade off: The case of the UK suffragettes (1906–1914)</t>
  </si>
  <si>
    <t>Nick Crossley, Gemma Edwards, Ellen Harries, Rachel Stevenson</t>
  </si>
  <si>
    <t xml:space="preserve">http://pdn.sciencedirect.com/science?_ob=MiamiImageURL&amp;_cid=271850&amp;_user=686465&amp;_pii=S0378873312000469&amp;_check=y&amp;_origin=search&amp;_zone=rslt_list_item&amp;_coverDate=2012-10-31&amp;wchp=dGLzVlt-zSkWb&amp;md5=149c7bcb1ae6b4cadfba74c54d1e3057&amp;pid=1-s2.0-S0378873312000469-main.pdf </t>
  </si>
  <si>
    <t>Effects of social influence on consumers' voluntary adoption of innovations prompted by others</t>
  </si>
  <si>
    <t>Sang-Hoon Kim, Hyun Jung Park</t>
  </si>
  <si>
    <t xml:space="preserve">http://pdn.sciencedirect.com/science?_ob=MiamiImageURL&amp;_cid=271680&amp;_user=686465&amp;_pii=S0148296311002086&amp;_check=y&amp;_origin=search&amp;_zone=rslt_list_item&amp;_coverDate=2011-11-30&amp;wchp=dGLzVlt-zSkWb&amp;md5=8938d3e6bbe79526d7023ef7574661a8&amp;pid=1-s2.0-S0148296311002086-main.pdf </t>
  </si>
  <si>
    <t>An extensible simulation environment and movement metrics for testing walking behavior in agent-based models Supplementary content </t>
  </si>
  <si>
    <t>Paul M. Torrens, Atsushi Nara, Xun Li, Haojie Zhu, William A. Griffin, Scott B. Brown</t>
  </si>
  <si>
    <t xml:space="preserve">http://pdn.sciencedirect.com/science?_ob=MiamiImageURL&amp;_cid=271803&amp;_user=686465&amp;_pii=S0198971511000688&amp;_check=y&amp;_origin=search&amp;_zone=rslt_list_item&amp;_coverDate=2012-01-31&amp;wchp=dGLzVlt-zSkWb&amp;md5=521aaceb61fe604644ed5142c4cd2748&amp;pid=1-s2.0-S0198971511000688-main.pdf </t>
  </si>
  <si>
    <t>Managing coopetition through horizontal supply chain relations: Linking dyadic and network levels of analysis</t>
  </si>
  <si>
    <t>Miriam M. Wilhelm</t>
  </si>
  <si>
    <t xml:space="preserve">http://pdn.sciencedirect.com/science?_ob=MiamiImageURL&amp;_cid=271694&amp;_user=686465&amp;_pii=S0272696311000714&amp;_check=y&amp;_origin=search&amp;_zone=rslt_list_item&amp;_coverDate=2011-11-30&amp;wchp=dGLzVlt-zSkWb&amp;md5=3266a03731b9931afb64651865ffeb2f&amp;pid=1-s2.0-S0272696311000714-main.pdf </t>
  </si>
  <si>
    <t>Decentralised detection of periodic encounter communities in opportunistic networks</t>
  </si>
  <si>
    <t>M.J. Williams, R.M. Whitaker, S.M. Allen</t>
  </si>
  <si>
    <t xml:space="preserve">http://pdn.sciencedirect.com/science?_ob=MiamiImageURL&amp;_cid=272922&amp;_user=686465&amp;_pii=S1570870511001582&amp;_check=y&amp;_origin=search&amp;_zone=rslt_list_item&amp;_coverDate=2012-11-30&amp;wchp=dGLzVlt-zSkWb&amp;md5=937a272f7e301d6d3f6a504ece7961b8&amp;pid=1-s2.0-S1570870511001582-main.pdf </t>
  </si>
  <si>
    <t>A one health perspective on HPAI H5N1 in the Greater Mekong sub-region</t>
  </si>
  <si>
    <t>Dirk U. Pfeiffer, Martin J. Otte, David Roland-Holst, David Zilberman</t>
  </si>
  <si>
    <t>Comparative Immunology, Microbiology and Infectious Diseases</t>
  </si>
  <si>
    <t xml:space="preserve">http://pdn.sciencedirect.com/science?_ob=MiamiImageURL&amp;_cid=272207&amp;_user=686465&amp;_pii=S0147957112001294&amp;_check=y&amp;_origin=search&amp;_zone=rslt_list_item&amp;_coverDate=2012-12-20&amp;wchp=dGLzVlt-zSkWb&amp;md5=605f6e18b73cf8d6d38b4decc50765e5&amp;pid=1-s2.0-S0147957112001294-main.pdf </t>
  </si>
  <si>
    <t>Do resources of network members help in help seeking? Social capital and health information search</t>
  </si>
  <si>
    <t>Lijun Song, Tian-Yun Chang</t>
  </si>
  <si>
    <t xml:space="preserve">http://pdn.sciencedirect.com/science?_ob=MiamiImageURL&amp;_cid=271850&amp;_user=686465&amp;_pii=S0378873312000482&amp;_check=y&amp;_origin=search&amp;_zone=rslt_list_item&amp;_coverDate=2012-10-31&amp;wchp=dGLzVlt-zSkWb&amp;md5=4b6946101f4f2a963e8064731f7e11b1&amp;pid=1-s2.0-S0378873312000482-main.pdf </t>
  </si>
  <si>
    <t>Network sampling and classification: An investigation of network model representations</t>
  </si>
  <si>
    <t>Edoardo M. Airoldi, Xue Bai, Kathleen M. Carley</t>
  </si>
  <si>
    <t xml:space="preserve">http://pdn.sciencedirect.com/science?_ob=MiamiImageURL&amp;_cid=271653&amp;_user=686465&amp;_pii=S016792361100073X&amp;_check=y&amp;_origin=search&amp;_zone=rslt_list_item&amp;_coverDate=2011-06-30&amp;wchp=dGLzVlt-zSkWb&amp;md5=f875311098fd6c06739c5ff70f9ae145&amp;pid=1-s2.0-S016792361100073X-main.pdf </t>
  </si>
  <si>
    <t>Information-sharing in public organizations: A literature review of interpersonal, intra-organizational and inter-organizational success factors</t>
  </si>
  <si>
    <t>Tung-Mou Yang, Terrence A. Maxwell</t>
  </si>
  <si>
    <t xml:space="preserve">http://pdn.sciencedirect.com/science?_ob=MiamiImageURL&amp;_cid=272070&amp;_user=686465&amp;_pii=S0740624X10001322&amp;_check=y&amp;_origin=search&amp;_zone=rslt_list_item&amp;_coverDate=2011-04-30&amp;wchp=dGLzVlt-zSkWb&amp;md5=a5a67fb78b7f1c165d96c3fe68586ef1&amp;pid=1-s2.0-S0740624X10001322-main.pdf </t>
  </si>
  <si>
    <t>Structure and dynamics of molecular networks: A novel paradigm of drug discovery: A comprehensive review</t>
  </si>
  <si>
    <t>Peter Csermely, Tam&amp;aacute;s Korcsm&amp;aacute;ros, Huba J.M. Kiss, G&amp;aacute;bor London, Ruth Nussinov</t>
  </si>
  <si>
    <t>Pharmacology &amp; Therapeutics</t>
  </si>
  <si>
    <t xml:space="preserve">http://pdn.sciencedirect.com/science?_ob=MiamiImageURL&amp;_cid=271223&amp;_user=686465&amp;_pii=S0163725813000284&amp;_check=y&amp;_origin=search&amp;_zone=rslt_list_item&amp;_coverDate=2013-02-04&amp;wchp=dGLzVlt-zSkWb&amp;md5=85da549b96b588b3ba9a3316132f0018&amp;pid=1-s2.0-S0163725813000284-main.pdf </t>
  </si>
  <si>
    <t>Knowledge, influence, and firm-level change: A geographic analysis of board membership associated with Canada’s growing and declining businesses</t>
  </si>
  <si>
    <t>Murray D. Rice, Sean Tierney, Sean O’Hagan, Donald Lyons, Milford B. Green</t>
  </si>
  <si>
    <t>Geoforum</t>
  </si>
  <si>
    <t xml:space="preserve">http://pdn.sciencedirect.com/science?_ob=MiamiImageURL&amp;_cid=271790&amp;_user=686465&amp;_pii=S0016718512000838&amp;_check=y&amp;_origin=search&amp;_zone=rslt_list_item&amp;_coverDate=2012-09-30&amp;wchp=dGLzVlt-zSkWb&amp;md5=8f19b987dea8cfec15266cb49c64943b&amp;pid=1-s2.0-S0016718512000838-main.pdf </t>
  </si>
  <si>
    <t>The Rücker–Markov invariants of complex Bio-Systems: Applications in Parasitology and Neuroinformatics</t>
  </si>
  <si>
    <t>Biosystems</t>
  </si>
  <si>
    <t xml:space="preserve">http://pdn.sciencedirect.com/science?_ob=MiamiImageURL&amp;_cid=271079&amp;_user=686465&amp;_pii=S0303264713000324&amp;_check=y&amp;_origin=search&amp;_zone=rslt_list_item&amp;_coverDate=2013-02-27&amp;wchp=dGLzVlt-zSkWb&amp;md5=360895cc4c21fbac44582ccd7cc85ead&amp;pid=1-s2.0-S0303264713000324-main.pdf </t>
  </si>
  <si>
    <t>A cross-sectional exploration of smoking status and social interaction in a large population-based Australian cohort</t>
  </si>
  <si>
    <t>May Chiew, Marianne F. Weber, Sam Egger, Freddy Sitas</t>
  </si>
  <si>
    <t xml:space="preserve">http://pdn.sciencedirect.com/science?_ob=MiamiImageURL&amp;_cid=271821&amp;_user=686465&amp;_pii=S0277953612002286&amp;_check=y&amp;_origin=search&amp;_zone=rslt_list_item&amp;_coverDate=2012-07-31&amp;wchp=dGLzVlt-zSkWb&amp;md5=c694394ee2a1d79869a5e012c01c0981&amp;pid=1-s2.0-S0277953612002286-main.pdf </t>
  </si>
  <si>
    <t>An institutional evaluation of sustainable forest management in Flanders</t>
  </si>
  <si>
    <t>Peter Van Gossum, Bas Arts, Robert De Wulf, Kris Verheyen</t>
  </si>
  <si>
    <t xml:space="preserve">http://pdn.sciencedirect.com/science?_ob=MiamiImageURL&amp;_cid=271740&amp;_user=686465&amp;_pii=S0264837710000554&amp;_check=y&amp;_origin=search&amp;_zone=rslt_list_item&amp;_coverDate=2011-01-31&amp;wchp=dGLzVlt-zSkWb&amp;md5=fbaf07ec944d5023f660a4164bd79cdc&amp;pid=1-s2.0-S0264837710000554-main.pdf </t>
  </si>
  <si>
    <t>Embedding social networks: How guanxi ties reinforce Chinese employees’ retention</t>
  </si>
  <si>
    <t>Peter W. Hom, Zhixing Xiao</t>
  </si>
  <si>
    <t xml:space="preserve">http://pdn.sciencedirect.com/science?_ob=MiamiImageURL&amp;_cid=272419&amp;_user=686465&amp;_pii=S0749597811000744&amp;_check=y&amp;_origin=search&amp;_zone=rslt_list_item&amp;_coverDate=2011-11-30&amp;wchp=dGLzVlt-zSkWb&amp;md5=07de96c294e62e0e82a6a0a425e5b683&amp;pid=1-s2.0-S0749597811000744-main.pdf </t>
  </si>
  <si>
    <t>SINVLIO: Using semantics and fuzzy logic to provide individual investment portfolio recommendations</t>
  </si>
  <si>
    <t>&amp;Aacute;ngel Garc&amp;iacute;a-Crespo, Jos&amp;eacute; Luis L&amp;oacute;pez-Cuadrado, Israel Gonz&amp;aacute;lez-Carrasco, Ricardo Colomo-Palacios, Bel&amp;eacute;n Ruiz-Mezcua</t>
  </si>
  <si>
    <t xml:space="preserve">http://pdn.sciencedirect.com/science?_ob=MiamiImageURL&amp;_cid=271505&amp;_user=686465&amp;_pii=S0950705111001912&amp;_check=y&amp;_origin=search&amp;_zone=rslt_list_item&amp;_coverDate=2012-03-31&amp;wchp=dGLzVlt-zSkWb&amp;md5=da2dc0b8048f5f283911663257185134&amp;pid=1-s2.0-S0950705111001912-main.pdf </t>
  </si>
  <si>
    <t>Institutional entrepreneurship in sustainable urban development Dutch successes as inspiration for transformation</t>
  </si>
  <si>
    <t>Rosalinde Klein Woolthuis, Fransje Hooimeijer, Bart Bossink, Guus Mulder, Jeroen Brouwer</t>
  </si>
  <si>
    <t xml:space="preserve">http://pdn.sciencedirect.com/science?_ob=MiamiImageURL&amp;_cid=271750&amp;_user=686465&amp;_pii=S0959652612006245&amp;_check=y&amp;_origin=search&amp;_zone=rslt_list_item&amp;_coverDate=2012-12-13&amp;wchp=dGLzVlt-zSkWb&amp;md5=743539aa8a91712491b0c4805a2b7441&amp;pid=1-s2.0-S0959652612006245-main.pdf </t>
  </si>
  <si>
    <t>Knowledge management technology as a stage for strategic self-presentation: Implications for knowledge sharing in organizations</t>
  </si>
  <si>
    <t>Paul M. Leonardi, Jeffrey W. Treem</t>
  </si>
  <si>
    <t xml:space="preserve">http://pdn.sciencedirect.com/science?_ob=MiamiImageURL&amp;_cid=272182&amp;_user=686465&amp;_pii=S1471772711000510&amp;_check=y&amp;_origin=search&amp;_zone=rslt_list_item&amp;_coverDate=2012-01-31&amp;wchp=dGLzVlt-zSkWb&amp;md5=328f2ad234f180b5d52cf22fbb523330&amp;pid=1-s2.0-S1471772711000510-main.pdf </t>
  </si>
  <si>
    <t>Women’s status and carbon dioxide emissions: A quantitative cross-national analysis</t>
  </si>
  <si>
    <t>Christina Ergas, Richard York</t>
  </si>
  <si>
    <t xml:space="preserve">http://pdn.sciencedirect.com/science?_ob=MiamiImageURL&amp;_cid=272353&amp;_user=686465&amp;_pii=S0049089X12000609&amp;_check=y&amp;_origin=search&amp;_zone=rslt_list_item&amp;_coverDate=2012-07-31&amp;wchp=dGLzVlt-zSkWb&amp;md5=de32fd2db013faa0bc04c60b8326500b&amp;pid=1-s2.0-S0049089X12000609-main.pdf </t>
  </si>
  <si>
    <t>A theory of how rural health services contribute to community sustainability</t>
  </si>
  <si>
    <t>Jane Farmer, Maria Prior, Judy Taylor</t>
  </si>
  <si>
    <t xml:space="preserve">http://pdn.sciencedirect.com/science?_ob=MiamiImageURL&amp;_cid=271821&amp;_user=686465&amp;_pii=S0277953612005722&amp;_check=y&amp;_origin=search&amp;_zone=rslt_list_item&amp;_coverDate=2012-11-30&amp;wchp=dGLzVlt-zSkWb&amp;md5=a49000292116564bea9a327d10278a59&amp;pid=1-s2.0-S0277953612005722-main.pdf </t>
  </si>
  <si>
    <t>Works Cited</t>
  </si>
  <si>
    <t>CUDA Application Design and Development</t>
  </si>
  <si>
    <t>Dilemmas and challenges in forest conservation and development interventions: Case of Northwest Pakistan</t>
  </si>
  <si>
    <t>Babar Shahbaz, Tanvir Ali, Abid Q. Suleri</t>
  </si>
  <si>
    <t xml:space="preserve">http://pdn.sciencedirect.com/science?_ob=MiamiImageURL&amp;_cid=272157&amp;_user=686465&amp;_pii=S1389934111000700&amp;_check=y&amp;_origin=search&amp;_zone=rslt_list_item&amp;_coverDate=2011-07-31&amp;wchp=dGLzVlt-zSkWb&amp;md5=36cd471947d737397e73e9654957dbe0&amp;pid=1-s2.0-S1389934111000700-main.pdf </t>
  </si>
  <si>
    <t>International entrepreneurship research in emerging economies: A critical review and research agenda</t>
  </si>
  <si>
    <t>Andreea N. Kiss, Wade M. Danis, S. Tamer Cavusgil</t>
  </si>
  <si>
    <t>Journal of Business Venturing</t>
  </si>
  <si>
    <t xml:space="preserve">http://pdn.sciencedirect.com/science?_ob=MiamiImageURL&amp;_cid=271663&amp;_user=686465&amp;_pii=S0883902611000851&amp;_check=y&amp;_origin=search&amp;_zone=rslt_list_item&amp;_coverDate=2012-03-31&amp;wchp=dGLzVlt-zSkWb&amp;md5=2bfdf2fcfc2da7565f738a602c0ab768&amp;pid=1-s2.0-S0883902611000851-main.pdf </t>
  </si>
  <si>
    <t>Fair content dissemination in participatory DTNs</t>
  </si>
  <si>
    <t>Afra J. Mashhadi, Sonia Ben Mokhtar, Licia Capra</t>
  </si>
  <si>
    <t xml:space="preserve">http://pdn.sciencedirect.com/science?_ob=MiamiImageURL&amp;_cid=272922&amp;_user=686465&amp;_pii=S1570870511001259&amp;_check=y&amp;_origin=search&amp;_zone=rslt_list_item&amp;_coverDate=2012-11-30&amp;wchp=dGLzVlt-zSkWb&amp;md5=936b54705cd1f607eed52b17f3002b58&amp;pid=1-s2.0-S1570870511001259-main.pdf </t>
  </si>
  <si>
    <t>Who determines biodiversity? An analysis of actors' power and interests in community forestry in Namibia</t>
  </si>
  <si>
    <t>Carsten Schusser</t>
  </si>
  <si>
    <t xml:space="preserve">http://pdn.sciencedirect.com/science?_ob=MiamiImageURL&amp;_cid=272157&amp;_user=686465&amp;_pii=S138993411200130X&amp;_check=y&amp;_origin=search&amp;_zone=rslt_list_item&amp;_coverDate=2012-07-21&amp;wchp=dGLzVlt-zSkWb&amp;md5=9af3a75648b6909934a0af4c2973864f&amp;pid=1-s2.0-S138993411200130X-main.pdf </t>
  </si>
  <si>
    <t>Increasing process orientation with business process management: Critical practices’</t>
  </si>
  <si>
    <t>Rok Škrinjar, Peter Trkman</t>
  </si>
  <si>
    <t xml:space="preserve">http://pdn.sciencedirect.com/science?_ob=MiamiImageURL&amp;_cid=271677&amp;_user=686465&amp;_pii=S0268401212000746&amp;_check=y&amp;_origin=search&amp;_zone=rslt_list_item&amp;_coverDate=2013-02-28&amp;wchp=dGLzVlt-zSkWb&amp;md5=35d124901eef73a03e173d566a0ab11c&amp;pid=1-s2.0-S0268401212000746-main.pdf </t>
  </si>
  <si>
    <t>Descriptive Analysis of the Verbal Behavior of a Therapist: A Known-Group Validity Analysis of the Putative Behavioral Functions Involved in Clinical Interaction</t>
  </si>
  <si>
    <t>Javier Virues-Ortega, Montserrat Monta&amp;ntilde;o-Fidalgo, Mar&amp;iacute;a Xes&amp;uacute;s Froj&amp;aacute;n-Parga, Ana Calero-Elvira</t>
  </si>
  <si>
    <t>Behavior Therapy</t>
  </si>
  <si>
    <t xml:space="preserve">http://pdn.sciencedirect.com/science?_ob=MiamiImageURL&amp;_cid=273505&amp;_user=686465&amp;_pii=S0005789411000475&amp;_check=y&amp;_origin=search&amp;_zone=rslt_list_item&amp;_coverDate=2011-12-31&amp;wchp=dGLzVlt-zSkWb&amp;md5=ae9eddce6df2a3b668f32b72e2789337&amp;pid=1-s2.0-S0005789411000475-main.pdf </t>
  </si>
  <si>
    <t>Community structure in the United Nations General Assembly</t>
  </si>
  <si>
    <t>Kevin T. Macon, Peter J. Mucha, Mason A. Porter</t>
  </si>
  <si>
    <t xml:space="preserve">http://pdn.sciencedirect.com/science?_ob=MiamiImageURL&amp;_cid=271529&amp;_user=686465&amp;_pii=S0378437111004778&amp;_check=y&amp;_origin=search&amp;_zone=rslt_list_item&amp;_coverDate=2012-01-01&amp;wchp=dGLzVlt-zSkWb&amp;md5=2e736d265c086732ba7729804a779b4b&amp;pid=1-s2.0-S0378437111004778-main.pdf </t>
  </si>
  <si>
    <t>Line graphs as social networks</t>
  </si>
  <si>
    <t>M.J. Krawczyk, L. Muchnik, A. Ma?ka-Kraso?, K. Ku?akowski</t>
  </si>
  <si>
    <t xml:space="preserve">http://pdn.sciencedirect.com/science?_ob=MiamiImageURL&amp;_cid=271529&amp;_user=686465&amp;_pii=S0378437111001993&amp;_check=y&amp;_origin=search&amp;_zone=rslt_list_item&amp;_coverDate=2011-07-01&amp;wchp=dGLzVlt-zSkWb&amp;md5=754d5f55d4c85bdc3e2af6831f37c1fb&amp;pid=1-s2.0-S0378437111001993-main.pdf </t>
  </si>
  <si>
    <t>Centrality prediction in dynamic human contact networks</t>
  </si>
  <si>
    <t>Hyoungshick Kim, John Tang, Ross Anderson, Cecilia Mascolo</t>
  </si>
  <si>
    <t xml:space="preserve">http://pdn.sciencedirect.com/science?_ob=MiamiImageURL&amp;_cid=271990&amp;_user=686465&amp;_pii=S1389128611003975&amp;_check=y&amp;_origin=search&amp;_zone=rslt_list_item&amp;_coverDate=2012-02-23&amp;wchp=dGLzVlt-zSkWb&amp;md5=cba32f6b6aee934ecb4b3d159c90c862&amp;pid=1-s2.0-S1389128611003975-main.pdf </t>
  </si>
  <si>
    <t>An extended clique degree distribution and its heterogeneity in cooperation–competition networks</t>
  </si>
  <si>
    <t>Ai-Xia Feng, Chun-Hua Fu, Xiu-Lian Xu, Yue-Ping Zhou, Hui Chang, Jian Wang, Da-Ren He, Guo-Lin Feng</t>
  </si>
  <si>
    <t xml:space="preserve">http://pdn.sciencedirect.com/science?_ob=MiamiImageURL&amp;_cid=271529&amp;_user=686465&amp;_pii=S0378437111009101&amp;_check=y&amp;_origin=search&amp;_zone=rslt_list_item&amp;_coverDate=2012-04-01&amp;wchp=dGLzVlt-zSkWb&amp;md5=baa620a647d7a0e862d5504ba345ada9&amp;pid=1-s2.0-S0378437111009101-main.pdf </t>
  </si>
  <si>
    <t>Mapping and Comparing Concept Network Structures in Individuals with Aphasia</t>
  </si>
  <si>
    <t>Feng Lina, Zhongli Jiang</t>
  </si>
  <si>
    <t xml:space="preserve">http://pdn.sciencedirect.com/science?_ob=MiamiImageURL&amp;_cid=277811&amp;_user=686465&amp;_pii=S1877042811017551&amp;_check=y&amp;_origin=search&amp;_zone=rslt_list_item&amp;_coverDate=2011-12-31&amp;wchp=dGLzVlt-zSkWb&amp;md5=56d0bbd1051c07fb8dad1653557124f0&amp;pid=1-s2.0-S1877042811017551-main.pdf </t>
  </si>
  <si>
    <t>A bibliometric analysis of academic publication and NIH funding</t>
  </si>
  <si>
    <t>Jiansheng Yang, Michael W. Vannier, Fang Wang, Yan Deng, Fengrong Ou, James Bennett, Yang Liu, Ge Wang</t>
  </si>
  <si>
    <t xml:space="preserve">http://pdn.sciencedirect.com/science?_ob=MiamiImageURL&amp;_cid=273584&amp;_user=686465&amp;_pii=S175115771200096X&amp;_check=y&amp;_origin=search&amp;_zone=rslt_list_item&amp;_coverDate=2013-04-30&amp;wchp=dGLzVlt-zSkWb&amp;md5=815b639d00043270a05e94c25e58d614&amp;pid=1-s2.0-S175115771200096X-main.pdf </t>
  </si>
  <si>
    <t>Community detection based on the “clumpiness” matrix in complex networks</t>
  </si>
  <si>
    <t>Ali Faqeeh, Keivan Aghababaei Samani</t>
  </si>
  <si>
    <t xml:space="preserve">http://pdn.sciencedirect.com/science?_ob=MiamiImageURL&amp;_cid=271529&amp;_user=686465&amp;_pii=S0378437111009149&amp;_check=y&amp;_origin=search&amp;_zone=rslt_list_item&amp;_coverDate=2012-04-01&amp;wchp=dGLzVlt-zSkWb&amp;md5=ce84bd9ce521c25ca367327fa22fdc1f&amp;pid=1-s2.0-S0378437111009149-main.pdf </t>
  </si>
  <si>
    <t>Chapter 6 - Preparing Data and Filtering</t>
  </si>
  <si>
    <t>Communities and dynamical processes in a complex software network</t>
  </si>
  <si>
    <t>Luis G. Moyano, Mary Luz Mouronte, Maria Luisa Vargas</t>
  </si>
  <si>
    <t xml:space="preserve">http://pdn.sciencedirect.com/science?_ob=MiamiImageURL&amp;_cid=271529&amp;_user=686465&amp;_pii=S0378437110008848&amp;_check=y&amp;_origin=search&amp;_zone=rslt_list_item&amp;_coverDate=2011-02-15&amp;wchp=dGLzVlt-zSkWb&amp;md5=19d495200ed233b2c78605d229bb8c41&amp;pid=1-s2.0-S0378437110008848-main.pdf </t>
  </si>
  <si>
    <t>GrAnt: Inferring best forwarders from complex networks’ dynamics through a greedy Ant Colony Optimization</t>
  </si>
  <si>
    <t>Ana Cristina Kochem Vendramin, Anelise Munaretto, Myriam Regattieri Delgado, Aline Carneiro Viana</t>
  </si>
  <si>
    <t xml:space="preserve">http://pdn.sciencedirect.com/science?_ob=MiamiImageURL&amp;_cid=271990&amp;_user=686465&amp;_pii=S1389128611004099&amp;_check=y&amp;_origin=search&amp;_zone=rslt_list_item&amp;_coverDate=2012-02-23&amp;wchp=dGLzVlt-zSkWb&amp;md5=d06ea0dbcb0f3eda1b969623491489eb&amp;pid=1-s2.0-S1389128611004099-main.pdf </t>
  </si>
  <si>
    <t>Interactive overlays: A new method for generating global journal maps from Web-of-Science data</t>
  </si>
  <si>
    <t xml:space="preserve">http://pdn.sciencedirect.com/science?_ob=MiamiImageURL&amp;_cid=273584&amp;_user=686465&amp;_pii=S1751157711001027&amp;_check=y&amp;_origin=search&amp;_zone=rslt_list_item&amp;_coverDate=2012-04-30&amp;wchp=dGLzVlt-zSkWb&amp;md5=eb08bf6f80ee560f995c9677bedcc623&amp;pid=1-s2.0-S1751157711001027-main.pdf </t>
  </si>
  <si>
    <t>Optimizing protections against cascades in network systems: A modified binary differential evolution algorithm</t>
  </si>
  <si>
    <t>E. Zio, L.R. Golea, G. Sansavini</t>
  </si>
  <si>
    <t xml:space="preserve">http://pdn.sciencedirect.com/science?_ob=MiamiImageURL&amp;_cid=271430&amp;_user=686465&amp;_pii=S0951832012000415&amp;_check=y&amp;_origin=search&amp;_zone=rslt_list_item&amp;_coverDate=2012-07-31&amp;wchp=dGLzVlt-zSkWb&amp;md5=3907bf1f088e8ebc964915121f540fc6&amp;pid=1-s2.0-S0951832012000415-main.pdf </t>
  </si>
  <si>
    <t>Disease spreading on fitness-rewired complex networks</t>
  </si>
  <si>
    <t>Jaewan Yoo, J.S. Lee, B. Kahng</t>
  </si>
  <si>
    <t xml:space="preserve">http://pdn.sciencedirect.com/science?_ob=MiamiImageURL&amp;_cid=271529&amp;_user=686465&amp;_pii=S0378437111004948&amp;_check=y&amp;_origin=search&amp;_zone=rslt_list_item&amp;_coverDate=2011-11-01&amp;wchp=dGLzVlS-zSkWA&amp;md5=83c305fc483593d092ddf2c623724b04&amp;pid=1-s2.0-S0378437111004948-main.pdf </t>
  </si>
  <si>
    <t>ScienceDirect - 2011 a 2013 - Page 4.htm</t>
  </si>
  <si>
    <t>A path analysis of social networks, telecommunication and social activity–travel patterns</t>
  </si>
  <si>
    <t>Pauline van den Berg, Theo Arentze, Harry Timmermans</t>
  </si>
  <si>
    <t xml:space="preserve">http://pdn.sciencedirect.com/science?_ob=MiamiImageURL&amp;_cid=271729&amp;_user=686465&amp;_pii=S0968090X12001234&amp;_check=y&amp;_origin=search&amp;_zone=rslt_list_item&amp;_coverDate=2013-01-31&amp;wchp=dGLzVlS-zSkWA&amp;md5=d02dba28f2bae54abf7f15e5a809465b&amp;pid=1-s2.0-S0968090X12001234-main.pdf </t>
  </si>
  <si>
    <t>The linguistic turn in project conceptualization</t>
  </si>
  <si>
    <t>Allen McKenna, Mike Metcalfe</t>
  </si>
  <si>
    <t xml:space="preserve">http://pdn.sciencedirect.com/science?_ob=MiamiImageURL&amp;_cid=271951&amp;_user=686465&amp;_pii=S0263786312001822&amp;_check=y&amp;_origin=search&amp;_zone=rslt_list_item&amp;_coverDate=2013-01-09&amp;wchp=dGLzVlS-zSkWA&amp;md5=dc11488085fa54d9ee132118973fbc5e&amp;pid=1-s2.0-S0263786312001822-main.pdf </t>
  </si>
  <si>
    <t>Performance indicators for public transit connectivity in multi-modal transportation networks</t>
  </si>
  <si>
    <t>Sabyasachee Mishra, Timothy F. Welch, Manoj K. Jha</t>
  </si>
  <si>
    <t xml:space="preserve">http://pdn.sciencedirect.com/science?_ob=MiamiImageURL&amp;_cid=271795&amp;_user=686465&amp;_pii=S0965856412000705&amp;_check=y&amp;_origin=search&amp;_zone=rslt_list_item&amp;_coverDate=2012-08-31&amp;wchp=dGLzVlS-zSkWA&amp;md5=970e93eb0285ef12eaca5c3eb59308d5&amp;pid=1-s2.0-S0965856412000705-main.pdf </t>
  </si>
  <si>
    <t>Relational generative topographic mapping</t>
  </si>
  <si>
    <t>Andrej Gisbrecht, Bassam Mokbel, Barbara Hammer</t>
  </si>
  <si>
    <t xml:space="preserve">http://pdn.sciencedirect.com/science?_ob=MiamiImageURL&amp;_cid=271597&amp;_user=686465&amp;_pii=S0925231211000531&amp;_check=y&amp;_origin=search&amp;_zone=rslt_list_item&amp;_coverDate=2011-04-30&amp;wchp=dGLzVlS-zSkWA&amp;md5=ec73ce9bdb483a5273453b9c976867e4&amp;pid=1-s2.0-S0925231211000531-main.pdf </t>
  </si>
  <si>
    <t>Building and analyzing the US airport network based on en-route location information</t>
  </si>
  <si>
    <t>Tao Jia, Bin Jiang</t>
  </si>
  <si>
    <t xml:space="preserve">http://pdn.sciencedirect.com/science?_ob=MiamiImageURL&amp;_cid=271529&amp;_user=686465&amp;_pii=S0378437112002257&amp;_check=y&amp;_origin=search&amp;_zone=rslt_list_item&amp;_coverDate=2012-08-01&amp;wchp=dGLzVlS-zSkWA&amp;md5=ad7e8e018d6333d1c2cedf652b0a3724&amp;pid=1-s2.0-S0378437112002257-main.pdf </t>
  </si>
  <si>
    <t>CSI: A paradigm for behavior-oriented profile-cast services in mobile networks</t>
  </si>
  <si>
    <t>Wei-jen Hsu, Debojyoti Dutta, Ahmed Helmy</t>
  </si>
  <si>
    <t xml:space="preserve">http://pdn.sciencedirect.com/science?_ob=MiamiImageURL&amp;_cid=272922&amp;_user=686465&amp;_pii=S1570870511001284&amp;_check=y&amp;_origin=search&amp;_zone=rslt_list_item&amp;_coverDate=2012-11-30&amp;wchp=dGLzVlS-zSkWA&amp;md5=8ae8c06966ca6056d06949a9451654b4&amp;pid=1-s2.0-S1570870511001284-main.pdf </t>
  </si>
  <si>
    <t>Collective motion</t>
  </si>
  <si>
    <t>Tam&amp;aacute;s Vicsek, Anna Zafeiris</t>
  </si>
  <si>
    <t xml:space="preserve">http://pdn.sciencedirect.com/science?_ob=MiamiImageURL&amp;_cid=271542&amp;_user=686465&amp;_pii=S0370157312000968&amp;_check=y&amp;_origin=search&amp;_zone=rslt_list_item&amp;_coverDate=2012-08-31&amp;wchp=dGLzVlS-zSkWA&amp;md5=268c169778441a19b87e933109a9be1b&amp;pid=1-s2.0-S0370157312000968-main.pdf </t>
  </si>
  <si>
    <t>Power-law accelerating growth complex networks with mixed attachment mechanisms</t>
  </si>
  <si>
    <t>Tao Chen, Zhi-Gang Shao</t>
  </si>
  <si>
    <t xml:space="preserve">http://pdn.sciencedirect.com/science?_ob=MiamiImageURL&amp;_cid=271529&amp;_user=686465&amp;_pii=S0378437111009861&amp;_check=y&amp;_origin=search&amp;_zone=rslt_list_item&amp;_coverDate=2012-04-15&amp;wchp=dGLzVlS-zSkWA&amp;md5=212fb3c4cf1749de237743ef6f43250e&amp;pid=1-s2.0-S0378437111009861-main.pdf </t>
  </si>
  <si>
    <t>Modelling information flow for organisations: A review of approaches and future challenges</t>
  </si>
  <si>
    <t>Christopher Durugbo, Ashutosh Tiwari, Jeffrey R. Alcock</t>
  </si>
  <si>
    <t xml:space="preserve">http://pdn.sciencedirect.com/science?_ob=MiamiImageURL&amp;_cid=271677&amp;_user=686465&amp;_pii=S0268401213000121&amp;_check=y&amp;_origin=search&amp;_zone=rslt_list_item&amp;_coverDate=2013-02-26&amp;wchp=dGLzVlS-zSkWA&amp;md5=836c92319ad083295a2cb450099791cb&amp;pid=1-s2.0-S0268401213000121-main.pdf </t>
  </si>
  <si>
    <t>Modern Necessities in Educational Process Innovation</t>
  </si>
  <si>
    <t>Alexander Gromoff, Julia Stavenko, Kristina Evina</t>
  </si>
  <si>
    <t>IERI Procedia</t>
  </si>
  <si>
    <t xml:space="preserve">http://pdn.sciencedirect.com/science?_ob=MiamiImageURL&amp;_cid=282178&amp;_user=686465&amp;_pii=S2212667812001840&amp;_check=y&amp;_origin=search&amp;_zone=rslt_list_item&amp;_coverDate=2012-12-31&amp;wchp=dGLzVlS-zSkWA&amp;md5=698bd6472ecefc8f7971abc6887219d5&amp;pid=1-s2.0-S2212667812001840-main.pdf </t>
  </si>
  <si>
    <t>Methodology of business ecosystems network analysis: A case study in Telecom Italia Future Centre</t>
  </si>
  <si>
    <t>Cinzia Battistella, Katia Colucci, Alberto F. De Toni, Fabio Nonino</t>
  </si>
  <si>
    <t xml:space="preserve">http://pdn.sciencedirect.com/science?_ob=MiamiImageURL&amp;_cid=271733&amp;_user=686465&amp;_pii=S0040162512002879&amp;_check=y&amp;_origin=search&amp;_zone=rslt_list_item&amp;_coverDate=2012-12-04&amp;wchp=dGLzVlS-zSkWA&amp;md5=21be67b525be1aa713ca7b4a5455d0bb&amp;pid=1-s2.0-S0040162512002879-main.pdf </t>
  </si>
  <si>
    <t>The Anonymous Subgraph Problem</t>
  </si>
  <si>
    <t>Andrea Bettinelli, Leo Liberti, Franco Raimondi, David Savourey</t>
  </si>
  <si>
    <t xml:space="preserve">http://pdn.sciencedirect.com/science?_ob=MiamiImageURL&amp;_cid=271709&amp;_user=686465&amp;_pii=S0305054812002626&amp;_check=y&amp;_origin=search&amp;_zone=rslt_list_item&amp;_coverDate=2013-04-30&amp;wchp=dGLzVlS-zSkWA&amp;md5=56576cfb1d8d19eb13b30b18eb87e6f0&amp;pid=1-s2.0-S0305054812002626-main.pdf </t>
  </si>
  <si>
    <t>Professional networks, science ability, and gender determinants of three types of leadership in academic science and engineering</t>
  </si>
  <si>
    <t>Marla Parker, Eric W. Welch</t>
  </si>
  <si>
    <t xml:space="preserve">http://pdn.sciencedirect.com/science?_ob=MiamiImageURL&amp;_cid=272081&amp;_user=686465&amp;_pii=S1048984313000064&amp;_check=y&amp;_origin=search&amp;_zone=rslt_list_item&amp;_coverDate=2013-02-08&amp;wchp=dGLzVlS-zSkWA&amp;md5=e6d467fa993eaf2fb54db1919d0995ab&amp;pid=1-s2.0-S1048984313000064-main.pdf </t>
  </si>
  <si>
    <t>Predictors of short-term decay of cell phone contacts in a large scale communication network</t>
  </si>
  <si>
    <t>Troy Raeder, Omar Lizardo, David Hachen, Nitesh V. Chawla</t>
  </si>
  <si>
    <t xml:space="preserve">http://pdn.sciencedirect.com/science?_ob=MiamiImageURL&amp;_cid=271850&amp;_user=686465&amp;_pii=S0378873311000463&amp;_check=y&amp;_origin=search&amp;_zone=rslt_list_item&amp;_coverDate=2011-10-31&amp;wchp=dGLzVlS-zSkWA&amp;md5=65e5d2e9bb03afdbbad8550e9337c5c9&amp;pid=1-s2.0-S0378873311000463-main.pdf </t>
  </si>
  <si>
    <t>The “unfriending” problem: The consequences of homophily in friendship retention for causal estimates of social influence</t>
  </si>
  <si>
    <t>Hans Noel, Brendan Nyhan</t>
  </si>
  <si>
    <t xml:space="preserve">http://pdn.sciencedirect.com/science?_ob=MiamiImageURL&amp;_cid=271850&amp;_user=686465&amp;_pii=S037887331100030X&amp;_check=y&amp;_origin=search&amp;_zone=rslt_list_item&amp;_coverDate=2011-07-31&amp;wchp=dGLzVlS-zSkWA&amp;md5=7d726bdadc2775a2180ddf74d5cf13c4&amp;pid=1-s2.0-S037887331100030X-main.pdf </t>
  </si>
  <si>
    <t>Shared contexts and triadic closure in core discussion networks</t>
  </si>
  <si>
    <t>Gerald Mollenhorst, Beate V&amp;ouml;lker, Henk Flap</t>
  </si>
  <si>
    <t xml:space="preserve">http://pdn.sciencedirect.com/science?_ob=MiamiImageURL&amp;_cid=271850&amp;_user=686465&amp;_pii=S0378873311000530&amp;_check=y&amp;_origin=search&amp;_zone=rslt_list_item&amp;_coverDate=2011-10-31&amp;wchp=dGLzVlS-zSkWA&amp;md5=3f515797df82ca521ef29652d96c1adc&amp;pid=1-s2.0-S0378873311000530-main.pdf </t>
  </si>
  <si>
    <t>Triadic closure in two-mode networks: Redefining the global and local clustering coefficients</t>
  </si>
  <si>
    <t>Tore Opsahl</t>
  </si>
  <si>
    <t xml:space="preserve">http://pdn.sciencedirect.com/science?_ob=MiamiImageURL&amp;_cid=271850&amp;_user=686465&amp;_pii=S0378873311000360&amp;_check=y&amp;_origin=search&amp;_zone=rslt_list_item&amp;_coverDate=2011-08-19&amp;wchp=dGLzVlS-zSkWA&amp;md5=96defa3cd433a4ba5b310553818535e2&amp;pid=1-s2.0-S0378873311000360-main.pdf </t>
  </si>
  <si>
    <t>EpiMap: Towards quantifying contact networks for understanding epidemiology in developing countries</t>
  </si>
  <si>
    <t>Eiko Yoneki, Jon Crowcroft</t>
  </si>
  <si>
    <t xml:space="preserve">http://pdn.sciencedirect.com/science?_ob=MiamiImageURL&amp;_cid=272922&amp;_user=686465&amp;_pii=S1570870512001114&amp;_check=y&amp;_origin=search&amp;_zone=rslt_list_item&amp;_coverDate=2012-06-27&amp;wchp=dGLzVlS-zSkWA&amp;md5=eafd1546145cf98863298325987724a8&amp;pid=1-s2.0-S1570870512001114-main.pdf </t>
  </si>
  <si>
    <t>Effective mechanism for social recommendation of news</t>
  </si>
  <si>
    <t>Dong Wei, Tao Zhou, Giulio Cimini, Pei Wu, Weiping Liu, Yi-Cheng Zhang</t>
  </si>
  <si>
    <t xml:space="preserve">http://pdn.sciencedirect.com/science?_ob=MiamiImageURL&amp;_cid=271529&amp;_user=686465&amp;_pii=S0378437111001130&amp;_check=y&amp;_origin=search&amp;_zone=rslt_list_item&amp;_coverDate=2011-06-01&amp;wchp=dGLzVlS-zSkWA&amp;md5=51ee52bd325ae72f7c95048d2add03e3&amp;pid=1-s2.0-S0378437111001130-main.pdf </t>
  </si>
  <si>
    <t>Approximation techniques for clustering dissimilarity data</t>
  </si>
  <si>
    <t>Xibin Zhu, Andrej Gisbrecht, Frank-Michael Schleif, Barbara Hammer</t>
  </si>
  <si>
    <t xml:space="preserve">http://pdn.sciencedirect.com/science?_ob=MiamiImageURL&amp;_cid=271597&amp;_user=686465&amp;_pii=S0925231212001890&amp;_check=y&amp;_origin=search&amp;_zone=rslt_list_item&amp;_coverDate=2012-08-01&amp;wchp=dGLzVlS-zSkWA&amp;md5=21f9b70f4dc751f939925e3fe62312f0&amp;pid=1-s2.0-S0925231212001890-main.pdf </t>
  </si>
  <si>
    <t>Coupling infectious diseases, human preventive behavior, and networks – A conceptual framework for epidemic modeling</t>
  </si>
  <si>
    <t>Liang Mao, Yan Yang</t>
  </si>
  <si>
    <t xml:space="preserve">http://pdn.sciencedirect.com/science?_ob=MiamiImageURL&amp;_cid=271821&amp;_user=686465&amp;_pii=S0277953611006551&amp;_check=y&amp;_origin=search&amp;_zone=rslt_list_item&amp;_coverDate=2012-01-31&amp;wchp=dGLzVlS-zSkWA&amp;md5=e38dccb699892068c6b75dc95b02073a&amp;pid=1-s2.0-S0277953611006551-main.pdf </t>
  </si>
  <si>
    <t>Youth co-offending networks: An investigation of social and spatial effects</t>
  </si>
  <si>
    <t>David R. Schaefer</t>
  </si>
  <si>
    <t xml:space="preserve">http://pdn.sciencedirect.com/science?_ob=MiamiImageURL&amp;_cid=271850&amp;_user=686465&amp;_pii=S037887331100013X&amp;_check=y&amp;_origin=search&amp;_zone=rslt_list_item&amp;_coverDate=2012-01-31&amp;wchp=dGLzVlS-zSkWA&amp;md5=410ce4f325b28d1f960a5dcd958f38ad&amp;pid=1-s2.0-S037887331100013X-main.pdf </t>
  </si>
  <si>
    <t>Monitoring networking between higher education institutions and regional actors</t>
  </si>
  <si>
    <t>Marlene Mader, Clemens Mader, Friedrich M. Zimmermann, Elisabeth G&amp;ouml;rsdorf-Lechevin, Mario Diethart</t>
  </si>
  <si>
    <t xml:space="preserve">http://pdn.sciencedirect.com/science?_ob=MiamiImageURL&amp;_cid=271750&amp;_user=686465&amp;_pii=S0959652612003848&amp;_check=y&amp;_origin=search&amp;_zone=rslt_list_item&amp;_coverDate=2012-08-23&amp;wchp=dGLzVlS-zSkWA&amp;md5=d0140a3b7924ee809b3b349b596bc23c&amp;pid=1-s2.0-S0959652612003848-main.pdf </t>
  </si>
  <si>
    <t>LOMPT: An efficient and Scalable Ontology Matching Algorithm</t>
  </si>
  <si>
    <t>K. Saruladha, G. Aghila, B. Sathiy</t>
  </si>
  <si>
    <t xml:space="preserve">http://pdn.sciencedirect.com/science?_ob=MiamiImageURL&amp;_cid=278653&amp;_user=686465&amp;_pii=S187770581202187X&amp;_check=y&amp;_origin=search&amp;_zone=rslt_list_item&amp;_coverDate=2012-12-31&amp;wchp=dGLzVlS-zSkWA&amp;md5=92405e74d10f01baf3e6c292cedb0351&amp;pid=1-s2.0-S187770581202187X-main.pdf </t>
  </si>
  <si>
    <t>Efficient algorithms for the periodic subgraphs mining problem</t>
  </si>
  <si>
    <t>Alberto Apostolico, P&amp;eacute;ter L. Erd?s, Ervin Gy?ri, Zsuzsanna Lipt&amp;aacute;k, Cinzia Pizzi</t>
  </si>
  <si>
    <t>Journal of Discrete Algorithms</t>
  </si>
  <si>
    <t xml:space="preserve">http://pdn.sciencedirect.com/science?_ob=MiamiImageURL&amp;_cid=272975&amp;_user=686465&amp;_pii=S1570866712000901&amp;_check=y&amp;_origin=search&amp;_zone=rslt_list_item&amp;_coverDate=2012-12-31&amp;wchp=dGLzVlS-zSkWA&amp;md5=8b28e9773eee5c1a745e207277f920b6&amp;pid=1-s2.0-S1570866712000901-main.pdf </t>
  </si>
  <si>
    <t>Traffic management strategy for delay-tolerant networks</t>
  </si>
  <si>
    <t>Kwangcheol Shin, Kyungjun Kim, Soontae Kim</t>
  </si>
  <si>
    <t xml:space="preserve">http://pdn.sciencedirect.com/science?_ob=MiamiImageURL&amp;_cid=272436&amp;_user=686465&amp;_pii=S1084804512001531&amp;_check=y&amp;_origin=search&amp;_zone=rslt_list_item&amp;_coverDate=2012-11-30&amp;wchp=dGLzVlS-zSkWA&amp;md5=845e8d0b6c9f5866e1a564bdc2dfd700&amp;pid=1-s2.0-S1084804512001531-main.pdf </t>
  </si>
  <si>
    <t>Chapter 4 - Software as a Service</t>
  </si>
  <si>
    <t>Dinkar Sitaram, Geetha Manjunath</t>
  </si>
  <si>
    <t>Moving To The Cloud</t>
  </si>
  <si>
    <t>Extracting multilayered Communities of Interest from semantic user profiles: Application to group modeling and hybrid recommendations</t>
  </si>
  <si>
    <t>Iv&amp;aacute;n Cantador, Pablo Castells</t>
  </si>
  <si>
    <t xml:space="preserve">http://pdn.sciencedirect.com/science?_ob=MiamiImageURL&amp;_cid=271802&amp;_user=686465&amp;_pii=S0747563210002232&amp;_check=y&amp;_origin=search&amp;_zone=rslt_list_item&amp;_coverDate=2011-07-31&amp;wchp=dGLzVlS-zSkWA&amp;md5=cdbe8221ffbba56da2a5b3d506070204&amp;pid=1-s2.0-S0747563210002232-main.pdf </t>
  </si>
  <si>
    <t>Identification and Bibliometric Characterization of Research Groups in the Cardio-Cerebrovascular Field, Spain 1996-2004</t>
  </si>
  <si>
    <t>Ra&amp;uacute;l I. M&amp;eacute;ndez-V&amp;aacute;squez, Eduard Su&amp;ntilde;&amp;eacute;n-Pinyol, Rosa Cervell&amp;oacute;, Jordi Cam&amp;iacute;</t>
  </si>
  <si>
    <t>Revista Española de Cardiología (English Edition)</t>
  </si>
  <si>
    <t xml:space="preserve">http://pdn.sciencedirect.com/science?_ob=MiamiImageURL&amp;_cid=273557&amp;_user=686465&amp;_pii=S1885585712001272&amp;_check=y&amp;_origin=search&amp;_zone=rslt_list_item&amp;_coverDate=2012-07-31&amp;wchp=dGLzVlS-zSkWA&amp;md5=b731a8c40060e983cff8e786bdec196c&amp;pid=1-s2.0-S1885585712001272-main.pdf </t>
  </si>
  <si>
    <t>For the few not the many? The effects of affirmative action on presence, prominence, and social capital of women directors in Norway</t>
  </si>
  <si>
    <t>Cathrine Seierstad, Tore Opsahl</t>
  </si>
  <si>
    <t>Scandinavian Journal of Management</t>
  </si>
  <si>
    <t xml:space="preserve">http://pdn.sciencedirect.com/science?_ob=MiamiImageURL&amp;_cid=271731&amp;_user=686465&amp;_pii=S0956522110001272&amp;_check=y&amp;_origin=search&amp;_zone=rslt_list_item&amp;_coverDate=2011-03-31&amp;wchp=dGLzVlS-zSkWA&amp;md5=e6a37fafe31264b80ac40d949bc263e6&amp;pid=1-s2.0-S0956522110001272-main.pdf </t>
  </si>
  <si>
    <t>To be different, or to be the same? An exploratory study of isomorphism in the cluster</t>
  </si>
  <si>
    <t>Justin Tan, Yunfei Shao, Wan Li</t>
  </si>
  <si>
    <t xml:space="preserve">http://pdn.sciencedirect.com/science?_ob=MiamiImageURL&amp;_cid=271663&amp;_user=686465&amp;_pii=S0883902612000444&amp;_check=y&amp;_origin=search&amp;_zone=rslt_list_item&amp;_coverDate=2013-01-31&amp;wchp=dGLzVlS-zSkWA&amp;md5=fd8ae8d4e40fe94a15fbbf6d6676f9de&amp;pid=1-s2.0-S0883902612000444-main.pdf </t>
  </si>
  <si>
    <t>Working with evaluation stakeholders: A rationale, step-wise approach and toolkit</t>
  </si>
  <si>
    <t>John M. Bryson, Michael Quinn Patton, Ruth A. Bowman</t>
  </si>
  <si>
    <t xml:space="preserve">http://pdn.sciencedirect.com/science?_ob=MiamiImageURL&amp;_cid=271855&amp;_user=686465&amp;_pii=S0149718910000637&amp;_check=y&amp;_origin=search&amp;_zone=rslt_list_item&amp;_coverDate=2011-02-28&amp;wchp=dGLzVlS-zSkWA&amp;md5=1736a845aab498d2f2e00af5cc8d6f71&amp;pid=1-s2.0-S0149718910000637-main.pdf </t>
  </si>
  <si>
    <t>Social capital in Asia: Investigating returns to brokerage in collectivistic national cultures</t>
  </si>
  <si>
    <t>Jennifer Merluzzi</t>
  </si>
  <si>
    <t xml:space="preserve">http://pdn.sciencedirect.com/science?_ob=MiamiImageURL&amp;_cid=272353&amp;_user=686465&amp;_pii=S0049089X12002529&amp;_check=y&amp;_origin=search&amp;_zone=rslt_list_item&amp;_coverDate=2012-12-19&amp;wchp=dGLzVlS-zSkWA&amp;md5=91205591687234dc339e9a7b42620fca&amp;pid=1-s2.0-S0049089X12002529-main.pdf </t>
  </si>
  <si>
    <t>Is there evidence that friends influence body weight? A systematic review of empirical research</t>
  </si>
  <si>
    <t>Solveig A. Cunningham, Elizabeth Vaquera, Claire C. Maturo, K.M. Venkat Narayan</t>
  </si>
  <si>
    <t xml:space="preserve">http://pdn.sciencedirect.com/science?_ob=MiamiImageURL&amp;_cid=271821&amp;_user=686465&amp;_pii=S0277953612004522&amp;_check=y&amp;_origin=search&amp;_zone=rslt_list_item&amp;_coverDate=2012-10-31&amp;wchp=dGLzVlS-zSkWA&amp;md5=c45da2f9f0b9d7e99d5b5351ff6761f3&amp;pid=1-s2.0-S0277953612004522-main.pdf </t>
  </si>
  <si>
    <t>Unique but integrated: The role of individuation and assimilation processes in teen opinion leadership</t>
  </si>
  <si>
    <t>Elodie Gentina, Rapha&amp;euml;lle Butori, Timothy B. Heath</t>
  </si>
  <si>
    <t xml:space="preserve">http://pdn.sciencedirect.com/science?_ob=MiamiImageURL&amp;_cid=271680&amp;_user=686465&amp;_pii=S0148296312003323&amp;_check=y&amp;_origin=search&amp;_zone=rslt_list_item&amp;_coverDate=2012-12-11&amp;wchp=dGLzVlS-zSkWA&amp;md5=1d8db4b312531937c49847ab5f2290a0&amp;pid=1-s2.0-S0148296312003323-main.pdf </t>
  </si>
  <si>
    <t>A meta-analysis of brokering knowledge in project management</t>
  </si>
  <si>
    <t>Vered Holzmann</t>
  </si>
  <si>
    <t xml:space="preserve">http://pdn.sciencedirect.com/science?_ob=MiamiImageURL&amp;_cid=271951&amp;_user=686465&amp;_pii=S0263786312000634&amp;_check=y&amp;_origin=search&amp;_zone=rslt_list_item&amp;_coverDate=2013-01-31&amp;wchp=dGLzVlS-zSkWA&amp;md5=56790aa649f93b985e53380d25bc8bf8&amp;pid=1-s2.0-S0263786312000634-main.pdf </t>
  </si>
  <si>
    <t>QuesTInSitu: From tests to routes for assessment in situ activities</t>
  </si>
  <si>
    <t>Patricia Santos, Mar P&amp;eacute;rez-Sanagust&amp;iacute;n, Davinia Hern&amp;aacute;ndez-Leo, Josep Blat</t>
  </si>
  <si>
    <t xml:space="preserve">http://pdn.sciencedirect.com/science?_ob=MiamiImageURL&amp;_cid=271849&amp;_user=686465&amp;_pii=S0360131511001643&amp;_check=y&amp;_origin=search&amp;_zone=rslt_list_item&amp;_coverDate=2011-12-31&amp;wchp=dGLzVlS-zSkWA&amp;md5=7a171ac2286cb938a952c2109ac98991&amp;pid=1-s2.0-S0360131511001643-main.pdf </t>
  </si>
  <si>
    <t>The trade network in the dairy industry and its implication for the spread of contamination</t>
  </si>
  <si>
    <t>B. Pinior, M. Konschake, U. Platz, H.D. Thiele, B. Petersen, F.J. Conraths, T. Selhorst</t>
  </si>
  <si>
    <t>Journal of Dairy Science</t>
  </si>
  <si>
    <t>SABUMO: Towards a collaborative and semantic framework for knowledge sharing</t>
  </si>
  <si>
    <t>Jos&amp;eacute; Luis L&amp;oacute;pez-Cuadrado, Ricardo Colomo-Palacios, Israel Gonz&amp;aacute;lez-Carrasco, &amp;Aacute;ngel Garc&amp;iacute;a-Crespo, Bel&amp;eacute;n Ruiz-Mezcua</t>
  </si>
  <si>
    <t xml:space="preserve">http://pdn.sciencedirect.com/science?_ob=MiamiImageURL&amp;_cid=271506&amp;_user=686465&amp;_pii=S0957417412002266&amp;_check=y&amp;_origin=search&amp;_zone=rslt_list_item&amp;_coverDate=2012-08-31&amp;wchp=dGLzVlS-zSkWA&amp;md5=502c6bfdb2337ffae1eac6844eb93a58&amp;pid=1-s2.0-S0957417412002266-main.pdf </t>
  </si>
  <si>
    <t>Youth, Alcohol and Place-Based Leisure Behaviours: a study of two locations in England</t>
  </si>
  <si>
    <t>Tim G. Townshend</t>
  </si>
  <si>
    <t xml:space="preserve">http://pdn.sciencedirect.com/science?_ob=MiamiImageURL&amp;_cid=271821&amp;_user=686465&amp;_pii=S0277953613000907&amp;_check=y&amp;_origin=search&amp;_zone=rslt_list_item&amp;_coverDate=2013-02-19&amp;wchp=dGLzVlS-zSkWA&amp;md5=c2f8cfb84a52e7bb50885022cd4ebd78&amp;pid=1-s2.0-S0277953613000907-main.pdf </t>
  </si>
  <si>
    <t>Proteomics approaches for the analysis of enriched microbial subpopulations and visualization of complex functional information</t>
  </si>
  <si>
    <t>J&amp;ouml;rg Bernhardt, Stephan Michalik, Bernd Wollscheid, Uwe V&amp;ouml;lker, Frank Schmidt</t>
  </si>
  <si>
    <t>Current Opinion in Biotechnology</t>
  </si>
  <si>
    <t xml:space="preserve">http://pdn.sciencedirect.com/science?_ob=MiamiImageURL&amp;_cid=272028&amp;_user=686465&amp;_pii=S0958166912001644&amp;_check=y&amp;_origin=search&amp;_zone=rslt_list_item&amp;_coverDate=2013-02-28&amp;wchp=dGLzVlS-zSkWA&amp;md5=2aafe656070860aa22d23e0c609d214d&amp;pid=1-s2.0-S0958166912001644-main.pdf </t>
  </si>
  <si>
    <t>The burdens of social capital: How socially-involved people dealt with stress after Hurricane Katrina</t>
  </si>
  <si>
    <t>Frederick Weil, Matthew R. Lee, Edward S. Shihadeh</t>
  </si>
  <si>
    <t xml:space="preserve">http://pdn.sciencedirect.com/science?_ob=MiamiImageURL&amp;_cid=272353&amp;_user=686465&amp;_pii=S0049089X11001104&amp;_check=y&amp;_origin=search&amp;_zone=rslt_list_item&amp;_coverDate=2012-01-31&amp;wchp=dGLzVlS-zSkWA&amp;md5=58fef5bd82368deef12a13239b1272f2&amp;pid=1-s2.0-S0049089X11001104-main.pdf </t>
  </si>
  <si>
    <t>Towards a better understanding of Family Business Groups and their key dimensions</t>
  </si>
  <si>
    <t>Bice Della Piana, Alessandra Vecchi, Claudia Cacia</t>
  </si>
  <si>
    <t>Journal of Family Business Strategy</t>
  </si>
  <si>
    <t xml:space="preserve">http://pdn.sciencedirect.com/science?_ob=MiamiImageURL&amp;_cid=278675&amp;_user=686465&amp;_pii=S1877858512000423&amp;_check=y&amp;_origin=search&amp;_zone=rslt_list_item&amp;_coverDate=2012-09-30&amp;wchp=dGLzVlS-zSkWA&amp;md5=b911d263cebc2d27fa83cb4ea57d15cf&amp;pid=1-s2.0-S1877858512000423-main.pdf </t>
  </si>
  <si>
    <t>Research on social relations cognitive model of mobile nodes in Internet of Things</t>
  </si>
  <si>
    <t>Jian An, Xiaolin Gui, Wendong Zhang, Jinhua Jiang, Jianwei Yang</t>
  </si>
  <si>
    <t xml:space="preserve">http://pdn.sciencedirect.com/science?_ob=MiamiImageURL&amp;_cid=272436&amp;_user=686465&amp;_pii=S1084804512002512&amp;_check=y&amp;_origin=search&amp;_zone=rslt_list_item&amp;_coverDate=2013-03-31&amp;wchp=dGLzVlS-zSkWA&amp;md5=950a94a2b7dd3d12de6daa1b40137d44&amp;pid=1-s2.0-S1084804512002512-main.pdf </t>
  </si>
  <si>
    <t>Data delivery scheme for intermittently connected mobile sensor networks</t>
  </si>
  <si>
    <t>Seunghun Cha, Elmurod Talipov, Hojung Cha</t>
  </si>
  <si>
    <t xml:space="preserve">http://pdn.sciencedirect.com/science?_ob=MiamiImageURL&amp;_cid=271515&amp;_user=686465&amp;_pii=S0140366412003982&amp;_check=y&amp;_origin=search&amp;_zone=rslt_list_item&amp;_coverDate=2013-03-01&amp;wchp=dGLzVlS-zSkWA&amp;md5=1fc2fa7c59e9b95960d320e5b2981324&amp;pid=1-s2.0-S0140366412003982-main.pdf </t>
  </si>
  <si>
    <t>Social models in open learning object repositories: A simulation approach for sustainable collections</t>
  </si>
  <si>
    <t>Salvador S&amp;aacute;nchez-Alonso, Miguel-Angel Sicilia, Elena Garc&amp;iacute;a-Barriocanal, Carmen Pag&amp;eacute;s-Ar&amp;eacute;valo, Leonardo Lezcano</t>
  </si>
  <si>
    <t xml:space="preserve">http://pdn.sciencedirect.com/science?_ob=MiamiImageURL&amp;_cid=272648&amp;_user=686465&amp;_pii=S1569190X10001437&amp;_check=y&amp;_origin=search&amp;_zone=rslt_list_item&amp;_coverDate=2011-01-31&amp;wchp=dGLzVlS-zSkWA&amp;md5=18a5eb56552b8b69d4fc9868d94eacf4&amp;pid=1-s2.0-S1569190X10001437-main.pdf </t>
  </si>
  <si>
    <t>Human–agent teamwork in dynamic environments</t>
  </si>
  <si>
    <t>A. van Wissen, Y. Gal, B.A. Kamphorst, M.V. Dignum</t>
  </si>
  <si>
    <t xml:space="preserve">http://pdn.sciencedirect.com/science?_ob=MiamiImageURL&amp;_cid=271802&amp;_user=686465&amp;_pii=S0747563211001610&amp;_check=y&amp;_origin=search&amp;_zone=rslt_list_item&amp;_coverDate=2012-01-31&amp;wchp=dGLzVlS-zSkWA&amp;md5=ab4d451717f26f57c06c071f95d963b7&amp;pid=1-s2.0-S0747563211001610-main.pdf </t>
  </si>
  <si>
    <t>Payment for Ecosystem Services: The roles of positive incentives and information sharing in stimulating adoption of silvopastoral conservation practices</t>
  </si>
  <si>
    <t>Kelly Garbach, Mark Lubell, Fabrice A.J. DeClerck</t>
  </si>
  <si>
    <t>Agriculture, Ecosystems &amp; Environment</t>
  </si>
  <si>
    <t xml:space="preserve">http://pdn.sciencedirect.com/science?_ob=MiamiImageURL&amp;_cid=271239&amp;_user=686465&amp;_pii=S0167880912001600&amp;_check=y&amp;_origin=search&amp;_zone=rslt_list_item&amp;_coverDate=2012-08-01&amp;wchp=dGLzVlS-zSkWA&amp;md5=e4c8fe52860505b6e5b903643de5d635&amp;pid=1-s2.0-S0167880912001600-main.pdf </t>
  </si>
  <si>
    <t>Don’t mention it: Why people don’t share job information, when they do, and why it matters</t>
  </si>
  <si>
    <t>Alexandra Marin</t>
  </si>
  <si>
    <t xml:space="preserve">http://pdn.sciencedirect.com/science?_ob=MiamiImageURL&amp;_cid=271850&amp;_user=686465&amp;_pii=S0378873311000694&amp;_check=y&amp;_origin=search&amp;_zone=rslt_list_item&amp;_coverDate=2012-05-31&amp;wchp=dGLzVlS-zSkWA&amp;md5=7f19a11c68f1f063db7a49187052f450&amp;pid=1-s2.0-S0378873311000694-main.pdf </t>
  </si>
  <si>
    <t>Governmentality in accounting and accountability: A case study of embedding sustainability in a supply chain</t>
  </si>
  <si>
    <t>Laura J. Spence, Leonardo Rinaldi</t>
  </si>
  <si>
    <t xml:space="preserve">http://pdn.sciencedirect.com/science?_ob=MiamiImageURL&amp;_cid=271665&amp;_user=686465&amp;_pii=S0361368212000281&amp;_check=y&amp;_origin=search&amp;_zone=rslt_list_item&amp;_coverDate=2012-04-19&amp;wchp=dGLzVlS-zSkWA&amp;md5=d619a3fea4e0060ac630b7914c6462f2&amp;pid=1-s2.0-S0361368212000281-main.pdf </t>
  </si>
  <si>
    <t>Organizational status growth and structure: An alliance network analysis</t>
  </si>
  <si>
    <t>Francisco J. Granados, David Knoke</t>
  </si>
  <si>
    <t xml:space="preserve">http://pdn.sciencedirect.com/science?_ob=MiamiImageURL&amp;_cid=271850&amp;_user=686465&amp;_pii=S0378873312000706&amp;_check=y&amp;_origin=search&amp;_zone=rslt_list_item&amp;_coverDate=2013-02-01&amp;wchp=dGLzVlS-zSkWA&amp;md5=3780a7701be19e59fd5c9e3ac1fd3aff&amp;pid=1-s2.0-S0378873312000706-main.pdf </t>
  </si>
  <si>
    <t>Distance-sum heterogeneity in graphs and complex networks</t>
  </si>
  <si>
    <t>Ernesto Estrada, Eusebio Vargas-Estrada</t>
  </si>
  <si>
    <t>Applied Mathematics and Computation</t>
  </si>
  <si>
    <t xml:space="preserve">http://pdn.sciencedirect.com/science?_ob=MiamiImageURL&amp;_cid=271588&amp;_user=686465&amp;_pii=S0096300312003542&amp;_check=y&amp;_origin=search&amp;_zone=rslt_list_item&amp;_coverDate=2012-07-01&amp;wchp=dGLzVlS-zSkWA&amp;md5=48c9a45bdf9f0e1ea449505ea6abc86b&amp;pid=1-s2.0-S0096300312003542-main.pdf </t>
  </si>
  <si>
    <t>Dynamic pricing models for ERP systems under network externality</t>
  </si>
  <si>
    <t>Adn&amp;eacute;ne Hajji, Robert Pellerin, Pierre-Majorique L&amp;eacute;ger, Ali Gharbi, Gilbert Babin</t>
  </si>
  <si>
    <t xml:space="preserve">http://pdn.sciencedirect.com/science?_ob=MiamiImageURL&amp;_cid=271692&amp;_user=686465&amp;_pii=S0925527311004348&amp;_check=y&amp;_origin=search&amp;_zone=rslt_list_item&amp;_coverDate=2012-02-29&amp;wchp=dGLzVlS-zSkWA&amp;md5=0c3b2049bfcfe00fb64987117b43fe0e&amp;pid=1-s2.0-S0925527311004348-main.pdf </t>
  </si>
  <si>
    <t>The case for spatial analysis in evaluation to reduce health inequities</t>
  </si>
  <si>
    <t>Julia Koschinsky</t>
  </si>
  <si>
    <t xml:space="preserve">http://pdn.sciencedirect.com/science?_ob=MiamiImageURL&amp;_cid=271855&amp;_user=686465&amp;_pii=S0149718912000237&amp;_check=y&amp;_origin=search&amp;_zone=rslt_list_item&amp;_coverDate=2013-02-28&amp;wchp=dGLzVlS-zSkWA&amp;md5=79fb0e83553ed13ad33a12bb4b04f9b6&amp;pid=1-s2.0-S0149718912000237-main.pdf </t>
  </si>
  <si>
    <t>GLUE!: An architecture for the integration of external tools in Virtual Learning Environments</t>
  </si>
  <si>
    <t>Carlos Alario-Hoyos, Miguel L. Bote-Lorenzo, Eduardo G&amp;oacute;mez-S&amp;aacute;nchez, Juan I. Asensio-P&amp;eacute;rez, Guillermo Vega-Gorgojo, Adolfo Ruiz-Calleja</t>
  </si>
  <si>
    <t xml:space="preserve">http://pdn.sciencedirect.com/science?_ob=MiamiImageURL&amp;_cid=271849&amp;_user=686465&amp;_pii=S0360131512001960&amp;_check=y&amp;_origin=search&amp;_zone=rslt_list_item&amp;_coverDate=2013-01-31&amp;wchp=dGLzVlS-zSkWA&amp;md5=3f6cc66ffb598639a6732f6df673498f&amp;pid=1-s2.0-S0360131512001960-main.pdf </t>
  </si>
  <si>
    <t>LinkedWS: A novel Web services discovery model based on the Metaphor of “social networks”</t>
  </si>
  <si>
    <t>Zakaria Maamar, Leandro Krug Wives, Youakim Badr, Said Elnaffar, Khouloud Boukadi, Noura Faci</t>
  </si>
  <si>
    <t xml:space="preserve">http://pdn.sciencedirect.com/science?_ob=MiamiImageURL&amp;_cid=272648&amp;_user=686465&amp;_pii=S1569190X10001395&amp;_check=y&amp;_origin=search&amp;_zone=rslt_list_item&amp;_coverDate=2011-01-31&amp;wchp=dGLzVlS-zSkWA&amp;md5=7e8195312b3c9c3ed597859c4c96d5c7&amp;pid=1-s2.0-S1569190X10001395-main.pdf </t>
  </si>
  <si>
    <t>Behavioural changes following intraperitoneal vaccination in Atlantic salmon (Salmo salar)</t>
  </si>
  <si>
    <t>Mette Helen Bj&amp;oslash;rge, Janicke Nordgreen, Andrew Michael Janczak, Trygve Poppe, Birgit Ranheim, Tor Einar Horsberg</t>
  </si>
  <si>
    <t xml:space="preserve">http://pdn.sciencedirect.com/science?_ob=MiamiImageURL&amp;_cid=271155&amp;_user=686465&amp;_pii=S0168159111001523&amp;_check=y&amp;_origin=search&amp;_zone=rslt_list_item&amp;_coverDate=2011-08-31&amp;wchp=dGLzVlS-zSkWA&amp;md5=470b706e2f84d83d67e5f096d9a9daa9&amp;pid=1-s2.0-S0168159111001523-main.pdf </t>
  </si>
  <si>
    <t>Turist@: Agent-based personalised recommendation of tourist activities</t>
  </si>
  <si>
    <t>Montserrat Batet, Antonio Moreno, David S&amp;aacute;nchez, David Isern, A&amp;iuml;da Valls</t>
  </si>
  <si>
    <t xml:space="preserve">http://pdn.sciencedirect.com/science?_ob=MiamiImageURL&amp;_cid=271506&amp;_user=686465&amp;_pii=S0957417412000991&amp;_check=y&amp;_origin=search&amp;_zone=rslt_list_item&amp;_coverDate=2012-06-15&amp;wchp=dGLzVlS-zSkWA&amp;md5=2c4017c5e9b443b0997ba181d0472ee5&amp;pid=1-s2.0-S0957417412000991-main.pdf </t>
  </si>
  <si>
    <t>Using the Extended Health Belief Model to understand siblings’ perceptions of risk for hereditary hemochromatosis</t>
  </si>
  <si>
    <t>Carma L. Bylund, Kathleen M. Galvin, Diane O. Dunet, Michele Reyes</t>
  </si>
  <si>
    <t>Patient Education and Counseling</t>
  </si>
  <si>
    <t xml:space="preserve">http://pdn.sciencedirect.com/science?_ob=MiamiImageURL&amp;_cid=271173&amp;_user=686465&amp;_pii=S0738399110001606&amp;_check=y&amp;_origin=search&amp;_zone=rslt_list_item&amp;_coverDate=2011-01-31&amp;wchp=dGLzVlS-zSkWA&amp;md5=caf683b36450b0859d57c1676a78c72b&amp;pid=1-s2.0-S0738399110001606-main.pdf </t>
  </si>
  <si>
    <t>Eighteen reasons animal behaviourists avoid involvement in conservation</t>
  </si>
  <si>
    <t>Tim Caro, Paul W. Sherman</t>
  </si>
  <si>
    <t xml:space="preserve">http://pdn.sciencedirect.com/science?_ob=MiamiImageURL&amp;_cid=272524&amp;_user=686465&amp;_pii=S0003347212005179&amp;_check=y&amp;_origin=search&amp;_zone=rslt_list_item&amp;_coverDate=2013-02-28&amp;wchp=dGLzVlS-zSkWA&amp;md5=bb84e1d54650a40d647bdaefaa9c4322&amp;pid=1-s2.0-S0003347212005179-main.pdf </t>
  </si>
  <si>
    <t>National-level drug policy and young people's illicit drug use: A multilevel analysis of the European Union</t>
  </si>
  <si>
    <t>Mike Vuolo</t>
  </si>
  <si>
    <t xml:space="preserve">http://pdn.sciencedirect.com/science?_ob=MiamiImageURL&amp;_cid=271276&amp;_user=686465&amp;_pii=S0376871612004887&amp;_check=y&amp;_origin=search&amp;_zone=rslt_list_item&amp;_coverDate=2013-01-05&amp;wchp=dGLzVlS-zSkWA&amp;md5=d260e790473ee70f58dd35be71a519c0&amp;pid=1-s2.0-S0376871612004887-main.pdf </t>
  </si>
  <si>
    <t>Generative modeling and classification of dialogs by a low-level turn-taking feature</t>
  </si>
  <si>
    <t>Marco Cristani, Anna Pesarin, Carlo Drioli, Alessandro Tavano, Alessandro Perina, Vittorio Murino</t>
  </si>
  <si>
    <t xml:space="preserve">http://pdn.sciencedirect.com/science?_ob=MiamiImageURL&amp;_cid=272206&amp;_user=686465&amp;_pii=S0031320311000392&amp;_check=y&amp;_origin=search&amp;_zone=rslt_list_item&amp;_coverDate=2011-08-31&amp;wchp=dGLzVlS-zSkWA&amp;md5=9428c21b61e8118405dd886648de7cdd&amp;pid=1-s2.0-S0031320311000392-main.pdf </t>
  </si>
  <si>
    <t>Chapter 2 - Integrated Inference and Analysis of Regulatory Networks from Multi-Level Measurements</t>
  </si>
  <si>
    <t>Christopher S. Poultney, Alex Greenfield, Richard Bonneau</t>
  </si>
  <si>
    <t>Methods in Cell Biology</t>
  </si>
  <si>
    <t>Single nucleotide polymorphisms in Mycobacterium tuberculosis and the need for a curated database</t>
  </si>
  <si>
    <t>David Stucki, Sebastien Gagneux</t>
  </si>
  <si>
    <t xml:space="preserve">http://pdn.sciencedirect.com/science?_ob=MiamiImageURL&amp;_cid=272411&amp;_user=686465&amp;_pii=S1472979212002028&amp;_check=y&amp;_origin=search&amp;_zone=rslt_list_item&amp;_coverDate=2013-01-31&amp;wchp=dGLzVlS-zSkWA&amp;md5=fef5e72fe3d4b30c5a82a05646e1a450&amp;pid=1-s2.0-S1472979212002028-main.pdf </t>
  </si>
  <si>
    <t>A Formalization of Social Requirements for Human Interactions with Service Protocols</t>
  </si>
  <si>
    <t>Willy Picard</t>
  </si>
  <si>
    <t xml:space="preserve">http://pdn.sciencedirect.com/science?_ob=MiamiImageURL&amp;_cid=271625&amp;_user=686465&amp;_pii=S002002551300114X&amp;_check=y&amp;_origin=search&amp;_zone=rslt_list_item&amp;_coverDate=2013-02-16&amp;wchp=dGLzVlS-zSkWA&amp;md5=1d092e337e784a1227bb103eb81c95cc&amp;pid=1-s2.0-S002002551300114X-main.pdf </t>
  </si>
  <si>
    <t>Cue consistency and page value perception: Implications for web-based catalog design</t>
  </si>
  <si>
    <t>Yunjie (Calvin) Xu, Shun Cai, Hee-Woong Kim</t>
  </si>
  <si>
    <t xml:space="preserve">http://pdn.sciencedirect.com/science?_ob=MiamiImageURL&amp;_cid=271670&amp;_user=686465&amp;_pii=S0378720612000742&amp;_check=y&amp;_origin=search&amp;_zone=rslt_list_item&amp;_coverDate=2013-01-31&amp;wchp=dGLzVlS-zSkWA&amp;md5=07e9d9d32016ce7945e706a7640a70e4&amp;pid=1-s2.0-S0378720612000742-main.pdf </t>
  </si>
  <si>
    <t>How do congressional members appear on the web? Tracking the web visibility of South Korean politicians</t>
  </si>
  <si>
    <t>Yon Soo Lim, Han Woo Park</t>
  </si>
  <si>
    <t xml:space="preserve">http://pdn.sciencedirect.com/science?_ob=MiamiImageURL&amp;_cid=272070&amp;_user=686465&amp;_pii=S0740624X11000608&amp;_check=y&amp;_origin=search&amp;_zone=rslt_list_item&amp;_coverDate=2011-10-31&amp;wchp=dGLzVlS-zSkWA&amp;md5=d33ab9b022ecd5bcd7bd94adedcb80fc&amp;pid=1-s2.0-S0740624X11000608-main.pdf </t>
  </si>
  <si>
    <t>Propagation of trust and distrust for the detection of trolls in a social network</t>
  </si>
  <si>
    <t xml:space="preserve">http://pdn.sciencedirect.com/science?_ob=MiamiImageURL&amp;_cid=271990&amp;_user=686465&amp;_pii=S138912861200179X&amp;_check=y&amp;_origin=search&amp;_zone=rslt_list_item&amp;_coverDate=2012-08-16&amp;wchp=dGLzVlS-zSkWA&amp;md5=cd482046b3655c700b0892a9f3139dfb&amp;pid=1-s2.0-S138912861200179X-main.pdf </t>
  </si>
  <si>
    <t>Environmental scenarios and local-global level of community engagement: Environmental justice, jams, institutions and innovation</t>
  </si>
  <si>
    <t>Katarina Larsen, Ulrika Gunnarsson-&amp;Ouml;stling, Erik Westholm</t>
  </si>
  <si>
    <t xml:space="preserve">http://pdn.sciencedirect.com/science?_ob=MiamiImageURL&amp;_cid=271788&amp;_user=686465&amp;_pii=S0016328711000085&amp;_check=y&amp;_origin=search&amp;_zone=rslt_list_item&amp;_coverDate=2011-05-31&amp;wchp=dGLzVlS-zSkWA&amp;md5=d9135b20ed5dbf461daecb8e74220fac&amp;pid=1-s2.0-S0016328711000085-main.pdf </t>
  </si>
  <si>
    <t>Distance matters: Exploring proximity and homophily in virtual world networks</t>
  </si>
  <si>
    <t>Yun Huang, Cuihua Shen, Noshir S. Contractor</t>
  </si>
  <si>
    <t xml:space="preserve">http://pdn.sciencedirect.com/science?_ob=MiamiImageURL&amp;_cid=271653&amp;_user=686465&amp;_pii=S0167923613000158&amp;_check=y&amp;_origin=search&amp;_zone=rslt_list_item&amp;_coverDate=2013-01-09&amp;wchp=dGLzVlS-zSkWA&amp;md5=f8e06dbfd2ae7fa80f0d8bcdcccfca0d&amp;pid=1-s2.0-S0167923613000158-main.pdf </t>
  </si>
  <si>
    <t>Tools used in Global Software Engineering: A systematic mapping review</t>
  </si>
  <si>
    <t>Javier Portillo-Rodr&amp;iacute;guez, Aurora Vizca&amp;iacute;no, Mario Piattini, Sarah Beecham</t>
  </si>
  <si>
    <t xml:space="preserve">http://pdn.sciencedirect.com/science?_ob=MiamiImageURL&amp;_cid=271539&amp;_user=686465&amp;_pii=S0950584912000493&amp;_check=y&amp;_origin=search&amp;_zone=rslt_list_item&amp;_coverDate=2012-07-31&amp;wchp=dGLzVlS-zSkWA&amp;md5=b94f358a9009005dca6cf63400b12826&amp;pid=1-s2.0-S0950584912000493-main.pdf </t>
  </si>
  <si>
    <t>Social networks, social interaction and macroeconomic dynamics: How much could Ernst Ising help DSGE?</t>
  </si>
  <si>
    <t>Shu-Heng Chen, Chia-Ling Chang, Yi-Heng Tseng</t>
  </si>
  <si>
    <t>Research in International Business and Finance</t>
  </si>
  <si>
    <t xml:space="preserve">http://pdn.sciencedirect.com/science?_ob=MiamiImageURL&amp;_cid=273213&amp;_user=686465&amp;_pii=S0275531912000414&amp;_check=y&amp;_origin=search&amp;_zone=rslt_list_item&amp;_coverDate=2012-08-23&amp;wchp=dGLzVlS-zSkWA&amp;md5=edcc1d42280fe7335bfcc4d1743e07da&amp;pid=1-s2.0-S0275531912000414-main.pdf </t>
  </si>
  <si>
    <t>An agent-based simulation model of human–environment interactions in agricultural systems</t>
  </si>
  <si>
    <t>Pepijn Schreinemachers, Thomas Berger</t>
  </si>
  <si>
    <t xml:space="preserve">http://pdn.sciencedirect.com/science?_ob=MiamiImageURL&amp;_cid=271872&amp;_user=686465&amp;_pii=S1364815211000314&amp;_check=y&amp;_origin=search&amp;_zone=rslt_list_item&amp;_coverDate=2011-07-31&amp;wchp=dGLzVlS-zSkWA&amp;md5=a61bc51bf65412dc1255a7745d2e099d&amp;pid=1-s2.0-S1364815211000314-main.pdf </t>
  </si>
  <si>
    <t>Agent-based modeling in marketing: Guidelines for rigor</t>
  </si>
  <si>
    <t>William Rand, Roland T. Rust</t>
  </si>
  <si>
    <t xml:space="preserve">http://pdn.sciencedirect.com/science?_ob=MiamiImageURL&amp;_cid=271657&amp;_user=686465&amp;_pii=S0167811611000504&amp;_check=y&amp;_origin=search&amp;_zone=rslt_list_item&amp;_coverDate=2011-09-30&amp;wchp=dGLzVlS-zSkWA&amp;md5=88f115e2f0610ae4824b8949b1d5b8bf&amp;pid=1-s2.0-S0167811611000504-main.pdf </t>
  </si>
  <si>
    <t>Social ecology, sustainability, and economics</t>
  </si>
  <si>
    <t>Raul P. Lejano, Daniel Stokols</t>
  </si>
  <si>
    <t>Ecological Economics</t>
  </si>
  <si>
    <t xml:space="preserve">http://pdn.sciencedirect.com/science?_ob=MiamiImageURL&amp;_cid=271867&amp;_user=686465&amp;_pii=S0921800913000311&amp;_check=y&amp;_origin=search&amp;_zone=rslt_list_item&amp;_coverDate=2013-05-31&amp;wchp=dGLzVlS-zSkWA&amp;md5=8c234ab9c681776d0b8c37e01fb1d80f&amp;pid=1-s2.0-S0921800913000311-main.pdf </t>
  </si>
  <si>
    <t>Social Network and Individual Correlates of Sexual Risk Behavior Among Homeless Young Men Who Have Sex With Men</t>
  </si>
  <si>
    <t>Joan S. Tucker, Jianhui Hu, Daniela Golinelli, David P. Kennedy, Harold D. Green Jr., Suzanne L. Wenzel</t>
  </si>
  <si>
    <t xml:space="preserve">http://pdn.sciencedirect.com/science?_ob=MiamiImageURL&amp;_cid=271319&amp;_user=686465&amp;_pii=S1054139X12000493&amp;_check=y&amp;_origin=search&amp;_zone=rslt_list_item&amp;_coverDate=2012-10-31&amp;wchp=dGLzVlS-zSkWA&amp;md5=bc46c71ee6277ab085c8a479605eae32&amp;pid=1-s2.0-S1054139X12000493-main.pdf </t>
  </si>
  <si>
    <t>Molecular typing and drug susceptibility of Mycobacterium tuberculosis isolates from Chongqing Municipality, China Supplementary content </t>
  </si>
  <si>
    <t>Dan Zhang, Jun An, Jianmin Wang, Chuan Hu, Zhengui Wang, Ruyue Zhang, Yufeng Wang, Yu Pang</t>
  </si>
  <si>
    <t xml:space="preserve">http://pdn.sciencedirect.com/science?_ob=MiamiImageURL&amp;_cid=272223&amp;_user=686465&amp;_pii=S1567134812003395&amp;_check=y&amp;_origin=search&amp;_zone=rslt_list_item&amp;_coverDate=2013-01-31&amp;wchp=dGLzVlS-zSkWA&amp;md5=4f3c2723bfbae91836f2373bb7d92c05&amp;pid=1-s2.0-S1567134812003395-main.pdf </t>
  </si>
  <si>
    <t>Relational models for knowledge sharing behavior</t>
  </si>
  <si>
    <t>Niels-Ingvar Boer, Hans Berends, Peter van Baalen</t>
  </si>
  <si>
    <t xml:space="preserve">http://pdn.sciencedirect.com/science?_ob=MiamiImageURL&amp;_cid=271956&amp;_user=686465&amp;_pii=S0263237310000939&amp;_check=y&amp;_origin=search&amp;_zone=rslt_list_item&amp;_coverDate=2011-04-30&amp;wchp=dGLzVlS-zSkWA&amp;md5=adf68c17303d497abe7985cd98499b19&amp;pid=1-s2.0-S0263237310000939-main.pdf </t>
  </si>
  <si>
    <t>Strategic HRM in building micro-foundations of organizational knowledge-based performance</t>
  </si>
  <si>
    <t>Dana B. Minbaeva</t>
  </si>
  <si>
    <t xml:space="preserve">http://pdn.sciencedirect.com/science?_ob=MiamiImageURL&amp;_cid=272047&amp;_user=686465&amp;_pii=S1053482212000836&amp;_check=y&amp;_origin=search&amp;_zone=rslt_list_item&amp;_coverDate=2012-11-16&amp;wchp=dGLzVlS-zSkWA&amp;md5=ec977186117ffdead67e9496c785b2ee&amp;pid=1-s2.0-S1053482212000836-main.pdf </t>
  </si>
  <si>
    <t>An Internet measure of the value of citations</t>
  </si>
  <si>
    <t>Boleslaw K. Szymanski, Josep Lluis de la Rosa, Mukkai Krishnamoorthy</t>
  </si>
  <si>
    <t xml:space="preserve">http://pdn.sciencedirect.com/science?_ob=MiamiImageURL&amp;_cid=271625&amp;_user=686465&amp;_pii=S002002551100418X&amp;_check=y&amp;_origin=search&amp;_zone=rslt_list_item&amp;_coverDate=2012-02-15&amp;wchp=dGLzVlS-zSkWA&amp;md5=1f5e2edb5cca91fb2e99574f1328f9e1&amp;pid=1-s2.0-S002002551100418X-main.pdf </t>
  </si>
  <si>
    <t>Reconciling incongruous qualitative and quantitative findings in mixed methods research: Exemplars from research with drug using populations</t>
  </si>
  <si>
    <t>Karla D. Wagner, Peter J. Davidson, Robin A. Pollini, Steffanie A. Strathdee, Rachel Washburn, Lawrence A. Palinkas</t>
  </si>
  <si>
    <t>International Journal of Drug Policy</t>
  </si>
  <si>
    <t xml:space="preserve">http://pdn.sciencedirect.com/science?_ob=MiamiImageURL&amp;_cid=271958&amp;_user=686465&amp;_pii=S0955395911000909&amp;_check=y&amp;_origin=search&amp;_zone=rslt_list_item&amp;_coverDate=2012-01-31&amp;wchp=dGLzVlS-zSkWA&amp;md5=b75b278dc57cac58e3a269b609a04a1c&amp;pid=1-s2.0-S0955395911000909-main.pdf </t>
  </si>
  <si>
    <t>Topological characterizations of covering for special covering-based upper approximation operators</t>
  </si>
  <si>
    <t>Xun Ge, Xiaole Bai, Ziqiu Yun</t>
  </si>
  <si>
    <t xml:space="preserve">http://pdn.sciencedirect.com/science?_ob=MiamiImageURL&amp;_cid=271625&amp;_user=686465&amp;_pii=S0020025512002435&amp;_check=y&amp;_origin=search&amp;_zone=rslt_list_item&amp;_coverDate=2012-10-30&amp;wchp=dGLzVlS-zSkWA&amp;md5=4e2af58a313541bb987cffbefc6b2a80&amp;pid=1-s2.0-S0020025512002435-main.pdf </t>
  </si>
  <si>
    <t>A meta-analysis of the impact of trust on technology acceptance model: Investigation of moderating influence of subject and context type</t>
  </si>
  <si>
    <t>Kewen Wu, Yuxiang Zhao, Qinghua Zhu, Xiaojie Tan, Hua Zheng</t>
  </si>
  <si>
    <t xml:space="preserve">http://pdn.sciencedirect.com/science?_ob=MiamiImageURL&amp;_cid=271677&amp;_user=686465&amp;_pii=S0268401211000429&amp;_check=y&amp;_origin=search&amp;_zone=rslt_list_item&amp;_coverDate=2011-12-31&amp;wchp=dGLzVlS-zSkWA&amp;md5=657ab5a3d5bc52792a050ab005a716f9&amp;pid=1-s2.0-S0268401211000429-main.pdf </t>
  </si>
  <si>
    <t>The socialist network</t>
  </si>
  <si>
    <t>Matje van de Camp, Antal van den Bosch</t>
  </si>
  <si>
    <t xml:space="preserve">http://pdn.sciencedirect.com/science?_ob=MiamiImageURL&amp;_cid=271653&amp;_user=686465&amp;_pii=S016792361200142X&amp;_check=y&amp;_origin=search&amp;_zone=rslt_list_item&amp;_coverDate=2012-11-30&amp;wchp=dGLzVlS-zSkWA&amp;md5=10f39be80e08bef3740eb04139b6e813&amp;pid=1-s2.0-S016792361200142X-main.pdf </t>
  </si>
  <si>
    <t>Characterizing and modelling popularity of user-generated videos</t>
  </si>
  <si>
    <t>Youmna Borghol, Siddharth Mitra, Sebastien Ardon, Niklas Carlsson, Derek Eager, Anirban Mahanti</t>
  </si>
  <si>
    <t xml:space="preserve">http://pdn.sciencedirect.com/science?_ob=MiamiImageURL&amp;_cid=271525&amp;_user=686465&amp;_pii=S016653161100099X&amp;_check=y&amp;_origin=search&amp;_zone=rslt_list_item&amp;_coverDate=2011-11-30&amp;wchp=dGLzVlS-zSkWA&amp;md5=85a4c6486c4a268f99365d527a498809&amp;pid=1-s2.0-S016653161100099X-main.pdf </t>
  </si>
  <si>
    <t>The pursuit of hubbiness: Analysis of hubs in large multidimensional networks</t>
  </si>
  <si>
    <t>Michele Berlingerio, Michele Coscia, Fosca Giannotti, Anna Monreale, Dino Pedreschi</t>
  </si>
  <si>
    <t xml:space="preserve">http://pdn.sciencedirect.com/science?_ob=MiamiImageURL&amp;_cid=280179&amp;_user=686465&amp;_pii=S1877750311000524&amp;_check=y&amp;_origin=search&amp;_zone=rslt_list_item&amp;_coverDate=2011-08-31&amp;wchp=dGLzVlS-zSkWA&amp;md5=b680b1a6118c6cd7641e58dfd71f5706&amp;pid=1-s2.0-S1877750311000524-main.pdf </t>
  </si>
  <si>
    <t>Relevance feature mapping for content-based multimedia information retrieval</t>
  </si>
  <si>
    <t>Guang-Tong Zhou, Kai Ming Ting, Fei Tony Liu, Yilong Yin</t>
  </si>
  <si>
    <t xml:space="preserve">http://pdn.sciencedirect.com/science?_ob=MiamiImageURL&amp;_cid=272206&amp;_user=686465&amp;_pii=S0031320311003955&amp;_check=y&amp;_origin=search&amp;_zone=rslt_list_item&amp;_coverDate=2012-04-30&amp;wchp=dGLzVlS-zSkWA&amp;md5=974f25345c32fc50b6204d91d534b10e&amp;pid=1-s2.0-S0031320311003955-main.pdf </t>
  </si>
  <si>
    <t>Unrealistic optimism on information security management</t>
  </si>
  <si>
    <t>Hyeun-Suk Rhee, Young U. Ryu, Cheong-Tag Kim</t>
  </si>
  <si>
    <t xml:space="preserve">http://pdn.sciencedirect.com/science?_ob=MiamiImageURL&amp;_cid=271887&amp;_user=686465&amp;_pii=S0167404811001441&amp;_check=y&amp;_origin=search&amp;_zone=rslt_list_item&amp;_coverDate=2012-03-31&amp;wchp=dGLzVlS-zSkWA&amp;md5=da6fe21e875468fb427f0a8e5dc9de6f&amp;pid=1-s2.0-S0167404811001441-main.pdf </t>
  </si>
  <si>
    <t xml:space="preserve">http://pdn.sciencedirect.com/science?_ob=MiamiImageURL&amp;_cid=271887&amp;_user=686465&amp;_pii=S0167404811000216&amp;_check=y&amp;_origin=search&amp;_zone=rslt_list_item&amp;_coverDate=2011-01-31&amp;_docsubtype=con&amp;wchp=dGLzVlS-zSkWA&amp;md5=03a9892c2adb9bce24be5700d4d57c07&amp;pid=1-s2.0-S0167404811000216-main.pdf </t>
  </si>
  <si>
    <t xml:space="preserve">http://pdn.sciencedirect.com/science?_ob=MiamiImageURL&amp;_cid=280240&amp;_user=686465&amp;_pii=B9780123822291000229&amp;_check=y&amp;_origin=search&amp;_zone=rslt_list_item&amp;_coverDate=2011-12-31&amp;_idxType=GenInfo&amp;wchp=dGLzVlS-zSkWA&amp;md5=633e474b904265caf7af8d251ad7a2d3&amp;pid=3-s2.0-B9780123822291000229-main.pdf </t>
  </si>
  <si>
    <t xml:space="preserve">http://pdn.sciencedirect.com/science?_ob=MiamiImageURL&amp;_cid=278653&amp;_user=686465&amp;_pii=S187770581201003X&amp;_check=y&amp;_origin=search&amp;_zone=rslt_list_item&amp;_coverDate=2012-12-31&amp;_docsubtype=con&amp;wchp=dGLzVlS-zSkWA&amp;md5=eabb70cafe2b6ffc97d37d86426ace57&amp;pid=1-s2.0-S187770581201003X-main.pdf </t>
  </si>
  <si>
    <t>Introduction to the special issue on “Mechanism Design in E-commerce and Information Systems”</t>
  </si>
  <si>
    <t>Ming Fan, Lingfang (Ivy) Li, De Liu</t>
  </si>
  <si>
    <t xml:space="preserve">http://pdn.sciencedirect.com/science?_ob=MiamiImageURL&amp;_cid=271653&amp;_user=686465&amp;_pii=S0167923612003260&amp;_check=y&amp;_origin=search&amp;_zone=rslt_list_item&amp;_coverDate=2012-11-20&amp;wchp=dGLzVlS-zSkWA&amp;md5=bd567295bb88078d4a59ee93078098dc&amp;pid=1-s2.0-S0167923612003260-main.pdf </t>
  </si>
  <si>
    <t xml:space="preserve">http://pdn.sciencedirect.com/science?_ob=MiamiImageURL&amp;_cid=277811&amp;_user=686465&amp;_pii=S1877042811010512&amp;_check=y&amp;_origin=search&amp;_zone=rslt_list_item&amp;_coverDate=2011-12-31&amp;_docsubtype=con&amp;wchp=dGLzVlS-zSkWA&amp;md5=af5b1e7b465cc44af5c1459fbfd0c550&amp;pid=1-s2.0-S1877042811010512-main.pdf </t>
  </si>
  <si>
    <t>COINs2010: Collaborative Innovation Networks Conference Introduction</t>
  </si>
  <si>
    <t>Julia Gluesing, Peter Gloor, Christine Miller, Kenneth Riopelle</t>
  </si>
  <si>
    <t xml:space="preserve">http://pdn.sciencedirect.com/science?_ob=MiamiImageURL&amp;_cid=277811&amp;_user=686465&amp;_pii=S1877042811023834&amp;_check=y&amp;_origin=search&amp;_zone=rslt_list_item&amp;_coverDate=2011-12-31&amp;wchp=dGLzVlS-zSkWA&amp;md5=95d5e83dff0eed024c2af638d288449d&amp;pid=1-s2.0-S1877042811023834-main.pdf </t>
  </si>
  <si>
    <t xml:space="preserve">http://pdn.sciencedirect.com/science?_ob=MiamiImageURL&amp;_cid=277811&amp;_user=686465&amp;_pii=S1877042811028357&amp;_check=y&amp;_origin=search&amp;_zone=rslt_list_item&amp;_coverDate=2011-12-31&amp;_docsubtype=con&amp;wchp=dGLzVlS-zSkWA&amp;md5=fea9af21722f073817f231d65efb300e&amp;pid=1-s2.0-S1877042811028357-main.pdf </t>
  </si>
  <si>
    <t xml:space="preserve">http://pdn.sciencedirect.com/science?_ob=MiamiImageURL&amp;_cid=273502&amp;_user=686465&amp;_pii=S1499404611002697&amp;_check=y&amp;_origin=search&amp;_zone=rslt_list_item&amp;_coverDate=2011-08-31&amp;_docsubtype=con&amp;wchp=dGLzVlS-zSkWA&amp;md5=4cd7d18da1845afbcbbfa33ff4be6e9d&amp;pid=1-s2.0-S1499404611002697-main.pdf </t>
  </si>
  <si>
    <t>Chapter 15 - Business Use of Social Media</t>
  </si>
  <si>
    <t>Weakly linear systems of fuzzy relation inequalities: The heterogeneous case</t>
  </si>
  <si>
    <t xml:space="preserve">http://pdn.sciencedirect.com/science?_ob=MiamiImageURL&amp;_cid=271522&amp;_user=686465&amp;_pii=S016501141100532X&amp;_check=y&amp;_origin=search&amp;_zone=rslt_list_item&amp;_coverDate=2012-07-16&amp;wchp=dGLzVlS-zSkWA&amp;md5=f51a6a9a5d7db179e42c2bab5c1fc8d2&amp;pid=1-s2.0-S016501141100532X-main.pdf </t>
  </si>
  <si>
    <t xml:space="preserve">http://pdn.sciencedirect.com/science?_ob=MiamiImageURL&amp;_cid=271850&amp;_user=686465&amp;_pii=S0378873311000633&amp;_check=y&amp;_origin=search&amp;_zone=rslt_list_item&amp;_coverDate=2011-10-31&amp;_docsubtype=edb&amp;wchp=dGLzVlS-zSkWA&amp;md5=3167c1aa5cb40a4843de30672a1d9efe&amp;pid=1-s2.0-S0378873311000633-main.pdf </t>
  </si>
  <si>
    <t xml:space="preserve">http://pdn.sciencedirect.com/science?_ob=MiamiImageURL&amp;_cid=271850&amp;_user=686465&amp;_pii=S0378873311000207&amp;_check=y&amp;_origin=search&amp;_zone=rslt_list_item&amp;_coverDate=2011-05-31&amp;_docsubtype=edb&amp;wchp=dGLzVlS-zSkWA&amp;md5=2807bdcafd49288ad47754310414b971&amp;pid=1-s2.0-S0378873311000207-main.pdf </t>
  </si>
  <si>
    <t xml:space="preserve">http://pdn.sciencedirect.com/science?_ob=MiamiImageURL&amp;_cid=271850&amp;_user=686465&amp;_pii=S0378873311000384&amp;_check=y&amp;_origin=search&amp;_zone=rslt_list_item&amp;_coverDate=2011-07-31&amp;_docsubtype=edb&amp;wchp=dGLzVlS-zSkWA&amp;md5=9b008b47eb92cf4d67be696f4df95d5a&amp;pid=1-s2.0-S0378873311000384-main.pdf </t>
  </si>
  <si>
    <t xml:space="preserve">http://pdn.sciencedirect.com/science?_ob=MiamiImageURL&amp;_cid=271850&amp;_user=686465&amp;_pii=S0378873311000049&amp;_check=y&amp;_origin=search&amp;_zone=rslt_list_item&amp;_coverDate=2011-01-31&amp;_docsubtype=edb&amp;wchp=dGLzVlS-zSkWA&amp;md5=f12b7df9455afcb00bdadf49561fdbae&amp;pid=1-s2.0-S0378873311000049-main.pdf </t>
  </si>
  <si>
    <t xml:space="preserve">http://pdn.sciencedirect.com/science?_ob=MiamiImageURL&amp;_cid=280203&amp;_user=686465&amp;_pii=S1877050911003267&amp;_check=y&amp;_origin=search&amp;_zone=rslt_list_item&amp;_coverDate=2011-12-31&amp;wchp=dGLzVlS-zSkWA&amp;md5=98df809b3ba888edb48d1168d0ba82e5&amp;pid=1-s2.0-S1877050911003267-main.pdf </t>
  </si>
  <si>
    <t>The interplay of social interaction, individual characteristics and external influence in diffusion of innovation processes: An empirical test in medical settings</t>
  </si>
  <si>
    <t>Paola Zappa, Paolo Mariani</t>
  </si>
  <si>
    <t xml:space="preserve">http://pdn.sciencedirect.com/science?_ob=MiamiImageURL&amp;_cid=277811&amp;_user=686465&amp;_pii=S1877042811000188&amp;_check=y&amp;_origin=search&amp;_zone=rslt_list_item&amp;_coverDate=2011-12-31&amp;wchp=dGLzVlS-zSkWA&amp;md5=8cc00fad91366d6c3c7128123f781392&amp;pid=1-s2.0-S1877042811000188-main.pdf </t>
  </si>
  <si>
    <t>Contagion effects of national innovative capacity: Comparing structural equivalence and cohesion models</t>
  </si>
  <si>
    <t>Hung-Chun Huang, Hsin-Yu Shih, Ya-Chi Wu</t>
  </si>
  <si>
    <t xml:space="preserve">http://pdn.sciencedirect.com/science?_ob=MiamiImageURL&amp;_cid=271733&amp;_user=686465&amp;_pii=S0040162510001800&amp;_check=y&amp;_origin=search&amp;_zone=rslt_list_item&amp;_coverDate=2011-02-28&amp;wchp=dGLzVlS-zSkWA&amp;md5=176008561286e43d67cccff2dda4e9c4&amp;pid=1-s2.0-S0040162510001800-main.pdf </t>
  </si>
  <si>
    <t>Chapter 10 - Text Mining</t>
  </si>
  <si>
    <t xml:space="preserve">http://pdn.sciencedirect.com/science?_ob=MiamiImageURL&amp;_cid=271653&amp;_user=686465&amp;_pii=S0167923612002242&amp;_check=y&amp;_origin=search&amp;_zone=rslt_list_item&amp;_coverDate=2012-11-30&amp;wchp=dGLzVlS-zSkWA&amp;md5=480fcf788d6061b135f361e2420fbbae&amp;pid=1-s2.0-S0167923612002242-main.pdf </t>
  </si>
  <si>
    <t>Chapter 1 - Intelligence and Security Informatics: Research Frameworks</t>
  </si>
  <si>
    <t>Deriving Market Intelligence from Microblogs</t>
  </si>
  <si>
    <t>Yung-Ming Li, Tsung-Ying Li</t>
  </si>
  <si>
    <t xml:space="preserve">http://pdn.sciencedirect.com/science?_ob=MiamiImageURL&amp;_cid=271653&amp;_user=686465&amp;_pii=S0167923613000511&amp;_check=y&amp;_origin=search&amp;_zone=rslt_list_item&amp;_coverDate=2013-02-09&amp;wchp=dGLzVlS-zSkWA&amp;md5=d9cac21e4ab85c076920d6da1c5538ca&amp;pid=1-s2.0-S0167923613000511-main.pdf </t>
  </si>
  <si>
    <t>Industrial Ecology and the Building of Territorial Knowledge: DEPART, a French Research Action Program Implemented in Harbor Territories</t>
  </si>
  <si>
    <t>Juliette Cerceau, Guillaume Junqua, Catherine Gonzalez, Miguel Lopez-Ferber, Nicolas Mat</t>
  </si>
  <si>
    <t xml:space="preserve">http://pdn.sciencedirect.com/science?_ob=MiamiImageURL&amp;_cid=277811&amp;_user=686465&amp;_pii=S1877042812007070&amp;_check=y&amp;_origin=search&amp;_zone=rslt_list_item&amp;_coverDate=2012-12-31&amp;wchp=dGLzVlS-zSkWA&amp;md5=61bed88019317a5f079d19be06d0ac97&amp;pid=1-s2.0-S1877042812007070-main.pdf </t>
  </si>
  <si>
    <t>KBDeX: A Platform for Exploring Discourse in Collaborative Learning</t>
  </si>
  <si>
    <t>Yoshiaki Matsuzaw, Jun Oshima, Ritsuko Oshima, Yusuke Niihara, Sanshiro Sakai</t>
  </si>
  <si>
    <t xml:space="preserve">http://pdn.sciencedirect.com/science?_ob=MiamiImageURL&amp;_cid=277811&amp;_user=686465&amp;_pii=S1877042811024037&amp;_check=y&amp;_origin=search&amp;_zone=rslt_list_item&amp;_coverDate=2011-12-31&amp;wchp=dGLzVlS-zSkWA&amp;md5=026fbb8679f0c05e14451b3b8c068486&amp;pid=1-s2.0-S1877042811024037-main.pdf </t>
  </si>
  <si>
    <t>Mining Community in Mobile Social Network</t>
  </si>
  <si>
    <t>Ke Xu, Xinfang Zhang</t>
  </si>
  <si>
    <t xml:space="preserve">http://pdn.sciencedirect.com/science?_ob=MiamiImageURL&amp;_cid=278653&amp;_user=686465&amp;_pii=S1877705812004547&amp;_check=y&amp;_origin=search&amp;_zone=rslt_list_item&amp;_coverDate=2012-12-31&amp;wchp=dGLzVlS-zSkWA&amp;md5=9c4eabf500640bd603466d342fd7e5b5&amp;pid=1-s2.0-S1877705812004547-main.pdf </t>
  </si>
  <si>
    <t xml:space="preserve">http://pdn.sciencedirect.com/science?_ob=MiamiImageURL&amp;_cid=280203&amp;_user=686465&amp;_pii=S187705091200539X&amp;_check=y&amp;_origin=search&amp;_zone=rslt_list_item&amp;_coverDate=2012-12-31&amp;_docsubtype=con&amp;wchp=dGLzVlS-zSkWA&amp;md5=bc449539d3982603b71fd7271ed59e0e&amp;pid=1-s2.0-S187705091200539X-main.pdf </t>
  </si>
  <si>
    <t xml:space="preserve">http://pdn.sciencedirect.com/science?_ob=MiamiImageURL&amp;_cid=271653&amp;_user=686465&amp;_pii=S0167923611001497&amp;_check=y&amp;_origin=search&amp;_zone=rslt_list_item&amp;_coverDate=2011-11-30&amp;wchp=dGLzVlS-zSkWA&amp;md5=dc16ea105f57aef3d403456386eb5278&amp;pid=1-s2.0-S0167923611001497-main.pdf </t>
  </si>
  <si>
    <t>Review Briefs: February 2011</t>
  </si>
  <si>
    <t xml:space="preserve">http://pdn.sciencedirect.com/science?_ob=MiamiImageURL&amp;_cid=271874&amp;_user=686465&amp;_pii=S0024630110000579&amp;_check=y&amp;_origin=search&amp;_zone=rslt_list_item&amp;_coverDate=2011-02-28&amp;wchp=dGLzVlS-zSkWA&amp;md5=843565d0090ebc9b9cbf5ad2c309bcf4&amp;pid=1-s2.0-S0024630110000579-main.pdf </t>
  </si>
  <si>
    <t>Chapter 4 - Client-side attacks and human weaknesses</t>
  </si>
  <si>
    <t>Jeremy Faircloth</t>
  </si>
  <si>
    <t>Penetration Tester's Open Source Toolkit (Third Edition)</t>
  </si>
  <si>
    <t xml:space="preserve">http://pdn.sciencedirect.com/science?_ob=MiamiImageURL&amp;_cid=277811&amp;_user=686465&amp;_pii=S1877042811026462&amp;_check=y&amp;_origin=search&amp;_zone=rslt_list_item&amp;_coverDate=2011-12-31&amp;_docsubtype=con&amp;wchp=dGLzVlS-zSkWA&amp;md5=1f3432456fe0bc2209468375104ce6cc&amp;pid=1-s2.0-S1877042811026462-main.pdf </t>
  </si>
  <si>
    <t>What networks are developed for successful regional lobbying? The case of the airport of El Prat (Barcelona)</t>
  </si>
  <si>
    <t>Casilda G&amp;uuml;ell</t>
  </si>
  <si>
    <t xml:space="preserve">http://pdn.sciencedirect.com/science?_ob=MiamiImageURL&amp;_cid=277811&amp;_user=686465&amp;_pii=S1877042811000048&amp;_check=y&amp;_origin=search&amp;_zone=rslt_list_item&amp;_coverDate=2011-12-31&amp;wchp=dGLzVlS-zSkWA&amp;md5=87abf0d866c6f4c0e7561c8655a840c8&amp;pid=1-s2.0-S1877042811000048-main.pdf </t>
  </si>
  <si>
    <t>Chapter 1 - The History of Text Mining</t>
  </si>
  <si>
    <t>Practical Text Mining and Statistical Analysis for Non-structured Text Data Applications</t>
  </si>
  <si>
    <t>Knowledge-based sense disambiguation (almost) for all structures</t>
  </si>
  <si>
    <t>Federica Mandreoli, Riccardo Martoglia</t>
  </si>
  <si>
    <t xml:space="preserve">http://pdn.sciencedirect.com/science?_ob=MiamiImageURL&amp;_cid=271528&amp;_user=686465&amp;_pii=S0306437910000815&amp;_check=y&amp;_origin=search&amp;_zone=rslt_list_item&amp;_coverDate=2011-04-30&amp;wchp=dGLzVlS-zSkWA&amp;md5=e4ea45d7ea9b6cf92af5cd58dfa54714&amp;pid=1-s2.0-S0306437910000815-main.pdf </t>
  </si>
  <si>
    <t>Exploring the Strategic Value of Interdisciplinary Collaboration: COINs in the Creation of Business</t>
  </si>
  <si>
    <t>Saad Aqeel Alzarooni, R Wade Campbell, Yushi Wang, Christine Z. Miller</t>
  </si>
  <si>
    <t xml:space="preserve">http://pdn.sciencedirect.com/science?_ob=MiamiImageURL&amp;_cid=277811&amp;_user=686465&amp;_pii=S1877042811023962&amp;_check=y&amp;_origin=search&amp;_zone=rslt_list_item&amp;_coverDate=2011-12-31&amp;wchp=dGLzVlS-zSkWA&amp;md5=f14978bd7b757cc451de0a3f36f72b4b&amp;pid=1-s2.0-S1877042811023962-main.pdf </t>
  </si>
  <si>
    <t>Relevance theory and citations</t>
  </si>
  <si>
    <t>Howard D. White</t>
  </si>
  <si>
    <t>Journal of Pragmatics</t>
  </si>
  <si>
    <t xml:space="preserve">http://pdn.sciencedirect.com/science?_ob=MiamiImageURL&amp;_cid=271806&amp;_user=686465&amp;_pii=S0378216611001949&amp;_check=y&amp;_origin=search&amp;_zone=rslt_list_item&amp;_coverDate=2011-11-30&amp;wchp=dGLzVlS-zSkWA&amp;md5=277052572cdfed6279fcfc830c309ccd&amp;pid=1-s2.0-S0378216611001949-main.pdf </t>
  </si>
  <si>
    <t>Encyclopedia of Human Behavior (Second Edition)</t>
  </si>
  <si>
    <t>Epidemic Spreading Over Social Networks Using Large-scale Biosensors: A Survey</t>
  </si>
  <si>
    <t>Jo&amp;atilde;o Andrade, Artur Arsenio</t>
  </si>
  <si>
    <t>Procedia Technology</t>
  </si>
  <si>
    <t xml:space="preserve">http://pdn.sciencedirect.com/science?_ob=MiamiImageURL&amp;_cid=282073&amp;_user=686465&amp;_pii=S2212017312005336&amp;_check=y&amp;_origin=search&amp;_zone=rslt_list_item&amp;_coverDate=2012-12-31&amp;wchp=dGLzVlS-zSkWA&amp;md5=f823ad231cb65f6f420191653c04b28b&amp;pid=1-s2.0-S2212017312005336-main.pdf </t>
  </si>
  <si>
    <t>A recommender system based on tag and time information for social tagging systems</t>
  </si>
  <si>
    <t>Nan Zheng, Qiudan Li</t>
  </si>
  <si>
    <t xml:space="preserve">http://pdn.sciencedirect.com/science?_ob=MiamiImageURL&amp;_cid=271506&amp;_user=686465&amp;_pii=S0957417410010882&amp;_check=y&amp;_origin=search&amp;_zone=rslt_list_item&amp;_coverDate=2011-04-30&amp;wchp=dGLzVlS-zSkWA&amp;md5=f4e93b4095db2aadfecb1c5f7012ce11&amp;pid=1-s2.0-S0957417410010882-main.pdf </t>
  </si>
  <si>
    <t>Moment Analysis and translanguaging space: Discursive construction of identities by multilingual Chinese youth in Britain</t>
  </si>
  <si>
    <t>Li Wei</t>
  </si>
  <si>
    <t xml:space="preserve">http://pdn.sciencedirect.com/science?_ob=MiamiImageURL&amp;_cid=271806&amp;_user=686465&amp;_pii=S0378216610002535&amp;_check=y&amp;_origin=search&amp;_zone=rslt_list_item&amp;_coverDate=2011-04-30&amp;wchp=dGLzVlS-zSkWA&amp;md5=edce179eb3cb2e423154501968bb32d4&amp;pid=1-s2.0-S0378216610002535-main.pdf </t>
  </si>
  <si>
    <t>Extracting knowledge from U.S. department of defense freedom of information act requests with social media</t>
  </si>
  <si>
    <t>Andrew Whitmore</t>
  </si>
  <si>
    <t xml:space="preserve">http://pdn.sciencedirect.com/science?_ob=MiamiImageURL&amp;_cid=272070&amp;_user=686465&amp;_pii=S0740624X12000032&amp;_check=y&amp;_origin=search&amp;_zone=rslt_list_item&amp;_coverDate=2012-04-30&amp;wchp=dGLzVlS-zSkWA&amp;md5=5ac00b8e75027ea5415fdf7a20017aa9&amp;pid=1-s2.0-S0740624X12000032-main.pdf </t>
  </si>
  <si>
    <t>Editorial: June 2012</t>
  </si>
  <si>
    <t>Philip J. Hills</t>
  </si>
  <si>
    <t xml:space="preserve">http://pdn.sciencedirect.com/science?_ob=MiamiImageURL&amp;_cid=271677&amp;_user=686465&amp;_pii=S026840121200028X&amp;_check=y&amp;_origin=search&amp;_zone=rslt_list_item&amp;_coverDate=2012-06-30&amp;wchp=dGLzVlS-zSkWA&amp;md5=c70b06af83797735e21ed21c64cbf789&amp;pid=1-s2.0-S026840121200028X-main.pdf </t>
  </si>
  <si>
    <t>Literature listing</t>
  </si>
  <si>
    <t>David Newton</t>
  </si>
  <si>
    <t xml:space="preserve">http://pdn.sciencedirect.com/science?_ob=MiamiImageURL&amp;_cid=271774&amp;_user=686465&amp;_pii=S0172219011001475&amp;_check=y&amp;_origin=search&amp;_zone=rslt_list_item&amp;_coverDate=2012-03-31&amp;wchp=dGLzVlS-zSkWA&amp;md5=3dca8b4579c308f79ed1874be2c13ea6&amp;pid=1-s2.0-S0172219011001475-main.pdf </t>
  </si>
  <si>
    <t>Annals: 40–40 vision</t>
  </si>
  <si>
    <t>Honggen Xiao, Jafar Jafari, Paul Cloke, John Tribe</t>
  </si>
  <si>
    <t xml:space="preserve">http://pdn.sciencedirect.com/science?_ob=MiamiImageURL&amp;_cid=271796&amp;_user=686465&amp;_pii=S0160738312001491&amp;_check=y&amp;_origin=search&amp;_zone=rslt_list_item&amp;_coverDate=2013-01-31&amp;wchp=dGLzVlS-zSkWA&amp;md5=48a6db2eab920b257b3e31a9e6a56233&amp;pid=1-s2.0-S0160738312001491-main.pdf </t>
  </si>
  <si>
    <t>General cybernetic model for innovation network management</t>
  </si>
  <si>
    <t>Mirzadeh P.A, Moattar Husseini S.M, Arasti M.R</t>
  </si>
  <si>
    <t xml:space="preserve">http://pdn.sciencedirect.com/science?_ob=MiamiImageURL&amp;_cid=277811&amp;_user=686465&amp;_pii=S1877042812009500&amp;_check=y&amp;_origin=search&amp;_zone=rslt_list_item&amp;_coverDate=2012-12-31&amp;wchp=dGLzVlS-zSkWA&amp;md5=0df08b4673c9fc8d2902622c15ab74a2&amp;pid=1-s2.0-S1877042812009500-main.pdf </t>
  </si>
  <si>
    <t>Data mining with LinkedIn</t>
  </si>
  <si>
    <t>Danny Bradbury</t>
  </si>
  <si>
    <t xml:space="preserve">http://pdn.sciencedirect.com/science?_ob=MiamiImageURL&amp;_cid=271971&amp;_user=686465&amp;_pii=S1361372311701014&amp;_check=y&amp;_origin=search&amp;_zone=rslt_list_item&amp;_coverDate=2011-10-31&amp;wchp=dGLzVlS-zSkWA&amp;md5=f25857fb2c5420ed9095ee7fc2cffea4&amp;pid=1-s2.0-S1361372311701014-main.pdf </t>
  </si>
  <si>
    <t>Farm management systems and the Future Internet era</t>
  </si>
  <si>
    <t>Alexandros Kaloxylos, Robert Eigenmann, Frederick Teye, Zoi Politopoulou, Sjaak Wolfert, Claudia Shrank, Markus Dillinger, Ioanna Lampropoulou, Eleni Antoniou, Liisa Pesonen, Huether Nicole, Floerchinger Thomas, Nancy Alonistioti, George Kormentzas</t>
  </si>
  <si>
    <t>Computers and Electronics in Agriculture</t>
  </si>
  <si>
    <t xml:space="preserve">http://pdn.sciencedirect.com/science?_ob=MiamiImageURL&amp;_cid=271304&amp;_user=686465&amp;_pii=S0168169912002219&amp;_check=y&amp;_origin=search&amp;_zone=rslt_list_item&amp;_coverDate=2012-11-30&amp;wchp=dGLzVlS-zSkWA&amp;md5=1035b1e835082dbdb32f77335625a18c&amp;pid=1-s2.0-S0168169912002219-main.pdf </t>
  </si>
  <si>
    <t>Communication network formation with link specificity and value transferability</t>
  </si>
  <si>
    <t>Marjolein J.W. Harmsen - van Hout, P. Jean-Jacques Herings, Benedict G.C. Dellaert</t>
  </si>
  <si>
    <t xml:space="preserve">http://pdn.sciencedirect.com/science?_ob=MiamiImageURL&amp;_cid=271700&amp;_user=686465&amp;_pii=S0377221713001616&amp;_check=y&amp;_origin=search&amp;_zone=rslt_list_item&amp;_coverDate=2013-02-27&amp;wchp=dGLzVlS-zSkWA&amp;md5=3d3b3ff249de97e4a41275db9ef3f30e&amp;pid=1-s2.0-S0377221713001616-main.pdf </t>
  </si>
  <si>
    <t>Measuring and understanding sustainability-enhancing processes in tropical coastal and marine social–ecological systems</t>
  </si>
  <si>
    <t>Marion Glaser, Patrick Christie, Karen Diele, Larissa Dsikowitzky, Sebastian Ferse, Inga Nordhaus, Achim Schl&amp;uuml;ter, Kathleen Schwerdtner Ma&amp;ntilde;ez, Christian Wild</t>
  </si>
  <si>
    <t xml:space="preserve">http://pdn.sciencedirect.com/science?_ob=MiamiImageURL&amp;_cid=278668&amp;_user=686465&amp;_pii=S1877343512000590&amp;_check=y&amp;_origin=search&amp;_zone=rslt_list_item&amp;_coverDate=2012-07-31&amp;wchp=dGLzVlS-zSkWA&amp;md5=be0de6bfbfed8b2981269575c1f85d87&amp;pid=1-s2.0-S1877343512000590-main.pdf </t>
  </si>
  <si>
    <t>Matthew C. Vernon, Matt J. Keeling</t>
  </si>
  <si>
    <t xml:space="preserve">http://pdn.sciencedirect.com/science?_ob=MiamiImageURL&amp;_cid=271186&amp;_user=686465&amp;_pii=S0167587712000025&amp;_check=y&amp;_origin=search&amp;_zone=rslt_list_item&amp;_coverDate=2012-06-01&amp;wchp=dGLzVlS-zSkWA&amp;md5=51c7bc0d88ba82ec49be1ad0e1f2aa7a&amp;pid=1-s2.0-S0167587712000025-main.pdf </t>
  </si>
  <si>
    <t xml:space="preserve">http://pdn.sciencedirect.com/science?_ob=MiamiImageURL&amp;_cid=273584&amp;_user=686465&amp;_pii=S1751157711000903&amp;_check=y&amp;_origin=search&amp;_zone=rslt_list_item&amp;_coverDate=2011-10-31&amp;_docsubtype=edb&amp;wchp=dGLzVlS-zSkWA&amp;md5=2d6b48f50233cc46214b46b8797233d8&amp;pid=1-s2.0-S1751157711000903-main.pdf </t>
  </si>
  <si>
    <t>Weighted association rule mining via a graph based connectivity model</t>
  </si>
  <si>
    <t>Russel Pears, Yun Sing Koh, Gillian Dobbie, Wai Yeap</t>
  </si>
  <si>
    <t xml:space="preserve">http://pdn.sciencedirect.com/science?_ob=MiamiImageURL&amp;_cid=271625&amp;_user=686465&amp;_pii=S0020025512004653&amp;_check=y&amp;_origin=search&amp;_zone=rslt_list_item&amp;_coverDate=2013-01-01&amp;wchp=dGLzVlS-zSkWA&amp;md5=182de8eea970360bebd3fee9eebcea8f&amp;pid=1-s2.0-S0020025512004653-main.pdf </t>
  </si>
  <si>
    <t>R.H. Tsiotsou, R.E. Goldsmith, Editors, Strategic Marketing in Tourism Services (2012) Emerald,Howard House, UK 978-1-78052-070-4 377.</t>
  </si>
  <si>
    <t>Xi Y. Leung</t>
  </si>
  <si>
    <t xml:space="preserve">http://pdn.sciencedirect.com/science?_ob=MiamiImageURL&amp;_cid=271716&amp;_user=686465&amp;_pii=S0261517713000447&amp;_check=y&amp;_origin=search&amp;_zone=rslt_list_item&amp;_coverDate=2013-08-31&amp;wchp=dGLzVlS-zSkWA&amp;md5=2e6e38145812c56275f6a427b461e4b0&amp;pid=1-s2.0-S0261517713000447-main.pdf </t>
  </si>
  <si>
    <t>Treatise on Estuarine and Coastal Science</t>
  </si>
  <si>
    <t xml:space="preserve">http://pdn.sciencedirect.com/science?_ob=MiamiImageURL&amp;_cid=286817&amp;_user=686465&amp;_pii=B9780124071919099968&amp;_check=y&amp;_origin=search&amp;_zone=rslt_list_item&amp;_coverDate=2013-12-31&amp;_idxType=GenInfo&amp;wchp=dGLzVlS-zSkWA&amp;md5=5b672835752266cce19e11fccaad6719&amp;pid=3-s2.0-B9780124071919099968-main.pdf </t>
  </si>
  <si>
    <t>In plain view: open source intelligence</t>
  </si>
  <si>
    <t xml:space="preserve">http://pdn.sciencedirect.com/science?_ob=MiamiImageURL&amp;_cid=271971&amp;_user=686465&amp;_pii=S1361372311700392&amp;_check=y&amp;_origin=search&amp;_zone=rslt_list_item&amp;_coverDate=2011-04-30&amp;wchp=dGLzVlS-zSkWA&amp;md5=755b7e925b431ca81a55e9cb32865165&amp;pid=1-s2.0-S1361372311700392-main.pdf </t>
  </si>
  <si>
    <t>Congress Education Sessions: Saturday, March 19, To Thursday, March 24, 2011</t>
  </si>
  <si>
    <t>AORN Journal</t>
  </si>
  <si>
    <t xml:space="preserve">http://pdn.sciencedirect.com/science?_ob=MiamiImageURL&amp;_cid=273560&amp;_user=686465&amp;_pii=S0001209211004558&amp;_check=y&amp;_origin=search&amp;_zone=rslt_list_item&amp;_coverDate=2011-06-30&amp;wchp=dGLzVlS-zSkWA&amp;md5=fe97f689faa6c3b8955fd67b82686cfc&amp;pid=1-s2.0-S0001209211004558-main.pdf </t>
  </si>
  <si>
    <t>The impact of peer network position on electricity consumption in building occupant networks utilizing energy feedback systems</t>
  </si>
  <si>
    <t>Gabriel Peschiera, John E. Taylor</t>
  </si>
  <si>
    <t>Energy and Buildings</t>
  </si>
  <si>
    <t xml:space="preserve">http://pdn.sciencedirect.com/science?_ob=MiamiImageURL&amp;_cid=271089&amp;_user=686465&amp;_pii=S0378778812001594&amp;_check=y&amp;_origin=search&amp;_zone=rslt_list_item&amp;_coverDate=2012-06-30&amp;wchp=dGLzVlS-zSkWA&amp;md5=8114578e2fa89139c8d96b2c5313cf9f&amp;pid=1-s2.0-S0378778812001594-main.pdf </t>
  </si>
  <si>
    <t>Peer Relationships and Influence in Childhood</t>
  </si>
  <si>
    <t>K.L. McDonald, K.H. Rubin</t>
  </si>
  <si>
    <t>An unstructured information management system (UIMS) for emergency management</t>
  </si>
  <si>
    <t>W.B. Lee, Y. Wang, W.M. Wang, C.F. Cheung</t>
  </si>
  <si>
    <t xml:space="preserve">http://pdn.sciencedirect.com/science?_ob=MiamiImageURL&amp;_cid=271506&amp;_user=686465&amp;_pii=S0957417412002813&amp;_check=y&amp;_origin=search&amp;_zone=rslt_list_item&amp;_coverDate=2012-12-01&amp;wchp=dGLzVlS-zSkWA&amp;md5=4924405d20a34477ea458fd01e77feb7&amp;pid=1-s2.0-S0957417412002813-main.pdf </t>
  </si>
  <si>
    <t>The impact of ICT development on the global digital divide</t>
  </si>
  <si>
    <t>Shing H. Doong, Shu-Chun Ho</t>
  </si>
  <si>
    <t xml:space="preserve">http://pdn.sciencedirect.com/science?_ob=MiamiImageURL&amp;_cid=272634&amp;_user=686465&amp;_pii=S1567422312000166&amp;_check=y&amp;_origin=search&amp;_zone=rslt_list_item&amp;_coverDate=2012-10-31&amp;wchp=dGLzVlS-zSkWA&amp;md5=7db8e418f5889448c54f6ea3c2ae1394&amp;pid=1-s2.0-S1567422312000166-main.pdf </t>
  </si>
  <si>
    <t>A New Temporal and Social PMF-based Method to Predict Users' Interests in Micro-blogging</t>
  </si>
  <si>
    <t>Hongyun Bao, Qiudan Li, Stephen Shaoyi Liao, Shuangyong Song, Heng Gao</t>
  </si>
  <si>
    <t xml:space="preserve">http://pdn.sciencedirect.com/science?_ob=MiamiImageURL&amp;_cid=271653&amp;_user=686465&amp;_pii=S0167923613000663&amp;_check=y&amp;_origin=search&amp;_zone=rslt_list_item&amp;_coverDate=2013-02-24&amp;wchp=dGLzVlS-zSkWA&amp;md5=eac74390868d63c4e6d7a0f2ae298b5f&amp;pid=1-s2.0-S0167923613000663-main.pdf </t>
  </si>
  <si>
    <t>A novel integrated knowledge support system based on ontology learning: Model specification and a case study</t>
  </si>
  <si>
    <t>R.J. Gil, M.J. Martin-Bautista</t>
  </si>
  <si>
    <t xml:space="preserve">http://pdn.sciencedirect.com/science?_ob=MiamiImageURL&amp;_cid=271505&amp;_user=686465&amp;_pii=S0950705112001955&amp;_check=y&amp;_origin=search&amp;_zone=rslt_list_item&amp;_coverDate=2012-12-31&amp;wchp=dGLzVlS-zSkWA&amp;md5=4ef66c5e0bf462fc80f03b9ea572d819&amp;pid=1-s2.0-S0950705112001955-main.pdf </t>
  </si>
  <si>
    <t>The Motivations and Experiences of Living Kidney Donors: A Thematic Synthesis Supplementary content </t>
  </si>
  <si>
    <t>Allison Tong, Jeremy R. Chapman, Germaine Wong, John Kanellis, Grace McCarthy, Jonathan C. Craig</t>
  </si>
  <si>
    <t>American Journal of Kidney Diseases</t>
  </si>
  <si>
    <t xml:space="preserve">http://pdn.sciencedirect.com/science?_ob=MiamiImageURL&amp;_cid=276918&amp;_user=686465&amp;_pii=S0272638612000030&amp;_check=y&amp;_origin=search&amp;_zone=rslt_list_item&amp;_coverDate=2012-07-31&amp;wchp=dGLzVlS-zSkWA&amp;md5=3f578ec896911a4af188da0978b1b189&amp;pid=1-s2.0-S0272638612000030-main.pdf </t>
  </si>
  <si>
    <t>An efficient joint channel assignment and QoS routing protocol for IEEE 802.11 multi-radio multi-channel wireless mesh networks</t>
  </si>
  <si>
    <t>Yuhuai Peng, Yao Yu, Lei Guo, Dingde Jiang, Qiming Gai</t>
  </si>
  <si>
    <t xml:space="preserve">http://pdn.sciencedirect.com/science?_ob=MiamiImageURL&amp;_cid=272436&amp;_user=686465&amp;_pii=S1084804512002299&amp;_check=y&amp;_origin=search&amp;_zone=rslt_list_item&amp;_coverDate=2013-03-31&amp;wchp=dGLzVlS-zSkWA&amp;md5=921b3b116d673ed116146bc90d1baeb1&amp;pid=1-s2.0-S1084804512002299-main.pdf </t>
  </si>
  <si>
    <t>Uncovering missing links with cold ends</t>
  </si>
  <si>
    <t>Yu-Xiao Zhu, Linyuan L&amp;uuml;, Qian-Ming Zhang, Tao Zhou</t>
  </si>
  <si>
    <t xml:space="preserve">http://pdn.sciencedirect.com/science?_ob=MiamiImageURL&amp;_cid=271529&amp;_user=686465&amp;_pii=S0378437112004906&amp;_check=y&amp;_origin=search&amp;_zone=rslt_list_item&amp;_coverDate=2012-11-15&amp;wchp=dGLzVlS-zSkWA&amp;md5=d33c6bb222c26377aa15acb298442a12&amp;pid=1-s2.0-S0378437112004906-main.pdf </t>
  </si>
  <si>
    <t>Three-way analysis of structural health monitoring data</t>
  </si>
  <si>
    <t>Miguel A. Prada, Janne Toivola, Jyrki Kullaa, Jaakko Hollm&amp;eacute;n</t>
  </si>
  <si>
    <t xml:space="preserve">http://pdn.sciencedirect.com/science?_ob=MiamiImageURL&amp;_cid=271597&amp;_user=686465&amp;_pii=S0925231211006394&amp;_check=y&amp;_origin=search&amp;_zone=rslt_list_item&amp;_coverDate=2012-03-15&amp;wchp=dGLzVlS-zSkWA&amp;md5=363b1483eb020dfa16b4e224c34fcd47&amp;pid=1-s2.0-S0925231211006394-main.pdf </t>
  </si>
  <si>
    <t xml:space="preserve">http://pdn.sciencedirect.com/science?_ob=MiamiImageURL&amp;_cid=271774&amp;_user=686465&amp;_pii=S0172219012002074&amp;_check=y&amp;_origin=search&amp;_zone=rslt_list_item&amp;_coverDate=2013-01-03&amp;wchp=dGLzVlS-zSkWA&amp;md5=41bbfac87e22b7498060aa8f89747416&amp;pid=1-s2.0-S0172219012002074-main.pdf </t>
  </si>
  <si>
    <t>Chapter 17 - Project Management of Innovative Teams</t>
  </si>
  <si>
    <t>Susannah B.F. Paletz</t>
  </si>
  <si>
    <t>Handbook of Organizational Creativity</t>
  </si>
  <si>
    <t>Searching Steiner trees for web graph query</t>
  </si>
  <si>
    <t>Wookey Lee, Woong-Kee Loh, Mye M. Sohn</t>
  </si>
  <si>
    <t xml:space="preserve">http://pdn.sciencedirect.com/science?_ob=MiamiImageURL&amp;_cid=271420&amp;_user=686465&amp;_pii=S0360835211003366&amp;_check=y&amp;_origin=search&amp;_zone=rslt_list_item&amp;_coverDate=2012-04-30&amp;wchp=dGLzVlS-zSkWA&amp;md5=d81a8f12a572ecb53b045108b784cdff&amp;pid=1-s2.0-S0360835211003366-main.pdf </t>
  </si>
  <si>
    <t>Y is best: How Distributed Situational Awareness is mediated by organisational structure and correlated with task success</t>
  </si>
  <si>
    <t>L.J. Sorensen, N.A. Stanton</t>
  </si>
  <si>
    <t xml:space="preserve">http://pdn.sciencedirect.com/science?_ob=MiamiImageURL&amp;_cid=271730&amp;_user=686465&amp;_pii=S0925753512001634&amp;_check=y&amp;_origin=search&amp;_zone=rslt_list_item&amp;_coverDate=2012-08-02&amp;wchp=dGLzVlS-zSkWA&amp;md5=a77201d83401111261cd70729c1bb13e&amp;pid=1-s2.0-S0925753512001634-main.pdf </t>
  </si>
  <si>
    <t>Structure-based rebuilding of coevolutionary information reveals functional modules in rhodopsin structure Supplementary content </t>
  </si>
  <si>
    <t>Keunwan Park, Dongsup Kim</t>
  </si>
  <si>
    <t>Biochimica et Biophysica Acta (BBA) - Proteins and Proteomics</t>
  </si>
  <si>
    <t xml:space="preserve">http://pdn.sciencedirect.com/science?_ob=MiamiImageURL&amp;_cid=272652&amp;_user=686465&amp;_pii=S1570963912001124&amp;_check=y&amp;_origin=search&amp;_zone=rslt_list_item&amp;_coverDate=2012-12-31&amp;wchp=dGLzVlS-zSkWA&amp;md5=fbae48320cd1d4a43bfc26643cf85d3c&amp;pid=1-s2.0-S1570963912001124-main.pdf </t>
  </si>
  <si>
    <t>What Are the Important Factors in Health-Related Quality of Life for People With Aphasia? A Systematic Review</t>
  </si>
  <si>
    <t>Katerina Hilari, Justin J. Needle, Kirsty L. Harrison</t>
  </si>
  <si>
    <t>Archives of Physical Medicine and Rehabilitation</t>
  </si>
  <si>
    <t xml:space="preserve">http://pdn.sciencedirect.com/science?_ob=MiamiImageURL&amp;_cid=272381&amp;_user=686465&amp;_pii=S0003999311007970&amp;_check=y&amp;_origin=search&amp;_zone=rslt_list_item&amp;_coverDate=2012-01-31&amp;wchp=dGLzVlS-zSkWA&amp;md5=9249b5bf7c19439e1a6619dce80bfb3c&amp;pid=1-s2.0-S0003999311007970-main.pdf </t>
  </si>
  <si>
    <t>Chapter 2 - Nodes, Edges, and Network Measures</t>
  </si>
  <si>
    <t>On the Peter Principle: An agent based investigation into the consequential effects of social networks and behavioural factors</t>
  </si>
  <si>
    <t>A.G. Fetta, P.R. Harper, V.A. Knight, I.T. Vieira, J.E. Williams</t>
  </si>
  <si>
    <t xml:space="preserve">http://pdn.sciencedirect.com/science?_ob=MiamiImageURL&amp;_cid=271529&amp;_user=686465&amp;_pii=S0378437111009897&amp;_check=y&amp;_origin=search&amp;_zone=rslt_list_item&amp;_coverDate=2012-05-01&amp;wchp=dGLzVlS-zSkWA&amp;md5=78d37e46c73f7cfd895ecf1bd84c772f&amp;pid=1-s2.0-S0378437111009897-main.pdf </t>
  </si>
  <si>
    <t>Why do you care what other people think? A qualitative investigation of social influence and telecommuting</t>
  </si>
  <si>
    <t>Robert D. Wilton, Antonio P&amp;aacute;ez, Darren M. Scott</t>
  </si>
  <si>
    <t xml:space="preserve">http://pdn.sciencedirect.com/science?_ob=MiamiImageURL&amp;_cid=271795&amp;_user=686465&amp;_pii=S0965856411000103&amp;_check=y&amp;_origin=search&amp;_zone=rslt_list_item&amp;_coverDate=2011-05-31&amp;wchp=dGLzVlS-zSkWA&amp;md5=4f979fd8ab29a9d1db5887594287ad39&amp;pid=1-s2.0-S0965856411000103-main.pdf </t>
  </si>
  <si>
    <t>Popular and/or prestigious? Measures of scholarly esteem</t>
  </si>
  <si>
    <t>Ying Ding, Blaise Cronin</t>
  </si>
  <si>
    <t xml:space="preserve">http://pdn.sciencedirect.com/science?_ob=MiamiImageURL&amp;_cid=271647&amp;_user=686465&amp;_pii=S0306457310000087&amp;_check=y&amp;_origin=search&amp;_zone=rslt_list_item&amp;_coverDate=2011-01-31&amp;wchp=dGLzVlS-zSkWA&amp;md5=32e9f80df8686984f109e8648655e895&amp;pid=1-s2.0-S0306457310000087-main.pdf </t>
  </si>
  <si>
    <t>Marine protected area networks in the Philippines: Trends and challenges for establishment and governance</t>
  </si>
  <si>
    <t>Vera Horigue, Porfirio M. Ali&amp;ntilde;o, Alan T. White, Robert L. Pressey</t>
  </si>
  <si>
    <t>Ocean &amp; Coastal Management</t>
  </si>
  <si>
    <t xml:space="preserve">http://pdn.sciencedirect.com/science?_ob=MiamiImageURL&amp;_cid=271816&amp;_user=686465&amp;_pii=S0964569112000828&amp;_check=y&amp;_origin=search&amp;_zone=rslt_list_item&amp;_coverDate=2012-08-31&amp;wchp=dGLzVlS-zSkWA&amp;md5=a91ba9a6812cea7b9fe89af60d753a59&amp;pid=1-s2.0-S0964569112000828-main.pdf </t>
  </si>
  <si>
    <t>Chapter 8 - Knowledge Management</t>
  </si>
  <si>
    <t>Clifton L. Smith, David J. Brooks</t>
  </si>
  <si>
    <t>Security Science</t>
  </si>
  <si>
    <t>Gary D. Miner, Dursun Delen, John Elder, Andrew Fast, Thomas Hill, Robert A. Nisbet</t>
  </si>
  <si>
    <t xml:space="preserve">http://pdn.sciencedirect.com/science?_ob=MiamiImageURL&amp;_cid=282006&amp;_user=686465&amp;_pii=B9780123869791110011&amp;_check=y&amp;_origin=search&amp;_zone=rslt_list_item&amp;_coverDate=2012-12-31&amp;_idxType=GenInfo&amp;wchp=dGLzVlS-zSkWA&amp;md5=190189cb78e7892787b1c23c90b710cc&amp;pid=3-s2.0-B9780123869791110011-main.pdf </t>
  </si>
  <si>
    <t>Chapter 13 - A look at technical considerations</t>
  </si>
  <si>
    <t>Lyndsay Wise</t>
  </si>
  <si>
    <t>Using Open Source Platforms for Business Intelligence</t>
  </si>
  <si>
    <t>Intrinsically dynamic network communities</t>
  </si>
  <si>
    <t>Bivas Mitra, Lionel Tabourier, Camille Roth</t>
  </si>
  <si>
    <t xml:space="preserve">http://pdn.sciencedirect.com/science?_ob=MiamiImageURL&amp;_cid=271990&amp;_user=686465&amp;_pii=S1389128611003999&amp;_check=y&amp;_origin=search&amp;_zone=rslt_list_item&amp;_coverDate=2012-02-23&amp;wchp=dGLzVlS-zSkWA&amp;md5=afbd91178d9e48669d64eae555c8ef69&amp;pid=1-s2.0-S1389128611003999-main.pdf </t>
  </si>
  <si>
    <t>Marianne Marcoux, David Lusseau</t>
  </si>
  <si>
    <t xml:space="preserve">http://pdn.sciencedirect.com/science?_ob=MiamiImageURL&amp;_cid=272314&amp;_user=686465&amp;_pii=S0022519312006406&amp;_check=y&amp;_origin=search&amp;_zone=rslt_list_item&amp;_coverDate=2012-12-19&amp;wchp=dGLzVlS-zSkWA&amp;md5=79c8f2c4ffbeca25ed96f121bfcb6c9a&amp;pid=1-s2.0-S0022519312006406-main.pdf </t>
  </si>
  <si>
    <t>Interactive visual queries for multivariate graphs exploration Supplementary content </t>
  </si>
  <si>
    <t>Ariel Shamir, Alla Stolpnik</t>
  </si>
  <si>
    <t xml:space="preserve">http://pdn.sciencedirect.com/science?_ob=MiamiImageURL&amp;_cid=271576&amp;_user=686465&amp;_pii=S0097849312000234&amp;_check=y&amp;_origin=search&amp;_zone=rslt_list_item&amp;_coverDate=2012-06-30&amp;wchp=dGLzVlS-zSkWA&amp;md5=8a622e299c404dc306d4d4fdd1935e50&amp;pid=1-s2.0-S0097849312000234-main.pdf </t>
  </si>
  <si>
    <t xml:space="preserve">http://pdn.sciencedirect.com/science?_ob=MiamiImageURL&amp;_cid=271186&amp;_user=686465&amp;_pii=S0167587711000262&amp;_check=y&amp;_origin=search&amp;_zone=rslt_list_item&amp;_coverDate=2011-05-01&amp;wchp=dGLzVlS-zSkWA&amp;md5=33ee0e49d81b3a80cf129d41655e3a3c&amp;pid=1-s2.0-S0167587711000262-main.pdf </t>
  </si>
  <si>
    <t>Supply chain management: A multidisciplinary content analysis of vertical relations between companies, 1997–2006</t>
  </si>
  <si>
    <t>Teresa Vallet-Bellmunt, M. Teresa Mart&amp;iacute;nez-Fern&amp;aacute;ndez, Josep Cap&amp;oacute;-Vicedo</t>
  </si>
  <si>
    <t xml:space="preserve">http://pdn.sciencedirect.com/science?_ob=MiamiImageURL&amp;_cid=271714&amp;_user=686465&amp;_pii=S0019850111000368&amp;_check=y&amp;_origin=search&amp;_zone=rslt_list_item&amp;_coverDate=2011-11-30&amp;wchp=dGLzVlS-zSkWA&amp;md5=16b5ef68e056611b4688a5d676142dc1&amp;pid=1-s2.0-S0019850111000368-main.pdf </t>
  </si>
  <si>
    <t>Information systems strategy: Past, present, future?</t>
  </si>
  <si>
    <t>Yasmin Merali, Thanos Papadopoulos, Tanvee Nadkarni</t>
  </si>
  <si>
    <t xml:space="preserve">http://pdn.sciencedirect.com/science?_ob=MiamiImageURL&amp;_cid=271674&amp;_user=686465&amp;_pii=S0963868712000145&amp;_check=y&amp;_origin=search&amp;_zone=rslt_list_item&amp;_coverDate=2012-06-30&amp;wchp=dGLzVlS-zSkWA&amp;md5=6299963528f49e8c5bcd322383cd925c&amp;pid=1-s2.0-S0963868712000145-main.pdf </t>
  </si>
  <si>
    <t>Accessibility in networks: A useful measure for understanding social insect nest architecture Supplementary content </t>
  </si>
  <si>
    <t>Matheus P. Viana, Vincent Fourcassi&amp;eacute;, Andrea Perna, Luciano da F. Costa, Christian Jost</t>
  </si>
  <si>
    <t>Chaos, Solitons &amp; Fractals</t>
  </si>
  <si>
    <t xml:space="preserve">http://pdn.sciencedirect.com/science?_ob=MiamiImageURL&amp;_cid=271591&amp;_user=686465&amp;_pii=S096007791200207X&amp;_check=y&amp;_origin=search&amp;_zone=rslt_list_item&amp;_coverDate=2013-01-31&amp;wchp=dGLzVlS-zSkWA&amp;md5=ad1a301e4fee729fe61d05c74cc9c83e&amp;pid=1-s2.0-S096007791200207X-main.pdf </t>
  </si>
  <si>
    <t>Network social capital as an outcome of social movement mobilization: Using the position generator as an indicator of social network diversity Supplementary content </t>
  </si>
  <si>
    <t>D.B. Tindall, Jeffrey Cormier, Mario Diani</t>
  </si>
  <si>
    <t xml:space="preserve">http://pdn.sciencedirect.com/science?_ob=MiamiImageURL&amp;_cid=271850&amp;_user=686465&amp;_pii=S0378873312000020&amp;_check=y&amp;_origin=search&amp;_zone=rslt_list_item&amp;_coverDate=2012-10-31&amp;wchp=dGLzVlS-zSkWA&amp;md5=72c3b5bca80f5750a96adcf2b70c74db&amp;pid=1-s2.0-S0378873312000020-main.pdf </t>
  </si>
  <si>
    <t>Zhuo Wang, Raina D. Pang, Martha Hernandez, Marco A. Ocampo, Daniel P. Holschneider</t>
  </si>
  <si>
    <t xml:space="preserve">http://pdn.sciencedirect.com/science?_ob=MiamiImageURL&amp;_cid=272508&amp;_user=686465&amp;_pii=S1053811911013280&amp;_check=y&amp;_origin=search&amp;_zone=rslt_list_item&amp;_coverDate=2012-02-15&amp;wchp=dGLzVlS-zSkWA&amp;md5=5ed20b29e37f313cdb3cbc332b6758b3&amp;pid=1-s2.0-S1053811911013280-main.pdf </t>
  </si>
  <si>
    <t>Network-based characterization of drug-regulated genes, drug targets, and toxicity Supplementary content </t>
  </si>
  <si>
    <t>Max Kotlyar, Kristen Fortney, Igor Jurisica</t>
  </si>
  <si>
    <t>Methods</t>
  </si>
  <si>
    <t xml:space="preserve">http://pdn.sciencedirect.com/science?_ob=MiamiImageURL&amp;_cid=272416&amp;_user=686465&amp;_pii=S1046202312001387&amp;_check=y&amp;_origin=search&amp;_zone=rslt_list_item&amp;_coverDate=2012-08-31&amp;wchp=dGLzVlS-zSkWA&amp;md5=9e28d4e25fb34deb9dacd8384e78cb8e&amp;pid=1-s2.0-S1046202312001387-main.pdf </t>
  </si>
  <si>
    <t>J.H.H. Grisi-Filho, M. Amaku, F. Ferreira, R.A. Dias, J.S. Ferreira Neto, R.L. Negreiros, R. Ossada</t>
  </si>
  <si>
    <t xml:space="preserve">http://pdn.sciencedirect.com/science?_ob=MiamiImageURL&amp;_cid=271186&amp;_user=686465&amp;_pii=S0167587713000044&amp;_check=y&amp;_origin=search&amp;_zone=rslt_list_item&amp;_coverDate=2013-02-19&amp;wchp=dGLzVlS-zSkWA&amp;md5=ee85bb814f1f523db0eed3a74cb5c925&amp;pid=1-s2.0-S0167587713000044-main.pdf </t>
  </si>
  <si>
    <t>Network analysis of transmembrane protein structures Supplementary content </t>
  </si>
  <si>
    <t>I. Arnold Emerson, K.M. Gothandam</t>
  </si>
  <si>
    <t xml:space="preserve">http://pdn.sciencedirect.com/science?_ob=MiamiImageURL&amp;_cid=271529&amp;_user=686465&amp;_pii=S0378437111007114&amp;_check=y&amp;_origin=search&amp;_zone=rslt_list_item&amp;_coverDate=2012-02-01&amp;wchp=dGLzVlS-zSkWA&amp;md5=97b5992fe386eeb4f67f281da0ed1f4d&amp;pid=1-s2.0-S0378437111007114-main.pdf </t>
  </si>
  <si>
    <t>Does a smoking prevention program in elementary schools prepare children for secondary school? Supplementary content </t>
  </si>
  <si>
    <t>M.R. Crone, R. Spruijt, N.S. Dijkstra, M.C. Willemsen, T.G.W.M. Paulussen</t>
  </si>
  <si>
    <t xml:space="preserve">http://pdn.sciencedirect.com/science?_ob=MiamiImageURL&amp;_cid=272375&amp;_user=686465&amp;_pii=S0091743510004378&amp;_check=y&amp;_origin=search&amp;_zone=rslt_list_item&amp;_coverDate=2011-01-31&amp;wchp=dGLzVlS-zSkWA&amp;md5=1e66f55d90a6c9a20ebef57b64bf946b&amp;pid=1-s2.0-S0091743510004378-main.pdf </t>
  </si>
  <si>
    <t>Peer pressure against prejudice: A high school field experiment examining social network change Supplementary content </t>
  </si>
  <si>
    <t>Elizabeth Levy Paluck</t>
  </si>
  <si>
    <t xml:space="preserve">http://pdn.sciencedirect.com/science?_ob=MiamiImageURL&amp;_cid=272387&amp;_user=686465&amp;_pii=S0022103110002684&amp;_check=y&amp;_origin=search&amp;_zone=rslt_list_item&amp;_coverDate=2011-03-31&amp;wchp=dGLzVlS-zSkWA&amp;md5=b40c28cd21984c76185c7cea157fbb20&amp;pid=1-s2.0-S0022103110002684-main.pdf </t>
  </si>
  <si>
    <t>Occupational exposome: A network-based approach for characterizing Occupational Health Problems Supplementary content </t>
  </si>
  <si>
    <t>Laurie Faisandier, Vincent Bonneterre, R&amp;eacute;gis De Gaudemaris, Dominique J. Bicout</t>
  </si>
  <si>
    <t xml:space="preserve">http://pdn.sciencedirect.com/science?_ob=MiamiImageURL&amp;_cid=272371&amp;_user=686465&amp;_pii=S1532046411000396&amp;_check=y&amp;_origin=search&amp;_zone=rslt_list_item&amp;_coverDate=2011-08-31&amp;wchp=dGLzVlS-zSkWA&amp;md5=788970ae3b3ddd6ab1a2d6fb3ec2a68b&amp;pid=1-s2.0-S1532046411000396-main.pdf </t>
  </si>
  <si>
    <t>How physical activity shapes, and is shaped by, adolescent friendships Supplementary content </t>
  </si>
  <si>
    <t>Kayla de la Haye, Garry Robins, Philip Mohr, Carlene Wilson</t>
  </si>
  <si>
    <t xml:space="preserve">http://pdn.sciencedirect.com/science?_ob=MiamiImageURL&amp;_cid=271821&amp;_user=686465&amp;_pii=S0277953611003790&amp;_check=y&amp;_origin=search&amp;_zone=rslt_list_item&amp;_coverDate=2011-09-30&amp;wchp=dGLzVlS-zSkWA&amp;md5=68886c615ccb811d8d8323bcbf8a3ffb&amp;pid=1-s2.0-S0277953611003790-main.pdf </t>
  </si>
  <si>
    <t>Qi Dai, Xiaoqing Liu, Yuhua Yao, Fukun Zhao</t>
  </si>
  <si>
    <t xml:space="preserve">http://pdn.sciencedirect.com/science?_ob=MiamiImageURL&amp;_cid=272314&amp;_user=686465&amp;_pii=S0022519311000993&amp;_check=y&amp;_origin=search&amp;_zone=rslt_list_item&amp;_coverDate=2011-05-07&amp;wchp=dGLzVlS-zSkWA&amp;md5=9657df18843e4a5fc373d5b94ac2ec55&amp;pid=1-s2.0-S0022519311000993-main.pdf </t>
  </si>
  <si>
    <t>A measure of regional influence with the analytic network process</t>
  </si>
  <si>
    <t>Reza Banai, Tina Wakolbinger</t>
  </si>
  <si>
    <t>Socio-Economic Planning Sciences</t>
  </si>
  <si>
    <t xml:space="preserve">http://pdn.sciencedirect.com/science?_ob=MiamiImageURL&amp;_cid=271736&amp;_user=686465&amp;_pii=S0038012111000334&amp;_check=y&amp;_origin=search&amp;_zone=rslt_list_item&amp;_coverDate=2011-12-31&amp;wchp=dGLzVlS-zSkWA&amp;md5=fa4960b4cf34ce772b87f200e2bd13d7&amp;pid=1-s2.0-S0038012111000334-main.pdf </t>
  </si>
  <si>
    <t>Evolution in a transmissible cancer: a study of the chromosomal changes in devil facial tumor (DFT) as it spreads through the wild Tasmanian devil population Supplementary content </t>
  </si>
  <si>
    <t>Anne-Maree Pearse, Kate Swift, Pamela Hodson, Bobby Hua, Hamish McCallum, Stephen Pyecroft, Robyn Taylor, Mark D.B. Eldridge, Katherine Belov</t>
  </si>
  <si>
    <t>Cancer Genetics</t>
  </si>
  <si>
    <t xml:space="preserve">http://pdn.sciencedirect.com/science?_ob=MiamiImageURL&amp;_cid=270560&amp;_user=686465&amp;_pii=S2210776211003425&amp;_check=y&amp;_origin=search&amp;_zone=rslt_list_item&amp;_coverDate=2012-03-31&amp;wchp=dGLzVlS-zSkWA&amp;md5=21034ec724df824fb36b7055dca537a5&amp;pid=1-s2.0-S2210776211003425-main.pdf </t>
  </si>
  <si>
    <t>Seeds in farmland food-webs: Resource importance, distribution and the impacts of farm management Supplementary content </t>
  </si>
  <si>
    <t>Darren M. Evans, Michael J.O. Pocock, Joanna Brooks, Jane Memmott</t>
  </si>
  <si>
    <t xml:space="preserve">http://pdn.sciencedirect.com/science?_ob=MiamiImageURL&amp;_cid=271811&amp;_user=686465&amp;_pii=S000632071100334X&amp;_check=y&amp;_origin=search&amp;_zone=rslt_list_item&amp;_coverDate=2011-12-31&amp;wchp=dGLzVlS-zSkWA&amp;md5=cd8342695d49ea2894cc948240f0d4ef&amp;pid=1-s2.0-S000632071100334X-main.pdf </t>
  </si>
  <si>
    <t>Yoko Hayama, Sota Kobayashi, Takeshi Nishida, Norihiko Muroga, Toshiyuki Tsutsui</t>
  </si>
  <si>
    <t xml:space="preserve">http://pdn.sciencedirect.com/science?_ob=MiamiImageURL&amp;_cid=271186&amp;_user=686465&amp;_pii=S0167587711002807&amp;_check=y&amp;_origin=search&amp;_zone=rslt_list_item&amp;_coverDate=2012-01-01&amp;wchp=dGLzVlS-zSkWA&amp;md5=8f6487b1e5e235316798c27af7366820&amp;pid=1-s2.0-S0167587711002807-main.pdf </t>
  </si>
  <si>
    <t>Homophily and co-occurrence patterns shape randomized trials agendas: illustration in antifungal agents Supplementary content </t>
  </si>
  <si>
    <t>Evangelos C. Rizos, Georgia Salanti, Dimitrios P. Kontoyiannis, John P.A. Ioannidis</t>
  </si>
  <si>
    <t xml:space="preserve">http://pdn.sciencedirect.com/science?_ob=MiamiImageURL&amp;_cid=271297&amp;_user=686465&amp;_pii=S0895435610004300&amp;_check=y&amp;_origin=search&amp;_zone=rslt_list_item&amp;_coverDate=2011-08-31&amp;wchp=dGLzVlS-zSkWA&amp;md5=4b7848634122389a235eea7c0ff452a6&amp;pid=1-s2.0-S0895435610004300-main.pdf </t>
  </si>
  <si>
    <t>How cytokines co-occur across asthma patients: From bipartite network analysis to a molecular-based classification Supplementary content </t>
  </si>
  <si>
    <t>Suresh K. Bhavnani, Sundar Victor, William J. Calhoun, William W. Busse, Eugene Bleecker, Mario Castro, Hyunsu Ju, Regina Pillai, Numan Oezguen, Gowtham Bellala, Allan R. Brasier</t>
  </si>
  <si>
    <t xml:space="preserve">http://pdn.sciencedirect.com/science?_ob=MiamiImageURL&amp;_cid=272371&amp;_user=686465&amp;_pii=S1532046411001663&amp;_check=y&amp;_origin=search&amp;_zone=rslt_list_item&amp;_coverDate=2011-12-31&amp;wchp=dGLzVlS-zSkWA&amp;md5=9286859459add0b35727caf706ae720f&amp;pid=1-s2.0-S1532046411001663-main.pdf </t>
  </si>
  <si>
    <t>Simon M. Firestone, Fraser I. Lewis, Kathrin Schemann, Michael P. Ward, Jenny-Ann L.M.L. Toribio, Navneet K. Dhand</t>
  </si>
  <si>
    <t xml:space="preserve">http://pdn.sciencedirect.com/science?_ob=MiamiImageURL&amp;_cid=271186&amp;_user=686465&amp;_pii=S0167587713000342&amp;_check=y&amp;_origin=search&amp;_zone=rslt_list_item&amp;_coverDate=2013-03-06&amp;wchp=dGLzVlS-zSkWA&amp;md5=a2eb04de8c50cc392565cd1b61b6ed66&amp;pid=1-s2.0-S0167587713000342-main.pdf </t>
  </si>
  <si>
    <t>Risk factor modelling of the spatio-temporal patterns of highly pathogenic avian influenza (HPAIV) H5N1: A review Supplementary content </t>
  </si>
  <si>
    <t>Marius Gilbert, Dirk U. Pfeiffer</t>
  </si>
  <si>
    <t xml:space="preserve">http://pdn.sciencedirect.com/science?_ob=MiamiImageURL&amp;_cid=278658&amp;_user=686465&amp;_pii=S1877584512000032&amp;_check=y&amp;_origin=search&amp;_zone=rslt_list_item&amp;_coverDate=2012-09-30&amp;wchp=dGLzVlS-zSkWA&amp;md5=9f8ca374cfb56e8b3d8ddc3a2f18c8fd&amp;pid=1-s2.0-S1877584512000032-main.pdf </t>
  </si>
  <si>
    <t xml:space="preserve">http://pdn.sciencedirect.com/science?_ob=MiamiImageURL&amp;_cid=272314&amp;_user=686465&amp;_pii=S0022519312002792&amp;_check=y&amp;_origin=search&amp;_zone=rslt_list_item&amp;_coverDate=2012-09-21&amp;wchp=dGLzVlS-zSkWA&amp;md5=91484ada6e30f2cfb7cebae4b250fd1f&amp;pid=1-s2.0-S0022519312002792-main.pdf </t>
  </si>
  <si>
    <t>Carbon capture and sequestration (CCS) technological innovation system in China: Structure, function evaluation and policy implication Supplementary content </t>
  </si>
  <si>
    <t>Xianjin Lai, Zhonghua Ye, Zhengzhong Xu, Maja Husar Holmes, W. Henry Lambright</t>
  </si>
  <si>
    <t xml:space="preserve">http://pdn.sciencedirect.com/science?_ob=MiamiImageURL&amp;_cid=271097&amp;_user=686465&amp;_pii=S0301421512006611&amp;_check=y&amp;_origin=search&amp;_zone=rslt_list_item&amp;_coverDate=2012-11-30&amp;wchp=dGLzVlS-zSkWA&amp;md5=66578e5bd46f4abdf39cc1cb40ab6b93&amp;pid=1-s2.0-S0301421512006611-main.pdf </t>
  </si>
  <si>
    <t>Crossing borders: Research in comparative and international education Supplementary content </t>
  </si>
  <si>
    <t>Jesse Foster, Nii Antiaye Addy, Joel Samoff</t>
  </si>
  <si>
    <t>International Journal of Educational Development</t>
  </si>
  <si>
    <t xml:space="preserve">http://pdn.sciencedirect.com/science?_ob=MiamiImageURL&amp;_cid=271756&amp;_user=686465&amp;_pii=S0738059311001714&amp;_check=y&amp;_origin=search&amp;_zone=rslt_list_item&amp;_coverDate=2012-11-30&amp;wchp=dGLbVlk-zSkzV&amp;md5=2aceb9752d7e09a22bc87b5e51079b22&amp;pid=1-s2.0-S0738059311001714-main.pdf </t>
  </si>
  <si>
    <t>ScienceDirect - 2011 a 2013 - Page 5.htm</t>
  </si>
  <si>
    <t>Angela Espinosa, J. Walker</t>
  </si>
  <si>
    <t xml:space="preserve">http://pdn.sciencedirect.com/science?_ob=MiamiImageURL&amp;_cid=271700&amp;_user=686465&amp;_pii=S0377221712006790&amp;_check=y&amp;_origin=search&amp;_zone=rslt_list_item&amp;_coverDate=2013-02-16&amp;wchp=dGLbVlk-zSkzV&amp;md5=20fba4a07669ce90f1103da059b783f1&amp;pid=1-s2.0-S0377221712006790-main.pdf </t>
  </si>
  <si>
    <t>Aura Reggiani</t>
  </si>
  <si>
    <t>Transport Policy</t>
  </si>
  <si>
    <t xml:space="preserve">http://pdn.sciencedirect.com/science?_ob=MiamiImageURL&amp;_cid=271794&amp;_user=686465&amp;_pii=S0967070X12001552&amp;_check=y&amp;_origin=search&amp;_zone=rslt_list_item&amp;_coverDate=2012-10-23&amp;wchp=dGLbVlk-zSkzV&amp;md5=e12669382222f17737366148a831a9f9&amp;pid=1-s2.0-S0967070X12001552-main.pdf </t>
  </si>
  <si>
    <t>Application of the systematic review and bibliometric network analysis (SeBriNA) methodology contextualizes evidence. Part 2: rituximab for non-Hodgkin's lymphoma Supplementary content </t>
  </si>
  <si>
    <t>Michelle E. Kho, Melissa C. Brouwers</t>
  </si>
  <si>
    <t xml:space="preserve">http://pdn.sciencedirect.com/science?_ob=MiamiImageURL&amp;_cid=271297&amp;_user=686465&amp;_pii=S089543561200087X&amp;_check=y&amp;_origin=search&amp;_zone=rslt_list_item&amp;_coverDate=2012-09-30&amp;wchp=dGLbVlk-zSkzV&amp;md5=a0f447f5266a5f2c2b8c2a572ad3f845&amp;pid=1-s2.0-S089543561200087X-main.pdf </t>
  </si>
  <si>
    <t>The dynamics of industrial symbiosis: a proposal for a conceptual framework based upon a comprehensive literature review Supplementary content </t>
  </si>
  <si>
    <t>Frank Boons, Wouter Spekkink, Yannis Mouzakitis</t>
  </si>
  <si>
    <t xml:space="preserve">http://pdn.sciencedirect.com/science?_ob=MiamiImageURL&amp;_cid=271750&amp;_user=686465&amp;_pii=S0959652611000072&amp;_check=y&amp;_origin=search&amp;_zone=rslt_list_item&amp;_coverDate=2011-07-31&amp;wchp=dGLbVlk-zSkzV&amp;md5=fb0ca091d18cbc6fd07ebe74dab0a89c&amp;pid=1-s2.0-S0959652611000072-main.pdf </t>
  </si>
  <si>
    <t>Barbara Enengel, Andreas Muhar, Marianne Penker, Bernhard Freyer, Stephanie Drlik, Florian Ritter</t>
  </si>
  <si>
    <t xml:space="preserve">http://pdn.sciencedirect.com/science?_ob=MiamiImageURL&amp;_cid=271853&amp;_user=686465&amp;_pii=S0169204611003550&amp;_check=y&amp;_origin=search&amp;_zone=rslt_list_item&amp;_coverDate=2012-03-30&amp;wchp=dGLbVlk-zSkzV&amp;md5=9731a070c2714515adfaa61a5bda58c1&amp;pid=1-s2.0-S0169204611003550-main.pdf </t>
  </si>
  <si>
    <t>Christian Rutz, Zackory T. Burns, Richard James, Stefanie M.H. Ismar, John Burt, Brian Otis, Jayson Bowen, James J.H. St Clair</t>
  </si>
  <si>
    <t xml:space="preserve">http://pdn.sciencedirect.com/science?_ob=MiamiImageURL&amp;_cid=272099&amp;_user=686465&amp;_pii=S0960982212007130&amp;_check=y&amp;_origin=search&amp;_zone=rslt_list_item&amp;_coverDate=2012-09-11&amp;wchp=dGLbVlk-zSkzV&amp;md5=f51ce2c13f6e5071afd06dc6387843e8&amp;pid=1-s2.0-S0960982212007130-main.pdf </t>
  </si>
  <si>
    <t>Clustering in applications with multiple data sources—A mutual subspace clustering approach</t>
  </si>
  <si>
    <t>Ming Hua, Jian Pei</t>
  </si>
  <si>
    <t xml:space="preserve">http://pdn.sciencedirect.com/science?_ob=MiamiImageURL&amp;_cid=271597&amp;_user=686465&amp;_pii=S0925231212000823&amp;_check=y&amp;_origin=search&amp;_zone=rslt_list_item&amp;_coverDate=2012-09-01&amp;wchp=dGLbVlk-zSkzV&amp;md5=3bc964051f590b329df39e677c08fcc3&amp;pid=1-s2.0-S0925231212000823-main.pdf </t>
  </si>
  <si>
    <t>Zila M. Sanchez, Ana R. Noto, James C. Anthony</t>
  </si>
  <si>
    <t xml:space="preserve">http://pdn.sciencedirect.com/science?_ob=MiamiImageURL&amp;_cid=271276&amp;_user=686465&amp;_pii=S0376871612004772&amp;_check=y&amp;_origin=search&amp;_zone=rslt_list_item&amp;_coverDate=2012-12-29&amp;wchp=dGLbVlk-zSkzV&amp;md5=86be8410e4e3af6eb2a9488e603442bf&amp;pid=1-s2.0-S0376871612004772-main.pdf </t>
  </si>
  <si>
    <t>Behavioural Brain Research</t>
  </si>
  <si>
    <t xml:space="preserve">http://pdn.sciencedirect.com/science?_ob=MiamiImageURL&amp;_cid=271031&amp;_user=686465&amp;_pii=S0166432812007607&amp;_check=y&amp;_origin=search&amp;_zone=rslt_list_item&amp;_coverDate=2013-03-15&amp;wchp=dGLbVlk-zSkzV&amp;md5=3044f145a2e82325ea6dd64a99de99b8&amp;pid=1-s2.0-S0166432812007607-main.pdf </t>
  </si>
  <si>
    <t>Semantic tagging of video ASR transcripts using the web as a source of knowledge</t>
  </si>
  <si>
    <t xml:space="preserve">http://pdn.sciencedirect.com/science?_ob=MiamiImageURL&amp;_cid=271914&amp;_user=686465&amp;_pii=S0920548912000888&amp;_check=y&amp;_origin=search&amp;_zone=rslt_list_item&amp;_coverDate=2012-08-29&amp;wchp=dGLbVlk-zSkzV&amp;md5=1b2f7d80159f9ed24b17400878a9c66d&amp;pid=1-s2.0-S0920548912000888-main.pdf </t>
  </si>
  <si>
    <t>A survey of dynamic replication strategies for improving data availability in data grids</t>
  </si>
  <si>
    <t>Tehmina Amjad, Muhammad Sher, Ali Daud</t>
  </si>
  <si>
    <t xml:space="preserve">http://pdn.sciencedirect.com/science?_ob=MiamiImageURL&amp;_cid=271521&amp;_user=686465&amp;_pii=S0167739X11001208&amp;_check=y&amp;_origin=search&amp;_zone=rslt_list_item&amp;_coverDate=2012-02-29&amp;wchp=dGLbVlk-zSkzV&amp;md5=2d3af904336ff735f5266f80bd0c5880&amp;pid=1-s2.0-S0167739X11001208-main.pdf </t>
  </si>
  <si>
    <t>MicroClAn: Microarray clustering analysis</t>
  </si>
  <si>
    <t>Giulia Bruno, Alessandro Fiori</t>
  </si>
  <si>
    <t xml:space="preserve">http://pdn.sciencedirect.com/science?_ob=MiamiImageURL&amp;_cid=272438&amp;_user=686465&amp;_pii=S0743731512002237&amp;_check=y&amp;_origin=search&amp;_zone=rslt_list_item&amp;_coverDate=2013-03-31&amp;wchp=dGLbVlk-zSkzV&amp;md5=21a12e8fc90239d90cce403030cdd696&amp;pid=1-s2.0-S0743731512002237-main.pdf </t>
  </si>
  <si>
    <t xml:space="preserve">http://pdn.sciencedirect.com/science?_ob=MiamiImageURL&amp;_cid=277811&amp;_user=686465&amp;_pii=S1877042811015266&amp;_check=y&amp;_origin=search&amp;_zone=rslt_list_item&amp;_coverDate=2011-12-31&amp;_docsubtype=con&amp;wchp=dGLbVlk-zSkzV&amp;md5=573b4b01f1954abce613302e98b5b473&amp;pid=1-s2.0-S1877042811015266-main.pdf </t>
  </si>
  <si>
    <t>Life-Cycles and Mutual E_ects of Scientific Communities</t>
  </si>
  <si>
    <t>V?aclav Be?ak, Marcel Karnstedt, Conor Hayes</t>
  </si>
  <si>
    <t xml:space="preserve">http://pdn.sciencedirect.com/science?_ob=MiamiImageURL&amp;_cid=277811&amp;_user=686465&amp;_pii=S1877042811013772&amp;_check=y&amp;_origin=search&amp;_zone=rslt_list_item&amp;_coverDate=2011-12-31&amp;wchp=dGLbVlk-zSkzV&amp;md5=272581b362a319719d9d5bd06db85243&amp;pid=1-s2.0-S1877042811013772-main.pdf </t>
  </si>
  <si>
    <t>Measuring ‘neighborhood’: Constructing network neighborhoods</t>
  </si>
  <si>
    <t>John R. Hipp, Robert W. Faris, Adam Boessen</t>
  </si>
  <si>
    <t xml:space="preserve">http://pdn.sciencedirect.com/science?_ob=MiamiImageURL&amp;_cid=271850&amp;_user=686465&amp;_pii=S0378873311000293&amp;_check=y&amp;_origin=search&amp;_zone=rslt_list_item&amp;_coverDate=2012-01-31&amp;wchp=dGLbVlk-zSkzV&amp;md5=16dfd21fe6f5c4e6f29b55dca4400324&amp;pid=1-s2.0-S0378873311000293-main.pdf </t>
  </si>
  <si>
    <t>A spreadsheet life cycle analysis and the impact of Sarbanes–Oxley</t>
  </si>
  <si>
    <t>Linda Leon, Lawrence Kalbers, Nancy Coster, Dolphy Abraham</t>
  </si>
  <si>
    <t xml:space="preserve">http://pdn.sciencedirect.com/science?_ob=MiamiImageURL&amp;_cid=271653&amp;_user=686465&amp;_pii=S0167923612001893&amp;_check=y&amp;_origin=search&amp;_zone=rslt_list_item&amp;_coverDate=2012-12-31&amp;wchp=dGLbVlk-zSkzV&amp;md5=ce2c7377378604c7679c9d0f91a584b6&amp;pid=1-s2.0-S0167923612001893-main.pdf </t>
  </si>
  <si>
    <t>Hierarchical clustering of XML documents focused on structural components</t>
  </si>
  <si>
    <t>Gianni Costa, Giuseppe Manco, Riccardo Ortale, Ettore Ritacco</t>
  </si>
  <si>
    <t xml:space="preserve">http://pdn.sciencedirect.com/science?_ob=MiamiImageURL&amp;_cid=271546&amp;_user=686465&amp;_pii=S0169023X12001024&amp;_check=y&amp;_origin=search&amp;_zone=rslt_list_item&amp;_coverDate=2013-03-31&amp;wchp=dGLbVlk-zSkzV&amp;md5=cc38c29d4b17c818e3ddee9118d4d3f3&amp;pid=1-s2.0-S0169023X12001024-main.pdf </t>
  </si>
  <si>
    <t>Hyperlinked actors in the global knowledge communities and diffusion of innovation tools in nascent industrial field</t>
  </si>
  <si>
    <t>Yansong Hu</t>
  </si>
  <si>
    <t xml:space="preserve">http://pdn.sciencedirect.com/science?_ob=MiamiImageURL&amp;_cid=271734&amp;_user=686465&amp;_pii=S0166497212001046&amp;_check=y&amp;_origin=search&amp;_zone=rslt_list_item&amp;_coverDate=2013-03-31&amp;wchp=dGLbVlk-zSkzV&amp;md5=fe17f4e13a539b85fe179e3b60a5268b&amp;pid=1-s2.0-S0166497212001046-main.pdf </t>
  </si>
  <si>
    <t>Narrative-based taxonomy distillation for effective indexing of text collections</t>
  </si>
  <si>
    <t>Mario Cataldi, K. Sel&amp;ccedil;uk Candan, Maria Luisa Sapino</t>
  </si>
  <si>
    <t xml:space="preserve">http://pdn.sciencedirect.com/science?_ob=MiamiImageURL&amp;_cid=271546&amp;_user=686465&amp;_pii=S0169023X11001315&amp;_check=y&amp;_origin=search&amp;_zone=rslt_list_item&amp;_coverDate=2012-02-29&amp;wchp=dGLbVlk-zSkzV&amp;md5=9c0113d475cb4f766d996759cd885622&amp;pid=1-s2.0-S0169023X11001315-main.pdf </t>
  </si>
  <si>
    <t>New methods for an old debate: Utilizing reader response to investigate the relationship between collaboration and quality in academic journal articles</t>
  </si>
  <si>
    <t>S. Craig Finlay, Chaoqun Ni, Cassidy R. Sugimoto</t>
  </si>
  <si>
    <t xml:space="preserve">http://pdn.sciencedirect.com/science?_ob=MiamiImageURL&amp;_cid=272068&amp;_user=686465&amp;_pii=S0740818812000047&amp;_check=y&amp;_origin=search&amp;_zone=rslt_list_item&amp;_coverDate=2012-04-30&amp;wchp=dGLbVlk-zSkzV&amp;md5=9de344c867d9f3fa09503aed48d32f2c&amp;pid=1-s2.0-S0740818812000047-main.pdf </t>
  </si>
  <si>
    <t>Article quality and publication impact via levels of analysis incorporation: An illustration with transformational/charismatic leadership</t>
  </si>
  <si>
    <t>Shelley D. Dionne, Jae Uk Chun, Chanyu Hao, Andra Serban, Francis J. Yammarino, William D. Spangler</t>
  </si>
  <si>
    <t xml:space="preserve">http://pdn.sciencedirect.com/science?_ob=MiamiImageURL&amp;_cid=272081&amp;_user=686465&amp;_pii=S1048984312000926&amp;_check=y&amp;_origin=search&amp;_zone=rslt_list_item&amp;_coverDate=2012-12-31&amp;wchp=dGLbVlk-zSkzV&amp;md5=ef28362c30a304f0b3ce900f91e6aa44&amp;pid=1-s2.0-S1048984312000926-main.pdf </t>
  </si>
  <si>
    <t>Structural analysis of network traffic matrix via relaxed principal component pursuit</t>
  </si>
  <si>
    <t>Zhe Wang, Kai Hu, Ke Xu, Baolin Yin, Xiaowen Dong</t>
  </si>
  <si>
    <t xml:space="preserve">http://pdn.sciencedirect.com/science?_ob=MiamiImageURL&amp;_cid=271990&amp;_user=686465&amp;_pii=S1389128612000813&amp;_check=y&amp;_origin=search&amp;_zone=rslt_list_item&amp;_coverDate=2012-05-03&amp;wchp=dGLbVlk-zSkzV&amp;md5=7d328af2eb931bdecf53703ca55163e6&amp;pid=1-s2.0-S1389128612000813-main.pdf </t>
  </si>
  <si>
    <t>Breaching Euclidean distance-preserving data perturbation using few known inputs Supplementary content </t>
  </si>
  <si>
    <t>Chris R. Giannella, Kun Liu, Hillol Kargupta</t>
  </si>
  <si>
    <t xml:space="preserve">http://pdn.sciencedirect.com/science?_ob=MiamiImageURL&amp;_cid=271546&amp;_user=686465&amp;_pii=S0169023X12000997&amp;_check=y&amp;_origin=search&amp;_zone=rslt_list_item&amp;_coverDate=2013-01-31&amp;wchp=dGLbVlk-zSkzV&amp;md5=2820071da8b6323fe6ada8f154afbead&amp;pid=1-s2.0-S0169023X12000997-main.pdf </t>
  </si>
  <si>
    <t>AAAAAE+rvkE=</t>
  </si>
  <si>
    <t>TITULO</t>
  </si>
  <si>
    <t>AUTORES</t>
  </si>
  <si>
    <t>ONDE PUBLICOU</t>
  </si>
  <si>
    <t>ANO DE PUB</t>
  </si>
  <si>
    <t>DOWNLOAD</t>
  </si>
  <si>
    <t>HTML DE ORIGEM</t>
  </si>
  <si>
    <t>Babak Akhgar and Simeon Yates</t>
  </si>
  <si>
    <t>Morgan Kaufmann</t>
  </si>
  <si>
    <t>Ángel García-Crespo, José Luis López-Cuadrado, Ricardo Colomo-Palacios, Israel González-Carrasco, Belén Ruiz-Mezcua</t>
  </si>
  <si>
    <t xml:space="preserve">Automated mapping of social networks in wild birds </t>
  </si>
  <si>
    <t xml:space="preserve">Residue centrality in alpha helical polytopic transmembrane protein structures </t>
  </si>
  <si>
    <t>Understanding the associations between on-farm biosecurity practice and equine influenza infection during the 2007 outbreak in Australia</t>
  </si>
  <si>
    <t>Humberto González-Díaz, Pablo Riera-Fernández, Alejandro Pazos, Cristian R. Munteanu</t>
  </si>
  <si>
    <t>The evolution and formation of amicus curiae networks</t>
  </si>
  <si>
    <t>Social rank and inhalant drug use: The case of lança perfume use in São Paulo, Brazil</t>
  </si>
  <si>
    <t>José M. Perea-Ortega, Arturo Montejo-Ráez, M. Teresa Martín-Valdivia, L. Alfonso Ureña-López</t>
  </si>
  <si>
    <t>E. García, F. Pedroche, M. Romance</t>
  </si>
  <si>
    <t>Niches and networks: Explaining network evolution through niche formation processes</t>
  </si>
  <si>
    <t>Network resilience for transport security: Some methodological considerations</t>
  </si>
  <si>
    <t>Network modularity promotescooperation</t>
  </si>
  <si>
    <t>Paul Leger, Éric Tanter, Rémi Douence</t>
  </si>
  <si>
    <t>Detecting livestock production zones</t>
  </si>
  <si>
    <t>M.M. Carvalho, André Fleury, Ana Paula Lopes</t>
  </si>
  <si>
    <t>Interaction Intimacy Affects Structure and Coevolutionary Dynamics in Mutualistic Networks</t>
  </si>
  <si>
    <t>Paulo R. Guimarães Jr., Victor Rico-Gray, Paulo S. Oliveira, Thiago J. Izzo, Sérgio F. dos Reis, John N. Thompson</t>
  </si>
  <si>
    <t>Dynamical and system-wide properties of linear flow-quantified food webs</t>
  </si>
  <si>
    <t>Protein family and fold occurrence in genomes: power-law behaviour and evolutionary model</t>
  </si>
  <si>
    <t>Prediction of group patterns in social mammals based on a coalescent model</t>
  </si>
  <si>
    <t>Eric Durand, Michael G.B. Blum, Olivier François</t>
  </si>
  <si>
    <t>Invasive species impacts on ecosystem structure and function: A comparison of Oneida Lake, New York, USA, before and after zebra mussel invasion</t>
  </si>
  <si>
    <t>Invasive species impacts on ecosystem structure and function: A comparison of the Bay of Quinte, Canada, and Oneida Lake, USA, before and after zebra mussel invasion</t>
  </si>
  <si>
    <t>Generalized lattice graphs for 2D-visualization of biological information</t>
  </si>
  <si>
    <t>H. González-Díaz, L.G. Pérez-Montoto, A. Duardo-Sanchez, E. Paniagua, S. Vázquez-Prieto, R. Vilas, M.A. Dea-Ayuela, F. Bolas-Fernández, C.R. Munteanu, J. Dorado, J. Costas, F.M. Ubeira</t>
  </si>
  <si>
    <t>Tools to study trends in community structure: Application to fish and livestock trading networks</t>
  </si>
  <si>
    <t>Darren Michael Green, Marleen Werkman, Lorna Ann Munro, Rowland Raymond Kao, István Zoltán Kiss, Leon Danon</t>
  </si>
  <si>
    <t>Numerical characteristics of word frequencies and their application to dissimilarity measure for sequence comparison</t>
  </si>
  <si>
    <t>Linyuan Lü, Tao Zhou</t>
  </si>
  <si>
    <t>Determining shoal membership using affinity propagation</t>
  </si>
  <si>
    <t>Vicenç Quera, Francesc S. Beltran, Inmar E. Givoni, Ruth Dolado</t>
  </si>
  <si>
    <t>Co-production of knowledge in transdisciplinary doctoral theses on landscape development—An analysis of actor roles and knowledge types in different research phases</t>
  </si>
  <si>
    <t>Impact of regulatory perturbations to disease spread through cattle movements in Great Britain</t>
  </si>
  <si>
    <t>M.C. González, H.J. Herrmann, J. Kertész, T. Vicsek</t>
  </si>
  <si>
    <t>M.R. Martínez-Torres</t>
  </si>
  <si>
    <t>François Fouss, Youssef Achbany, Marco Saerens</t>
  </si>
  <si>
    <t>Jelena Ignjatović, Miroslav Ćirić, Nada Damljanović, Ivana Jančić</t>
  </si>
  <si>
    <t>Quantifying positional importance in food webs: A comparison of centrality indices</t>
  </si>
  <si>
    <t>Ferenc Jordán, Zsófia Benedek, János Podani</t>
  </si>
  <si>
    <t>Evidence-based intervention in physical activity: lessons from around the world</t>
  </si>
  <si>
    <t>Social capital and physiological stress levels in free-ranging adult female rhesus macaques</t>
  </si>
  <si>
    <t>New Markov–Shannon Entropy models to assess connectivity quality in complex networks: From molecular to cellular pathway, Parasite–Host, Neural, Industry, and Legal–Social networks</t>
  </si>
  <si>
    <t>Pablo Riera-Fernández, Cristian R. Munteanu, Manuel Escobar, Francisco Prado-Prado, Raquel Martín-Romalde, David Pereira, Karen Villalba, Aliuska Duardo-Sánchez, Humberto González-Díaz</t>
  </si>
  <si>
    <t>Network simulation modeling of equine infectious anemia in the non-racehorse population in Japan</t>
  </si>
  <si>
    <t>Complexity management in practice: A Viable System Model intervention in an Irish eco-community</t>
  </si>
  <si>
    <t>Anxiolytic-like effect of pregabalin on unconditioned fear in the rat: An autoradiographic brain perfusion mapping and functional connectivity study</t>
  </si>
  <si>
    <t>Topological analysis of the ecological importance of elasmobranch fishes: A food web study on the Gulf of Tortugas, Colombia</t>
  </si>
  <si>
    <t>Andrés F. Navia, Enric Cortés, Paola A. Mejía-Falla</t>
  </si>
  <si>
    <t>Jelena Ignjatović, Miroslav Ćirić, Stojan Bogdanović</t>
  </si>
  <si>
    <t>Social structure of Facebook networks</t>
  </si>
  <si>
    <t>F. Javier Ortega, José A. Troyano, Fermín L. Cruz, Carlos G. Vallejo, Fernando Enríquez</t>
  </si>
  <si>
    <t>Ferenc Jordán, Thomas A. Okey, Barbara Bauer, Simone Libralato</t>
  </si>
  <si>
    <t>Identifying important species: Linking structure and function in ecological networks</t>
  </si>
  <si>
    <t>On clique relaxation models in network analysis</t>
  </si>
  <si>
    <t>V.S. Ramachandran</t>
  </si>
  <si>
    <t>Kris Heggenhougen</t>
  </si>
  <si>
    <t>Dr. Jay Liebowitz</t>
  </si>
  <si>
    <t>Jörg Blasius and Michael Greenacre</t>
  </si>
  <si>
    <t>Christoph H. Loch and Stylianos Kavadias</t>
  </si>
  <si>
    <t>José Cláudio Terra, Cindy Gordon</t>
  </si>
</sst>
</file>

<file path=xl/styles.xml><?xml version="1.0" encoding="utf-8"?>
<styleSheet xmlns="http://schemas.openxmlformats.org/spreadsheetml/2006/main">
  <fonts count="2">
    <font>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arquivo"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sheetPr codeName="Plan1"/>
  <dimension ref="A1:F1508"/>
  <sheetViews>
    <sheetView tabSelected="1" topLeftCell="C405" workbookViewId="0">
      <selection activeCell="D420" sqref="D420"/>
    </sheetView>
  </sheetViews>
  <sheetFormatPr defaultRowHeight="14.4"/>
  <cols>
    <col min="1" max="2" width="81.109375" bestFit="1" customWidth="1"/>
    <col min="3" max="3" width="79.109375" bestFit="1" customWidth="1"/>
    <col min="4" max="4" width="17" bestFit="1" customWidth="1"/>
    <col min="5" max="5" width="81.109375" bestFit="1" customWidth="1"/>
    <col min="6" max="6" width="36.6640625" bestFit="1" customWidth="1"/>
  </cols>
  <sheetData>
    <row r="1" spans="1:6">
      <c r="A1" s="1" t="s">
        <v>4556</v>
      </c>
      <c r="B1" s="1" t="s">
        <v>4557</v>
      </c>
      <c r="C1" s="1" t="s">
        <v>4558</v>
      </c>
      <c r="D1" s="1" t="s">
        <v>4559</v>
      </c>
      <c r="E1" s="1" t="s">
        <v>4560</v>
      </c>
      <c r="F1" s="1" t="s">
        <v>4561</v>
      </c>
    </row>
    <row r="2" spans="1:6">
      <c r="A2" t="s">
        <v>1957</v>
      </c>
      <c r="B2" t="s">
        <v>4409</v>
      </c>
      <c r="C2" t="s">
        <v>4277</v>
      </c>
      <c r="D2">
        <v>2012</v>
      </c>
      <c r="E2" t="s">
        <v>4410</v>
      </c>
      <c r="F2" t="s">
        <v>3948</v>
      </c>
    </row>
    <row r="3" spans="1:6">
      <c r="A3" t="s">
        <v>1957</v>
      </c>
      <c r="B3" t="s">
        <v>4562</v>
      </c>
      <c r="C3" t="s">
        <v>3693</v>
      </c>
      <c r="D3">
        <v>2013</v>
      </c>
      <c r="E3" t="s">
        <v>4337</v>
      </c>
      <c r="F3" t="s">
        <v>3948</v>
      </c>
    </row>
    <row r="4" spans="1:6">
      <c r="A4" t="s">
        <v>1957</v>
      </c>
      <c r="B4" t="s">
        <v>4563</v>
      </c>
      <c r="C4" t="s">
        <v>2151</v>
      </c>
      <c r="D4">
        <v>2011</v>
      </c>
      <c r="E4" t="s">
        <v>4225</v>
      </c>
      <c r="F4" t="s">
        <v>3948</v>
      </c>
    </row>
    <row r="5" spans="1:6">
      <c r="A5" t="s">
        <v>3124</v>
      </c>
      <c r="B5" t="s">
        <v>99</v>
      </c>
      <c r="C5" t="s">
        <v>7</v>
      </c>
      <c r="D5">
        <v>2011</v>
      </c>
      <c r="E5" t="s">
        <v>3125</v>
      </c>
      <c r="F5" t="s">
        <v>2757</v>
      </c>
    </row>
    <row r="6" spans="1:6">
      <c r="A6" t="s">
        <v>3379</v>
      </c>
      <c r="B6" t="s">
        <v>4564</v>
      </c>
      <c r="C6" t="s">
        <v>7</v>
      </c>
      <c r="D6">
        <v>2011</v>
      </c>
      <c r="E6" t="s">
        <v>3380</v>
      </c>
      <c r="F6" t="s">
        <v>3356</v>
      </c>
    </row>
    <row r="7" spans="1:6">
      <c r="A7" t="s">
        <v>4566</v>
      </c>
      <c r="B7" t="s">
        <v>4445</v>
      </c>
      <c r="C7" t="s">
        <v>2052</v>
      </c>
      <c r="D7">
        <v>2012</v>
      </c>
      <c r="E7" t="s">
        <v>4485</v>
      </c>
      <c r="F7" t="s">
        <v>3948</v>
      </c>
    </row>
    <row r="8" spans="1:6">
      <c r="A8" t="s">
        <v>864</v>
      </c>
      <c r="B8" t="s">
        <v>865</v>
      </c>
      <c r="C8" t="s">
        <v>2</v>
      </c>
      <c r="D8">
        <v>2008</v>
      </c>
      <c r="E8" t="s">
        <v>866</v>
      </c>
      <c r="F8" t="s">
        <v>686</v>
      </c>
    </row>
    <row r="9" spans="1:6">
      <c r="A9" t="s">
        <v>1220</v>
      </c>
      <c r="B9" t="s">
        <v>1221</v>
      </c>
      <c r="C9" t="s">
        <v>170</v>
      </c>
      <c r="D9">
        <v>2010</v>
      </c>
      <c r="E9" t="s">
        <v>1222</v>
      </c>
      <c r="F9" t="s">
        <v>686</v>
      </c>
    </row>
    <row r="10" spans="1:6">
      <c r="A10" t="s">
        <v>583</v>
      </c>
      <c r="B10" t="s">
        <v>584</v>
      </c>
      <c r="C10" t="s">
        <v>585</v>
      </c>
      <c r="D10">
        <v>2007</v>
      </c>
      <c r="E10" t="s">
        <v>586</v>
      </c>
      <c r="F10" t="s">
        <v>4</v>
      </c>
    </row>
    <row r="11" spans="1:6">
      <c r="A11" t="s">
        <v>3400</v>
      </c>
      <c r="B11" t="s">
        <v>3401</v>
      </c>
      <c r="C11" t="s">
        <v>1925</v>
      </c>
      <c r="D11">
        <v>2012</v>
      </c>
      <c r="E11" t="s">
        <v>3402</v>
      </c>
      <c r="F11" t="s">
        <v>3356</v>
      </c>
    </row>
    <row r="12" spans="1:6">
      <c r="A12" t="s">
        <v>4509</v>
      </c>
      <c r="B12" t="s">
        <v>4510</v>
      </c>
      <c r="C12" t="s">
        <v>1925</v>
      </c>
      <c r="D12">
        <v>2012</v>
      </c>
      <c r="E12" t="s">
        <v>4511</v>
      </c>
      <c r="F12" t="s">
        <v>4493</v>
      </c>
    </row>
    <row r="13" spans="1:6">
      <c r="A13" t="s">
        <v>4565</v>
      </c>
      <c r="B13" t="s">
        <v>4507</v>
      </c>
      <c r="C13" t="s">
        <v>1610</v>
      </c>
      <c r="D13">
        <v>2012</v>
      </c>
      <c r="E13" t="s">
        <v>4508</v>
      </c>
      <c r="F13" t="s">
        <v>4493</v>
      </c>
    </row>
    <row r="14" spans="1:6">
      <c r="A14" t="s">
        <v>1455</v>
      </c>
      <c r="B14" t="s">
        <v>1456</v>
      </c>
      <c r="C14" t="s">
        <v>353</v>
      </c>
      <c r="D14">
        <v>2007</v>
      </c>
      <c r="E14" t="s">
        <v>1457</v>
      </c>
      <c r="F14" t="s">
        <v>1328</v>
      </c>
    </row>
    <row r="15" spans="1:6">
      <c r="A15" t="s">
        <v>1396</v>
      </c>
      <c r="B15" t="s">
        <v>1397</v>
      </c>
      <c r="C15" t="s">
        <v>353</v>
      </c>
      <c r="D15">
        <v>2010</v>
      </c>
      <c r="E15" t="s">
        <v>1398</v>
      </c>
      <c r="F15" t="s">
        <v>1328</v>
      </c>
    </row>
    <row r="16" spans="1:6">
      <c r="A16" t="s">
        <v>2620</v>
      </c>
      <c r="B16" t="s">
        <v>2621</v>
      </c>
      <c r="C16" t="s">
        <v>585</v>
      </c>
      <c r="D16">
        <v>2012</v>
      </c>
      <c r="E16" t="s">
        <v>2622</v>
      </c>
      <c r="F16" t="s">
        <v>2142</v>
      </c>
    </row>
    <row r="17" spans="1:6">
      <c r="A17" t="s">
        <v>682</v>
      </c>
      <c r="B17" t="s">
        <v>683</v>
      </c>
      <c r="C17" t="s">
        <v>684</v>
      </c>
      <c r="D17">
        <v>2009</v>
      </c>
      <c r="E17" t="s">
        <v>685</v>
      </c>
      <c r="F17" t="s">
        <v>686</v>
      </c>
    </row>
    <row r="18" spans="1:6">
      <c r="A18" t="s">
        <v>2511</v>
      </c>
      <c r="B18" t="s">
        <v>2512</v>
      </c>
      <c r="C18" t="s">
        <v>7</v>
      </c>
      <c r="D18">
        <v>2012</v>
      </c>
      <c r="E18" t="s">
        <v>2513</v>
      </c>
      <c r="F18" t="s">
        <v>2142</v>
      </c>
    </row>
    <row r="19" spans="1:6">
      <c r="A19" t="s">
        <v>162</v>
      </c>
      <c r="B19" t="s">
        <v>163</v>
      </c>
      <c r="C19" t="s">
        <v>35</v>
      </c>
      <c r="D19">
        <v>2006</v>
      </c>
      <c r="E19" t="s">
        <v>164</v>
      </c>
      <c r="F19" t="s">
        <v>4</v>
      </c>
    </row>
    <row r="20" spans="1:6">
      <c r="A20" t="s">
        <v>131</v>
      </c>
      <c r="B20" t="s">
        <v>38</v>
      </c>
      <c r="C20" t="s">
        <v>35</v>
      </c>
      <c r="D20">
        <v>2006</v>
      </c>
      <c r="E20" t="s">
        <v>132</v>
      </c>
      <c r="F20" t="s">
        <v>4</v>
      </c>
    </row>
    <row r="21" spans="1:6">
      <c r="A21" t="s">
        <v>998</v>
      </c>
      <c r="B21" t="s">
        <v>999</v>
      </c>
      <c r="C21" t="s">
        <v>35</v>
      </c>
      <c r="D21">
        <v>2000</v>
      </c>
      <c r="E21" t="s">
        <v>1000</v>
      </c>
      <c r="F21" t="s">
        <v>686</v>
      </c>
    </row>
    <row r="22" spans="1:6">
      <c r="A22" t="s">
        <v>4070</v>
      </c>
      <c r="B22" t="s">
        <v>4071</v>
      </c>
      <c r="C22" t="s">
        <v>54</v>
      </c>
      <c r="D22">
        <v>2013</v>
      </c>
      <c r="E22" t="s">
        <v>4072</v>
      </c>
      <c r="F22" t="s">
        <v>3948</v>
      </c>
    </row>
    <row r="23" spans="1:6">
      <c r="A23" t="s">
        <v>4381</v>
      </c>
      <c r="B23" t="s">
        <v>4382</v>
      </c>
      <c r="C23" t="s">
        <v>2951</v>
      </c>
      <c r="D23">
        <v>2012</v>
      </c>
      <c r="E23" t="s">
        <v>4383</v>
      </c>
      <c r="F23" t="s">
        <v>3948</v>
      </c>
    </row>
    <row r="24" spans="1:6">
      <c r="A24" t="s">
        <v>3902</v>
      </c>
      <c r="B24" t="s">
        <v>3903</v>
      </c>
      <c r="C24" t="s">
        <v>505</v>
      </c>
      <c r="D24">
        <v>2012</v>
      </c>
      <c r="E24" t="s">
        <v>3904</v>
      </c>
      <c r="F24" t="s">
        <v>3356</v>
      </c>
    </row>
    <row r="25" spans="1:6">
      <c r="A25" t="s">
        <v>2304</v>
      </c>
      <c r="B25" t="s">
        <v>2305</v>
      </c>
      <c r="C25" t="s">
        <v>673</v>
      </c>
      <c r="D25">
        <v>2012</v>
      </c>
      <c r="E25" t="s">
        <v>2306</v>
      </c>
      <c r="F25" t="s">
        <v>2142</v>
      </c>
    </row>
    <row r="26" spans="1:6">
      <c r="A26" t="s">
        <v>2966</v>
      </c>
      <c r="B26" t="s">
        <v>2967</v>
      </c>
      <c r="C26" t="s">
        <v>1218</v>
      </c>
      <c r="D26">
        <v>2013</v>
      </c>
      <c r="E26" t="s">
        <v>2968</v>
      </c>
      <c r="F26" t="s">
        <v>2757</v>
      </c>
    </row>
    <row r="27" spans="1:6">
      <c r="A27" t="s">
        <v>3244</v>
      </c>
      <c r="B27" t="s">
        <v>3245</v>
      </c>
      <c r="C27" t="s">
        <v>2433</v>
      </c>
      <c r="D27">
        <v>2012</v>
      </c>
      <c r="E27" t="s">
        <v>3246</v>
      </c>
      <c r="F27" t="s">
        <v>2757</v>
      </c>
    </row>
    <row r="28" spans="1:6">
      <c r="A28" t="s">
        <v>4055</v>
      </c>
      <c r="B28" t="s">
        <v>4056</v>
      </c>
      <c r="C28" t="s">
        <v>1568</v>
      </c>
      <c r="D28">
        <v>2012</v>
      </c>
      <c r="E28" t="s">
        <v>4057</v>
      </c>
      <c r="F28" t="s">
        <v>3948</v>
      </c>
    </row>
    <row r="29" spans="1:6">
      <c r="A29" t="s">
        <v>4567</v>
      </c>
      <c r="B29" t="s">
        <v>4480</v>
      </c>
      <c r="C29" t="s">
        <v>585</v>
      </c>
      <c r="D29">
        <v>2013</v>
      </c>
      <c r="E29" t="s">
        <v>4481</v>
      </c>
      <c r="F29" t="s">
        <v>3948</v>
      </c>
    </row>
    <row r="30" spans="1:6">
      <c r="A30" t="s">
        <v>3998</v>
      </c>
      <c r="B30" t="s">
        <v>3999</v>
      </c>
      <c r="C30" t="s">
        <v>72</v>
      </c>
      <c r="D30">
        <v>2011</v>
      </c>
      <c r="E30" t="s">
        <v>4000</v>
      </c>
      <c r="F30" t="s">
        <v>3948</v>
      </c>
    </row>
    <row r="31" spans="1:6">
      <c r="A31" t="s">
        <v>3735</v>
      </c>
      <c r="B31" t="s">
        <v>3736</v>
      </c>
      <c r="C31" t="s">
        <v>3737</v>
      </c>
      <c r="D31">
        <v>2013</v>
      </c>
      <c r="E31" t="s">
        <v>3738</v>
      </c>
      <c r="F31" t="s">
        <v>3356</v>
      </c>
    </row>
    <row r="32" spans="1:6">
      <c r="A32" t="s">
        <v>3316</v>
      </c>
      <c r="B32" t="s">
        <v>3317</v>
      </c>
      <c r="C32" t="s">
        <v>72</v>
      </c>
      <c r="D32">
        <v>2013</v>
      </c>
      <c r="E32" t="s">
        <v>3318</v>
      </c>
      <c r="F32" t="s">
        <v>2757</v>
      </c>
    </row>
    <row r="33" spans="1:6">
      <c r="A33" t="s">
        <v>2336</v>
      </c>
      <c r="B33" t="s">
        <v>2337</v>
      </c>
      <c r="C33" t="s">
        <v>2338</v>
      </c>
      <c r="D33">
        <v>2012</v>
      </c>
      <c r="E33" t="s">
        <v>2339</v>
      </c>
      <c r="F33" t="s">
        <v>2142</v>
      </c>
    </row>
    <row r="34" spans="1:6">
      <c r="A34" t="s">
        <v>3863</v>
      </c>
      <c r="B34" t="s">
        <v>4568</v>
      </c>
      <c r="C34" t="s">
        <v>3864</v>
      </c>
      <c r="D34">
        <v>2013</v>
      </c>
      <c r="E34" t="s">
        <v>3865</v>
      </c>
      <c r="F34" t="s">
        <v>3356</v>
      </c>
    </row>
    <row r="35" spans="1:6">
      <c r="A35" t="s">
        <v>3277</v>
      </c>
      <c r="B35" t="s">
        <v>3278</v>
      </c>
      <c r="C35" t="s">
        <v>2</v>
      </c>
      <c r="D35">
        <v>2013</v>
      </c>
      <c r="E35" t="s">
        <v>3279</v>
      </c>
      <c r="F35" t="s">
        <v>2757</v>
      </c>
    </row>
    <row r="36" spans="1:6">
      <c r="A36" t="s">
        <v>2559</v>
      </c>
      <c r="B36" t="s">
        <v>2560</v>
      </c>
      <c r="C36" t="s">
        <v>490</v>
      </c>
      <c r="D36">
        <v>2012</v>
      </c>
      <c r="E36" t="s">
        <v>2561</v>
      </c>
      <c r="F36" t="s">
        <v>2142</v>
      </c>
    </row>
    <row r="37" spans="1:6">
      <c r="A37" t="s">
        <v>3325</v>
      </c>
      <c r="B37" t="s">
        <v>3326</v>
      </c>
      <c r="C37" t="s">
        <v>1568</v>
      </c>
      <c r="D37">
        <v>2012</v>
      </c>
      <c r="E37" t="s">
        <v>3327</v>
      </c>
      <c r="F37" t="s">
        <v>2757</v>
      </c>
    </row>
    <row r="38" spans="1:6">
      <c r="A38" t="s">
        <v>2959</v>
      </c>
      <c r="B38" t="s">
        <v>2960</v>
      </c>
      <c r="C38" t="s">
        <v>2961</v>
      </c>
      <c r="D38">
        <v>2012</v>
      </c>
      <c r="E38" t="s">
        <v>2962</v>
      </c>
      <c r="F38" t="s">
        <v>2757</v>
      </c>
    </row>
    <row r="39" spans="1:6">
      <c r="A39" t="s">
        <v>2139</v>
      </c>
      <c r="B39" t="s">
        <v>2140</v>
      </c>
      <c r="C39" t="s">
        <v>1568</v>
      </c>
      <c r="D39">
        <v>2012</v>
      </c>
      <c r="E39" t="s">
        <v>2141</v>
      </c>
      <c r="F39" t="s">
        <v>2142</v>
      </c>
    </row>
    <row r="40" spans="1:6">
      <c r="A40" t="s">
        <v>3952</v>
      </c>
      <c r="B40" t="s">
        <v>3953</v>
      </c>
      <c r="C40" t="s">
        <v>632</v>
      </c>
      <c r="D40">
        <v>2013</v>
      </c>
      <c r="E40" t="s">
        <v>3954</v>
      </c>
      <c r="F40" t="s">
        <v>3948</v>
      </c>
    </row>
    <row r="41" spans="1:6">
      <c r="A41" t="s">
        <v>2928</v>
      </c>
      <c r="B41" t="s">
        <v>2929</v>
      </c>
      <c r="C41" t="s">
        <v>315</v>
      </c>
      <c r="D41">
        <v>2012</v>
      </c>
      <c r="E41" t="s">
        <v>2930</v>
      </c>
      <c r="F41" t="s">
        <v>2757</v>
      </c>
    </row>
    <row r="42" spans="1:6">
      <c r="A42" t="s">
        <v>4569</v>
      </c>
      <c r="B42" t="s">
        <v>3269</v>
      </c>
      <c r="C42" t="s">
        <v>72</v>
      </c>
      <c r="D42">
        <v>2012</v>
      </c>
      <c r="E42" t="s">
        <v>3270</v>
      </c>
      <c r="F42" t="s">
        <v>2757</v>
      </c>
    </row>
    <row r="43" spans="1:6">
      <c r="A43" t="s">
        <v>2683</v>
      </c>
      <c r="B43" t="s">
        <v>2684</v>
      </c>
      <c r="C43" t="s">
        <v>153</v>
      </c>
      <c r="D43">
        <v>2013</v>
      </c>
      <c r="E43" t="s">
        <v>2685</v>
      </c>
      <c r="F43" t="s">
        <v>2142</v>
      </c>
    </row>
    <row r="44" spans="1:6">
      <c r="A44" t="s">
        <v>3855</v>
      </c>
      <c r="B44" t="s">
        <v>3856</v>
      </c>
      <c r="C44" t="s">
        <v>3857</v>
      </c>
      <c r="D44">
        <v>2013</v>
      </c>
      <c r="E44" t="s">
        <v>3858</v>
      </c>
      <c r="F44" t="s">
        <v>3356</v>
      </c>
    </row>
    <row r="45" spans="1:6">
      <c r="A45" t="s">
        <v>4193</v>
      </c>
      <c r="B45" t="s">
        <v>4194</v>
      </c>
      <c r="C45" t="s">
        <v>1087</v>
      </c>
      <c r="D45">
        <v>2012</v>
      </c>
      <c r="E45" t="s">
        <v>4195</v>
      </c>
      <c r="F45" t="s">
        <v>3948</v>
      </c>
    </row>
    <row r="46" spans="1:6">
      <c r="A46" t="s">
        <v>3063</v>
      </c>
      <c r="B46" t="s">
        <v>3064</v>
      </c>
      <c r="C46" t="s">
        <v>90</v>
      </c>
      <c r="D46">
        <v>2012</v>
      </c>
      <c r="E46" t="s">
        <v>3065</v>
      </c>
      <c r="F46" t="s">
        <v>2757</v>
      </c>
    </row>
    <row r="47" spans="1:6">
      <c r="A47" t="s">
        <v>4570</v>
      </c>
      <c r="B47" t="s">
        <v>4512</v>
      </c>
      <c r="C47" t="s">
        <v>1388</v>
      </c>
      <c r="D47">
        <v>2012</v>
      </c>
      <c r="E47" t="s">
        <v>4513</v>
      </c>
      <c r="F47" t="s">
        <v>4493</v>
      </c>
    </row>
    <row r="48" spans="1:6">
      <c r="A48" t="s">
        <v>4170</v>
      </c>
      <c r="B48" t="s">
        <v>4171</v>
      </c>
      <c r="C48" t="s">
        <v>4172</v>
      </c>
      <c r="D48">
        <v>2012</v>
      </c>
      <c r="E48" t="s">
        <v>4173</v>
      </c>
      <c r="F48" t="s">
        <v>3948</v>
      </c>
    </row>
    <row r="49" spans="1:6">
      <c r="A49" t="s">
        <v>2159</v>
      </c>
      <c r="B49" t="s">
        <v>2160</v>
      </c>
      <c r="C49" t="s">
        <v>2161</v>
      </c>
      <c r="D49">
        <v>2011</v>
      </c>
      <c r="E49" t="s">
        <v>2162</v>
      </c>
      <c r="F49" t="s">
        <v>2142</v>
      </c>
    </row>
    <row r="50" spans="1:6">
      <c r="A50" t="s">
        <v>2595</v>
      </c>
      <c r="B50" t="s">
        <v>2596</v>
      </c>
      <c r="C50" t="s">
        <v>1628</v>
      </c>
      <c r="D50">
        <v>2012</v>
      </c>
      <c r="E50" t="s">
        <v>2597</v>
      </c>
      <c r="F50" t="s">
        <v>2142</v>
      </c>
    </row>
    <row r="51" spans="1:6">
      <c r="A51" t="s">
        <v>3360</v>
      </c>
      <c r="B51" t="s">
        <v>3361</v>
      </c>
      <c r="C51" t="s">
        <v>153</v>
      </c>
      <c r="D51">
        <v>2013</v>
      </c>
      <c r="E51" t="s">
        <v>3362</v>
      </c>
      <c r="F51" t="s">
        <v>3356</v>
      </c>
    </row>
    <row r="52" spans="1:6">
      <c r="A52" t="s">
        <v>2723</v>
      </c>
      <c r="B52" t="s">
        <v>2724</v>
      </c>
      <c r="C52" t="s">
        <v>2725</v>
      </c>
      <c r="D52">
        <v>2012</v>
      </c>
      <c r="E52" t="s">
        <v>2726</v>
      </c>
      <c r="F52" t="s">
        <v>2142</v>
      </c>
    </row>
    <row r="53" spans="1:6">
      <c r="A53" t="s">
        <v>4049</v>
      </c>
      <c r="B53" t="s">
        <v>4050</v>
      </c>
      <c r="C53" t="s">
        <v>3660</v>
      </c>
      <c r="D53">
        <v>2012</v>
      </c>
      <c r="E53" t="s">
        <v>4051</v>
      </c>
      <c r="F53" t="s">
        <v>3948</v>
      </c>
    </row>
    <row r="54" spans="1:6">
      <c r="A54" t="s">
        <v>3462</v>
      </c>
      <c r="B54" t="s">
        <v>3463</v>
      </c>
      <c r="C54" t="s">
        <v>2813</v>
      </c>
      <c r="D54">
        <v>2011</v>
      </c>
      <c r="E54" t="s">
        <v>3465</v>
      </c>
      <c r="F54" t="s">
        <v>3356</v>
      </c>
    </row>
    <row r="55" spans="1:6">
      <c r="A55" t="s">
        <v>4516</v>
      </c>
      <c r="B55" t="s">
        <v>4571</v>
      </c>
      <c r="C55" t="s">
        <v>1116</v>
      </c>
      <c r="D55">
        <v>2012</v>
      </c>
      <c r="E55" t="s">
        <v>4517</v>
      </c>
      <c r="F55" t="s">
        <v>4493</v>
      </c>
    </row>
    <row r="56" spans="1:6">
      <c r="A56" t="s">
        <v>3986</v>
      </c>
      <c r="B56" t="s">
        <v>3987</v>
      </c>
      <c r="C56" t="s">
        <v>520</v>
      </c>
      <c r="D56">
        <v>2013</v>
      </c>
      <c r="E56" t="s">
        <v>3988</v>
      </c>
      <c r="F56" t="s">
        <v>3948</v>
      </c>
    </row>
    <row r="57" spans="1:6">
      <c r="A57" t="s">
        <v>3390</v>
      </c>
      <c r="B57" t="s">
        <v>3391</v>
      </c>
      <c r="C57" t="s">
        <v>3392</v>
      </c>
      <c r="D57">
        <v>2013</v>
      </c>
      <c r="E57" t="s">
        <v>3393</v>
      </c>
      <c r="F57" t="s">
        <v>3356</v>
      </c>
    </row>
    <row r="58" spans="1:6">
      <c r="A58" t="s">
        <v>4106</v>
      </c>
      <c r="B58" t="s">
        <v>4107</v>
      </c>
      <c r="C58" t="s">
        <v>72</v>
      </c>
      <c r="D58">
        <v>2013</v>
      </c>
      <c r="E58" t="s">
        <v>4108</v>
      </c>
      <c r="F58" t="s">
        <v>3948</v>
      </c>
    </row>
    <row r="59" spans="1:6">
      <c r="A59" t="s">
        <v>2650</v>
      </c>
      <c r="B59" t="s">
        <v>2651</v>
      </c>
      <c r="C59" t="s">
        <v>774</v>
      </c>
      <c r="D59">
        <v>2012</v>
      </c>
      <c r="E59" t="s">
        <v>2652</v>
      </c>
      <c r="F59" t="s">
        <v>2142</v>
      </c>
    </row>
    <row r="60" spans="1:6">
      <c r="A60" t="s">
        <v>3542</v>
      </c>
      <c r="B60" t="s">
        <v>3543</v>
      </c>
      <c r="C60" t="s">
        <v>1350</v>
      </c>
      <c r="D60">
        <v>2013</v>
      </c>
      <c r="E60" t="s">
        <v>3544</v>
      </c>
      <c r="F60" t="s">
        <v>3356</v>
      </c>
    </row>
    <row r="61" spans="1:6">
      <c r="A61" t="s">
        <v>2178</v>
      </c>
      <c r="B61" t="s">
        <v>2179</v>
      </c>
      <c r="C61" t="s">
        <v>19</v>
      </c>
      <c r="D61">
        <v>2013</v>
      </c>
      <c r="E61" t="s">
        <v>2180</v>
      </c>
      <c r="F61" t="s">
        <v>2142</v>
      </c>
    </row>
    <row r="62" spans="1:6">
      <c r="A62" t="s">
        <v>3000</v>
      </c>
      <c r="B62" t="s">
        <v>4572</v>
      </c>
      <c r="C62" t="s">
        <v>684</v>
      </c>
      <c r="D62">
        <v>2012</v>
      </c>
      <c r="E62" t="s">
        <v>3001</v>
      </c>
      <c r="F62" t="s">
        <v>2757</v>
      </c>
    </row>
    <row r="63" spans="1:6">
      <c r="A63" t="s">
        <v>3494</v>
      </c>
      <c r="B63" t="s">
        <v>3495</v>
      </c>
      <c r="C63" t="s">
        <v>3496</v>
      </c>
      <c r="D63">
        <v>2013</v>
      </c>
      <c r="E63" t="s">
        <v>3497</v>
      </c>
      <c r="F63" t="s">
        <v>3356</v>
      </c>
    </row>
    <row r="64" spans="1:6">
      <c r="A64" t="s">
        <v>3373</v>
      </c>
      <c r="B64" t="s">
        <v>3374</v>
      </c>
      <c r="C64" t="s">
        <v>1492</v>
      </c>
      <c r="D64">
        <v>2011</v>
      </c>
      <c r="E64" t="s">
        <v>3375</v>
      </c>
      <c r="F64" t="s">
        <v>3356</v>
      </c>
    </row>
    <row r="65" spans="1:6">
      <c r="A65" t="s">
        <v>4573</v>
      </c>
      <c r="B65" t="s">
        <v>2758</v>
      </c>
      <c r="C65" t="s">
        <v>326</v>
      </c>
      <c r="D65">
        <v>2012</v>
      </c>
      <c r="E65" t="s">
        <v>2759</v>
      </c>
      <c r="F65" t="s">
        <v>2757</v>
      </c>
    </row>
    <row r="66" spans="1:6">
      <c r="A66" t="s">
        <v>2641</v>
      </c>
      <c r="B66" t="s">
        <v>2642</v>
      </c>
      <c r="C66" t="s">
        <v>1568</v>
      </c>
      <c r="D66">
        <v>2012</v>
      </c>
      <c r="E66" t="s">
        <v>2643</v>
      </c>
      <c r="F66" t="s">
        <v>2142</v>
      </c>
    </row>
    <row r="67" spans="1:6">
      <c r="A67" t="s">
        <v>4574</v>
      </c>
      <c r="B67" t="s">
        <v>4496</v>
      </c>
      <c r="C67" t="s">
        <v>4497</v>
      </c>
      <c r="D67">
        <v>2012</v>
      </c>
      <c r="E67" t="s">
        <v>4498</v>
      </c>
      <c r="F67" t="s">
        <v>4493</v>
      </c>
    </row>
    <row r="68" spans="1:6">
      <c r="A68" t="s">
        <v>4575</v>
      </c>
      <c r="B68" t="s">
        <v>4417</v>
      </c>
      <c r="C68" t="s">
        <v>2052</v>
      </c>
      <c r="D68">
        <v>2012</v>
      </c>
      <c r="E68" t="s">
        <v>4418</v>
      </c>
      <c r="F68" t="s">
        <v>3948</v>
      </c>
    </row>
    <row r="69" spans="1:6">
      <c r="A69" t="s">
        <v>4138</v>
      </c>
      <c r="B69" t="s">
        <v>4139</v>
      </c>
      <c r="C69" t="s">
        <v>1388</v>
      </c>
      <c r="D69">
        <v>2013</v>
      </c>
      <c r="E69" t="s">
        <v>4140</v>
      </c>
      <c r="F69" t="s">
        <v>3948</v>
      </c>
    </row>
    <row r="70" spans="1:6">
      <c r="A70" t="s">
        <v>4016</v>
      </c>
      <c r="B70" t="s">
        <v>4017</v>
      </c>
      <c r="C70" t="s">
        <v>1821</v>
      </c>
      <c r="D70">
        <v>2012</v>
      </c>
      <c r="E70" t="s">
        <v>4018</v>
      </c>
      <c r="F70" t="s">
        <v>3948</v>
      </c>
    </row>
    <row r="71" spans="1:6">
      <c r="A71" t="s">
        <v>2451</v>
      </c>
      <c r="B71" t="s">
        <v>4576</v>
      </c>
      <c r="C71" t="s">
        <v>199</v>
      </c>
      <c r="D71">
        <v>2012</v>
      </c>
      <c r="E71" t="s">
        <v>2452</v>
      </c>
      <c r="F71" t="s">
        <v>2142</v>
      </c>
    </row>
    <row r="72" spans="1:6">
      <c r="A72" t="s">
        <v>3973</v>
      </c>
      <c r="B72" t="s">
        <v>3974</v>
      </c>
      <c r="C72" t="s">
        <v>15</v>
      </c>
      <c r="D72">
        <v>2013</v>
      </c>
      <c r="E72" t="s">
        <v>3975</v>
      </c>
      <c r="F72" t="s">
        <v>3948</v>
      </c>
    </row>
    <row r="73" spans="1:6">
      <c r="A73" t="s">
        <v>2572</v>
      </c>
      <c r="B73" t="s">
        <v>2573</v>
      </c>
      <c r="C73" t="s">
        <v>1067</v>
      </c>
      <c r="D73">
        <v>2013</v>
      </c>
      <c r="E73" t="s">
        <v>2574</v>
      </c>
      <c r="F73" t="s">
        <v>2142</v>
      </c>
    </row>
    <row r="74" spans="1:6">
      <c r="A74" t="s">
        <v>3980</v>
      </c>
      <c r="B74" t="s">
        <v>3981</v>
      </c>
      <c r="C74" t="s">
        <v>315</v>
      </c>
      <c r="D74">
        <v>2012</v>
      </c>
      <c r="E74" t="s">
        <v>3982</v>
      </c>
      <c r="F74" t="s">
        <v>3948</v>
      </c>
    </row>
    <row r="75" spans="1:6">
      <c r="A75" t="s">
        <v>3165</v>
      </c>
      <c r="B75" t="s">
        <v>3166</v>
      </c>
      <c r="C75" t="s">
        <v>90</v>
      </c>
      <c r="D75">
        <v>2013</v>
      </c>
      <c r="E75" t="s">
        <v>3167</v>
      </c>
      <c r="F75" t="s">
        <v>2757</v>
      </c>
    </row>
    <row r="76" spans="1:6">
      <c r="A76" t="s">
        <v>4305</v>
      </c>
      <c r="B76" t="s">
        <v>4306</v>
      </c>
      <c r="C76" t="s">
        <v>1264</v>
      </c>
      <c r="D76">
        <v>2013</v>
      </c>
      <c r="E76" t="s">
        <v>4374</v>
      </c>
      <c r="F76" t="s">
        <v>3948</v>
      </c>
    </row>
    <row r="77" spans="1:6">
      <c r="A77" t="s">
        <v>3445</v>
      </c>
      <c r="B77" t="s">
        <v>3446</v>
      </c>
      <c r="C77" t="s">
        <v>315</v>
      </c>
      <c r="D77">
        <v>2012</v>
      </c>
      <c r="E77" t="s">
        <v>3447</v>
      </c>
      <c r="F77" t="s">
        <v>3356</v>
      </c>
    </row>
    <row r="78" spans="1:6">
      <c r="A78" t="s">
        <v>3681</v>
      </c>
      <c r="B78" t="s">
        <v>3682</v>
      </c>
      <c r="C78" t="s">
        <v>72</v>
      </c>
      <c r="D78">
        <v>2012</v>
      </c>
      <c r="E78" t="s">
        <v>3683</v>
      </c>
      <c r="F78" t="s">
        <v>3356</v>
      </c>
    </row>
    <row r="79" spans="1:6">
      <c r="A79" t="s">
        <v>3513</v>
      </c>
      <c r="B79" t="s">
        <v>3514</v>
      </c>
      <c r="C79" t="s">
        <v>1568</v>
      </c>
      <c r="D79">
        <v>2012</v>
      </c>
      <c r="E79" t="s">
        <v>3515</v>
      </c>
      <c r="F79" t="s">
        <v>3356</v>
      </c>
    </row>
    <row r="80" spans="1:6">
      <c r="A80" t="s">
        <v>4227</v>
      </c>
      <c r="B80" t="s">
        <v>4228</v>
      </c>
      <c r="C80" t="s">
        <v>90</v>
      </c>
      <c r="D80">
        <v>2012</v>
      </c>
      <c r="E80" t="s">
        <v>4229</v>
      </c>
      <c r="F80" t="s">
        <v>3948</v>
      </c>
    </row>
    <row r="81" spans="1:6">
      <c r="A81" t="s">
        <v>3878</v>
      </c>
      <c r="B81" t="s">
        <v>3879</v>
      </c>
      <c r="C81" t="s">
        <v>1821</v>
      </c>
      <c r="D81">
        <v>2012</v>
      </c>
      <c r="E81" t="s">
        <v>3880</v>
      </c>
      <c r="F81" t="s">
        <v>3356</v>
      </c>
    </row>
    <row r="82" spans="1:6">
      <c r="A82" t="s">
        <v>2943</v>
      </c>
      <c r="B82" t="s">
        <v>2944</v>
      </c>
      <c r="C82" t="s">
        <v>326</v>
      </c>
      <c r="D82">
        <v>2013</v>
      </c>
      <c r="E82" t="s">
        <v>2945</v>
      </c>
      <c r="F82" t="s">
        <v>2757</v>
      </c>
    </row>
    <row r="83" spans="1:6">
      <c r="A83" t="s">
        <v>2536</v>
      </c>
      <c r="B83" t="s">
        <v>2537</v>
      </c>
      <c r="C83" t="s">
        <v>315</v>
      </c>
      <c r="D83">
        <v>2013</v>
      </c>
      <c r="E83" t="s">
        <v>2538</v>
      </c>
      <c r="F83" t="s">
        <v>2142</v>
      </c>
    </row>
    <row r="84" spans="1:6">
      <c r="A84" t="s">
        <v>3802</v>
      </c>
      <c r="B84" t="s">
        <v>3803</v>
      </c>
      <c r="C84" t="s">
        <v>2393</v>
      </c>
      <c r="D84">
        <v>2012</v>
      </c>
      <c r="E84" t="s">
        <v>3804</v>
      </c>
      <c r="F84" t="s">
        <v>3356</v>
      </c>
    </row>
    <row r="85" spans="1:6">
      <c r="A85" t="s">
        <v>3548</v>
      </c>
      <c r="B85" t="s">
        <v>3549</v>
      </c>
      <c r="C85" t="s">
        <v>505</v>
      </c>
      <c r="D85">
        <v>2012</v>
      </c>
      <c r="E85" t="s">
        <v>3550</v>
      </c>
      <c r="F85" t="s">
        <v>3356</v>
      </c>
    </row>
    <row r="86" spans="1:6">
      <c r="A86" t="s">
        <v>2979</v>
      </c>
      <c r="B86" t="s">
        <v>2980</v>
      </c>
      <c r="C86" t="s">
        <v>526</v>
      </c>
      <c r="D86">
        <v>2013</v>
      </c>
      <c r="E86" t="s">
        <v>2981</v>
      </c>
      <c r="F86" t="s">
        <v>2757</v>
      </c>
    </row>
    <row r="87" spans="1:6">
      <c r="A87" t="s">
        <v>4103</v>
      </c>
      <c r="B87" t="s">
        <v>4104</v>
      </c>
      <c r="C87" t="s">
        <v>653</v>
      </c>
      <c r="D87">
        <v>2012</v>
      </c>
      <c r="E87" t="s">
        <v>4105</v>
      </c>
      <c r="F87" t="s">
        <v>3948</v>
      </c>
    </row>
    <row r="88" spans="1:6">
      <c r="A88" t="s">
        <v>3147</v>
      </c>
      <c r="B88" t="s">
        <v>3148</v>
      </c>
      <c r="C88" t="s">
        <v>7</v>
      </c>
      <c r="D88">
        <v>2013</v>
      </c>
      <c r="E88" t="s">
        <v>3149</v>
      </c>
      <c r="F88" t="s">
        <v>2757</v>
      </c>
    </row>
    <row r="89" spans="1:6">
      <c r="A89" t="s">
        <v>3310</v>
      </c>
      <c r="B89" t="s">
        <v>3311</v>
      </c>
      <c r="C89" t="s">
        <v>1516</v>
      </c>
      <c r="D89">
        <v>2012</v>
      </c>
      <c r="E89" t="s">
        <v>3312</v>
      </c>
      <c r="F89" t="s">
        <v>2757</v>
      </c>
    </row>
    <row r="90" spans="1:6">
      <c r="A90" t="s">
        <v>2908</v>
      </c>
      <c r="B90" t="s">
        <v>2909</v>
      </c>
      <c r="C90" t="s">
        <v>72</v>
      </c>
      <c r="D90">
        <v>2013</v>
      </c>
      <c r="E90" t="s">
        <v>2910</v>
      </c>
      <c r="F90" t="s">
        <v>2757</v>
      </c>
    </row>
    <row r="91" spans="1:6">
      <c r="A91" t="s">
        <v>2391</v>
      </c>
      <c r="B91" t="s">
        <v>2392</v>
      </c>
      <c r="C91" t="s">
        <v>2393</v>
      </c>
      <c r="D91">
        <v>2011</v>
      </c>
      <c r="E91" t="s">
        <v>2394</v>
      </c>
      <c r="F91" t="s">
        <v>2142</v>
      </c>
    </row>
    <row r="92" spans="1:6">
      <c r="A92" t="s">
        <v>3774</v>
      </c>
      <c r="B92" t="s">
        <v>3775</v>
      </c>
      <c r="C92" t="s">
        <v>1350</v>
      </c>
      <c r="D92">
        <v>2012</v>
      </c>
      <c r="E92" t="s">
        <v>3776</v>
      </c>
      <c r="F92" t="s">
        <v>3356</v>
      </c>
    </row>
    <row r="93" spans="1:6">
      <c r="A93" t="s">
        <v>4001</v>
      </c>
      <c r="B93" t="s">
        <v>4002</v>
      </c>
      <c r="C93" t="s">
        <v>1516</v>
      </c>
      <c r="D93">
        <v>2012</v>
      </c>
      <c r="E93" t="s">
        <v>4003</v>
      </c>
      <c r="F93" t="s">
        <v>3948</v>
      </c>
    </row>
    <row r="94" spans="1:6">
      <c r="A94" t="s">
        <v>4164</v>
      </c>
      <c r="B94" t="s">
        <v>4165</v>
      </c>
      <c r="C94" t="s">
        <v>90</v>
      </c>
      <c r="D94">
        <v>2013</v>
      </c>
      <c r="E94" t="s">
        <v>4166</v>
      </c>
      <c r="F94" t="s">
        <v>3948</v>
      </c>
    </row>
    <row r="95" spans="1:6">
      <c r="A95" t="s">
        <v>2225</v>
      </c>
      <c r="B95" t="s">
        <v>2226</v>
      </c>
      <c r="C95" t="s">
        <v>1568</v>
      </c>
      <c r="D95">
        <v>2012</v>
      </c>
      <c r="E95" t="s">
        <v>2227</v>
      </c>
      <c r="F95" t="s">
        <v>2142</v>
      </c>
    </row>
    <row r="96" spans="1:6">
      <c r="A96" t="s">
        <v>3427</v>
      </c>
      <c r="B96" t="s">
        <v>3428</v>
      </c>
      <c r="C96" t="s">
        <v>72</v>
      </c>
      <c r="D96">
        <v>2013</v>
      </c>
      <c r="E96" t="s">
        <v>3429</v>
      </c>
      <c r="F96" t="s">
        <v>3356</v>
      </c>
    </row>
    <row r="97" spans="1:6">
      <c r="A97" t="s">
        <v>3793</v>
      </c>
      <c r="B97" t="s">
        <v>3794</v>
      </c>
      <c r="C97" t="s">
        <v>1322</v>
      </c>
      <c r="D97">
        <v>2013</v>
      </c>
      <c r="E97" t="s">
        <v>3795</v>
      </c>
      <c r="F97" t="s">
        <v>3356</v>
      </c>
    </row>
    <row r="98" spans="1:6">
      <c r="A98" t="s">
        <v>4577</v>
      </c>
      <c r="B98" t="s">
        <v>4442</v>
      </c>
      <c r="C98" t="s">
        <v>585</v>
      </c>
      <c r="D98">
        <v>2013</v>
      </c>
      <c r="E98" t="s">
        <v>4443</v>
      </c>
      <c r="F98" t="s">
        <v>3948</v>
      </c>
    </row>
    <row r="99" spans="1:6">
      <c r="A99" t="s">
        <v>2284</v>
      </c>
      <c r="B99" t="s">
        <v>2285</v>
      </c>
      <c r="C99" t="s">
        <v>238</v>
      </c>
      <c r="D99">
        <v>2012</v>
      </c>
      <c r="E99" t="s">
        <v>2286</v>
      </c>
      <c r="F99" t="s">
        <v>2142</v>
      </c>
    </row>
    <row r="100" spans="1:6">
      <c r="A100" t="s">
        <v>4253</v>
      </c>
      <c r="B100" t="s">
        <v>4254</v>
      </c>
      <c r="C100" t="s">
        <v>90</v>
      </c>
      <c r="D100">
        <v>2013</v>
      </c>
      <c r="E100" t="s">
        <v>4255</v>
      </c>
      <c r="F100" t="s">
        <v>3948</v>
      </c>
    </row>
    <row r="101" spans="1:6">
      <c r="A101" t="s">
        <v>3786</v>
      </c>
      <c r="B101" t="s">
        <v>3787</v>
      </c>
      <c r="C101" t="s">
        <v>1568</v>
      </c>
      <c r="D101">
        <v>2011</v>
      </c>
      <c r="E101" t="s">
        <v>3788</v>
      </c>
      <c r="F101" t="s">
        <v>3356</v>
      </c>
    </row>
    <row r="102" spans="1:6">
      <c r="A102" t="s">
        <v>2949</v>
      </c>
      <c r="B102" t="s">
        <v>2950</v>
      </c>
      <c r="C102" t="s">
        <v>2951</v>
      </c>
      <c r="D102">
        <v>2012</v>
      </c>
      <c r="E102" t="s">
        <v>2952</v>
      </c>
      <c r="F102" t="s">
        <v>2757</v>
      </c>
    </row>
    <row r="103" spans="1:6">
      <c r="A103" t="s">
        <v>4321</v>
      </c>
      <c r="B103" t="s">
        <v>4322</v>
      </c>
      <c r="C103" t="s">
        <v>2761</v>
      </c>
      <c r="D103">
        <v>2013</v>
      </c>
      <c r="E103" t="s">
        <v>4323</v>
      </c>
      <c r="F103" t="s">
        <v>3948</v>
      </c>
    </row>
    <row r="104" spans="1:6">
      <c r="A104" t="s">
        <v>2745</v>
      </c>
      <c r="B104" t="s">
        <v>2746</v>
      </c>
      <c r="C104" t="s">
        <v>575</v>
      </c>
      <c r="D104">
        <v>2013</v>
      </c>
      <c r="E104" t="s">
        <v>2747</v>
      </c>
      <c r="F104" t="s">
        <v>2142</v>
      </c>
    </row>
    <row r="105" spans="1:6">
      <c r="A105" t="s">
        <v>3568</v>
      </c>
      <c r="B105" t="s">
        <v>3569</v>
      </c>
      <c r="C105" t="s">
        <v>270</v>
      </c>
      <c r="D105">
        <v>2012</v>
      </c>
      <c r="E105" t="s">
        <v>3570</v>
      </c>
      <c r="F105" t="s">
        <v>3356</v>
      </c>
    </row>
    <row r="106" spans="1:6">
      <c r="A106" t="s">
        <v>3046</v>
      </c>
      <c r="B106" t="s">
        <v>4578</v>
      </c>
      <c r="C106" t="s">
        <v>315</v>
      </c>
      <c r="D106">
        <v>2013</v>
      </c>
      <c r="E106" t="s">
        <v>3047</v>
      </c>
      <c r="F106" t="s">
        <v>2757</v>
      </c>
    </row>
    <row r="107" spans="1:6">
      <c r="A107" t="s">
        <v>3433</v>
      </c>
      <c r="B107" t="s">
        <v>3434</v>
      </c>
      <c r="C107" t="s">
        <v>1608</v>
      </c>
      <c r="D107">
        <v>2012</v>
      </c>
      <c r="E107" t="s">
        <v>3435</v>
      </c>
      <c r="F107" t="s">
        <v>3356</v>
      </c>
    </row>
    <row r="108" spans="1:6">
      <c r="A108" t="s">
        <v>2843</v>
      </c>
      <c r="B108" t="s">
        <v>2844</v>
      </c>
      <c r="C108" t="s">
        <v>2845</v>
      </c>
      <c r="D108">
        <v>2013</v>
      </c>
      <c r="E108" t="s">
        <v>2846</v>
      </c>
      <c r="F108" t="s">
        <v>2757</v>
      </c>
    </row>
    <row r="109" spans="1:6">
      <c r="A109" t="s">
        <v>3614</v>
      </c>
      <c r="B109" t="s">
        <v>3615</v>
      </c>
      <c r="C109" t="s">
        <v>2433</v>
      </c>
      <c r="D109">
        <v>2012</v>
      </c>
      <c r="E109" t="s">
        <v>3616</v>
      </c>
      <c r="F109" t="s">
        <v>3356</v>
      </c>
    </row>
    <row r="110" spans="1:6">
      <c r="A110" t="s">
        <v>3525</v>
      </c>
      <c r="B110" t="s">
        <v>1203</v>
      </c>
      <c r="C110" t="s">
        <v>11</v>
      </c>
      <c r="D110">
        <v>2013</v>
      </c>
      <c r="E110" t="s">
        <v>3526</v>
      </c>
      <c r="F110" t="s">
        <v>3356</v>
      </c>
    </row>
    <row r="111" spans="1:6">
      <c r="A111" t="s">
        <v>2710</v>
      </c>
      <c r="B111" t="s">
        <v>2711</v>
      </c>
      <c r="C111" t="s">
        <v>90</v>
      </c>
      <c r="D111">
        <v>2013</v>
      </c>
      <c r="E111" t="s">
        <v>2712</v>
      </c>
      <c r="F111" t="s">
        <v>2142</v>
      </c>
    </row>
    <row r="112" spans="1:6">
      <c r="A112" t="s">
        <v>3051</v>
      </c>
      <c r="B112" t="s">
        <v>3052</v>
      </c>
      <c r="C112" t="s">
        <v>2916</v>
      </c>
      <c r="D112">
        <v>2012</v>
      </c>
      <c r="E112" t="s">
        <v>3053</v>
      </c>
      <c r="F112" t="s">
        <v>2757</v>
      </c>
    </row>
    <row r="113" spans="1:6">
      <c r="A113" t="s">
        <v>3842</v>
      </c>
      <c r="B113" t="s">
        <v>3843</v>
      </c>
      <c r="C113" t="s">
        <v>3844</v>
      </c>
      <c r="D113">
        <v>2012</v>
      </c>
      <c r="E113" t="s">
        <v>3845</v>
      </c>
      <c r="F113" t="s">
        <v>3356</v>
      </c>
    </row>
    <row r="114" spans="1:6">
      <c r="A114" t="s">
        <v>4355</v>
      </c>
      <c r="B114" t="s">
        <v>4356</v>
      </c>
      <c r="C114" t="s">
        <v>90</v>
      </c>
      <c r="D114">
        <v>2013</v>
      </c>
      <c r="E114" t="s">
        <v>4357</v>
      </c>
      <c r="F114" t="s">
        <v>3948</v>
      </c>
    </row>
    <row r="115" spans="1:6">
      <c r="A115" t="s">
        <v>3648</v>
      </c>
      <c r="B115" t="s">
        <v>3649</v>
      </c>
      <c r="C115" t="s">
        <v>3650</v>
      </c>
      <c r="D115">
        <v>2013</v>
      </c>
      <c r="E115" t="s">
        <v>3651</v>
      </c>
      <c r="F115" t="s">
        <v>3356</v>
      </c>
    </row>
    <row r="116" spans="1:6">
      <c r="A116" t="s">
        <v>2259</v>
      </c>
      <c r="B116" t="s">
        <v>2260</v>
      </c>
      <c r="C116" t="s">
        <v>90</v>
      </c>
      <c r="D116">
        <v>2012</v>
      </c>
      <c r="E116" t="s">
        <v>2261</v>
      </c>
      <c r="F116" t="s">
        <v>2142</v>
      </c>
    </row>
    <row r="117" spans="1:6">
      <c r="A117" t="s">
        <v>3168</v>
      </c>
      <c r="B117" t="s">
        <v>3169</v>
      </c>
      <c r="C117" t="s">
        <v>353</v>
      </c>
      <c r="D117">
        <v>2013</v>
      </c>
      <c r="E117" t="s">
        <v>3170</v>
      </c>
      <c r="F117" t="s">
        <v>2757</v>
      </c>
    </row>
    <row r="118" spans="1:6">
      <c r="A118" t="s">
        <v>4150</v>
      </c>
      <c r="B118" t="s">
        <v>4151</v>
      </c>
      <c r="C118" t="s">
        <v>170</v>
      </c>
      <c r="D118">
        <v>2013</v>
      </c>
      <c r="E118" t="s">
        <v>4152</v>
      </c>
      <c r="F118" t="s">
        <v>3948</v>
      </c>
    </row>
    <row r="119" spans="1:6">
      <c r="A119" t="s">
        <v>2969</v>
      </c>
      <c r="B119" t="s">
        <v>2970</v>
      </c>
      <c r="C119" t="s">
        <v>199</v>
      </c>
      <c r="D119">
        <v>2011</v>
      </c>
      <c r="E119" t="s">
        <v>2971</v>
      </c>
      <c r="F119" t="s">
        <v>2757</v>
      </c>
    </row>
    <row r="120" spans="1:6">
      <c r="A120" t="s">
        <v>4203</v>
      </c>
      <c r="B120" t="s">
        <v>4204</v>
      </c>
      <c r="C120" t="s">
        <v>170</v>
      </c>
      <c r="D120">
        <v>2012</v>
      </c>
      <c r="E120" t="s">
        <v>4205</v>
      </c>
      <c r="F120" t="s">
        <v>3948</v>
      </c>
    </row>
    <row r="121" spans="1:6">
      <c r="A121" t="s">
        <v>2856</v>
      </c>
      <c r="B121" t="s">
        <v>2857</v>
      </c>
      <c r="C121" t="s">
        <v>27</v>
      </c>
      <c r="D121">
        <v>2012</v>
      </c>
      <c r="E121" t="s">
        <v>2858</v>
      </c>
      <c r="F121" t="s">
        <v>2757</v>
      </c>
    </row>
    <row r="122" spans="1:6">
      <c r="A122" t="s">
        <v>1483</v>
      </c>
      <c r="B122" t="s">
        <v>1484</v>
      </c>
      <c r="C122" t="s">
        <v>353</v>
      </c>
      <c r="D122">
        <v>2008</v>
      </c>
      <c r="E122" t="s">
        <v>1485</v>
      </c>
      <c r="F122" t="s">
        <v>1328</v>
      </c>
    </row>
    <row r="123" spans="1:6">
      <c r="A123" t="s">
        <v>3153</v>
      </c>
      <c r="B123" t="s">
        <v>3154</v>
      </c>
      <c r="C123" t="s">
        <v>1925</v>
      </c>
      <c r="D123">
        <v>2012</v>
      </c>
      <c r="E123" t="s">
        <v>3155</v>
      </c>
      <c r="F123" t="s">
        <v>2757</v>
      </c>
    </row>
    <row r="124" spans="1:6">
      <c r="A124" t="s">
        <v>891</v>
      </c>
      <c r="B124" t="s">
        <v>892</v>
      </c>
      <c r="C124" t="s">
        <v>353</v>
      </c>
      <c r="D124">
        <v>2008</v>
      </c>
      <c r="E124" t="s">
        <v>893</v>
      </c>
      <c r="F124" t="s">
        <v>686</v>
      </c>
    </row>
    <row r="125" spans="1:6">
      <c r="A125" t="s">
        <v>4579</v>
      </c>
      <c r="B125" t="s">
        <v>4580</v>
      </c>
      <c r="C125" t="s">
        <v>1610</v>
      </c>
      <c r="D125">
        <v>2007</v>
      </c>
      <c r="E125" t="s">
        <v>1611</v>
      </c>
      <c r="F125" t="s">
        <v>1328</v>
      </c>
    </row>
    <row r="126" spans="1:6">
      <c r="A126" t="s">
        <v>2795</v>
      </c>
      <c r="B126" t="s">
        <v>2796</v>
      </c>
      <c r="C126" t="s">
        <v>353</v>
      </c>
      <c r="D126">
        <v>2011</v>
      </c>
      <c r="E126" t="s">
        <v>2797</v>
      </c>
      <c r="F126" t="s">
        <v>2757</v>
      </c>
    </row>
    <row r="127" spans="1:6">
      <c r="A127" t="s">
        <v>4581</v>
      </c>
      <c r="B127" t="s">
        <v>2404</v>
      </c>
      <c r="C127" t="s">
        <v>822</v>
      </c>
      <c r="D127">
        <v>2012</v>
      </c>
      <c r="E127" t="s">
        <v>2405</v>
      </c>
      <c r="F127" t="s">
        <v>2142</v>
      </c>
    </row>
    <row r="128" spans="1:6">
      <c r="A128" t="s">
        <v>3027</v>
      </c>
      <c r="B128" t="s">
        <v>3028</v>
      </c>
      <c r="C128" t="s">
        <v>27</v>
      </c>
      <c r="D128">
        <v>2012</v>
      </c>
      <c r="E128" t="s">
        <v>3029</v>
      </c>
      <c r="F128" t="s">
        <v>2757</v>
      </c>
    </row>
    <row r="129" spans="1:6">
      <c r="A129" t="s">
        <v>2742</v>
      </c>
      <c r="B129" t="s">
        <v>2743</v>
      </c>
      <c r="C129" t="s">
        <v>7</v>
      </c>
      <c r="D129">
        <v>2012</v>
      </c>
      <c r="E129" t="s">
        <v>2744</v>
      </c>
      <c r="F129" t="s">
        <v>2142</v>
      </c>
    </row>
    <row r="130" spans="1:6">
      <c r="A130" t="s">
        <v>3109</v>
      </c>
      <c r="B130" t="s">
        <v>3110</v>
      </c>
      <c r="C130" t="s">
        <v>353</v>
      </c>
      <c r="D130">
        <v>2012</v>
      </c>
      <c r="E130" t="s">
        <v>3111</v>
      </c>
      <c r="F130" t="s">
        <v>2757</v>
      </c>
    </row>
    <row r="131" spans="1:6">
      <c r="A131" t="s">
        <v>4368</v>
      </c>
      <c r="B131" t="s">
        <v>4369</v>
      </c>
      <c r="C131" t="s">
        <v>353</v>
      </c>
      <c r="D131">
        <v>2012</v>
      </c>
      <c r="E131" t="s">
        <v>4370</v>
      </c>
      <c r="F131" t="s">
        <v>3948</v>
      </c>
    </row>
    <row r="132" spans="1:6">
      <c r="A132" t="s">
        <v>4582</v>
      </c>
      <c r="B132" t="s">
        <v>1296</v>
      </c>
      <c r="C132" t="s">
        <v>1297</v>
      </c>
      <c r="D132">
        <v>2001</v>
      </c>
      <c r="E132" t="s">
        <v>1298</v>
      </c>
      <c r="F132" t="s">
        <v>686</v>
      </c>
    </row>
    <row r="133" spans="1:6">
      <c r="A133" t="s">
        <v>4583</v>
      </c>
      <c r="B133" t="s">
        <v>4584</v>
      </c>
      <c r="C133" t="s">
        <v>2052</v>
      </c>
      <c r="D133">
        <v>2007</v>
      </c>
      <c r="E133" t="s">
        <v>2053</v>
      </c>
      <c r="F133" t="s">
        <v>1917</v>
      </c>
    </row>
    <row r="134" spans="1:6">
      <c r="A134" t="s">
        <v>3451</v>
      </c>
      <c r="B134" t="s">
        <v>3452</v>
      </c>
      <c r="C134" t="s">
        <v>170</v>
      </c>
      <c r="D134">
        <v>2012</v>
      </c>
      <c r="E134" t="s">
        <v>3453</v>
      </c>
      <c r="F134" t="s">
        <v>3356</v>
      </c>
    </row>
    <row r="135" spans="1:6">
      <c r="A135" t="s">
        <v>2253</v>
      </c>
      <c r="B135" t="s">
        <v>2254</v>
      </c>
      <c r="C135" t="s">
        <v>27</v>
      </c>
      <c r="D135">
        <v>2012</v>
      </c>
      <c r="E135" t="s">
        <v>2255</v>
      </c>
      <c r="F135" t="s">
        <v>2142</v>
      </c>
    </row>
    <row r="136" spans="1:6">
      <c r="A136" t="s">
        <v>2818</v>
      </c>
      <c r="B136" t="s">
        <v>2819</v>
      </c>
      <c r="C136" t="s">
        <v>170</v>
      </c>
      <c r="D136">
        <v>2011</v>
      </c>
      <c r="E136" t="s">
        <v>2820</v>
      </c>
      <c r="F136" t="s">
        <v>2757</v>
      </c>
    </row>
    <row r="137" spans="1:6">
      <c r="A137" t="s">
        <v>4586</v>
      </c>
      <c r="B137" t="s">
        <v>821</v>
      </c>
      <c r="C137" t="s">
        <v>822</v>
      </c>
      <c r="D137">
        <v>2009</v>
      </c>
      <c r="E137" t="s">
        <v>824</v>
      </c>
      <c r="F137" t="s">
        <v>686</v>
      </c>
    </row>
    <row r="138" spans="1:6">
      <c r="A138" t="s">
        <v>4585</v>
      </c>
      <c r="B138" t="s">
        <v>821</v>
      </c>
      <c r="C138" t="s">
        <v>822</v>
      </c>
      <c r="D138">
        <v>2009</v>
      </c>
      <c r="E138" t="s">
        <v>823</v>
      </c>
      <c r="F138" t="s">
        <v>686</v>
      </c>
    </row>
    <row r="139" spans="1:6">
      <c r="A139" t="s">
        <v>4587</v>
      </c>
      <c r="B139" t="s">
        <v>4588</v>
      </c>
      <c r="C139" t="s">
        <v>2052</v>
      </c>
      <c r="D139">
        <v>2009</v>
      </c>
      <c r="E139" t="s">
        <v>2064</v>
      </c>
      <c r="F139" t="s">
        <v>1917</v>
      </c>
    </row>
    <row r="140" spans="1:6">
      <c r="A140" t="s">
        <v>1433</v>
      </c>
      <c r="B140" t="s">
        <v>1434</v>
      </c>
      <c r="C140" t="s">
        <v>353</v>
      </c>
      <c r="D140">
        <v>2010</v>
      </c>
      <c r="E140" t="s">
        <v>1435</v>
      </c>
      <c r="F140" t="s">
        <v>1328</v>
      </c>
    </row>
    <row r="141" spans="1:6">
      <c r="A141" t="s">
        <v>2588</v>
      </c>
      <c r="B141" t="s">
        <v>2589</v>
      </c>
      <c r="C141" t="s">
        <v>2590</v>
      </c>
      <c r="D141">
        <v>2011</v>
      </c>
      <c r="E141" t="s">
        <v>2591</v>
      </c>
      <c r="F141" t="s">
        <v>2142</v>
      </c>
    </row>
    <row r="142" spans="1:6">
      <c r="A142" t="s">
        <v>694</v>
      </c>
      <c r="B142" t="s">
        <v>695</v>
      </c>
      <c r="C142" t="s">
        <v>684</v>
      </c>
      <c r="D142">
        <v>2005</v>
      </c>
      <c r="E142" t="s">
        <v>696</v>
      </c>
      <c r="F142" t="s">
        <v>686</v>
      </c>
    </row>
    <row r="143" spans="1:6">
      <c r="A143" t="s">
        <v>3283</v>
      </c>
      <c r="B143" t="s">
        <v>3284</v>
      </c>
      <c r="C143" t="s">
        <v>1326</v>
      </c>
      <c r="D143">
        <v>2012</v>
      </c>
      <c r="E143" t="s">
        <v>3285</v>
      </c>
      <c r="F143" t="s">
        <v>2757</v>
      </c>
    </row>
    <row r="144" spans="1:6">
      <c r="A144" t="s">
        <v>2384</v>
      </c>
      <c r="B144" t="s">
        <v>2385</v>
      </c>
      <c r="C144" t="s">
        <v>353</v>
      </c>
      <c r="D144">
        <v>2011</v>
      </c>
      <c r="E144" t="s">
        <v>2386</v>
      </c>
      <c r="F144" t="s">
        <v>2142</v>
      </c>
    </row>
    <row r="145" spans="1:6">
      <c r="A145" t="s">
        <v>3945</v>
      </c>
      <c r="B145" t="s">
        <v>3946</v>
      </c>
      <c r="C145" t="s">
        <v>353</v>
      </c>
      <c r="D145">
        <v>2011</v>
      </c>
      <c r="E145" t="s">
        <v>3947</v>
      </c>
      <c r="F145" t="s">
        <v>3948</v>
      </c>
    </row>
    <row r="146" spans="1:6">
      <c r="A146" t="s">
        <v>1537</v>
      </c>
      <c r="B146" t="s">
        <v>1538</v>
      </c>
      <c r="C146" t="s">
        <v>238</v>
      </c>
      <c r="D146">
        <v>2007</v>
      </c>
      <c r="E146" t="s">
        <v>1539</v>
      </c>
      <c r="F146" t="s">
        <v>1328</v>
      </c>
    </row>
    <row r="147" spans="1:6">
      <c r="A147" t="s">
        <v>3439</v>
      </c>
      <c r="B147" t="s">
        <v>3440</v>
      </c>
      <c r="C147" t="s">
        <v>1026</v>
      </c>
      <c r="D147">
        <v>2011</v>
      </c>
      <c r="E147" t="s">
        <v>3441</v>
      </c>
      <c r="F147" t="s">
        <v>3356</v>
      </c>
    </row>
    <row r="148" spans="1:6">
      <c r="A148" t="s">
        <v>4589</v>
      </c>
      <c r="B148" t="s">
        <v>4590</v>
      </c>
      <c r="C148" t="s">
        <v>585</v>
      </c>
      <c r="D148">
        <v>2011</v>
      </c>
      <c r="E148" t="s">
        <v>4422</v>
      </c>
      <c r="F148" t="s">
        <v>3948</v>
      </c>
    </row>
    <row r="149" spans="1:6">
      <c r="A149" t="s">
        <v>4549</v>
      </c>
      <c r="B149" t="s">
        <v>4550</v>
      </c>
      <c r="C149" t="s">
        <v>238</v>
      </c>
      <c r="D149">
        <v>2012</v>
      </c>
      <c r="E149" t="s">
        <v>4551</v>
      </c>
      <c r="F149" t="s">
        <v>4493</v>
      </c>
    </row>
    <row r="150" spans="1:6">
      <c r="A150" t="s">
        <v>3716</v>
      </c>
      <c r="B150" t="s">
        <v>3717</v>
      </c>
      <c r="C150" t="s">
        <v>238</v>
      </c>
      <c r="D150">
        <v>2012</v>
      </c>
      <c r="E150" t="s">
        <v>3718</v>
      </c>
      <c r="F150" t="s">
        <v>3356</v>
      </c>
    </row>
    <row r="151" spans="1:6">
      <c r="A151" t="s">
        <v>1076</v>
      </c>
      <c r="B151" t="s">
        <v>1077</v>
      </c>
      <c r="C151" t="s">
        <v>170</v>
      </c>
      <c r="D151">
        <v>2010</v>
      </c>
      <c r="E151" t="s">
        <v>1078</v>
      </c>
      <c r="F151" t="s">
        <v>686</v>
      </c>
    </row>
    <row r="152" spans="1:6">
      <c r="A152" t="s">
        <v>4393</v>
      </c>
      <c r="B152" t="s">
        <v>4394</v>
      </c>
      <c r="C152" t="s">
        <v>353</v>
      </c>
      <c r="D152">
        <v>2012</v>
      </c>
      <c r="E152" t="s">
        <v>4395</v>
      </c>
      <c r="F152" t="s">
        <v>3948</v>
      </c>
    </row>
    <row r="153" spans="1:6">
      <c r="A153" t="s">
        <v>4591</v>
      </c>
      <c r="B153" t="s">
        <v>4459</v>
      </c>
      <c r="C153" t="s">
        <v>2052</v>
      </c>
      <c r="D153">
        <v>2011</v>
      </c>
      <c r="E153" t="s">
        <v>4460</v>
      </c>
      <c r="F153" t="s">
        <v>3948</v>
      </c>
    </row>
    <row r="154" spans="1:6">
      <c r="A154" t="s">
        <v>1719</v>
      </c>
      <c r="B154" t="s">
        <v>1720</v>
      </c>
      <c r="C154" t="s">
        <v>353</v>
      </c>
      <c r="D154">
        <v>2007</v>
      </c>
      <c r="E154" t="s">
        <v>1721</v>
      </c>
      <c r="F154" t="s">
        <v>1328</v>
      </c>
    </row>
    <row r="155" spans="1:6">
      <c r="A155" t="s">
        <v>755</v>
      </c>
      <c r="B155" t="s">
        <v>756</v>
      </c>
      <c r="C155" t="s">
        <v>757</v>
      </c>
      <c r="D155">
        <v>2008</v>
      </c>
      <c r="E155" t="s">
        <v>758</v>
      </c>
      <c r="F155" t="s">
        <v>686</v>
      </c>
    </row>
    <row r="156" spans="1:6">
      <c r="A156" t="s">
        <v>1897</v>
      </c>
      <c r="B156" t="s">
        <v>1898</v>
      </c>
      <c r="C156" t="s">
        <v>1326</v>
      </c>
      <c r="D156">
        <v>2008</v>
      </c>
      <c r="E156" t="s">
        <v>1899</v>
      </c>
      <c r="F156" t="s">
        <v>1328</v>
      </c>
    </row>
    <row r="157" spans="1:6">
      <c r="A157" t="s">
        <v>2094</v>
      </c>
      <c r="B157" t="s">
        <v>2095</v>
      </c>
      <c r="C157" t="s">
        <v>353</v>
      </c>
      <c r="D157">
        <v>2007</v>
      </c>
      <c r="E157" t="s">
        <v>2096</v>
      </c>
      <c r="F157" t="s">
        <v>1917</v>
      </c>
    </row>
    <row r="158" spans="1:6">
      <c r="A158" t="s">
        <v>1118</v>
      </c>
      <c r="B158" t="s">
        <v>1119</v>
      </c>
      <c r="C158" t="s">
        <v>170</v>
      </c>
      <c r="D158">
        <v>2009</v>
      </c>
      <c r="E158" t="s">
        <v>1120</v>
      </c>
      <c r="F158" t="s">
        <v>686</v>
      </c>
    </row>
    <row r="159" spans="1:6">
      <c r="A159" t="s">
        <v>236</v>
      </c>
      <c r="B159" t="s">
        <v>237</v>
      </c>
      <c r="C159" t="s">
        <v>238</v>
      </c>
      <c r="D159">
        <v>1999</v>
      </c>
      <c r="E159" t="s">
        <v>239</v>
      </c>
      <c r="F159" t="s">
        <v>4</v>
      </c>
    </row>
    <row r="160" spans="1:6">
      <c r="A160" t="s">
        <v>687</v>
      </c>
      <c r="B160" t="s">
        <v>688</v>
      </c>
      <c r="C160" t="s">
        <v>353</v>
      </c>
      <c r="D160">
        <v>2007</v>
      </c>
      <c r="E160" t="s">
        <v>689</v>
      </c>
      <c r="F160" t="s">
        <v>686</v>
      </c>
    </row>
    <row r="161" spans="1:6">
      <c r="A161" t="s">
        <v>351</v>
      </c>
      <c r="B161" t="s">
        <v>352</v>
      </c>
      <c r="C161" t="s">
        <v>353</v>
      </c>
      <c r="D161">
        <v>2009</v>
      </c>
      <c r="E161" t="s">
        <v>354</v>
      </c>
      <c r="F161" t="s">
        <v>4</v>
      </c>
    </row>
    <row r="162" spans="1:6">
      <c r="A162" t="s">
        <v>1522</v>
      </c>
      <c r="B162" t="s">
        <v>1523</v>
      </c>
      <c r="C162" t="s">
        <v>353</v>
      </c>
      <c r="D162">
        <v>2007</v>
      </c>
      <c r="E162" t="s">
        <v>1524</v>
      </c>
      <c r="F162" t="s">
        <v>1328</v>
      </c>
    </row>
    <row r="163" spans="1:6">
      <c r="A163" t="s">
        <v>2000</v>
      </c>
      <c r="B163" t="s">
        <v>321</v>
      </c>
      <c r="C163" t="s">
        <v>516</v>
      </c>
      <c r="D163">
        <v>1998</v>
      </c>
      <c r="E163" t="s">
        <v>2001</v>
      </c>
      <c r="F163" t="s">
        <v>1917</v>
      </c>
    </row>
    <row r="164" spans="1:6">
      <c r="A164" t="s">
        <v>3226</v>
      </c>
      <c r="B164" t="s">
        <v>3227</v>
      </c>
      <c r="C164" t="s">
        <v>170</v>
      </c>
      <c r="D164">
        <v>2012</v>
      </c>
      <c r="E164" t="s">
        <v>3228</v>
      </c>
      <c r="F164" t="s">
        <v>2757</v>
      </c>
    </row>
    <row r="165" spans="1:6">
      <c r="A165" t="s">
        <v>4371</v>
      </c>
      <c r="B165" t="s">
        <v>4372</v>
      </c>
      <c r="C165" t="s">
        <v>1925</v>
      </c>
      <c r="D165">
        <v>2012</v>
      </c>
      <c r="E165" t="s">
        <v>4373</v>
      </c>
      <c r="F165" t="s">
        <v>3948</v>
      </c>
    </row>
    <row r="166" spans="1:6">
      <c r="A166" t="s">
        <v>1452</v>
      </c>
      <c r="B166" t="s">
        <v>1453</v>
      </c>
      <c r="C166" t="s">
        <v>353</v>
      </c>
      <c r="D166">
        <v>2008</v>
      </c>
      <c r="E166" t="s">
        <v>1454</v>
      </c>
      <c r="F166" t="s">
        <v>1328</v>
      </c>
    </row>
    <row r="167" spans="1:6">
      <c r="A167" t="s">
        <v>3604</v>
      </c>
      <c r="B167" t="s">
        <v>4592</v>
      </c>
      <c r="C167" t="s">
        <v>353</v>
      </c>
      <c r="D167">
        <v>2011</v>
      </c>
      <c r="E167" t="s">
        <v>3605</v>
      </c>
      <c r="F167" t="s">
        <v>3356</v>
      </c>
    </row>
    <row r="168" spans="1:6">
      <c r="A168" t="s">
        <v>854</v>
      </c>
      <c r="B168" t="s">
        <v>855</v>
      </c>
      <c r="C168" t="s">
        <v>856</v>
      </c>
      <c r="D168">
        <v>2009</v>
      </c>
      <c r="E168" t="s">
        <v>857</v>
      </c>
      <c r="F168" t="s">
        <v>686</v>
      </c>
    </row>
    <row r="169" spans="1:6">
      <c r="A169" t="s">
        <v>4593</v>
      </c>
      <c r="B169" t="s">
        <v>4594</v>
      </c>
      <c r="C169" t="s">
        <v>4514</v>
      </c>
      <c r="D169">
        <v>2013</v>
      </c>
      <c r="E169" t="s">
        <v>4515</v>
      </c>
      <c r="F169" t="s">
        <v>4493</v>
      </c>
    </row>
    <row r="170" spans="1:6">
      <c r="A170" t="s">
        <v>4087</v>
      </c>
      <c r="B170" t="s">
        <v>4088</v>
      </c>
      <c r="C170" t="s">
        <v>1326</v>
      </c>
      <c r="D170">
        <v>2013</v>
      </c>
      <c r="E170" t="s">
        <v>4089</v>
      </c>
      <c r="F170" t="s">
        <v>3948</v>
      </c>
    </row>
    <row r="171" spans="1:6">
      <c r="A171" t="s">
        <v>4595</v>
      </c>
      <c r="B171" t="s">
        <v>4505</v>
      </c>
      <c r="C171" t="s">
        <v>2550</v>
      </c>
      <c r="D171">
        <v>2012</v>
      </c>
      <c r="E171" t="s">
        <v>4506</v>
      </c>
      <c r="F171" t="s">
        <v>4493</v>
      </c>
    </row>
    <row r="172" spans="1:6">
      <c r="A172" t="s">
        <v>2210</v>
      </c>
      <c r="B172" t="s">
        <v>2211</v>
      </c>
      <c r="C172" t="s">
        <v>170</v>
      </c>
      <c r="D172">
        <v>2013</v>
      </c>
      <c r="E172" t="s">
        <v>2212</v>
      </c>
      <c r="F172" t="s">
        <v>2142</v>
      </c>
    </row>
    <row r="173" spans="1:6">
      <c r="A173" t="s">
        <v>3112</v>
      </c>
      <c r="B173" t="s">
        <v>3113</v>
      </c>
      <c r="C173" t="s">
        <v>353</v>
      </c>
      <c r="D173">
        <v>2013</v>
      </c>
      <c r="E173" t="s">
        <v>3114</v>
      </c>
      <c r="F173" t="s">
        <v>2757</v>
      </c>
    </row>
    <row r="174" spans="1:6">
      <c r="A174" t="s">
        <v>1324</v>
      </c>
      <c r="B174" t="s">
        <v>1325</v>
      </c>
      <c r="C174" t="s">
        <v>1326</v>
      </c>
      <c r="D174">
        <v>2009</v>
      </c>
      <c r="E174" t="s">
        <v>1327</v>
      </c>
      <c r="F174" t="s">
        <v>1328</v>
      </c>
    </row>
    <row r="175" spans="1:6">
      <c r="A175" t="s">
        <v>3189</v>
      </c>
      <c r="B175" t="s">
        <v>3190</v>
      </c>
      <c r="C175" t="s">
        <v>170</v>
      </c>
      <c r="D175">
        <v>2012</v>
      </c>
      <c r="E175" t="s">
        <v>3191</v>
      </c>
      <c r="F175" t="s">
        <v>2757</v>
      </c>
    </row>
    <row r="176" spans="1:6">
      <c r="A176" t="s">
        <v>2042</v>
      </c>
      <c r="B176" t="s">
        <v>2043</v>
      </c>
      <c r="C176" t="s">
        <v>353</v>
      </c>
      <c r="D176">
        <v>2010</v>
      </c>
      <c r="E176" t="s">
        <v>2044</v>
      </c>
      <c r="F176" t="s">
        <v>1917</v>
      </c>
    </row>
    <row r="177" spans="1:6">
      <c r="A177" t="s">
        <v>4128</v>
      </c>
      <c r="B177" t="s">
        <v>4129</v>
      </c>
      <c r="C177" t="s">
        <v>7</v>
      </c>
      <c r="D177">
        <v>2012</v>
      </c>
      <c r="E177" t="s">
        <v>4130</v>
      </c>
      <c r="F177" t="s">
        <v>3948</v>
      </c>
    </row>
    <row r="178" spans="1:6">
      <c r="A178" t="s">
        <v>1018</v>
      </c>
      <c r="B178" t="s">
        <v>1019</v>
      </c>
      <c r="C178" t="s">
        <v>353</v>
      </c>
      <c r="D178">
        <v>2007</v>
      </c>
      <c r="E178" t="s">
        <v>1020</v>
      </c>
      <c r="F178" t="s">
        <v>686</v>
      </c>
    </row>
    <row r="179" spans="1:6">
      <c r="A179" t="s">
        <v>1352</v>
      </c>
      <c r="B179" t="s">
        <v>1353</v>
      </c>
      <c r="C179" t="s">
        <v>822</v>
      </c>
      <c r="D179">
        <v>2007</v>
      </c>
      <c r="E179" t="s">
        <v>1354</v>
      </c>
      <c r="F179" t="s">
        <v>1328</v>
      </c>
    </row>
    <row r="180" spans="1:6">
      <c r="A180" t="s">
        <v>2346</v>
      </c>
      <c r="B180" t="s">
        <v>2347</v>
      </c>
      <c r="C180" t="s">
        <v>7</v>
      </c>
      <c r="D180">
        <v>2012</v>
      </c>
      <c r="E180" t="s">
        <v>2348</v>
      </c>
      <c r="F180" t="s">
        <v>2142</v>
      </c>
    </row>
    <row r="181" spans="1:6">
      <c r="A181" t="s">
        <v>3587</v>
      </c>
      <c r="B181" t="s">
        <v>3588</v>
      </c>
      <c r="C181" t="s">
        <v>7</v>
      </c>
      <c r="D181">
        <v>2013</v>
      </c>
      <c r="E181" t="s">
        <v>3589</v>
      </c>
      <c r="F181" t="s">
        <v>3356</v>
      </c>
    </row>
    <row r="182" spans="1:6">
      <c r="A182" t="s">
        <v>4596</v>
      </c>
      <c r="B182" t="s">
        <v>4327</v>
      </c>
      <c r="C182" t="s">
        <v>585</v>
      </c>
      <c r="D182">
        <v>2012</v>
      </c>
      <c r="E182" t="s">
        <v>4328</v>
      </c>
      <c r="F182" t="s">
        <v>3948</v>
      </c>
    </row>
    <row r="183" spans="1:6">
      <c r="A183" t="s">
        <v>4004</v>
      </c>
      <c r="B183" t="s">
        <v>4005</v>
      </c>
      <c r="C183" t="s">
        <v>353</v>
      </c>
      <c r="D183">
        <v>2011</v>
      </c>
      <c r="E183" t="s">
        <v>4006</v>
      </c>
      <c r="F183" t="s">
        <v>3948</v>
      </c>
    </row>
    <row r="184" spans="1:6">
      <c r="A184" t="s">
        <v>3387</v>
      </c>
      <c r="B184" t="s">
        <v>3388</v>
      </c>
      <c r="C184" t="s">
        <v>7</v>
      </c>
      <c r="D184">
        <v>2013</v>
      </c>
      <c r="E184" t="s">
        <v>3389</v>
      </c>
      <c r="F184" t="s">
        <v>3356</v>
      </c>
    </row>
    <row r="185" spans="1:6">
      <c r="A185" t="s">
        <v>1534</v>
      </c>
      <c r="B185" t="s">
        <v>1535</v>
      </c>
      <c r="C185" t="s">
        <v>353</v>
      </c>
      <c r="D185">
        <v>2010</v>
      </c>
      <c r="E185" t="s">
        <v>1536</v>
      </c>
      <c r="F185" t="s">
        <v>1328</v>
      </c>
    </row>
    <row r="186" spans="1:6">
      <c r="A186" t="s">
        <v>1024</v>
      </c>
      <c r="B186" t="s">
        <v>1025</v>
      </c>
      <c r="C186" t="s">
        <v>1026</v>
      </c>
      <c r="D186">
        <v>2010</v>
      </c>
      <c r="E186" t="s">
        <v>1027</v>
      </c>
      <c r="F186" t="s">
        <v>686</v>
      </c>
    </row>
    <row r="187" spans="1:6">
      <c r="A187" t="s">
        <v>1439</v>
      </c>
      <c r="B187" t="s">
        <v>4597</v>
      </c>
      <c r="C187" t="s">
        <v>353</v>
      </c>
      <c r="D187">
        <v>2007</v>
      </c>
      <c r="E187" t="s">
        <v>1440</v>
      </c>
      <c r="F187" t="s">
        <v>1328</v>
      </c>
    </row>
    <row r="188" spans="1:6">
      <c r="A188" t="s">
        <v>1371</v>
      </c>
      <c r="B188" t="s">
        <v>1372</v>
      </c>
      <c r="C188" t="s">
        <v>516</v>
      </c>
      <c r="D188">
        <v>2009</v>
      </c>
      <c r="E188" t="s">
        <v>1373</v>
      </c>
      <c r="F188" t="s">
        <v>1328</v>
      </c>
    </row>
    <row r="189" spans="1:6">
      <c r="A189" t="s">
        <v>3138</v>
      </c>
      <c r="B189" t="s">
        <v>4598</v>
      </c>
      <c r="C189" t="s">
        <v>7</v>
      </c>
      <c r="D189">
        <v>2013</v>
      </c>
      <c r="E189" t="s">
        <v>3139</v>
      </c>
      <c r="F189" t="s">
        <v>2757</v>
      </c>
    </row>
    <row r="190" spans="1:6">
      <c r="A190" t="s">
        <v>1423</v>
      </c>
      <c r="B190" t="s">
        <v>1424</v>
      </c>
      <c r="C190" t="s">
        <v>353</v>
      </c>
      <c r="D190">
        <v>2009</v>
      </c>
      <c r="E190" t="s">
        <v>1425</v>
      </c>
      <c r="F190" t="s">
        <v>1328</v>
      </c>
    </row>
    <row r="191" spans="1:6">
      <c r="A191" t="s">
        <v>231</v>
      </c>
      <c r="B191" t="s">
        <v>4599</v>
      </c>
      <c r="C191" t="s">
        <v>170</v>
      </c>
      <c r="D191">
        <v>2010</v>
      </c>
      <c r="E191" t="s">
        <v>232</v>
      </c>
      <c r="F191" t="s">
        <v>4</v>
      </c>
    </row>
    <row r="192" spans="1:6">
      <c r="A192" t="s">
        <v>4237</v>
      </c>
      <c r="B192" t="s">
        <v>4600</v>
      </c>
      <c r="C192" t="s">
        <v>526</v>
      </c>
      <c r="D192">
        <v>2012</v>
      </c>
      <c r="E192" t="s">
        <v>4238</v>
      </c>
      <c r="F192" t="s">
        <v>3948</v>
      </c>
    </row>
    <row r="193" spans="1:6">
      <c r="A193" t="s">
        <v>253</v>
      </c>
      <c r="B193" t="s">
        <v>254</v>
      </c>
      <c r="C193" t="s">
        <v>255</v>
      </c>
      <c r="D193">
        <v>2000</v>
      </c>
      <c r="E193" t="s">
        <v>256</v>
      </c>
      <c r="F193" t="s">
        <v>4</v>
      </c>
    </row>
    <row r="194" spans="1:6">
      <c r="A194" t="s">
        <v>1445</v>
      </c>
      <c r="B194" t="s">
        <v>1446</v>
      </c>
      <c r="C194" t="s">
        <v>353</v>
      </c>
      <c r="D194">
        <v>2007</v>
      </c>
      <c r="E194" t="s">
        <v>1447</v>
      </c>
      <c r="F194" t="s">
        <v>1328</v>
      </c>
    </row>
    <row r="195" spans="1:6">
      <c r="A195" t="s">
        <v>3011</v>
      </c>
      <c r="B195" t="s">
        <v>3012</v>
      </c>
      <c r="C195" t="s">
        <v>3013</v>
      </c>
      <c r="D195">
        <v>2011</v>
      </c>
      <c r="E195" t="s">
        <v>3014</v>
      </c>
      <c r="F195" t="s">
        <v>2757</v>
      </c>
    </row>
    <row r="196" spans="1:6">
      <c r="A196" t="s">
        <v>2562</v>
      </c>
      <c r="B196" t="s">
        <v>2563</v>
      </c>
      <c r="C196" t="s">
        <v>170</v>
      </c>
      <c r="D196">
        <v>2011</v>
      </c>
      <c r="E196" t="s">
        <v>2564</v>
      </c>
      <c r="F196" t="s">
        <v>2142</v>
      </c>
    </row>
    <row r="197" spans="1:6">
      <c r="A197" t="s">
        <v>4601</v>
      </c>
      <c r="B197" t="s">
        <v>4602</v>
      </c>
      <c r="C197" t="s">
        <v>822</v>
      </c>
      <c r="D197">
        <v>2007</v>
      </c>
      <c r="E197" t="s">
        <v>843</v>
      </c>
      <c r="F197" t="s">
        <v>686</v>
      </c>
    </row>
    <row r="198" spans="1:6">
      <c r="A198" t="s">
        <v>1046</v>
      </c>
      <c r="B198" t="s">
        <v>1047</v>
      </c>
      <c r="C198" t="s">
        <v>170</v>
      </c>
      <c r="D198">
        <v>2010</v>
      </c>
      <c r="E198" t="s">
        <v>1048</v>
      </c>
      <c r="F198" t="s">
        <v>686</v>
      </c>
    </row>
    <row r="199" spans="1:6">
      <c r="A199" t="s">
        <v>3915</v>
      </c>
      <c r="B199" t="s">
        <v>3916</v>
      </c>
      <c r="C199" t="s">
        <v>353</v>
      </c>
      <c r="D199">
        <v>2011</v>
      </c>
      <c r="E199" t="s">
        <v>3917</v>
      </c>
      <c r="F199" t="s">
        <v>3356</v>
      </c>
    </row>
    <row r="200" spans="1:6">
      <c r="A200" t="s">
        <v>3697</v>
      </c>
      <c r="B200" t="s">
        <v>3698</v>
      </c>
      <c r="C200" t="s">
        <v>170</v>
      </c>
      <c r="D200">
        <v>2012</v>
      </c>
      <c r="E200" t="s">
        <v>3699</v>
      </c>
      <c r="F200" t="s">
        <v>3356</v>
      </c>
    </row>
    <row r="201" spans="1:6">
      <c r="A201" t="s">
        <v>4603</v>
      </c>
      <c r="B201" t="s">
        <v>3789</v>
      </c>
      <c r="C201" t="s">
        <v>3790</v>
      </c>
      <c r="D201">
        <v>2012</v>
      </c>
      <c r="E201" t="s">
        <v>3791</v>
      </c>
      <c r="F201" t="s">
        <v>3356</v>
      </c>
    </row>
    <row r="202" spans="1:6">
      <c r="A202" t="s">
        <v>4109</v>
      </c>
      <c r="B202" t="s">
        <v>4110</v>
      </c>
      <c r="C202" t="s">
        <v>4111</v>
      </c>
      <c r="D202">
        <v>2012</v>
      </c>
      <c r="E202" t="s">
        <v>4112</v>
      </c>
      <c r="F202" t="s">
        <v>3948</v>
      </c>
    </row>
    <row r="203" spans="1:6">
      <c r="A203" t="s">
        <v>4330</v>
      </c>
      <c r="B203" t="s">
        <v>4331</v>
      </c>
      <c r="C203" t="s">
        <v>170</v>
      </c>
      <c r="D203">
        <v>2013</v>
      </c>
      <c r="E203" t="s">
        <v>4332</v>
      </c>
      <c r="F203" t="s">
        <v>3948</v>
      </c>
    </row>
    <row r="204" spans="1:6">
      <c r="A204" t="s">
        <v>168</v>
      </c>
      <c r="B204" t="s">
        <v>169</v>
      </c>
      <c r="C204" t="s">
        <v>170</v>
      </c>
      <c r="D204">
        <v>2010</v>
      </c>
      <c r="E204" t="s">
        <v>171</v>
      </c>
      <c r="F204" t="s">
        <v>4</v>
      </c>
    </row>
    <row r="205" spans="1:6">
      <c r="A205" t="s">
        <v>4604</v>
      </c>
      <c r="B205" t="s">
        <v>2809</v>
      </c>
      <c r="C205" t="s">
        <v>2027</v>
      </c>
      <c r="D205">
        <v>2011</v>
      </c>
      <c r="E205" t="s">
        <v>2810</v>
      </c>
      <c r="F205" t="s">
        <v>2757</v>
      </c>
    </row>
    <row r="206" spans="1:6">
      <c r="A206" t="s">
        <v>514</v>
      </c>
      <c r="B206" t="s">
        <v>515</v>
      </c>
      <c r="C206" t="s">
        <v>516</v>
      </c>
      <c r="D206">
        <v>2008</v>
      </c>
      <c r="E206" t="s">
        <v>517</v>
      </c>
      <c r="F206" t="s">
        <v>4</v>
      </c>
    </row>
    <row r="207" spans="1:6">
      <c r="A207" t="s">
        <v>3597</v>
      </c>
      <c r="B207" t="s">
        <v>3598</v>
      </c>
      <c r="C207" t="s">
        <v>1326</v>
      </c>
      <c r="D207">
        <v>2012</v>
      </c>
      <c r="E207" t="s">
        <v>3599</v>
      </c>
      <c r="F207" t="s">
        <v>3356</v>
      </c>
    </row>
    <row r="208" spans="1:6">
      <c r="A208" t="s">
        <v>4605</v>
      </c>
      <c r="B208" t="s">
        <v>4606</v>
      </c>
      <c r="C208" t="s">
        <v>2052</v>
      </c>
      <c r="D208">
        <v>2012</v>
      </c>
      <c r="E208" t="s">
        <v>3762</v>
      </c>
      <c r="F208" t="s">
        <v>3356</v>
      </c>
    </row>
    <row r="209" spans="1:6">
      <c r="A209" t="s">
        <v>4607</v>
      </c>
      <c r="B209" t="s">
        <v>4472</v>
      </c>
      <c r="C209" t="s">
        <v>585</v>
      </c>
      <c r="D209">
        <v>2012</v>
      </c>
      <c r="E209" t="s">
        <v>4473</v>
      </c>
      <c r="F209" t="s">
        <v>3948</v>
      </c>
    </row>
    <row r="210" spans="1:6">
      <c r="A210" t="s">
        <v>3156</v>
      </c>
      <c r="B210" t="s">
        <v>3157</v>
      </c>
      <c r="C210" t="s">
        <v>1925</v>
      </c>
      <c r="D210">
        <v>2012</v>
      </c>
      <c r="E210" t="s">
        <v>3158</v>
      </c>
      <c r="F210" t="s">
        <v>2757</v>
      </c>
    </row>
    <row r="211" spans="1:6">
      <c r="A211" t="s">
        <v>3772</v>
      </c>
      <c r="B211" t="s">
        <v>3296</v>
      </c>
      <c r="C211" t="s">
        <v>238</v>
      </c>
      <c r="D211">
        <v>2013</v>
      </c>
      <c r="E211" t="s">
        <v>3773</v>
      </c>
      <c r="F211" t="s">
        <v>3356</v>
      </c>
    </row>
    <row r="212" spans="1:6">
      <c r="A212" t="s">
        <v>2736</v>
      </c>
      <c r="B212" t="s">
        <v>2737</v>
      </c>
      <c r="C212" t="s">
        <v>368</v>
      </c>
      <c r="D212">
        <v>2013</v>
      </c>
      <c r="E212" t="s">
        <v>2738</v>
      </c>
      <c r="F212" t="s">
        <v>2142</v>
      </c>
    </row>
    <row r="213" spans="1:6">
      <c r="A213" t="s">
        <v>3912</v>
      </c>
      <c r="B213" t="s">
        <v>3913</v>
      </c>
      <c r="C213" t="s">
        <v>353</v>
      </c>
      <c r="D213">
        <v>2012</v>
      </c>
      <c r="E213" t="s">
        <v>3914</v>
      </c>
      <c r="F213" t="s">
        <v>3356</v>
      </c>
    </row>
    <row r="214" spans="1:6">
      <c r="A214" t="s">
        <v>3304</v>
      </c>
      <c r="B214" t="s">
        <v>3305</v>
      </c>
      <c r="C214" t="s">
        <v>1925</v>
      </c>
      <c r="D214">
        <v>2012</v>
      </c>
      <c r="E214" t="s">
        <v>3306</v>
      </c>
      <c r="F214" t="s">
        <v>2757</v>
      </c>
    </row>
    <row r="215" spans="1:6">
      <c r="A215" t="s">
        <v>1137</v>
      </c>
      <c r="B215" t="s">
        <v>1138</v>
      </c>
      <c r="C215" t="s">
        <v>808</v>
      </c>
      <c r="D215">
        <v>2009</v>
      </c>
      <c r="E215" t="s">
        <v>1139</v>
      </c>
      <c r="F215" t="s">
        <v>686</v>
      </c>
    </row>
    <row r="216" spans="1:6">
      <c r="A216" t="s">
        <v>3295</v>
      </c>
      <c r="B216" t="s">
        <v>3296</v>
      </c>
      <c r="C216" t="s">
        <v>1326</v>
      </c>
      <c r="D216">
        <v>2013</v>
      </c>
      <c r="E216" t="s">
        <v>3297</v>
      </c>
      <c r="F216" t="s">
        <v>2757</v>
      </c>
    </row>
    <row r="217" spans="1:6">
      <c r="A217" t="s">
        <v>1500</v>
      </c>
      <c r="B217" t="s">
        <v>1501</v>
      </c>
      <c r="C217" t="s">
        <v>353</v>
      </c>
      <c r="D217">
        <v>2007</v>
      </c>
      <c r="E217" t="s">
        <v>1502</v>
      </c>
      <c r="F217" t="s">
        <v>1328</v>
      </c>
    </row>
    <row r="218" spans="1:6">
      <c r="A218" t="s">
        <v>3274</v>
      </c>
      <c r="B218" t="s">
        <v>3275</v>
      </c>
      <c r="C218" t="s">
        <v>170</v>
      </c>
      <c r="D218">
        <v>2013</v>
      </c>
      <c r="E218" t="s">
        <v>3276</v>
      </c>
      <c r="F218" t="s">
        <v>2757</v>
      </c>
    </row>
    <row r="219" spans="1:6">
      <c r="A219" t="s">
        <v>3030</v>
      </c>
      <c r="B219" t="s">
        <v>3031</v>
      </c>
      <c r="C219" t="s">
        <v>2554</v>
      </c>
      <c r="D219">
        <v>2011</v>
      </c>
      <c r="E219" t="s">
        <v>3032</v>
      </c>
      <c r="F219" t="s">
        <v>2757</v>
      </c>
    </row>
    <row r="220" spans="1:6">
      <c r="A220" t="s">
        <v>2556</v>
      </c>
      <c r="B220" t="s">
        <v>2557</v>
      </c>
      <c r="C220" t="s">
        <v>2052</v>
      </c>
      <c r="D220">
        <v>2011</v>
      </c>
      <c r="E220" t="s">
        <v>2558</v>
      </c>
      <c r="F220" t="s">
        <v>2142</v>
      </c>
    </row>
    <row r="221" spans="1:6">
      <c r="A221" t="s">
        <v>2653</v>
      </c>
      <c r="B221" t="s">
        <v>2654</v>
      </c>
      <c r="C221" t="s">
        <v>7</v>
      </c>
      <c r="D221">
        <v>2012</v>
      </c>
      <c r="E221" t="s">
        <v>2655</v>
      </c>
      <c r="F221" t="s">
        <v>2142</v>
      </c>
    </row>
    <row r="222" spans="1:6">
      <c r="A222" t="s">
        <v>3436</v>
      </c>
      <c r="B222" t="s">
        <v>3437</v>
      </c>
      <c r="C222" t="s">
        <v>238</v>
      </c>
      <c r="D222">
        <v>2011</v>
      </c>
      <c r="E222" t="s">
        <v>3438</v>
      </c>
      <c r="F222" t="s">
        <v>3356</v>
      </c>
    </row>
    <row r="223" spans="1:6">
      <c r="A223" t="s">
        <v>4444</v>
      </c>
      <c r="B223" t="s">
        <v>4445</v>
      </c>
      <c r="C223" t="s">
        <v>353</v>
      </c>
      <c r="D223">
        <v>2012</v>
      </c>
      <c r="E223" t="s">
        <v>4446</v>
      </c>
      <c r="F223" t="s">
        <v>3948</v>
      </c>
    </row>
    <row r="224" spans="1:6">
      <c r="A224" t="s">
        <v>4414</v>
      </c>
      <c r="B224" t="s">
        <v>4415</v>
      </c>
      <c r="C224" t="s">
        <v>238</v>
      </c>
      <c r="D224">
        <v>2012</v>
      </c>
      <c r="E224" t="s">
        <v>4416</v>
      </c>
      <c r="F224" t="s">
        <v>3948</v>
      </c>
    </row>
    <row r="225" spans="1:6">
      <c r="A225" t="s">
        <v>3406</v>
      </c>
      <c r="B225" t="s">
        <v>3407</v>
      </c>
      <c r="C225" t="s">
        <v>353</v>
      </c>
      <c r="D225">
        <v>2012</v>
      </c>
      <c r="E225" t="s">
        <v>3408</v>
      </c>
      <c r="F225" t="s">
        <v>3356</v>
      </c>
    </row>
    <row r="226" spans="1:6">
      <c r="A226" t="s">
        <v>3937</v>
      </c>
      <c r="B226" t="s">
        <v>3938</v>
      </c>
      <c r="C226" t="s">
        <v>238</v>
      </c>
      <c r="D226">
        <v>2012</v>
      </c>
      <c r="E226" t="s">
        <v>3939</v>
      </c>
      <c r="F226" t="s">
        <v>3356</v>
      </c>
    </row>
    <row r="227" spans="1:6">
      <c r="A227" t="s">
        <v>3126</v>
      </c>
      <c r="B227" t="s">
        <v>3127</v>
      </c>
      <c r="C227" t="s">
        <v>170</v>
      </c>
      <c r="D227">
        <v>2013</v>
      </c>
      <c r="E227" t="s">
        <v>3128</v>
      </c>
      <c r="F227" t="s">
        <v>2757</v>
      </c>
    </row>
    <row r="228" spans="1:6">
      <c r="A228" t="s">
        <v>4608</v>
      </c>
      <c r="B228" t="s">
        <v>4494</v>
      </c>
      <c r="C228" t="s">
        <v>2761</v>
      </c>
      <c r="D228">
        <v>2013</v>
      </c>
      <c r="E228" t="s">
        <v>4495</v>
      </c>
      <c r="F228" t="s">
        <v>4493</v>
      </c>
    </row>
    <row r="229" spans="1:6">
      <c r="A229" t="s">
        <v>3934</v>
      </c>
      <c r="B229" t="s">
        <v>3935</v>
      </c>
      <c r="C229" t="s">
        <v>353</v>
      </c>
      <c r="D229">
        <v>2011</v>
      </c>
      <c r="E229" t="s">
        <v>3936</v>
      </c>
      <c r="F229" t="s">
        <v>3356</v>
      </c>
    </row>
    <row r="230" spans="1:6">
      <c r="A230" t="s">
        <v>3918</v>
      </c>
      <c r="B230" t="s">
        <v>3919</v>
      </c>
      <c r="C230" t="s">
        <v>238</v>
      </c>
      <c r="D230">
        <v>2012</v>
      </c>
      <c r="E230" t="s">
        <v>3920</v>
      </c>
      <c r="F230" t="s">
        <v>3356</v>
      </c>
    </row>
    <row r="231" spans="1:6">
      <c r="A231" t="s">
        <v>4609</v>
      </c>
      <c r="B231" t="s">
        <v>4436</v>
      </c>
      <c r="C231" t="s">
        <v>1844</v>
      </c>
      <c r="D231">
        <v>2012</v>
      </c>
      <c r="E231" t="s">
        <v>4437</v>
      </c>
      <c r="F231" t="s">
        <v>3948</v>
      </c>
    </row>
    <row r="232" spans="1:6">
      <c r="A232" t="s">
        <v>4196</v>
      </c>
      <c r="B232" t="s">
        <v>4197</v>
      </c>
      <c r="C232" t="s">
        <v>170</v>
      </c>
      <c r="D232">
        <v>2012</v>
      </c>
      <c r="E232" t="s">
        <v>4198</v>
      </c>
      <c r="F232" t="s">
        <v>3948</v>
      </c>
    </row>
    <row r="233" spans="1:6">
      <c r="A233" t="s">
        <v>1426</v>
      </c>
      <c r="B233" t="s">
        <v>1427</v>
      </c>
      <c r="C233" t="s">
        <v>353</v>
      </c>
      <c r="D233">
        <v>2008</v>
      </c>
      <c r="E233" t="s">
        <v>1428</v>
      </c>
      <c r="F233" t="s">
        <v>1328</v>
      </c>
    </row>
    <row r="234" spans="1:6">
      <c r="A234" t="s">
        <v>2815</v>
      </c>
      <c r="B234" t="s">
        <v>2816</v>
      </c>
      <c r="C234" t="s">
        <v>170</v>
      </c>
      <c r="D234">
        <v>2013</v>
      </c>
      <c r="E234" t="s">
        <v>2817</v>
      </c>
      <c r="F234" t="s">
        <v>2757</v>
      </c>
    </row>
    <row r="235" spans="1:6">
      <c r="A235" t="s">
        <v>3192</v>
      </c>
      <c r="B235" t="s">
        <v>3193</v>
      </c>
      <c r="C235" t="s">
        <v>7</v>
      </c>
      <c r="D235">
        <v>2012</v>
      </c>
      <c r="E235" t="s">
        <v>3194</v>
      </c>
      <c r="F235" t="s">
        <v>2757</v>
      </c>
    </row>
    <row r="236" spans="1:6">
      <c r="A236" t="s">
        <v>4610</v>
      </c>
      <c r="B236" t="s">
        <v>4611</v>
      </c>
      <c r="C236" t="s">
        <v>822</v>
      </c>
      <c r="D236">
        <v>2010</v>
      </c>
      <c r="E236" t="s">
        <v>2045</v>
      </c>
      <c r="F236" t="s">
        <v>1917</v>
      </c>
    </row>
    <row r="237" spans="1:6">
      <c r="A237" t="s">
        <v>2837</v>
      </c>
      <c r="B237" t="s">
        <v>2838</v>
      </c>
      <c r="C237" t="s">
        <v>526</v>
      </c>
      <c r="D237">
        <v>2011</v>
      </c>
      <c r="E237" t="s">
        <v>2839</v>
      </c>
      <c r="F237" t="s">
        <v>2757</v>
      </c>
    </row>
    <row r="238" spans="1:6">
      <c r="A238" t="s">
        <v>3322</v>
      </c>
      <c r="B238" t="s">
        <v>3323</v>
      </c>
      <c r="C238" t="s">
        <v>1326</v>
      </c>
      <c r="D238">
        <v>2011</v>
      </c>
      <c r="E238" t="s">
        <v>3324</v>
      </c>
      <c r="F238" t="s">
        <v>2757</v>
      </c>
    </row>
    <row r="239" spans="1:6">
      <c r="A239" t="s">
        <v>2545</v>
      </c>
      <c r="B239" t="s">
        <v>2546</v>
      </c>
      <c r="C239" t="s">
        <v>27</v>
      </c>
      <c r="D239">
        <v>2012</v>
      </c>
      <c r="E239" t="s">
        <v>2547</v>
      </c>
      <c r="F239" t="s">
        <v>2142</v>
      </c>
    </row>
    <row r="240" spans="1:6">
      <c r="A240" t="s">
        <v>2172</v>
      </c>
      <c r="B240" t="s">
        <v>2173</v>
      </c>
      <c r="C240" t="s">
        <v>238</v>
      </c>
      <c r="D240">
        <v>2012</v>
      </c>
      <c r="E240" t="s">
        <v>2174</v>
      </c>
      <c r="F240" t="s">
        <v>2142</v>
      </c>
    </row>
    <row r="241" spans="1:6">
      <c r="A241" t="s">
        <v>525</v>
      </c>
      <c r="B241" t="s">
        <v>4612</v>
      </c>
      <c r="C241" t="s">
        <v>526</v>
      </c>
      <c r="D241">
        <v>2010</v>
      </c>
      <c r="E241" t="s">
        <v>527</v>
      </c>
      <c r="F241" t="s">
        <v>4</v>
      </c>
    </row>
    <row r="242" spans="1:6">
      <c r="A242" t="s">
        <v>2265</v>
      </c>
      <c r="B242" t="s">
        <v>2266</v>
      </c>
      <c r="C242" t="s">
        <v>7</v>
      </c>
      <c r="D242">
        <v>2012</v>
      </c>
      <c r="E242" t="s">
        <v>2267</v>
      </c>
      <c r="F242" t="s">
        <v>2142</v>
      </c>
    </row>
    <row r="243" spans="1:6">
      <c r="A243" t="s">
        <v>2456</v>
      </c>
      <c r="B243" t="s">
        <v>2457</v>
      </c>
      <c r="C243" t="s">
        <v>170</v>
      </c>
      <c r="D243">
        <v>2011</v>
      </c>
      <c r="E243" t="s">
        <v>2458</v>
      </c>
      <c r="F243" t="s">
        <v>2142</v>
      </c>
    </row>
    <row r="244" spans="1:6">
      <c r="A244" t="s">
        <v>3757</v>
      </c>
      <c r="B244" t="s">
        <v>3758</v>
      </c>
      <c r="C244" t="s">
        <v>498</v>
      </c>
      <c r="D244">
        <v>2012</v>
      </c>
      <c r="E244" t="s">
        <v>3759</v>
      </c>
      <c r="F244" t="s">
        <v>3356</v>
      </c>
    </row>
    <row r="245" spans="1:6">
      <c r="A245" t="s">
        <v>2972</v>
      </c>
      <c r="B245" t="s">
        <v>2973</v>
      </c>
      <c r="C245" t="s">
        <v>757</v>
      </c>
      <c r="D245">
        <v>2011</v>
      </c>
      <c r="E245" t="s">
        <v>2974</v>
      </c>
      <c r="F245" t="s">
        <v>2757</v>
      </c>
    </row>
    <row r="246" spans="1:6">
      <c r="A246" t="s">
        <v>4349</v>
      </c>
      <c r="B246" t="s">
        <v>4350</v>
      </c>
      <c r="C246" t="s">
        <v>7</v>
      </c>
      <c r="D246">
        <v>2012</v>
      </c>
      <c r="E246" t="s">
        <v>4351</v>
      </c>
      <c r="F246" t="s">
        <v>3948</v>
      </c>
    </row>
    <row r="247" spans="1:6">
      <c r="A247" t="s">
        <v>2733</v>
      </c>
      <c r="B247" t="s">
        <v>2734</v>
      </c>
      <c r="C247" t="s">
        <v>7</v>
      </c>
      <c r="D247">
        <v>2012</v>
      </c>
      <c r="E247" t="s">
        <v>2735</v>
      </c>
      <c r="F247" t="s">
        <v>2142</v>
      </c>
    </row>
    <row r="248" spans="1:6">
      <c r="A248" t="s">
        <v>2222</v>
      </c>
      <c r="B248" t="s">
        <v>2223</v>
      </c>
      <c r="C248" t="s">
        <v>7</v>
      </c>
      <c r="D248">
        <v>2012</v>
      </c>
      <c r="E248" t="s">
        <v>2224</v>
      </c>
      <c r="F248" t="s">
        <v>2142</v>
      </c>
    </row>
    <row r="249" spans="1:6">
      <c r="A249" t="s">
        <v>1386</v>
      </c>
      <c r="B249" t="s">
        <v>1387</v>
      </c>
      <c r="C249" t="s">
        <v>1388</v>
      </c>
      <c r="D249">
        <v>2008</v>
      </c>
      <c r="E249" t="s">
        <v>1389</v>
      </c>
      <c r="F249" t="s">
        <v>1328</v>
      </c>
    </row>
    <row r="250" spans="1:6">
      <c r="A250" t="s">
        <v>4613</v>
      </c>
      <c r="B250" t="s">
        <v>3174</v>
      </c>
      <c r="C250" t="s">
        <v>353</v>
      </c>
      <c r="D250">
        <v>2012</v>
      </c>
      <c r="E250" t="s">
        <v>3175</v>
      </c>
      <c r="F250" t="s">
        <v>2757</v>
      </c>
    </row>
    <row r="251" spans="1:6">
      <c r="A251" t="s">
        <v>806</v>
      </c>
      <c r="B251" t="s">
        <v>807</v>
      </c>
      <c r="C251" t="s">
        <v>808</v>
      </c>
      <c r="D251">
        <v>2009</v>
      </c>
      <c r="E251" t="s">
        <v>809</v>
      </c>
      <c r="F251" t="s">
        <v>686</v>
      </c>
    </row>
    <row r="252" spans="1:6">
      <c r="A252" t="s">
        <v>4159</v>
      </c>
      <c r="B252" t="s">
        <v>4614</v>
      </c>
      <c r="C252" t="s">
        <v>238</v>
      </c>
      <c r="D252">
        <v>2012</v>
      </c>
      <c r="E252" t="s">
        <v>4160</v>
      </c>
      <c r="F252" t="s">
        <v>3948</v>
      </c>
    </row>
    <row r="253" spans="1:6">
      <c r="A253" t="s">
        <v>4096</v>
      </c>
      <c r="B253" t="s">
        <v>4097</v>
      </c>
      <c r="C253" t="s">
        <v>4098</v>
      </c>
      <c r="D253">
        <v>2012</v>
      </c>
      <c r="E253" t="s">
        <v>4099</v>
      </c>
      <c r="F253" t="s">
        <v>3948</v>
      </c>
    </row>
    <row r="254" spans="1:6">
      <c r="A254" t="s">
        <v>2862</v>
      </c>
      <c r="B254" t="s">
        <v>2863</v>
      </c>
      <c r="C254" t="s">
        <v>170</v>
      </c>
      <c r="D254">
        <v>2011</v>
      </c>
      <c r="E254" t="s">
        <v>2864</v>
      </c>
      <c r="F254" t="s">
        <v>2757</v>
      </c>
    </row>
    <row r="255" spans="1:6">
      <c r="A255" t="s">
        <v>3132</v>
      </c>
      <c r="B255" t="s">
        <v>3133</v>
      </c>
      <c r="C255" t="s">
        <v>170</v>
      </c>
      <c r="D255">
        <v>2012</v>
      </c>
      <c r="E255" t="s">
        <v>3134</v>
      </c>
      <c r="F255" t="s">
        <v>2757</v>
      </c>
    </row>
    <row r="256" spans="1:6">
      <c r="A256" t="s">
        <v>4616</v>
      </c>
      <c r="B256" t="s">
        <v>4615</v>
      </c>
      <c r="C256" t="s">
        <v>822</v>
      </c>
      <c r="D256">
        <v>2008</v>
      </c>
      <c r="E256" t="s">
        <v>2037</v>
      </c>
      <c r="F256" t="s">
        <v>1917</v>
      </c>
    </row>
    <row r="257" spans="1:6">
      <c r="A257" t="s">
        <v>1619</v>
      </c>
      <c r="B257" t="s">
        <v>1620</v>
      </c>
      <c r="C257" t="s">
        <v>1326</v>
      </c>
      <c r="D257">
        <v>2010</v>
      </c>
      <c r="E257" t="s">
        <v>1621</v>
      </c>
      <c r="F257" t="s">
        <v>1328</v>
      </c>
    </row>
    <row r="258" spans="1:6">
      <c r="A258" t="s">
        <v>3961</v>
      </c>
      <c r="B258" t="s">
        <v>3962</v>
      </c>
      <c r="C258" t="s">
        <v>353</v>
      </c>
      <c r="D258">
        <v>2012</v>
      </c>
      <c r="E258" t="s">
        <v>3963</v>
      </c>
      <c r="F258" t="s">
        <v>3948</v>
      </c>
    </row>
    <row r="259" spans="1:6">
      <c r="A259" t="s">
        <v>4007</v>
      </c>
      <c r="B259" t="s">
        <v>4008</v>
      </c>
      <c r="C259" t="s">
        <v>1925</v>
      </c>
      <c r="D259">
        <v>2012</v>
      </c>
      <c r="E259" t="s">
        <v>4009</v>
      </c>
      <c r="F259" t="s">
        <v>3948</v>
      </c>
    </row>
    <row r="260" spans="1:6">
      <c r="A260" t="s">
        <v>1468</v>
      </c>
      <c r="B260" t="s">
        <v>1469</v>
      </c>
      <c r="C260" t="s">
        <v>353</v>
      </c>
      <c r="D260">
        <v>2007</v>
      </c>
      <c r="E260" t="s">
        <v>1470</v>
      </c>
      <c r="F260" t="s">
        <v>1328</v>
      </c>
    </row>
    <row r="261" spans="1:6">
      <c r="A261" t="s">
        <v>197</v>
      </c>
      <c r="B261" t="s">
        <v>198</v>
      </c>
      <c r="C261" t="s">
        <v>199</v>
      </c>
      <c r="D261">
        <v>2007</v>
      </c>
      <c r="E261" t="s">
        <v>200</v>
      </c>
      <c r="F261" t="s">
        <v>4</v>
      </c>
    </row>
    <row r="262" spans="1:6">
      <c r="A262" t="s">
        <v>3571</v>
      </c>
      <c r="B262" t="s">
        <v>3572</v>
      </c>
      <c r="C262" t="s">
        <v>353</v>
      </c>
      <c r="D262">
        <v>2013</v>
      </c>
      <c r="E262" t="s">
        <v>3573</v>
      </c>
      <c r="F262" t="s">
        <v>3356</v>
      </c>
    </row>
    <row r="263" spans="1:6">
      <c r="A263" t="s">
        <v>3430</v>
      </c>
      <c r="B263" t="s">
        <v>3431</v>
      </c>
      <c r="C263" t="s">
        <v>353</v>
      </c>
      <c r="D263">
        <v>2012</v>
      </c>
      <c r="E263" t="s">
        <v>3432</v>
      </c>
      <c r="F263" t="s">
        <v>3356</v>
      </c>
    </row>
    <row r="264" spans="1:6">
      <c r="A264" t="s">
        <v>3319</v>
      </c>
      <c r="B264" t="s">
        <v>3320</v>
      </c>
      <c r="C264" t="s">
        <v>1326</v>
      </c>
      <c r="D264">
        <v>2011</v>
      </c>
      <c r="E264" t="s">
        <v>3321</v>
      </c>
      <c r="F264" t="s">
        <v>2757</v>
      </c>
    </row>
    <row r="265" spans="1:6">
      <c r="A265" t="s">
        <v>2474</v>
      </c>
      <c r="B265" t="s">
        <v>2475</v>
      </c>
      <c r="C265" t="s">
        <v>170</v>
      </c>
      <c r="D265">
        <v>2011</v>
      </c>
      <c r="E265" t="s">
        <v>2476</v>
      </c>
      <c r="F265" t="s">
        <v>2142</v>
      </c>
    </row>
    <row r="266" spans="1:6">
      <c r="A266" t="s">
        <v>3970</v>
      </c>
      <c r="B266" t="s">
        <v>3971</v>
      </c>
      <c r="C266" t="s">
        <v>353</v>
      </c>
      <c r="D266">
        <v>2012</v>
      </c>
      <c r="E266" t="s">
        <v>3972</v>
      </c>
      <c r="F266" t="s">
        <v>3948</v>
      </c>
    </row>
    <row r="267" spans="1:6">
      <c r="A267" t="s">
        <v>4617</v>
      </c>
      <c r="B267" t="s">
        <v>2760</v>
      </c>
      <c r="C267" t="s">
        <v>2761</v>
      </c>
      <c r="D267">
        <v>2013</v>
      </c>
      <c r="E267" t="s">
        <v>2762</v>
      </c>
      <c r="F267" t="s">
        <v>2757</v>
      </c>
    </row>
    <row r="268" spans="1:6">
      <c r="A268" t="s">
        <v>641</v>
      </c>
      <c r="B268" t="s">
        <v>642</v>
      </c>
      <c r="C268" t="s">
        <v>353</v>
      </c>
      <c r="D268">
        <v>2007</v>
      </c>
      <c r="E268" t="s">
        <v>643</v>
      </c>
      <c r="F268" t="s">
        <v>4</v>
      </c>
    </row>
    <row r="269" spans="1:6">
      <c r="A269" t="s">
        <v>2548</v>
      </c>
      <c r="B269" t="s">
        <v>2549</v>
      </c>
      <c r="C269" t="s">
        <v>2550</v>
      </c>
      <c r="D269">
        <v>2011</v>
      </c>
      <c r="E269" t="s">
        <v>2551</v>
      </c>
      <c r="F269" t="s">
        <v>2142</v>
      </c>
    </row>
    <row r="270" spans="1:6">
      <c r="A270" t="s">
        <v>3201</v>
      </c>
      <c r="B270" t="s">
        <v>3202</v>
      </c>
      <c r="C270" t="s">
        <v>1326</v>
      </c>
      <c r="D270">
        <v>2012</v>
      </c>
      <c r="E270" t="s">
        <v>3203</v>
      </c>
      <c r="F270" t="s">
        <v>2757</v>
      </c>
    </row>
    <row r="271" spans="1:6">
      <c r="A271" t="s">
        <v>2552</v>
      </c>
      <c r="B271" t="s">
        <v>2553</v>
      </c>
      <c r="C271" t="s">
        <v>2554</v>
      </c>
      <c r="D271">
        <v>2013</v>
      </c>
      <c r="E271" t="s">
        <v>2555</v>
      </c>
      <c r="F271" t="s">
        <v>2142</v>
      </c>
    </row>
    <row r="272" spans="1:6">
      <c r="A272" t="s">
        <v>3930</v>
      </c>
      <c r="B272" t="s">
        <v>3931</v>
      </c>
      <c r="C272" t="s">
        <v>353</v>
      </c>
      <c r="D272">
        <v>2012</v>
      </c>
      <c r="E272" t="s">
        <v>3932</v>
      </c>
      <c r="F272" t="s">
        <v>3356</v>
      </c>
    </row>
    <row r="273" spans="1:6">
      <c r="A273" t="s">
        <v>2293</v>
      </c>
      <c r="B273" t="s">
        <v>2294</v>
      </c>
      <c r="C273" t="s">
        <v>1326</v>
      </c>
      <c r="D273">
        <v>2012</v>
      </c>
      <c r="E273" t="s">
        <v>2295</v>
      </c>
      <c r="F273" t="s">
        <v>2142</v>
      </c>
    </row>
    <row r="274" spans="1:6">
      <c r="A274" t="s">
        <v>3921</v>
      </c>
      <c r="B274" t="s">
        <v>3922</v>
      </c>
      <c r="C274" t="s">
        <v>353</v>
      </c>
      <c r="D274">
        <v>2012</v>
      </c>
      <c r="E274" t="s">
        <v>3923</v>
      </c>
      <c r="F274" t="s">
        <v>3356</v>
      </c>
    </row>
    <row r="275" spans="1:6">
      <c r="A275" t="s">
        <v>1585</v>
      </c>
      <c r="B275" t="s">
        <v>1586</v>
      </c>
      <c r="C275" t="s">
        <v>1587</v>
      </c>
      <c r="D275">
        <v>2002</v>
      </c>
      <c r="E275" t="s">
        <v>1588</v>
      </c>
      <c r="F275" t="s">
        <v>1328</v>
      </c>
    </row>
    <row r="276" spans="1:6">
      <c r="A276" t="s">
        <v>478</v>
      </c>
      <c r="B276" t="s">
        <v>479</v>
      </c>
      <c r="C276" t="s">
        <v>480</v>
      </c>
      <c r="D276">
        <v>2005</v>
      </c>
      <c r="E276" t="s">
        <v>481</v>
      </c>
      <c r="F276" t="s">
        <v>4</v>
      </c>
    </row>
    <row r="277" spans="1:6">
      <c r="A277" t="s">
        <v>1724</v>
      </c>
      <c r="B277" t="s">
        <v>321</v>
      </c>
      <c r="C277" t="s">
        <v>1741</v>
      </c>
      <c r="D277">
        <v>2004</v>
      </c>
      <c r="E277" t="s">
        <v>1742</v>
      </c>
      <c r="F277" t="s">
        <v>1328</v>
      </c>
    </row>
    <row r="278" spans="1:6">
      <c r="A278" t="s">
        <v>3933</v>
      </c>
      <c r="B278" t="s">
        <v>2150</v>
      </c>
      <c r="C278" t="s">
        <v>2151</v>
      </c>
      <c r="D278">
        <v>2011</v>
      </c>
      <c r="E278" t="s">
        <v>66</v>
      </c>
      <c r="F278" t="s">
        <v>3356</v>
      </c>
    </row>
    <row r="279" spans="1:6">
      <c r="A279" t="s">
        <v>1332</v>
      </c>
      <c r="B279" t="s">
        <v>1333</v>
      </c>
      <c r="C279" t="s">
        <v>1334</v>
      </c>
      <c r="D279">
        <v>2009</v>
      </c>
      <c r="E279" t="s">
        <v>66</v>
      </c>
      <c r="F279" t="s">
        <v>1328</v>
      </c>
    </row>
    <row r="280" spans="1:6">
      <c r="A280" t="s">
        <v>1788</v>
      </c>
      <c r="B280" t="s">
        <v>321</v>
      </c>
      <c r="C280" t="s">
        <v>1789</v>
      </c>
      <c r="D280">
        <v>2004</v>
      </c>
      <c r="E280" t="s">
        <v>66</v>
      </c>
      <c r="F280" t="s">
        <v>1328</v>
      </c>
    </row>
    <row r="281" spans="1:6">
      <c r="A281" t="s">
        <v>1816</v>
      </c>
      <c r="B281" t="s">
        <v>1817</v>
      </c>
      <c r="C281" t="s">
        <v>1818</v>
      </c>
      <c r="D281">
        <v>2009</v>
      </c>
      <c r="E281" t="s">
        <v>66</v>
      </c>
      <c r="F281" t="s">
        <v>1328</v>
      </c>
    </row>
    <row r="282" spans="1:6">
      <c r="A282" t="s">
        <v>3527</v>
      </c>
      <c r="B282" t="s">
        <v>2912</v>
      </c>
      <c r="C282" t="s">
        <v>2913</v>
      </c>
      <c r="D282">
        <v>2012</v>
      </c>
      <c r="E282" t="s">
        <v>66</v>
      </c>
      <c r="F282" t="s">
        <v>3356</v>
      </c>
    </row>
    <row r="283" spans="1:6">
      <c r="A283" t="s">
        <v>339</v>
      </c>
      <c r="B283" t="s">
        <v>340</v>
      </c>
      <c r="C283" t="s">
        <v>341</v>
      </c>
      <c r="D283">
        <v>2006</v>
      </c>
      <c r="E283" t="s">
        <v>342</v>
      </c>
      <c r="F283" t="s">
        <v>4</v>
      </c>
    </row>
    <row r="284" spans="1:6">
      <c r="A284" t="s">
        <v>1854</v>
      </c>
      <c r="B284" t="s">
        <v>1855</v>
      </c>
      <c r="C284" t="s">
        <v>1856</v>
      </c>
      <c r="D284">
        <v>2002</v>
      </c>
      <c r="E284" t="s">
        <v>66</v>
      </c>
      <c r="F284" t="s">
        <v>1328</v>
      </c>
    </row>
    <row r="285" spans="1:6">
      <c r="A285" t="s">
        <v>1612</v>
      </c>
      <c r="B285" t="s">
        <v>1613</v>
      </c>
      <c r="C285" t="s">
        <v>480</v>
      </c>
      <c r="D285">
        <v>2005</v>
      </c>
      <c r="E285" t="s">
        <v>1614</v>
      </c>
      <c r="F285" t="s">
        <v>1328</v>
      </c>
    </row>
    <row r="286" spans="1:6">
      <c r="A286" t="s">
        <v>63</v>
      </c>
      <c r="B286" t="s">
        <v>64</v>
      </c>
      <c r="C286" t="s">
        <v>65</v>
      </c>
      <c r="D286">
        <v>2010</v>
      </c>
      <c r="E286" t="s">
        <v>66</v>
      </c>
      <c r="F286" t="s">
        <v>4</v>
      </c>
    </row>
    <row r="287" spans="1:6">
      <c r="A287" t="s">
        <v>1712</v>
      </c>
      <c r="B287" t="s">
        <v>4618</v>
      </c>
      <c r="C287" t="s">
        <v>4288</v>
      </c>
      <c r="D287">
        <v>2012</v>
      </c>
      <c r="E287" t="s">
        <v>66</v>
      </c>
      <c r="F287" t="s">
        <v>3948</v>
      </c>
    </row>
    <row r="288" spans="1:6">
      <c r="A288" t="s">
        <v>1724</v>
      </c>
      <c r="B288" t="s">
        <v>4619</v>
      </c>
      <c r="C288" t="s">
        <v>1945</v>
      </c>
      <c r="D288">
        <v>2008</v>
      </c>
      <c r="E288" t="s">
        <v>66</v>
      </c>
      <c r="F288" t="s">
        <v>1917</v>
      </c>
    </row>
    <row r="289" spans="1:6">
      <c r="A289" t="s">
        <v>1967</v>
      </c>
      <c r="B289" t="s">
        <v>1968</v>
      </c>
      <c r="C289" t="s">
        <v>1969</v>
      </c>
      <c r="D289">
        <v>2010</v>
      </c>
      <c r="E289" t="s">
        <v>66</v>
      </c>
      <c r="F289" t="s">
        <v>1917</v>
      </c>
    </row>
    <row r="290" spans="1:6">
      <c r="A290" t="s">
        <v>2800</v>
      </c>
      <c r="B290" t="s">
        <v>2801</v>
      </c>
      <c r="C290" t="s">
        <v>2802</v>
      </c>
      <c r="D290">
        <v>2013</v>
      </c>
      <c r="E290" t="s">
        <v>66</v>
      </c>
      <c r="F290" t="s">
        <v>2757</v>
      </c>
    </row>
    <row r="291" spans="1:6">
      <c r="A291" t="s">
        <v>3792</v>
      </c>
      <c r="B291" t="s">
        <v>4563</v>
      </c>
      <c r="C291" t="s">
        <v>3521</v>
      </c>
      <c r="D291">
        <v>2012</v>
      </c>
      <c r="E291" t="s">
        <v>66</v>
      </c>
      <c r="F291" t="s">
        <v>3356</v>
      </c>
    </row>
    <row r="292" spans="1:6">
      <c r="A292" t="s">
        <v>1918</v>
      </c>
      <c r="B292" t="s">
        <v>1919</v>
      </c>
      <c r="C292" t="s">
        <v>1815</v>
      </c>
      <c r="D292">
        <v>2003</v>
      </c>
      <c r="E292" t="s">
        <v>66</v>
      </c>
      <c r="F292" t="s">
        <v>1917</v>
      </c>
    </row>
    <row r="293" spans="1:6">
      <c r="A293" t="s">
        <v>1805</v>
      </c>
      <c r="B293" t="s">
        <v>4620</v>
      </c>
      <c r="C293" t="s">
        <v>1789</v>
      </c>
      <c r="D293">
        <v>2004</v>
      </c>
      <c r="E293" t="s">
        <v>66</v>
      </c>
      <c r="F293" t="s">
        <v>1328</v>
      </c>
    </row>
    <row r="294" spans="1:6">
      <c r="A294" t="s">
        <v>2911</v>
      </c>
      <c r="B294" t="s">
        <v>2912</v>
      </c>
      <c r="C294" t="s">
        <v>2913</v>
      </c>
      <c r="D294">
        <v>2012</v>
      </c>
      <c r="E294" t="s">
        <v>66</v>
      </c>
      <c r="F294" t="s">
        <v>2757</v>
      </c>
    </row>
    <row r="295" spans="1:6">
      <c r="A295" t="s">
        <v>1957</v>
      </c>
      <c r="B295" t="s">
        <v>4621</v>
      </c>
      <c r="C295" t="s">
        <v>1958</v>
      </c>
      <c r="D295">
        <v>1998</v>
      </c>
      <c r="E295" t="s">
        <v>66</v>
      </c>
      <c r="F295" t="s">
        <v>1917</v>
      </c>
    </row>
    <row r="296" spans="1:6">
      <c r="A296" t="s">
        <v>1933</v>
      </c>
      <c r="B296" t="s">
        <v>1934</v>
      </c>
      <c r="C296" t="s">
        <v>480</v>
      </c>
      <c r="D296">
        <v>2013</v>
      </c>
      <c r="E296" t="s">
        <v>1935</v>
      </c>
      <c r="F296" t="s">
        <v>1917</v>
      </c>
    </row>
    <row r="297" spans="1:6">
      <c r="A297" t="s">
        <v>1712</v>
      </c>
      <c r="B297" t="s">
        <v>4622</v>
      </c>
      <c r="C297" t="s">
        <v>2036</v>
      </c>
      <c r="D297">
        <v>2008</v>
      </c>
      <c r="E297" t="s">
        <v>66</v>
      </c>
      <c r="F297" t="s">
        <v>1917</v>
      </c>
    </row>
    <row r="298" spans="1:6">
      <c r="A298" t="s">
        <v>2307</v>
      </c>
      <c r="B298" t="s">
        <v>2308</v>
      </c>
      <c r="C298" t="s">
        <v>2309</v>
      </c>
      <c r="D298">
        <v>2013</v>
      </c>
      <c r="E298" t="s">
        <v>66</v>
      </c>
      <c r="F298" t="s">
        <v>2142</v>
      </c>
    </row>
    <row r="299" spans="1:6">
      <c r="A299" t="s">
        <v>3519</v>
      </c>
      <c r="B299" t="s">
        <v>3520</v>
      </c>
      <c r="C299" t="s">
        <v>3521</v>
      </c>
      <c r="D299">
        <v>2012</v>
      </c>
      <c r="E299" t="s">
        <v>66</v>
      </c>
      <c r="F299" t="s">
        <v>3356</v>
      </c>
    </row>
    <row r="300" spans="1:6">
      <c r="A300" t="s">
        <v>1712</v>
      </c>
      <c r="B300" t="s">
        <v>321</v>
      </c>
      <c r="C300" t="s">
        <v>1785</v>
      </c>
      <c r="D300">
        <v>2009</v>
      </c>
      <c r="E300" t="s">
        <v>66</v>
      </c>
      <c r="F300" t="s">
        <v>1328</v>
      </c>
    </row>
    <row r="301" spans="1:6">
      <c r="A301" t="s">
        <v>1857</v>
      </c>
      <c r="B301" t="s">
        <v>1858</v>
      </c>
      <c r="C301" t="s">
        <v>1859</v>
      </c>
      <c r="D301">
        <v>2007</v>
      </c>
      <c r="E301" t="s">
        <v>66</v>
      </c>
      <c r="F301" t="s">
        <v>1328</v>
      </c>
    </row>
    <row r="302" spans="1:6">
      <c r="A302" t="s">
        <v>4375</v>
      </c>
      <c r="B302" t="s">
        <v>4376</v>
      </c>
      <c r="C302" t="s">
        <v>4377</v>
      </c>
      <c r="D302">
        <v>2012</v>
      </c>
      <c r="E302" t="s">
        <v>66</v>
      </c>
      <c r="F302" t="s">
        <v>3948</v>
      </c>
    </row>
    <row r="303" spans="1:6">
      <c r="A303" t="s">
        <v>1712</v>
      </c>
      <c r="B303" t="s">
        <v>321</v>
      </c>
      <c r="C303" t="s">
        <v>681</v>
      </c>
      <c r="D303">
        <v>2005</v>
      </c>
      <c r="E303" t="s">
        <v>66</v>
      </c>
      <c r="F303" t="s">
        <v>1328</v>
      </c>
    </row>
    <row r="304" spans="1:6">
      <c r="A304" t="s">
        <v>1734</v>
      </c>
      <c r="B304" t="s">
        <v>321</v>
      </c>
      <c r="C304" t="s">
        <v>681</v>
      </c>
      <c r="D304">
        <v>2005</v>
      </c>
      <c r="E304" t="s">
        <v>66</v>
      </c>
      <c r="F304" t="s">
        <v>1328</v>
      </c>
    </row>
    <row r="305" spans="1:6">
      <c r="A305" t="s">
        <v>320</v>
      </c>
      <c r="B305" t="s">
        <v>321</v>
      </c>
      <c r="C305" t="s">
        <v>1285</v>
      </c>
      <c r="D305">
        <v>2009</v>
      </c>
      <c r="E305" t="s">
        <v>66</v>
      </c>
      <c r="F305" t="s">
        <v>686</v>
      </c>
    </row>
    <row r="306" spans="1:6">
      <c r="A306" t="s">
        <v>1603</v>
      </c>
      <c r="B306" t="s">
        <v>1604</v>
      </c>
      <c r="C306" t="s">
        <v>1605</v>
      </c>
      <c r="D306">
        <v>2009</v>
      </c>
      <c r="E306" t="s">
        <v>66</v>
      </c>
      <c r="F306" t="s">
        <v>1328</v>
      </c>
    </row>
    <row r="307" spans="1:6">
      <c r="A307" t="s">
        <v>320</v>
      </c>
      <c r="B307" t="s">
        <v>321</v>
      </c>
      <c r="C307" t="s">
        <v>322</v>
      </c>
      <c r="D307">
        <v>2005</v>
      </c>
      <c r="E307" t="s">
        <v>323</v>
      </c>
      <c r="F307" t="s">
        <v>4</v>
      </c>
    </row>
    <row r="308" spans="1:6">
      <c r="A308" t="s">
        <v>1729</v>
      </c>
      <c r="B308" t="s">
        <v>1730</v>
      </c>
      <c r="C308" t="s">
        <v>681</v>
      </c>
      <c r="D308">
        <v>2005</v>
      </c>
      <c r="E308" t="s">
        <v>66</v>
      </c>
      <c r="F308" t="s">
        <v>1328</v>
      </c>
    </row>
    <row r="309" spans="1:6">
      <c r="A309" t="s">
        <v>3135</v>
      </c>
      <c r="B309" t="s">
        <v>3136</v>
      </c>
      <c r="C309" t="s">
        <v>3137</v>
      </c>
      <c r="D309">
        <v>2012</v>
      </c>
      <c r="E309" t="s">
        <v>66</v>
      </c>
      <c r="F309" t="s">
        <v>2757</v>
      </c>
    </row>
    <row r="310" spans="1:6">
      <c r="A310" t="s">
        <v>1712</v>
      </c>
      <c r="B310" t="s">
        <v>321</v>
      </c>
      <c r="C310" t="s">
        <v>3552</v>
      </c>
      <c r="D310">
        <v>2013</v>
      </c>
      <c r="E310" t="s">
        <v>66</v>
      </c>
      <c r="F310" t="s">
        <v>3948</v>
      </c>
    </row>
    <row r="311" spans="1:6">
      <c r="A311" t="s">
        <v>4347</v>
      </c>
      <c r="B311" t="s">
        <v>4348</v>
      </c>
      <c r="C311" t="s">
        <v>4288</v>
      </c>
      <c r="D311">
        <v>2012</v>
      </c>
      <c r="E311" t="s">
        <v>66</v>
      </c>
      <c r="F311" t="s">
        <v>3948</v>
      </c>
    </row>
    <row r="312" spans="1:6">
      <c r="A312" t="s">
        <v>2517</v>
      </c>
      <c r="B312" t="s">
        <v>2518</v>
      </c>
      <c r="C312" t="s">
        <v>2519</v>
      </c>
      <c r="D312">
        <v>2011</v>
      </c>
      <c r="E312" t="s">
        <v>66</v>
      </c>
      <c r="F312" t="s">
        <v>2142</v>
      </c>
    </row>
    <row r="313" spans="1:6">
      <c r="A313" t="s">
        <v>1724</v>
      </c>
      <c r="B313" t="s">
        <v>321</v>
      </c>
      <c r="C313" t="s">
        <v>2519</v>
      </c>
      <c r="D313">
        <v>2011</v>
      </c>
      <c r="E313" t="s">
        <v>66</v>
      </c>
      <c r="F313" t="s">
        <v>3948</v>
      </c>
    </row>
    <row r="314" spans="1:6">
      <c r="A314" t="s">
        <v>3603</v>
      </c>
      <c r="B314" t="s">
        <v>1841</v>
      </c>
      <c r="C314" t="s">
        <v>3552</v>
      </c>
      <c r="D314">
        <v>2013</v>
      </c>
      <c r="E314" t="s">
        <v>66</v>
      </c>
      <c r="F314" t="s">
        <v>3356</v>
      </c>
    </row>
    <row r="315" spans="1:6">
      <c r="A315" t="s">
        <v>1724</v>
      </c>
      <c r="B315" t="s">
        <v>321</v>
      </c>
      <c r="C315" t="s">
        <v>4336</v>
      </c>
      <c r="D315">
        <v>2011</v>
      </c>
      <c r="E315" t="s">
        <v>66</v>
      </c>
      <c r="F315" t="s">
        <v>3948</v>
      </c>
    </row>
    <row r="316" spans="1:6">
      <c r="A316" t="s">
        <v>1955</v>
      </c>
      <c r="B316" t="s">
        <v>321</v>
      </c>
      <c r="C316" t="s">
        <v>1956</v>
      </c>
      <c r="D316">
        <v>2001</v>
      </c>
      <c r="E316" t="s">
        <v>66</v>
      </c>
      <c r="F316" t="s">
        <v>1917</v>
      </c>
    </row>
    <row r="317" spans="1:6">
      <c r="A317" t="s">
        <v>2149</v>
      </c>
      <c r="B317" t="s">
        <v>2150</v>
      </c>
      <c r="C317" t="s">
        <v>2151</v>
      </c>
      <c r="D317">
        <v>2011</v>
      </c>
      <c r="E317" t="s">
        <v>66</v>
      </c>
      <c r="F317" t="s">
        <v>2142</v>
      </c>
    </row>
    <row r="318" spans="1:6">
      <c r="A318" t="s">
        <v>3421</v>
      </c>
      <c r="B318" t="s">
        <v>3422</v>
      </c>
      <c r="C318" t="s">
        <v>3423</v>
      </c>
      <c r="D318">
        <v>2013</v>
      </c>
      <c r="E318" t="s">
        <v>66</v>
      </c>
      <c r="F318" t="s">
        <v>3356</v>
      </c>
    </row>
    <row r="319" spans="1:6">
      <c r="A319" t="s">
        <v>320</v>
      </c>
      <c r="B319" t="s">
        <v>321</v>
      </c>
      <c r="C319" t="s">
        <v>337</v>
      </c>
      <c r="D319">
        <v>2003</v>
      </c>
      <c r="E319" t="s">
        <v>338</v>
      </c>
      <c r="F319" t="s">
        <v>4</v>
      </c>
    </row>
    <row r="320" spans="1:6">
      <c r="A320" t="s">
        <v>3890</v>
      </c>
      <c r="B320" t="s">
        <v>321</v>
      </c>
      <c r="C320" t="s">
        <v>3891</v>
      </c>
      <c r="D320">
        <v>2011</v>
      </c>
      <c r="E320" t="s">
        <v>66</v>
      </c>
      <c r="F320" t="s">
        <v>3356</v>
      </c>
    </row>
    <row r="321" spans="1:6">
      <c r="A321" t="s">
        <v>787</v>
      </c>
      <c r="B321" t="s">
        <v>788</v>
      </c>
      <c r="C321" t="s">
        <v>789</v>
      </c>
      <c r="D321">
        <v>2005</v>
      </c>
      <c r="E321" t="s">
        <v>66</v>
      </c>
      <c r="F321" t="s">
        <v>686</v>
      </c>
    </row>
    <row r="322" spans="1:6">
      <c r="A322" t="s">
        <v>1808</v>
      </c>
      <c r="B322" t="s">
        <v>1809</v>
      </c>
      <c r="C322" t="s">
        <v>1285</v>
      </c>
      <c r="D322">
        <v>2009</v>
      </c>
      <c r="E322" t="s">
        <v>66</v>
      </c>
      <c r="F322" t="s">
        <v>1328</v>
      </c>
    </row>
    <row r="323" spans="1:6">
      <c r="A323" t="s">
        <v>1724</v>
      </c>
      <c r="B323" t="s">
        <v>321</v>
      </c>
      <c r="C323" t="s">
        <v>1605</v>
      </c>
      <c r="D323">
        <v>2009</v>
      </c>
      <c r="E323" t="s">
        <v>66</v>
      </c>
      <c r="F323" t="s">
        <v>1328</v>
      </c>
    </row>
    <row r="324" spans="1:6">
      <c r="A324" t="s">
        <v>1799</v>
      </c>
      <c r="B324" t="s">
        <v>1800</v>
      </c>
      <c r="C324" t="s">
        <v>681</v>
      </c>
      <c r="D324">
        <v>2005</v>
      </c>
      <c r="E324" t="s">
        <v>66</v>
      </c>
      <c r="F324" t="s">
        <v>1328</v>
      </c>
    </row>
    <row r="325" spans="1:6">
      <c r="A325" t="s">
        <v>1712</v>
      </c>
      <c r="B325" t="s">
        <v>321</v>
      </c>
      <c r="C325" t="s">
        <v>2151</v>
      </c>
      <c r="D325">
        <v>2011</v>
      </c>
      <c r="E325" t="s">
        <v>66</v>
      </c>
      <c r="F325" t="s">
        <v>3948</v>
      </c>
    </row>
    <row r="326" spans="1:6">
      <c r="A326" t="s">
        <v>1329</v>
      </c>
      <c r="B326" t="s">
        <v>1330</v>
      </c>
      <c r="C326" t="s">
        <v>480</v>
      </c>
      <c r="D326">
        <v>2005</v>
      </c>
      <c r="E326" t="s">
        <v>1331</v>
      </c>
      <c r="F326" t="s">
        <v>1328</v>
      </c>
    </row>
    <row r="327" spans="1:6">
      <c r="A327" t="s">
        <v>320</v>
      </c>
      <c r="B327" t="s">
        <v>321</v>
      </c>
      <c r="C327" t="s">
        <v>3693</v>
      </c>
      <c r="D327">
        <v>2013</v>
      </c>
      <c r="E327" t="s">
        <v>66</v>
      </c>
      <c r="F327" t="s">
        <v>3356</v>
      </c>
    </row>
    <row r="328" spans="1:6">
      <c r="A328" t="s">
        <v>1712</v>
      </c>
      <c r="B328" t="s">
        <v>321</v>
      </c>
      <c r="C328" t="s">
        <v>1815</v>
      </c>
      <c r="D328">
        <v>2003</v>
      </c>
      <c r="E328" t="s">
        <v>66</v>
      </c>
      <c r="F328" t="s">
        <v>1328</v>
      </c>
    </row>
    <row r="329" spans="1:6">
      <c r="A329" t="s">
        <v>2829</v>
      </c>
      <c r="B329" t="s">
        <v>2801</v>
      </c>
      <c r="C329" t="s">
        <v>2802</v>
      </c>
      <c r="D329">
        <v>2013</v>
      </c>
      <c r="E329" t="s">
        <v>66</v>
      </c>
      <c r="F329" t="s">
        <v>2757</v>
      </c>
    </row>
    <row r="330" spans="1:6">
      <c r="A330" t="s">
        <v>1712</v>
      </c>
      <c r="B330" t="s">
        <v>321</v>
      </c>
      <c r="C330" t="s">
        <v>1790</v>
      </c>
      <c r="D330">
        <v>2003</v>
      </c>
      <c r="E330" t="s">
        <v>1791</v>
      </c>
      <c r="F330" t="s">
        <v>1328</v>
      </c>
    </row>
    <row r="331" spans="1:6">
      <c r="A331" t="s">
        <v>320</v>
      </c>
      <c r="B331" t="s">
        <v>321</v>
      </c>
      <c r="C331" t="s">
        <v>349</v>
      </c>
      <c r="D331">
        <v>2007</v>
      </c>
      <c r="E331" t="s">
        <v>350</v>
      </c>
      <c r="F331" t="s">
        <v>4</v>
      </c>
    </row>
    <row r="332" spans="1:6">
      <c r="A332" t="s">
        <v>2359</v>
      </c>
      <c r="B332" t="s">
        <v>2360</v>
      </c>
      <c r="C332" t="s">
        <v>2151</v>
      </c>
      <c r="D332">
        <v>2011</v>
      </c>
      <c r="E332" t="s">
        <v>66</v>
      </c>
      <c r="F332" t="s">
        <v>2142</v>
      </c>
    </row>
    <row r="333" spans="1:6">
      <c r="A333" t="s">
        <v>108</v>
      </c>
      <c r="B333" t="s">
        <v>109</v>
      </c>
      <c r="C333" t="s">
        <v>110</v>
      </c>
      <c r="D333">
        <v>2006</v>
      </c>
      <c r="E333" t="s">
        <v>111</v>
      </c>
      <c r="F333" t="s">
        <v>4</v>
      </c>
    </row>
    <row r="334" spans="1:6">
      <c r="A334" t="s">
        <v>1402</v>
      </c>
      <c r="B334" t="s">
        <v>1403</v>
      </c>
      <c r="C334" t="s">
        <v>1404</v>
      </c>
      <c r="D334">
        <v>2010</v>
      </c>
      <c r="E334" t="s">
        <v>66</v>
      </c>
      <c r="F334" t="s">
        <v>1328</v>
      </c>
    </row>
    <row r="335" spans="1:6">
      <c r="A335" t="s">
        <v>716</v>
      </c>
      <c r="B335" t="s">
        <v>717</v>
      </c>
      <c r="C335" t="s">
        <v>718</v>
      </c>
      <c r="D335">
        <v>2006</v>
      </c>
      <c r="E335" t="s">
        <v>719</v>
      </c>
      <c r="F335" t="s">
        <v>686</v>
      </c>
    </row>
    <row r="336" spans="1:6">
      <c r="A336" t="s">
        <v>1840</v>
      </c>
      <c r="B336" t="s">
        <v>1841</v>
      </c>
      <c r="C336" t="s">
        <v>1790</v>
      </c>
      <c r="D336">
        <v>2003</v>
      </c>
      <c r="E336" t="s">
        <v>1842</v>
      </c>
      <c r="F336" t="s">
        <v>1328</v>
      </c>
    </row>
    <row r="337" spans="1:6">
      <c r="A337" t="s">
        <v>2029</v>
      </c>
      <c r="B337" t="s">
        <v>4623</v>
      </c>
      <c r="C337" t="s">
        <v>2030</v>
      </c>
      <c r="D337">
        <v>2003</v>
      </c>
      <c r="E337" t="s">
        <v>66</v>
      </c>
      <c r="F337" t="s">
        <v>1917</v>
      </c>
    </row>
    <row r="338" spans="1:6">
      <c r="A338" t="s">
        <v>320</v>
      </c>
      <c r="B338" t="s">
        <v>321</v>
      </c>
      <c r="C338" t="s">
        <v>1299</v>
      </c>
      <c r="D338">
        <v>2010</v>
      </c>
      <c r="E338" t="s">
        <v>66</v>
      </c>
      <c r="F338" t="s">
        <v>686</v>
      </c>
    </row>
    <row r="339" spans="1:6">
      <c r="A339" t="s">
        <v>2310</v>
      </c>
      <c r="B339" t="s">
        <v>2311</v>
      </c>
      <c r="C339" t="s">
        <v>2151</v>
      </c>
      <c r="D339">
        <v>2011</v>
      </c>
      <c r="E339" t="s">
        <v>66</v>
      </c>
      <c r="F339" t="s">
        <v>2142</v>
      </c>
    </row>
    <row r="340" spans="1:6">
      <c r="A340" t="s">
        <v>1177</v>
      </c>
      <c r="B340" t="s">
        <v>1178</v>
      </c>
      <c r="C340" t="s">
        <v>1179</v>
      </c>
      <c r="D340">
        <v>2003</v>
      </c>
      <c r="E340" t="s">
        <v>66</v>
      </c>
      <c r="F340" t="s">
        <v>686</v>
      </c>
    </row>
    <row r="341" spans="1:6">
      <c r="A341" t="s">
        <v>4236</v>
      </c>
      <c r="B341" t="s">
        <v>2801</v>
      </c>
      <c r="C341" t="s">
        <v>2802</v>
      </c>
      <c r="D341">
        <v>2013</v>
      </c>
      <c r="E341" t="s">
        <v>66</v>
      </c>
      <c r="F341" t="s">
        <v>3948</v>
      </c>
    </row>
    <row r="342" spans="1:6">
      <c r="A342" t="s">
        <v>2190</v>
      </c>
      <c r="B342" t="s">
        <v>2191</v>
      </c>
      <c r="C342" t="s">
        <v>2192</v>
      </c>
      <c r="D342">
        <v>2013</v>
      </c>
      <c r="E342" t="s">
        <v>66</v>
      </c>
      <c r="F342" t="s">
        <v>2142</v>
      </c>
    </row>
    <row r="343" spans="1:6">
      <c r="A343" t="s">
        <v>3551</v>
      </c>
      <c r="B343" t="s">
        <v>1841</v>
      </c>
      <c r="C343" t="s">
        <v>3552</v>
      </c>
      <c r="D343">
        <v>2013</v>
      </c>
      <c r="E343" t="s">
        <v>66</v>
      </c>
      <c r="F343" t="s">
        <v>3356</v>
      </c>
    </row>
    <row r="344" spans="1:6">
      <c r="A344" t="s">
        <v>539</v>
      </c>
      <c r="B344" t="s">
        <v>540</v>
      </c>
      <c r="C344" t="s">
        <v>337</v>
      </c>
      <c r="D344">
        <v>2003</v>
      </c>
      <c r="E344" t="s">
        <v>541</v>
      </c>
      <c r="F344" t="s">
        <v>4</v>
      </c>
    </row>
    <row r="345" spans="1:6">
      <c r="A345" t="s">
        <v>3537</v>
      </c>
      <c r="B345" t="s">
        <v>3538</v>
      </c>
      <c r="C345" t="s">
        <v>2151</v>
      </c>
      <c r="D345">
        <v>2011</v>
      </c>
      <c r="E345" t="s">
        <v>66</v>
      </c>
      <c r="F345" t="s">
        <v>3356</v>
      </c>
    </row>
    <row r="346" spans="1:6">
      <c r="A346" t="s">
        <v>3493</v>
      </c>
      <c r="B346" t="s">
        <v>2801</v>
      </c>
      <c r="C346" t="s">
        <v>2802</v>
      </c>
      <c r="D346">
        <v>2013</v>
      </c>
      <c r="E346" t="s">
        <v>66</v>
      </c>
      <c r="F346" t="s">
        <v>3356</v>
      </c>
    </row>
    <row r="347" spans="1:6">
      <c r="A347" t="s">
        <v>3058</v>
      </c>
      <c r="B347" t="s">
        <v>3059</v>
      </c>
      <c r="C347" t="s">
        <v>2151</v>
      </c>
      <c r="D347">
        <v>2011</v>
      </c>
      <c r="E347" t="s">
        <v>66</v>
      </c>
      <c r="F347" t="s">
        <v>2757</v>
      </c>
    </row>
    <row r="348" spans="1:6">
      <c r="A348" t="s">
        <v>4406</v>
      </c>
      <c r="B348" t="s">
        <v>4407</v>
      </c>
      <c r="C348" t="s">
        <v>4408</v>
      </c>
      <c r="D348">
        <v>2013</v>
      </c>
      <c r="E348" t="s">
        <v>66</v>
      </c>
      <c r="F348" t="s">
        <v>3948</v>
      </c>
    </row>
    <row r="349" spans="1:6">
      <c r="A349" t="s">
        <v>2034</v>
      </c>
      <c r="B349" t="s">
        <v>540</v>
      </c>
      <c r="C349" t="s">
        <v>337</v>
      </c>
      <c r="D349">
        <v>2003</v>
      </c>
      <c r="E349" t="s">
        <v>2035</v>
      </c>
      <c r="F349" t="s">
        <v>1917</v>
      </c>
    </row>
    <row r="350" spans="1:6">
      <c r="A350" t="s">
        <v>1929</v>
      </c>
      <c r="B350" t="s">
        <v>1919</v>
      </c>
      <c r="C350" t="s">
        <v>1815</v>
      </c>
      <c r="D350">
        <v>2003</v>
      </c>
      <c r="E350" t="s">
        <v>66</v>
      </c>
      <c r="F350" t="s">
        <v>1917</v>
      </c>
    </row>
    <row r="351" spans="1:6">
      <c r="A351" t="s">
        <v>662</v>
      </c>
      <c r="B351" t="s">
        <v>663</v>
      </c>
      <c r="C351" t="s">
        <v>664</v>
      </c>
      <c r="D351">
        <v>2004</v>
      </c>
      <c r="E351" t="s">
        <v>66</v>
      </c>
      <c r="F351" t="s">
        <v>4</v>
      </c>
    </row>
    <row r="352" spans="1:6">
      <c r="A352" t="s">
        <v>4029</v>
      </c>
      <c r="B352" t="s">
        <v>4030</v>
      </c>
      <c r="C352" t="s">
        <v>4031</v>
      </c>
      <c r="D352">
        <v>2012</v>
      </c>
      <c r="E352" t="s">
        <v>66</v>
      </c>
      <c r="F352" t="s">
        <v>3948</v>
      </c>
    </row>
    <row r="353" spans="1:6">
      <c r="A353" t="s">
        <v>1866</v>
      </c>
      <c r="B353" t="s">
        <v>1841</v>
      </c>
      <c r="C353" t="s">
        <v>3552</v>
      </c>
      <c r="D353">
        <v>2003</v>
      </c>
      <c r="E353" t="s">
        <v>66</v>
      </c>
      <c r="F353" t="s">
        <v>3948</v>
      </c>
    </row>
    <row r="354" spans="1:6">
      <c r="A354" t="s">
        <v>1121</v>
      </c>
      <c r="B354" t="s">
        <v>1122</v>
      </c>
      <c r="C354" t="s">
        <v>1123</v>
      </c>
      <c r="D354">
        <v>2008</v>
      </c>
      <c r="E354" t="s">
        <v>66</v>
      </c>
      <c r="F354" t="s">
        <v>686</v>
      </c>
    </row>
    <row r="355" spans="1:6">
      <c r="A355" t="s">
        <v>2377</v>
      </c>
      <c r="B355" t="s">
        <v>2378</v>
      </c>
      <c r="C355" t="s">
        <v>2151</v>
      </c>
      <c r="D355">
        <v>2011</v>
      </c>
      <c r="E355" t="s">
        <v>66</v>
      </c>
      <c r="F355" t="s">
        <v>2142</v>
      </c>
    </row>
    <row r="356" spans="1:6">
      <c r="A356" t="s">
        <v>4411</v>
      </c>
      <c r="B356" t="s">
        <v>4412</v>
      </c>
      <c r="C356" t="s">
        <v>4413</v>
      </c>
      <c r="D356">
        <v>2012</v>
      </c>
      <c r="E356" t="s">
        <v>66</v>
      </c>
      <c r="F356" t="s">
        <v>3948</v>
      </c>
    </row>
    <row r="357" spans="1:6">
      <c r="A357" t="s">
        <v>4269</v>
      </c>
      <c r="B357" t="s">
        <v>4270</v>
      </c>
      <c r="C357" t="s">
        <v>4271</v>
      </c>
      <c r="D357">
        <v>2011</v>
      </c>
      <c r="E357" t="s">
        <v>66</v>
      </c>
      <c r="F357" t="s">
        <v>3948</v>
      </c>
    </row>
    <row r="358" spans="1:6">
      <c r="A358" t="s">
        <v>3479</v>
      </c>
      <c r="B358" t="s">
        <v>2150</v>
      </c>
      <c r="C358" t="s">
        <v>2151</v>
      </c>
      <c r="D358">
        <v>2011</v>
      </c>
      <c r="E358" t="s">
        <v>66</v>
      </c>
      <c r="F358" t="s">
        <v>3356</v>
      </c>
    </row>
    <row r="359" spans="1:6">
      <c r="A359" t="s">
        <v>2031</v>
      </c>
      <c r="B359" t="s">
        <v>2032</v>
      </c>
      <c r="C359" t="s">
        <v>1741</v>
      </c>
      <c r="D359">
        <v>2001</v>
      </c>
      <c r="E359" t="s">
        <v>2033</v>
      </c>
      <c r="F359" t="s">
        <v>1917</v>
      </c>
    </row>
    <row r="360" spans="1:6">
      <c r="A360" t="s">
        <v>679</v>
      </c>
      <c r="B360" t="s">
        <v>680</v>
      </c>
      <c r="C360" t="s">
        <v>681</v>
      </c>
      <c r="D360">
        <v>2005</v>
      </c>
      <c r="E360" t="s">
        <v>66</v>
      </c>
      <c r="F360" t="s">
        <v>4</v>
      </c>
    </row>
    <row r="361" spans="1:6">
      <c r="A361" t="s">
        <v>1846</v>
      </c>
      <c r="B361" t="s">
        <v>1847</v>
      </c>
      <c r="C361" t="s">
        <v>1848</v>
      </c>
      <c r="D361">
        <v>2006</v>
      </c>
      <c r="E361" t="s">
        <v>1849</v>
      </c>
      <c r="F361" t="s">
        <v>1328</v>
      </c>
    </row>
    <row r="362" spans="1:6">
      <c r="A362" t="s">
        <v>2370</v>
      </c>
      <c r="B362" t="s">
        <v>2150</v>
      </c>
      <c r="C362" t="s">
        <v>2151</v>
      </c>
      <c r="D362">
        <v>2011</v>
      </c>
      <c r="E362" t="s">
        <v>66</v>
      </c>
      <c r="F362" t="s">
        <v>2142</v>
      </c>
    </row>
    <row r="363" spans="1:6">
      <c r="A363" t="s">
        <v>4250</v>
      </c>
      <c r="B363" t="s">
        <v>2191</v>
      </c>
      <c r="C363" t="s">
        <v>2192</v>
      </c>
      <c r="D363">
        <v>2013</v>
      </c>
      <c r="E363" t="s">
        <v>66</v>
      </c>
      <c r="F363" t="s">
        <v>3948</v>
      </c>
    </row>
    <row r="364" spans="1:6">
      <c r="A364" t="s">
        <v>1893</v>
      </c>
      <c r="B364" t="s">
        <v>1894</v>
      </c>
      <c r="C364" t="s">
        <v>1895</v>
      </c>
      <c r="D364">
        <v>2007</v>
      </c>
      <c r="E364" t="s">
        <v>1896</v>
      </c>
      <c r="F364" t="s">
        <v>1328</v>
      </c>
    </row>
    <row r="365" spans="1:6">
      <c r="A365" t="s">
        <v>1724</v>
      </c>
      <c r="B365" t="s">
        <v>321</v>
      </c>
      <c r="C365" t="s">
        <v>480</v>
      </c>
      <c r="D365">
        <v>2005</v>
      </c>
      <c r="E365" t="s">
        <v>1823</v>
      </c>
      <c r="F365" t="s">
        <v>1328</v>
      </c>
    </row>
    <row r="366" spans="1:6">
      <c r="A366" t="s">
        <v>3492</v>
      </c>
      <c r="B366" t="s">
        <v>2150</v>
      </c>
      <c r="C366" t="s">
        <v>2151</v>
      </c>
      <c r="D366">
        <v>2011</v>
      </c>
      <c r="E366" t="s">
        <v>66</v>
      </c>
      <c r="F366" t="s">
        <v>3356</v>
      </c>
    </row>
    <row r="367" spans="1:6">
      <c r="A367" t="s">
        <v>2379</v>
      </c>
      <c r="B367" t="s">
        <v>2380</v>
      </c>
      <c r="C367" t="s">
        <v>2309</v>
      </c>
      <c r="D367">
        <v>2013</v>
      </c>
      <c r="E367" t="s">
        <v>66</v>
      </c>
      <c r="F367" t="s">
        <v>2142</v>
      </c>
    </row>
    <row r="368" spans="1:6">
      <c r="A368" t="s">
        <v>4276</v>
      </c>
      <c r="B368" t="s">
        <v>321</v>
      </c>
      <c r="C368" t="s">
        <v>4277</v>
      </c>
      <c r="D368">
        <v>2012</v>
      </c>
      <c r="E368" t="s">
        <v>66</v>
      </c>
      <c r="F368" t="s">
        <v>3948</v>
      </c>
    </row>
    <row r="369" spans="1:6">
      <c r="A369" t="s">
        <v>1866</v>
      </c>
      <c r="B369" t="s">
        <v>1841</v>
      </c>
      <c r="C369" t="s">
        <v>1790</v>
      </c>
      <c r="D369">
        <v>2003</v>
      </c>
      <c r="E369" t="s">
        <v>1867</v>
      </c>
      <c r="F369" t="s">
        <v>1328</v>
      </c>
    </row>
    <row r="370" spans="1:6">
      <c r="A370" t="s">
        <v>4392</v>
      </c>
      <c r="B370" t="s">
        <v>2801</v>
      </c>
      <c r="C370" t="s">
        <v>2802</v>
      </c>
      <c r="D370">
        <v>2013</v>
      </c>
      <c r="E370" t="s">
        <v>66</v>
      </c>
      <c r="F370" t="s">
        <v>3948</v>
      </c>
    </row>
    <row r="371" spans="1:6">
      <c r="A371" t="s">
        <v>1806</v>
      </c>
      <c r="B371" t="s">
        <v>2801</v>
      </c>
      <c r="C371" t="s">
        <v>2802</v>
      </c>
      <c r="D371">
        <v>2013</v>
      </c>
      <c r="E371" t="s">
        <v>66</v>
      </c>
      <c r="F371" t="s">
        <v>3356</v>
      </c>
    </row>
    <row r="372" spans="1:6">
      <c r="A372" t="s">
        <v>4252</v>
      </c>
      <c r="B372" t="s">
        <v>2912</v>
      </c>
      <c r="C372" t="s">
        <v>2913</v>
      </c>
      <c r="D372">
        <v>2012</v>
      </c>
      <c r="E372" t="s">
        <v>66</v>
      </c>
      <c r="F372" t="s">
        <v>3948</v>
      </c>
    </row>
    <row r="373" spans="1:6">
      <c r="A373" t="s">
        <v>1806</v>
      </c>
      <c r="B373" t="s">
        <v>2191</v>
      </c>
      <c r="C373" t="s">
        <v>2192</v>
      </c>
      <c r="D373">
        <v>2013</v>
      </c>
      <c r="E373" t="s">
        <v>66</v>
      </c>
      <c r="F373" t="s">
        <v>3948</v>
      </c>
    </row>
    <row r="374" spans="1:6">
      <c r="A374" t="s">
        <v>1806</v>
      </c>
      <c r="B374" t="s">
        <v>540</v>
      </c>
      <c r="C374" t="s">
        <v>337</v>
      </c>
      <c r="D374">
        <v>2003</v>
      </c>
      <c r="E374" t="s">
        <v>1807</v>
      </c>
      <c r="F374" t="s">
        <v>1328</v>
      </c>
    </row>
    <row r="375" spans="1:6">
      <c r="A375" t="s">
        <v>1722</v>
      </c>
      <c r="B375" t="s">
        <v>1723</v>
      </c>
      <c r="C375" t="s">
        <v>681</v>
      </c>
      <c r="D375">
        <v>2005</v>
      </c>
      <c r="E375" t="s">
        <v>66</v>
      </c>
      <c r="F375" t="s">
        <v>1328</v>
      </c>
    </row>
    <row r="376" spans="1:6">
      <c r="A376" t="s">
        <v>1745</v>
      </c>
      <c r="B376" t="s">
        <v>1746</v>
      </c>
      <c r="C376" t="s">
        <v>1747</v>
      </c>
      <c r="D376">
        <v>2007</v>
      </c>
      <c r="E376" t="s">
        <v>1748</v>
      </c>
      <c r="F376" t="s">
        <v>1328</v>
      </c>
    </row>
    <row r="377" spans="1:6">
      <c r="A377" t="s">
        <v>3486</v>
      </c>
      <c r="B377" t="s">
        <v>3487</v>
      </c>
      <c r="C377" t="s">
        <v>90</v>
      </c>
      <c r="D377">
        <v>2013</v>
      </c>
      <c r="E377" t="s">
        <v>3488</v>
      </c>
      <c r="F377" t="s">
        <v>3356</v>
      </c>
    </row>
    <row r="378" spans="1:6">
      <c r="A378" t="s">
        <v>3118</v>
      </c>
      <c r="B378" t="s">
        <v>3119</v>
      </c>
      <c r="C378" t="s">
        <v>444</v>
      </c>
      <c r="D378">
        <v>2013</v>
      </c>
      <c r="E378" t="s">
        <v>3120</v>
      </c>
      <c r="F378" t="s">
        <v>2757</v>
      </c>
    </row>
    <row r="379" spans="1:6">
      <c r="A379" t="s">
        <v>3256</v>
      </c>
      <c r="B379" t="s">
        <v>3257</v>
      </c>
      <c r="C379" t="s">
        <v>211</v>
      </c>
      <c r="D379">
        <v>2013</v>
      </c>
      <c r="E379" t="s">
        <v>3258</v>
      </c>
      <c r="F379" t="s">
        <v>2757</v>
      </c>
    </row>
    <row r="380" spans="1:6">
      <c r="A380" t="s">
        <v>2585</v>
      </c>
      <c r="B380" t="s">
        <v>2586</v>
      </c>
      <c r="C380" t="s">
        <v>520</v>
      </c>
      <c r="D380">
        <v>2013</v>
      </c>
      <c r="E380" t="s">
        <v>2587</v>
      </c>
      <c r="F380" t="s">
        <v>2142</v>
      </c>
    </row>
    <row r="381" spans="1:6">
      <c r="A381" t="s">
        <v>3313</v>
      </c>
      <c r="B381" t="s">
        <v>3314</v>
      </c>
      <c r="C381" t="s">
        <v>1350</v>
      </c>
      <c r="D381">
        <v>2013</v>
      </c>
      <c r="E381" t="s">
        <v>3315</v>
      </c>
      <c r="F381" t="s">
        <v>2757</v>
      </c>
    </row>
    <row r="382" spans="1:6">
      <c r="A382" t="s">
        <v>4043</v>
      </c>
      <c r="B382" t="s">
        <v>4044</v>
      </c>
      <c r="C382" t="s">
        <v>3897</v>
      </c>
      <c r="D382">
        <v>2013</v>
      </c>
      <c r="E382" t="s">
        <v>4045</v>
      </c>
      <c r="F382" t="s">
        <v>3948</v>
      </c>
    </row>
    <row r="383" spans="1:6">
      <c r="A383" t="s">
        <v>2946</v>
      </c>
      <c r="B383" t="s">
        <v>2947</v>
      </c>
      <c r="C383" t="s">
        <v>2</v>
      </c>
      <c r="D383">
        <v>2013</v>
      </c>
      <c r="E383" t="s">
        <v>2948</v>
      </c>
      <c r="F383" t="s">
        <v>2757</v>
      </c>
    </row>
    <row r="384" spans="1:6">
      <c r="A384" t="s">
        <v>3627</v>
      </c>
      <c r="B384" t="s">
        <v>3628</v>
      </c>
      <c r="C384" t="s">
        <v>15</v>
      </c>
      <c r="D384">
        <v>2013</v>
      </c>
      <c r="E384" t="s">
        <v>3629</v>
      </c>
      <c r="F384" t="s">
        <v>3356</v>
      </c>
    </row>
    <row r="385" spans="1:6">
      <c r="A385" t="s">
        <v>4116</v>
      </c>
      <c r="B385" t="s">
        <v>4117</v>
      </c>
      <c r="C385" t="s">
        <v>2633</v>
      </c>
      <c r="D385">
        <v>2013</v>
      </c>
      <c r="E385" t="s">
        <v>4118</v>
      </c>
      <c r="F385" t="s">
        <v>3948</v>
      </c>
    </row>
    <row r="386" spans="1:6">
      <c r="A386" t="s">
        <v>3983</v>
      </c>
      <c r="B386" t="s">
        <v>3984</v>
      </c>
      <c r="C386" t="s">
        <v>1244</v>
      </c>
      <c r="D386">
        <v>2013</v>
      </c>
      <c r="E386" t="s">
        <v>3985</v>
      </c>
      <c r="F386" t="s">
        <v>3948</v>
      </c>
    </row>
    <row r="387" spans="1:6">
      <c r="A387" t="s">
        <v>2674</v>
      </c>
      <c r="B387" t="s">
        <v>2675</v>
      </c>
      <c r="C387" t="s">
        <v>1030</v>
      </c>
      <c r="D387">
        <v>2013</v>
      </c>
      <c r="E387" t="s">
        <v>2676</v>
      </c>
      <c r="F387" t="s">
        <v>2142</v>
      </c>
    </row>
    <row r="388" spans="1:6">
      <c r="A388" t="s">
        <v>3033</v>
      </c>
      <c r="B388" t="s">
        <v>3034</v>
      </c>
      <c r="C388" t="s">
        <v>761</v>
      </c>
      <c r="D388">
        <v>2013</v>
      </c>
      <c r="E388" t="s">
        <v>3035</v>
      </c>
      <c r="F388" t="s">
        <v>2757</v>
      </c>
    </row>
    <row r="389" spans="1:6">
      <c r="A389" t="s">
        <v>3357</v>
      </c>
      <c r="B389" t="s">
        <v>3358</v>
      </c>
      <c r="C389" t="s">
        <v>677</v>
      </c>
      <c r="D389">
        <v>2013</v>
      </c>
      <c r="E389" t="s">
        <v>3359</v>
      </c>
      <c r="F389" t="s">
        <v>3356</v>
      </c>
    </row>
    <row r="390" spans="1:6">
      <c r="A390" t="s">
        <v>3060</v>
      </c>
      <c r="B390" t="s">
        <v>3061</v>
      </c>
      <c r="C390" t="s">
        <v>35</v>
      </c>
      <c r="D390">
        <v>2013</v>
      </c>
      <c r="E390" t="s">
        <v>3062</v>
      </c>
      <c r="F390" t="s">
        <v>2757</v>
      </c>
    </row>
    <row r="391" spans="1:6">
      <c r="A391" t="s">
        <v>2826</v>
      </c>
      <c r="B391" t="s">
        <v>2827</v>
      </c>
      <c r="C391" t="s">
        <v>122</v>
      </c>
      <c r="D391">
        <v>2013</v>
      </c>
      <c r="E391" t="s">
        <v>2828</v>
      </c>
      <c r="F391" t="s">
        <v>2757</v>
      </c>
    </row>
    <row r="392" spans="1:6">
      <c r="A392" t="s">
        <v>2387</v>
      </c>
      <c r="B392" t="s">
        <v>2388</v>
      </c>
      <c r="C392" t="s">
        <v>2389</v>
      </c>
      <c r="D392">
        <v>2013</v>
      </c>
      <c r="E392" t="s">
        <v>2390</v>
      </c>
      <c r="F392" t="s">
        <v>2142</v>
      </c>
    </row>
    <row r="393" spans="1:6">
      <c r="A393" t="s">
        <v>2321</v>
      </c>
      <c r="B393" t="s">
        <v>2322</v>
      </c>
      <c r="C393" t="s">
        <v>19</v>
      </c>
      <c r="D393">
        <v>2013</v>
      </c>
      <c r="E393" t="s">
        <v>2323</v>
      </c>
      <c r="F393" t="s">
        <v>2142</v>
      </c>
    </row>
    <row r="394" spans="1:6">
      <c r="A394" t="s">
        <v>3069</v>
      </c>
      <c r="B394" t="s">
        <v>3070</v>
      </c>
      <c r="C394" t="s">
        <v>2</v>
      </c>
      <c r="D394">
        <v>2013</v>
      </c>
      <c r="E394" t="s">
        <v>3071</v>
      </c>
      <c r="F394" t="s">
        <v>2757</v>
      </c>
    </row>
    <row r="395" spans="1:6">
      <c r="A395" t="s">
        <v>4180</v>
      </c>
      <c r="B395" t="s">
        <v>4181</v>
      </c>
      <c r="C395" t="s">
        <v>4182</v>
      </c>
      <c r="D395">
        <v>2013</v>
      </c>
      <c r="E395" t="s">
        <v>4183</v>
      </c>
      <c r="F395" t="s">
        <v>3948</v>
      </c>
    </row>
    <row r="396" spans="1:6">
      <c r="A396" t="s">
        <v>2766</v>
      </c>
      <c r="B396" t="s">
        <v>2767</v>
      </c>
      <c r="C396" t="s">
        <v>2768</v>
      </c>
      <c r="D396">
        <v>2013</v>
      </c>
      <c r="E396" t="s">
        <v>2769</v>
      </c>
      <c r="F396" t="s">
        <v>2757</v>
      </c>
    </row>
    <row r="397" spans="1:6">
      <c r="A397" t="s">
        <v>3534</v>
      </c>
      <c r="B397" t="s">
        <v>3535</v>
      </c>
      <c r="C397" t="s">
        <v>122</v>
      </c>
      <c r="D397">
        <v>2013</v>
      </c>
      <c r="E397" t="s">
        <v>3536</v>
      </c>
      <c r="F397" t="s">
        <v>3356</v>
      </c>
    </row>
    <row r="398" spans="1:6">
      <c r="A398" t="s">
        <v>4147</v>
      </c>
      <c r="B398" t="s">
        <v>4148</v>
      </c>
      <c r="C398" t="s">
        <v>1334</v>
      </c>
      <c r="D398">
        <v>2013</v>
      </c>
      <c r="E398" t="s">
        <v>4149</v>
      </c>
      <c r="F398" t="s">
        <v>3948</v>
      </c>
    </row>
    <row r="399" spans="1:6">
      <c r="A399" t="s">
        <v>3669</v>
      </c>
      <c r="B399" t="s">
        <v>3670</v>
      </c>
      <c r="C399" t="s">
        <v>3041</v>
      </c>
      <c r="D399">
        <v>2013</v>
      </c>
      <c r="E399" t="s">
        <v>3671</v>
      </c>
      <c r="F399" t="s">
        <v>3356</v>
      </c>
    </row>
    <row r="400" spans="1:6">
      <c r="A400" t="s">
        <v>4084</v>
      </c>
      <c r="B400" t="s">
        <v>4085</v>
      </c>
      <c r="C400" t="s">
        <v>1350</v>
      </c>
      <c r="D400">
        <v>2013</v>
      </c>
      <c r="E400" t="s">
        <v>4086</v>
      </c>
      <c r="F400" t="s">
        <v>3948</v>
      </c>
    </row>
    <row r="401" spans="1:6">
      <c r="A401" t="s">
        <v>3241</v>
      </c>
      <c r="B401" t="s">
        <v>3242</v>
      </c>
      <c r="C401" t="s">
        <v>90</v>
      </c>
      <c r="D401">
        <v>2013</v>
      </c>
      <c r="E401" t="s">
        <v>3243</v>
      </c>
      <c r="F401" t="s">
        <v>2757</v>
      </c>
    </row>
    <row r="402" spans="1:6">
      <c r="A402" t="s">
        <v>4333</v>
      </c>
      <c r="B402" t="s">
        <v>4334</v>
      </c>
      <c r="C402" t="s">
        <v>725</v>
      </c>
      <c r="D402">
        <v>2013</v>
      </c>
      <c r="E402" t="s">
        <v>4335</v>
      </c>
      <c r="F402" t="s">
        <v>3948</v>
      </c>
    </row>
    <row r="403" spans="1:6">
      <c r="A403" t="s">
        <v>3565</v>
      </c>
      <c r="B403" t="s">
        <v>3566</v>
      </c>
      <c r="C403" t="s">
        <v>315</v>
      </c>
      <c r="D403">
        <v>2013</v>
      </c>
      <c r="E403" t="s">
        <v>3567</v>
      </c>
      <c r="F403" t="s">
        <v>3356</v>
      </c>
    </row>
    <row r="404" spans="1:6">
      <c r="A404" t="s">
        <v>3235</v>
      </c>
      <c r="B404" t="s">
        <v>3236</v>
      </c>
      <c r="C404" t="s">
        <v>15</v>
      </c>
      <c r="D404">
        <v>2013</v>
      </c>
      <c r="E404" t="s">
        <v>3237</v>
      </c>
      <c r="F404" t="s">
        <v>2757</v>
      </c>
    </row>
    <row r="405" spans="1:6">
      <c r="A405" t="s">
        <v>4073</v>
      </c>
      <c r="B405" t="s">
        <v>4074</v>
      </c>
      <c r="C405" t="s">
        <v>4075</v>
      </c>
      <c r="D405">
        <v>2013</v>
      </c>
      <c r="E405" t="s">
        <v>4076</v>
      </c>
      <c r="F405" t="s">
        <v>3948</v>
      </c>
    </row>
    <row r="406" spans="1:6">
      <c r="A406" t="s">
        <v>3376</v>
      </c>
      <c r="B406" t="s">
        <v>3377</v>
      </c>
      <c r="C406" t="s">
        <v>122</v>
      </c>
      <c r="D406">
        <v>2013</v>
      </c>
      <c r="E406" t="s">
        <v>3378</v>
      </c>
      <c r="F406" t="s">
        <v>3356</v>
      </c>
    </row>
    <row r="407" spans="1:6">
      <c r="A407" t="s">
        <v>2811</v>
      </c>
      <c r="B407" t="s">
        <v>2812</v>
      </c>
      <c r="C407" t="s">
        <v>2813</v>
      </c>
      <c r="D407">
        <v>2013</v>
      </c>
      <c r="E407" t="s">
        <v>2814</v>
      </c>
      <c r="F407" t="s">
        <v>2757</v>
      </c>
    </row>
    <row r="408" spans="1:6">
      <c r="A408" t="s">
        <v>3363</v>
      </c>
      <c r="B408" t="s">
        <v>3364</v>
      </c>
      <c r="C408" t="s">
        <v>2550</v>
      </c>
      <c r="D408">
        <v>2013</v>
      </c>
      <c r="E408" t="s">
        <v>3365</v>
      </c>
      <c r="F408" t="s">
        <v>3356</v>
      </c>
    </row>
    <row r="409" spans="1:6">
      <c r="A409" t="s">
        <v>3106</v>
      </c>
      <c r="B409" t="s">
        <v>3107</v>
      </c>
      <c r="C409" t="s">
        <v>7</v>
      </c>
      <c r="D409">
        <v>2013</v>
      </c>
      <c r="E409" t="s">
        <v>3108</v>
      </c>
      <c r="F409" t="s">
        <v>2757</v>
      </c>
    </row>
    <row r="410" spans="1:6">
      <c r="A410" t="s">
        <v>3162</v>
      </c>
      <c r="B410" t="s">
        <v>3163</v>
      </c>
      <c r="C410" t="s">
        <v>444</v>
      </c>
      <c r="D410">
        <v>2013</v>
      </c>
      <c r="E410" t="s">
        <v>3164</v>
      </c>
      <c r="F410" t="s">
        <v>2757</v>
      </c>
    </row>
    <row r="411" spans="1:6">
      <c r="A411" t="s">
        <v>4187</v>
      </c>
      <c r="B411" t="s">
        <v>4188</v>
      </c>
      <c r="C411" t="s">
        <v>2580</v>
      </c>
      <c r="D411">
        <v>2013</v>
      </c>
      <c r="E411" t="s">
        <v>4189</v>
      </c>
      <c r="F411" t="s">
        <v>3948</v>
      </c>
    </row>
    <row r="412" spans="1:6">
      <c r="A412" t="s">
        <v>2985</v>
      </c>
      <c r="B412" t="s">
        <v>2986</v>
      </c>
      <c r="C412" t="s">
        <v>122</v>
      </c>
      <c r="D412">
        <v>2013</v>
      </c>
      <c r="E412" t="s">
        <v>2987</v>
      </c>
      <c r="F412" t="s">
        <v>2757</v>
      </c>
    </row>
    <row r="413" spans="1:6">
      <c r="A413" t="s">
        <v>4521</v>
      </c>
      <c r="B413" t="s">
        <v>4522</v>
      </c>
      <c r="C413" t="s">
        <v>3368</v>
      </c>
      <c r="D413">
        <v>2013</v>
      </c>
      <c r="E413" t="s">
        <v>4523</v>
      </c>
      <c r="F413" t="s">
        <v>4493</v>
      </c>
    </row>
    <row r="414" spans="1:6">
      <c r="A414" t="s">
        <v>3066</v>
      </c>
      <c r="B414" t="s">
        <v>3067</v>
      </c>
      <c r="C414" t="s">
        <v>15</v>
      </c>
      <c r="D414">
        <v>2013</v>
      </c>
      <c r="E414" t="s">
        <v>3068</v>
      </c>
      <c r="F414" t="s">
        <v>2757</v>
      </c>
    </row>
    <row r="415" spans="1:6">
      <c r="A415" t="s">
        <v>3182</v>
      </c>
      <c r="B415" t="s">
        <v>3183</v>
      </c>
      <c r="C415" t="s">
        <v>19</v>
      </c>
      <c r="D415">
        <v>2013</v>
      </c>
      <c r="E415" t="s">
        <v>3184</v>
      </c>
      <c r="F415" t="s">
        <v>2757</v>
      </c>
    </row>
    <row r="416" spans="1:6">
      <c r="A416" t="s">
        <v>2480</v>
      </c>
      <c r="B416" t="s">
        <v>2481</v>
      </c>
      <c r="C416" t="s">
        <v>2</v>
      </c>
      <c r="D416">
        <v>2013</v>
      </c>
      <c r="E416" t="s">
        <v>2482</v>
      </c>
      <c r="F416" t="s">
        <v>2142</v>
      </c>
    </row>
    <row r="417" spans="1:6">
      <c r="A417" t="s">
        <v>3742</v>
      </c>
      <c r="B417" t="s">
        <v>3743</v>
      </c>
      <c r="C417" t="s">
        <v>3744</v>
      </c>
      <c r="D417">
        <v>2013</v>
      </c>
      <c r="E417" t="s">
        <v>3745</v>
      </c>
      <c r="F417" t="s">
        <v>3356</v>
      </c>
    </row>
    <row r="418" spans="1:6">
      <c r="A418" t="s">
        <v>3606</v>
      </c>
      <c r="B418" t="s">
        <v>3607</v>
      </c>
      <c r="C418" t="s">
        <v>122</v>
      </c>
      <c r="D418">
        <v>2013</v>
      </c>
      <c r="E418" t="s">
        <v>3608</v>
      </c>
      <c r="F418" t="s">
        <v>3356</v>
      </c>
    </row>
    <row r="419" spans="1:6">
      <c r="A419" t="s">
        <v>3176</v>
      </c>
      <c r="B419" t="s">
        <v>3177</v>
      </c>
      <c r="C419" t="s">
        <v>219</v>
      </c>
      <c r="D419">
        <v>2013</v>
      </c>
      <c r="E419" t="s">
        <v>3178</v>
      </c>
      <c r="F419" t="s">
        <v>2757</v>
      </c>
    </row>
    <row r="420" spans="1:6">
      <c r="A420" t="s">
        <v>3185</v>
      </c>
      <c r="B420" t="s">
        <v>3186</v>
      </c>
      <c r="C420" t="s">
        <v>3187</v>
      </c>
      <c r="D420">
        <v>2013</v>
      </c>
      <c r="E420" t="s">
        <v>3188</v>
      </c>
      <c r="F420" t="s">
        <v>2757</v>
      </c>
    </row>
    <row r="421" spans="1:6">
      <c r="A421" t="s">
        <v>3796</v>
      </c>
      <c r="B421" t="s">
        <v>3797</v>
      </c>
      <c r="C421" t="s">
        <v>3368</v>
      </c>
      <c r="D421">
        <v>2013</v>
      </c>
      <c r="E421" t="s">
        <v>3798</v>
      </c>
      <c r="F421" t="s">
        <v>3356</v>
      </c>
    </row>
    <row r="422" spans="1:6">
      <c r="A422" t="s">
        <v>3905</v>
      </c>
      <c r="B422" t="s">
        <v>3906</v>
      </c>
      <c r="C422" t="s">
        <v>15</v>
      </c>
      <c r="D422">
        <v>2013</v>
      </c>
      <c r="E422" t="s">
        <v>3907</v>
      </c>
      <c r="F422" t="s">
        <v>3356</v>
      </c>
    </row>
    <row r="423" spans="1:6">
      <c r="A423" t="s">
        <v>2569</v>
      </c>
      <c r="B423" t="s">
        <v>2570</v>
      </c>
      <c r="C423" t="s">
        <v>516</v>
      </c>
      <c r="D423">
        <v>2013</v>
      </c>
      <c r="E423" t="s">
        <v>2571</v>
      </c>
      <c r="F423" t="s">
        <v>2142</v>
      </c>
    </row>
    <row r="424" spans="1:6">
      <c r="A424" t="s">
        <v>4537</v>
      </c>
      <c r="B424" t="s">
        <v>4538</v>
      </c>
      <c r="C424" t="s">
        <v>61</v>
      </c>
      <c r="D424">
        <v>2013</v>
      </c>
      <c r="E424" t="s">
        <v>4539</v>
      </c>
      <c r="F424" t="s">
        <v>4493</v>
      </c>
    </row>
    <row r="425" spans="1:6">
      <c r="A425" t="s">
        <v>4534</v>
      </c>
      <c r="B425" t="s">
        <v>4535</v>
      </c>
      <c r="C425" t="s">
        <v>1322</v>
      </c>
      <c r="D425">
        <v>2013</v>
      </c>
      <c r="E425" t="s">
        <v>4536</v>
      </c>
      <c r="F425" t="s">
        <v>4493</v>
      </c>
    </row>
    <row r="426" spans="1:6">
      <c r="A426" t="s">
        <v>4119</v>
      </c>
      <c r="B426" t="s">
        <v>4120</v>
      </c>
      <c r="C426" t="s">
        <v>19</v>
      </c>
      <c r="D426">
        <v>2013</v>
      </c>
      <c r="E426" t="s">
        <v>4121</v>
      </c>
      <c r="F426" t="s">
        <v>3948</v>
      </c>
    </row>
    <row r="427" spans="1:6">
      <c r="A427" t="s">
        <v>2616</v>
      </c>
      <c r="B427" t="s">
        <v>2617</v>
      </c>
      <c r="C427" t="s">
        <v>2618</v>
      </c>
      <c r="D427">
        <v>2013</v>
      </c>
      <c r="E427" t="s">
        <v>2619</v>
      </c>
      <c r="F427" t="s">
        <v>2142</v>
      </c>
    </row>
    <row r="428" spans="1:6">
      <c r="A428" t="s">
        <v>3783</v>
      </c>
      <c r="B428" t="s">
        <v>3784</v>
      </c>
      <c r="C428" t="s">
        <v>612</v>
      </c>
      <c r="D428">
        <v>2013</v>
      </c>
      <c r="E428" t="s">
        <v>3785</v>
      </c>
      <c r="F428" t="s">
        <v>3356</v>
      </c>
    </row>
    <row r="429" spans="1:6">
      <c r="A429" t="s">
        <v>3732</v>
      </c>
      <c r="B429" t="s">
        <v>3733</v>
      </c>
      <c r="C429" t="s">
        <v>490</v>
      </c>
      <c r="D429">
        <v>2013</v>
      </c>
      <c r="E429" t="s">
        <v>3734</v>
      </c>
      <c r="F429" t="s">
        <v>3356</v>
      </c>
    </row>
    <row r="430" spans="1:6">
      <c r="A430" t="s">
        <v>2371</v>
      </c>
      <c r="B430" t="s">
        <v>2372</v>
      </c>
      <c r="C430" t="s">
        <v>19</v>
      </c>
      <c r="D430">
        <v>2013</v>
      </c>
      <c r="E430" t="s">
        <v>2373</v>
      </c>
      <c r="F430" t="s">
        <v>2142</v>
      </c>
    </row>
    <row r="431" spans="1:6">
      <c r="A431" t="s">
        <v>2859</v>
      </c>
      <c r="B431" t="s">
        <v>2860</v>
      </c>
      <c r="C431" t="s">
        <v>203</v>
      </c>
      <c r="D431">
        <v>2013</v>
      </c>
      <c r="E431" t="s">
        <v>2861</v>
      </c>
      <c r="F431" t="s">
        <v>2757</v>
      </c>
    </row>
    <row r="432" spans="1:6">
      <c r="A432" t="s">
        <v>3658</v>
      </c>
      <c r="B432" t="s">
        <v>3659</v>
      </c>
      <c r="C432" t="s">
        <v>3660</v>
      </c>
      <c r="D432">
        <v>2013</v>
      </c>
      <c r="E432" t="s">
        <v>3661</v>
      </c>
      <c r="F432" t="s">
        <v>3356</v>
      </c>
    </row>
    <row r="433" spans="1:6">
      <c r="A433" t="s">
        <v>2290</v>
      </c>
      <c r="B433" t="s">
        <v>2291</v>
      </c>
      <c r="C433" t="s">
        <v>90</v>
      </c>
      <c r="D433">
        <v>2013</v>
      </c>
      <c r="E433" t="s">
        <v>2292</v>
      </c>
      <c r="F433" t="s">
        <v>2142</v>
      </c>
    </row>
    <row r="434" spans="1:6">
      <c r="A434" t="s">
        <v>4135</v>
      </c>
      <c r="B434" t="s">
        <v>4136</v>
      </c>
      <c r="C434" t="s">
        <v>612</v>
      </c>
      <c r="D434">
        <v>2013</v>
      </c>
      <c r="E434" t="s">
        <v>4137</v>
      </c>
      <c r="F434" t="s">
        <v>3948</v>
      </c>
    </row>
    <row r="435" spans="1:6">
      <c r="A435" t="s">
        <v>3093</v>
      </c>
      <c r="B435" t="s">
        <v>3094</v>
      </c>
      <c r="C435" t="s">
        <v>207</v>
      </c>
      <c r="D435">
        <v>2013</v>
      </c>
      <c r="E435" t="s">
        <v>3095</v>
      </c>
      <c r="F435" t="s">
        <v>2757</v>
      </c>
    </row>
    <row r="436" spans="1:6">
      <c r="A436" t="s">
        <v>2235</v>
      </c>
      <c r="B436" t="s">
        <v>2236</v>
      </c>
      <c r="C436" t="s">
        <v>19</v>
      </c>
      <c r="D436">
        <v>2013</v>
      </c>
      <c r="E436" t="s">
        <v>2237</v>
      </c>
      <c r="F436" t="s">
        <v>2142</v>
      </c>
    </row>
    <row r="437" spans="1:6">
      <c r="A437" t="s">
        <v>2256</v>
      </c>
      <c r="B437" t="s">
        <v>2257</v>
      </c>
      <c r="C437" t="s">
        <v>19</v>
      </c>
      <c r="D437">
        <v>2013</v>
      </c>
      <c r="E437" t="s">
        <v>2258</v>
      </c>
      <c r="F437" t="s">
        <v>2142</v>
      </c>
    </row>
    <row r="438" spans="1:6">
      <c r="A438" t="s">
        <v>2280</v>
      </c>
      <c r="B438" t="s">
        <v>2281</v>
      </c>
      <c r="C438" t="s">
        <v>2282</v>
      </c>
      <c r="D438">
        <v>2013</v>
      </c>
      <c r="E438" t="s">
        <v>2283</v>
      </c>
      <c r="F438" t="s">
        <v>2142</v>
      </c>
    </row>
    <row r="439" spans="1:6">
      <c r="A439" t="s">
        <v>4153</v>
      </c>
      <c r="B439" t="s">
        <v>4154</v>
      </c>
      <c r="C439" t="s">
        <v>86</v>
      </c>
      <c r="D439">
        <v>2013</v>
      </c>
      <c r="E439" t="s">
        <v>4155</v>
      </c>
      <c r="F439" t="s">
        <v>3948</v>
      </c>
    </row>
    <row r="440" spans="1:6">
      <c r="A440" t="s">
        <v>2592</v>
      </c>
      <c r="B440" t="s">
        <v>2593</v>
      </c>
      <c r="C440" t="s">
        <v>612</v>
      </c>
      <c r="D440">
        <v>2013</v>
      </c>
      <c r="E440" t="s">
        <v>2594</v>
      </c>
      <c r="F440" t="s">
        <v>2142</v>
      </c>
    </row>
    <row r="441" spans="1:6">
      <c r="A441" t="s">
        <v>2514</v>
      </c>
      <c r="B441" t="s">
        <v>2515</v>
      </c>
      <c r="C441" t="s">
        <v>2</v>
      </c>
      <c r="D441">
        <v>2013</v>
      </c>
      <c r="E441" t="s">
        <v>2516</v>
      </c>
      <c r="F441" t="s">
        <v>2142</v>
      </c>
    </row>
    <row r="442" spans="1:6">
      <c r="A442" t="s">
        <v>2184</v>
      </c>
      <c r="B442" t="s">
        <v>2185</v>
      </c>
      <c r="C442" t="s">
        <v>86</v>
      </c>
      <c r="D442">
        <v>2013</v>
      </c>
      <c r="E442" t="s">
        <v>2186</v>
      </c>
      <c r="F442" t="s">
        <v>2142</v>
      </c>
    </row>
    <row r="443" spans="1:6">
      <c r="A443" t="s">
        <v>2631</v>
      </c>
      <c r="B443" t="s">
        <v>2632</v>
      </c>
      <c r="C443" t="s">
        <v>2633</v>
      </c>
      <c r="D443">
        <v>2013</v>
      </c>
      <c r="E443" t="s">
        <v>2634</v>
      </c>
      <c r="F443" t="s">
        <v>2142</v>
      </c>
    </row>
    <row r="444" spans="1:6">
      <c r="A444" t="s">
        <v>3639</v>
      </c>
      <c r="B444" t="s">
        <v>3640</v>
      </c>
      <c r="C444" t="s">
        <v>1826</v>
      </c>
      <c r="D444">
        <v>2013</v>
      </c>
      <c r="E444" t="s">
        <v>3641</v>
      </c>
      <c r="F444" t="s">
        <v>3356</v>
      </c>
    </row>
    <row r="445" spans="1:6">
      <c r="A445" t="s">
        <v>3469</v>
      </c>
      <c r="B445" t="s">
        <v>3470</v>
      </c>
      <c r="C445" t="s">
        <v>114</v>
      </c>
      <c r="D445">
        <v>2013</v>
      </c>
      <c r="E445" t="s">
        <v>3471</v>
      </c>
      <c r="F445" t="s">
        <v>3356</v>
      </c>
    </row>
    <row r="446" spans="1:6">
      <c r="A446" t="s">
        <v>3753</v>
      </c>
      <c r="B446" t="s">
        <v>3754</v>
      </c>
      <c r="C446" t="s">
        <v>3755</v>
      </c>
      <c r="D446">
        <v>2013</v>
      </c>
      <c r="E446" t="s">
        <v>3756</v>
      </c>
      <c r="F446" t="s">
        <v>3356</v>
      </c>
    </row>
    <row r="447" spans="1:6">
      <c r="A447" t="s">
        <v>2850</v>
      </c>
      <c r="B447" t="s">
        <v>2851</v>
      </c>
      <c r="C447" t="s">
        <v>440</v>
      </c>
      <c r="D447">
        <v>2013</v>
      </c>
      <c r="E447" t="s">
        <v>2852</v>
      </c>
      <c r="F447" t="s">
        <v>2757</v>
      </c>
    </row>
    <row r="448" spans="1:6">
      <c r="A448" t="s">
        <v>3498</v>
      </c>
      <c r="B448" t="s">
        <v>3499</v>
      </c>
      <c r="C448" t="s">
        <v>557</v>
      </c>
      <c r="D448">
        <v>2013</v>
      </c>
      <c r="E448" t="s">
        <v>3500</v>
      </c>
      <c r="F448" t="s">
        <v>3356</v>
      </c>
    </row>
    <row r="449" spans="1:6">
      <c r="A449" t="s">
        <v>4552</v>
      </c>
      <c r="B449" t="s">
        <v>4553</v>
      </c>
      <c r="C449" t="s">
        <v>1322</v>
      </c>
      <c r="D449">
        <v>2013</v>
      </c>
      <c r="E449" t="s">
        <v>4554</v>
      </c>
      <c r="F449" t="s">
        <v>4493</v>
      </c>
    </row>
    <row r="450" spans="1:6">
      <c r="A450" t="s">
        <v>4308</v>
      </c>
      <c r="B450" t="s">
        <v>4309</v>
      </c>
      <c r="C450" t="s">
        <v>440</v>
      </c>
      <c r="D450">
        <v>2013</v>
      </c>
      <c r="E450" t="s">
        <v>4310</v>
      </c>
      <c r="F450" t="s">
        <v>3948</v>
      </c>
    </row>
    <row r="451" spans="1:6">
      <c r="A451" t="s">
        <v>2991</v>
      </c>
      <c r="B451" t="s">
        <v>2992</v>
      </c>
      <c r="C451" t="s">
        <v>444</v>
      </c>
      <c r="D451">
        <v>2013</v>
      </c>
      <c r="E451" t="s">
        <v>2993</v>
      </c>
      <c r="F451" t="s">
        <v>2757</v>
      </c>
    </row>
    <row r="452" spans="1:6">
      <c r="A452" t="s">
        <v>2193</v>
      </c>
      <c r="B452" t="s">
        <v>2194</v>
      </c>
      <c r="C452" t="s">
        <v>444</v>
      </c>
      <c r="D452">
        <v>2013</v>
      </c>
      <c r="E452" t="s">
        <v>2195</v>
      </c>
      <c r="F452" t="s">
        <v>2142</v>
      </c>
    </row>
    <row r="453" spans="1:6">
      <c r="A453" t="s">
        <v>2143</v>
      </c>
      <c r="B453" t="s">
        <v>2144</v>
      </c>
      <c r="C453" t="s">
        <v>2</v>
      </c>
      <c r="D453">
        <v>2013</v>
      </c>
      <c r="E453" t="s">
        <v>2145</v>
      </c>
      <c r="F453" t="s">
        <v>2142</v>
      </c>
    </row>
    <row r="454" spans="1:6">
      <c r="A454" t="s">
        <v>4365</v>
      </c>
      <c r="B454" t="s">
        <v>4366</v>
      </c>
      <c r="C454" t="s">
        <v>1350</v>
      </c>
      <c r="D454">
        <v>2013</v>
      </c>
      <c r="E454" t="s">
        <v>4367</v>
      </c>
      <c r="F454" t="s">
        <v>3948</v>
      </c>
    </row>
    <row r="455" spans="1:6">
      <c r="A455" t="s">
        <v>3075</v>
      </c>
      <c r="B455" t="s">
        <v>3076</v>
      </c>
      <c r="C455" t="s">
        <v>612</v>
      </c>
      <c r="D455">
        <v>2013</v>
      </c>
      <c r="E455" t="s">
        <v>3077</v>
      </c>
      <c r="F455" t="s">
        <v>2757</v>
      </c>
    </row>
    <row r="456" spans="1:6">
      <c r="A456" t="s">
        <v>3760</v>
      </c>
      <c r="B456" t="s">
        <v>3398</v>
      </c>
      <c r="C456" t="s">
        <v>19</v>
      </c>
      <c r="D456">
        <v>2013</v>
      </c>
      <c r="E456" t="s">
        <v>3761</v>
      </c>
      <c r="F456" t="s">
        <v>3356</v>
      </c>
    </row>
    <row r="457" spans="1:6">
      <c r="A457" t="s">
        <v>4429</v>
      </c>
      <c r="B457" t="s">
        <v>4430</v>
      </c>
      <c r="C457" t="s">
        <v>4431</v>
      </c>
      <c r="D457">
        <v>2013</v>
      </c>
      <c r="E457" t="s">
        <v>4432</v>
      </c>
      <c r="F457" t="s">
        <v>3948</v>
      </c>
    </row>
    <row r="458" spans="1:6">
      <c r="A458" t="s">
        <v>3687</v>
      </c>
      <c r="B458" t="s">
        <v>3688</v>
      </c>
      <c r="C458" t="s">
        <v>444</v>
      </c>
      <c r="D458">
        <v>2013</v>
      </c>
      <c r="E458" t="s">
        <v>3689</v>
      </c>
      <c r="F458" t="s">
        <v>3356</v>
      </c>
    </row>
    <row r="459" spans="1:6">
      <c r="A459" t="s">
        <v>3121</v>
      </c>
      <c r="B459" t="s">
        <v>3122</v>
      </c>
      <c r="C459" t="s">
        <v>7</v>
      </c>
      <c r="D459">
        <v>2013</v>
      </c>
      <c r="E459" t="s">
        <v>3123</v>
      </c>
      <c r="F459" t="s">
        <v>2757</v>
      </c>
    </row>
    <row r="460" spans="1:6">
      <c r="A460" t="s">
        <v>3413</v>
      </c>
      <c r="B460" t="s">
        <v>3414</v>
      </c>
      <c r="C460" t="s">
        <v>444</v>
      </c>
      <c r="D460">
        <v>2013</v>
      </c>
      <c r="E460" t="s">
        <v>3415</v>
      </c>
      <c r="F460" t="s">
        <v>3356</v>
      </c>
    </row>
    <row r="461" spans="1:6">
      <c r="A461" t="s">
        <v>2364</v>
      </c>
      <c r="B461" t="s">
        <v>2365</v>
      </c>
      <c r="C461" t="s">
        <v>444</v>
      </c>
      <c r="D461">
        <v>2013</v>
      </c>
      <c r="E461" t="s">
        <v>2366</v>
      </c>
      <c r="F461" t="s">
        <v>2142</v>
      </c>
    </row>
    <row r="462" spans="1:6">
      <c r="A462" t="s">
        <v>3015</v>
      </c>
      <c r="B462" t="s">
        <v>3016</v>
      </c>
      <c r="C462" t="s">
        <v>761</v>
      </c>
      <c r="D462">
        <v>2013</v>
      </c>
      <c r="E462" t="s">
        <v>3017</v>
      </c>
      <c r="F462" t="s">
        <v>2757</v>
      </c>
    </row>
    <row r="463" spans="1:6">
      <c r="A463" t="s">
        <v>2899</v>
      </c>
      <c r="B463" t="s">
        <v>2900</v>
      </c>
      <c r="C463" t="s">
        <v>7</v>
      </c>
      <c r="D463">
        <v>2013</v>
      </c>
      <c r="E463" t="s">
        <v>2901</v>
      </c>
      <c r="F463" t="s">
        <v>2757</v>
      </c>
    </row>
    <row r="464" spans="1:6">
      <c r="A464" t="s">
        <v>3769</v>
      </c>
      <c r="B464" t="s">
        <v>3770</v>
      </c>
      <c r="C464" t="s">
        <v>7</v>
      </c>
      <c r="D464">
        <v>2013</v>
      </c>
      <c r="E464" t="s">
        <v>3771</v>
      </c>
      <c r="F464" t="s">
        <v>3356</v>
      </c>
    </row>
    <row r="465" spans="1:6">
      <c r="A465" t="s">
        <v>2939</v>
      </c>
      <c r="B465" t="s">
        <v>2940</v>
      </c>
      <c r="C465" t="s">
        <v>2941</v>
      </c>
      <c r="D465">
        <v>2013</v>
      </c>
      <c r="E465" t="s">
        <v>2942</v>
      </c>
      <c r="F465" t="s">
        <v>2757</v>
      </c>
    </row>
    <row r="466" spans="1:6">
      <c r="A466" t="s">
        <v>2381</v>
      </c>
      <c r="B466" t="s">
        <v>2382</v>
      </c>
      <c r="C466" t="s">
        <v>7</v>
      </c>
      <c r="D466">
        <v>2013</v>
      </c>
      <c r="E466" t="s">
        <v>2383</v>
      </c>
      <c r="F466" t="s">
        <v>2142</v>
      </c>
    </row>
    <row r="467" spans="1:6">
      <c r="A467" t="s">
        <v>3949</v>
      </c>
      <c r="B467" t="s">
        <v>3950</v>
      </c>
      <c r="C467" t="s">
        <v>3609</v>
      </c>
      <c r="D467">
        <v>2013</v>
      </c>
      <c r="E467" t="s">
        <v>3951</v>
      </c>
      <c r="F467" t="s">
        <v>3948</v>
      </c>
    </row>
    <row r="468" spans="1:6">
      <c r="A468" t="s">
        <v>4058</v>
      </c>
      <c r="B468" t="s">
        <v>4059</v>
      </c>
      <c r="C468" t="s">
        <v>632</v>
      </c>
      <c r="D468">
        <v>2013</v>
      </c>
      <c r="E468" t="s">
        <v>4060</v>
      </c>
      <c r="F468" t="s">
        <v>3948</v>
      </c>
    </row>
    <row r="469" spans="1:6">
      <c r="A469" t="s">
        <v>3927</v>
      </c>
      <c r="B469" t="s">
        <v>3928</v>
      </c>
      <c r="C469" t="s">
        <v>219</v>
      </c>
      <c r="D469">
        <v>2013</v>
      </c>
      <c r="E469" t="s">
        <v>3929</v>
      </c>
      <c r="F469" t="s">
        <v>3356</v>
      </c>
    </row>
    <row r="470" spans="1:6">
      <c r="A470" t="s">
        <v>4013</v>
      </c>
      <c r="B470" t="s">
        <v>4014</v>
      </c>
      <c r="C470" t="s">
        <v>72</v>
      </c>
      <c r="D470">
        <v>2012</v>
      </c>
      <c r="E470" t="s">
        <v>4015</v>
      </c>
      <c r="F470" t="s">
        <v>3948</v>
      </c>
    </row>
    <row r="471" spans="1:6">
      <c r="A471" t="s">
        <v>3409</v>
      </c>
      <c r="B471" t="s">
        <v>3410</v>
      </c>
      <c r="C471" t="s">
        <v>3411</v>
      </c>
      <c r="D471">
        <v>2012</v>
      </c>
      <c r="E471" t="s">
        <v>3412</v>
      </c>
      <c r="F471" t="s">
        <v>3356</v>
      </c>
    </row>
    <row r="472" spans="1:6">
      <c r="A472" t="s">
        <v>3005</v>
      </c>
      <c r="B472" t="s">
        <v>3006</v>
      </c>
      <c r="C472" t="s">
        <v>27</v>
      </c>
      <c r="D472">
        <v>2012</v>
      </c>
      <c r="E472" t="s">
        <v>3007</v>
      </c>
      <c r="F472" t="s">
        <v>2757</v>
      </c>
    </row>
    <row r="473" spans="1:6">
      <c r="A473" t="s">
        <v>3884</v>
      </c>
      <c r="B473" t="s">
        <v>3885</v>
      </c>
      <c r="C473" t="s">
        <v>3660</v>
      </c>
      <c r="D473">
        <v>2012</v>
      </c>
      <c r="E473" t="s">
        <v>3886</v>
      </c>
      <c r="F473" t="s">
        <v>3356</v>
      </c>
    </row>
    <row r="474" spans="1:6">
      <c r="A474" t="s">
        <v>2523</v>
      </c>
      <c r="B474" t="s">
        <v>2524</v>
      </c>
      <c r="C474" t="s">
        <v>90</v>
      </c>
      <c r="D474">
        <v>2012</v>
      </c>
      <c r="E474" t="s">
        <v>2525</v>
      </c>
      <c r="F474" t="s">
        <v>2142</v>
      </c>
    </row>
    <row r="475" spans="1:6">
      <c r="A475" t="s">
        <v>2333</v>
      </c>
      <c r="B475" t="s">
        <v>2334</v>
      </c>
      <c r="C475" t="s">
        <v>15</v>
      </c>
      <c r="D475">
        <v>2012</v>
      </c>
      <c r="E475" t="s">
        <v>2335</v>
      </c>
      <c r="F475" t="s">
        <v>2142</v>
      </c>
    </row>
    <row r="476" spans="1:6">
      <c r="A476" t="s">
        <v>4388</v>
      </c>
      <c r="B476" t="s">
        <v>4389</v>
      </c>
      <c r="C476" t="s">
        <v>4390</v>
      </c>
      <c r="D476">
        <v>2012</v>
      </c>
      <c r="E476" t="s">
        <v>4391</v>
      </c>
      <c r="F476" t="s">
        <v>3948</v>
      </c>
    </row>
    <row r="477" spans="1:6">
      <c r="A477" t="s">
        <v>3817</v>
      </c>
      <c r="B477" t="s">
        <v>3818</v>
      </c>
      <c r="C477" t="s">
        <v>3819</v>
      </c>
      <c r="D477">
        <v>2012</v>
      </c>
      <c r="E477" t="s">
        <v>3820</v>
      </c>
      <c r="F477" t="s">
        <v>3356</v>
      </c>
    </row>
    <row r="478" spans="1:6">
      <c r="A478" t="s">
        <v>2533</v>
      </c>
      <c r="B478" t="s">
        <v>2534</v>
      </c>
      <c r="C478" t="s">
        <v>72</v>
      </c>
      <c r="D478">
        <v>2012</v>
      </c>
      <c r="E478" t="s">
        <v>2535</v>
      </c>
      <c r="F478" t="s">
        <v>2142</v>
      </c>
    </row>
    <row r="479" spans="1:6">
      <c r="A479" t="s">
        <v>2994</v>
      </c>
      <c r="B479" t="s">
        <v>2995</v>
      </c>
      <c r="C479" t="s">
        <v>86</v>
      </c>
      <c r="D479">
        <v>2012</v>
      </c>
      <c r="E479" t="s">
        <v>2996</v>
      </c>
      <c r="F479" t="s">
        <v>2757</v>
      </c>
    </row>
    <row r="480" spans="1:6">
      <c r="A480" t="s">
        <v>4221</v>
      </c>
      <c r="B480" t="s">
        <v>4222</v>
      </c>
      <c r="C480" t="s">
        <v>1218</v>
      </c>
      <c r="D480">
        <v>2012</v>
      </c>
      <c r="E480" t="s">
        <v>4223</v>
      </c>
      <c r="F480" t="s">
        <v>3948</v>
      </c>
    </row>
    <row r="481" spans="1:6">
      <c r="A481" t="s">
        <v>2686</v>
      </c>
      <c r="B481" t="s">
        <v>2687</v>
      </c>
      <c r="C481" t="s">
        <v>632</v>
      </c>
      <c r="D481">
        <v>2012</v>
      </c>
      <c r="E481" t="s">
        <v>2688</v>
      </c>
      <c r="F481" t="s">
        <v>2142</v>
      </c>
    </row>
    <row r="482" spans="1:6">
      <c r="A482" t="s">
        <v>2530</v>
      </c>
      <c r="B482" t="s">
        <v>2531</v>
      </c>
      <c r="C482" t="s">
        <v>90</v>
      </c>
      <c r="D482">
        <v>2012</v>
      </c>
      <c r="E482" t="s">
        <v>2532</v>
      </c>
      <c r="F482" t="s">
        <v>2142</v>
      </c>
    </row>
    <row r="483" spans="1:6">
      <c r="A483" t="s">
        <v>2421</v>
      </c>
      <c r="B483" t="s">
        <v>2422</v>
      </c>
      <c r="C483" t="s">
        <v>2423</v>
      </c>
      <c r="D483">
        <v>2012</v>
      </c>
      <c r="E483" t="s">
        <v>2424</v>
      </c>
      <c r="F483" t="s">
        <v>2142</v>
      </c>
    </row>
    <row r="484" spans="1:6">
      <c r="A484" t="s">
        <v>4026</v>
      </c>
      <c r="B484" t="s">
        <v>4027</v>
      </c>
      <c r="C484" t="s">
        <v>1350</v>
      </c>
      <c r="D484">
        <v>2012</v>
      </c>
      <c r="E484" t="s">
        <v>4028</v>
      </c>
      <c r="F484" t="s">
        <v>3948</v>
      </c>
    </row>
    <row r="485" spans="1:6">
      <c r="A485" t="s">
        <v>4080</v>
      </c>
      <c r="B485" t="s">
        <v>4081</v>
      </c>
      <c r="C485" t="s">
        <v>4082</v>
      </c>
      <c r="D485">
        <v>2012</v>
      </c>
      <c r="E485" t="s">
        <v>4083</v>
      </c>
      <c r="F485" t="s">
        <v>3948</v>
      </c>
    </row>
    <row r="486" spans="1:6">
      <c r="A486" t="s">
        <v>3212</v>
      </c>
      <c r="B486" t="s">
        <v>2484</v>
      </c>
      <c r="C486" t="s">
        <v>7</v>
      </c>
      <c r="D486">
        <v>2012</v>
      </c>
      <c r="E486" t="s">
        <v>3213</v>
      </c>
      <c r="F486" t="s">
        <v>2757</v>
      </c>
    </row>
    <row r="487" spans="1:6">
      <c r="A487" t="s">
        <v>4167</v>
      </c>
      <c r="B487" t="s">
        <v>4168</v>
      </c>
      <c r="C487" t="s">
        <v>11</v>
      </c>
      <c r="D487">
        <v>2012</v>
      </c>
      <c r="E487" t="s">
        <v>4169</v>
      </c>
      <c r="F487" t="s">
        <v>3948</v>
      </c>
    </row>
    <row r="488" spans="1:6">
      <c r="A488" t="s">
        <v>4064</v>
      </c>
      <c r="B488" t="s">
        <v>4065</v>
      </c>
      <c r="C488" t="s">
        <v>4066</v>
      </c>
      <c r="D488">
        <v>2012</v>
      </c>
      <c r="E488" t="s">
        <v>66</v>
      </c>
      <c r="F488" t="s">
        <v>3948</v>
      </c>
    </row>
    <row r="489" spans="1:6">
      <c r="A489" t="s">
        <v>3301</v>
      </c>
      <c r="B489" t="s">
        <v>3302</v>
      </c>
      <c r="C489" t="s">
        <v>520</v>
      </c>
      <c r="D489">
        <v>2012</v>
      </c>
      <c r="E489" t="s">
        <v>3303</v>
      </c>
      <c r="F489" t="s">
        <v>2757</v>
      </c>
    </row>
    <row r="490" spans="1:6">
      <c r="A490" t="s">
        <v>2703</v>
      </c>
      <c r="B490" t="s">
        <v>2704</v>
      </c>
      <c r="C490" t="s">
        <v>2705</v>
      </c>
      <c r="D490">
        <v>2012</v>
      </c>
      <c r="E490" t="s">
        <v>2706</v>
      </c>
      <c r="F490" t="s">
        <v>2142</v>
      </c>
    </row>
    <row r="491" spans="1:6">
      <c r="A491" t="s">
        <v>3341</v>
      </c>
      <c r="B491" t="s">
        <v>3342</v>
      </c>
      <c r="C491" t="s">
        <v>1473</v>
      </c>
      <c r="D491">
        <v>2012</v>
      </c>
      <c r="E491" t="s">
        <v>3343</v>
      </c>
      <c r="F491" t="s">
        <v>2757</v>
      </c>
    </row>
    <row r="492" spans="1:6">
      <c r="A492" t="s">
        <v>4209</v>
      </c>
      <c r="B492" t="s">
        <v>4210</v>
      </c>
      <c r="C492" t="s">
        <v>90</v>
      </c>
      <c r="D492">
        <v>2012</v>
      </c>
      <c r="E492" t="s">
        <v>4211</v>
      </c>
      <c r="F492" t="s">
        <v>3948</v>
      </c>
    </row>
    <row r="493" spans="1:6">
      <c r="A493" t="s">
        <v>2638</v>
      </c>
      <c r="B493" t="s">
        <v>2639</v>
      </c>
      <c r="C493" t="s">
        <v>505</v>
      </c>
      <c r="D493">
        <v>2012</v>
      </c>
      <c r="E493" t="s">
        <v>2640</v>
      </c>
      <c r="F493" t="s">
        <v>2142</v>
      </c>
    </row>
    <row r="494" spans="1:6">
      <c r="A494" t="s">
        <v>2169</v>
      </c>
      <c r="B494" t="s">
        <v>2170</v>
      </c>
      <c r="C494" t="s">
        <v>19</v>
      </c>
      <c r="D494">
        <v>2012</v>
      </c>
      <c r="E494" t="s">
        <v>2171</v>
      </c>
      <c r="F494" t="s">
        <v>2142</v>
      </c>
    </row>
    <row r="495" spans="1:6">
      <c r="A495" t="s">
        <v>3719</v>
      </c>
      <c r="B495" t="s">
        <v>3720</v>
      </c>
      <c r="C495" t="s">
        <v>1686</v>
      </c>
      <c r="D495">
        <v>2012</v>
      </c>
      <c r="E495" t="s">
        <v>3721</v>
      </c>
      <c r="F495" t="s">
        <v>3356</v>
      </c>
    </row>
    <row r="496" spans="1:6">
      <c r="A496" t="s">
        <v>3424</v>
      </c>
      <c r="B496" t="s">
        <v>3425</v>
      </c>
      <c r="C496" t="s">
        <v>192</v>
      </c>
      <c r="D496">
        <v>2012</v>
      </c>
      <c r="E496" t="s">
        <v>3426</v>
      </c>
      <c r="F496" t="s">
        <v>3356</v>
      </c>
    </row>
    <row r="497" spans="1:6">
      <c r="A497" t="s">
        <v>3472</v>
      </c>
      <c r="B497" t="s">
        <v>3473</v>
      </c>
      <c r="C497" t="s">
        <v>3474</v>
      </c>
      <c r="D497">
        <v>2012</v>
      </c>
      <c r="E497" t="s">
        <v>3475</v>
      </c>
      <c r="F497" t="s">
        <v>3356</v>
      </c>
    </row>
    <row r="498" spans="1:6">
      <c r="A498" t="s">
        <v>4361</v>
      </c>
      <c r="B498" t="s">
        <v>4362</v>
      </c>
      <c r="C498" t="s">
        <v>4363</v>
      </c>
      <c r="D498">
        <v>2012</v>
      </c>
      <c r="E498" t="s">
        <v>4364</v>
      </c>
      <c r="F498" t="s">
        <v>3948</v>
      </c>
    </row>
    <row r="499" spans="1:6">
      <c r="A499" t="s">
        <v>2601</v>
      </c>
      <c r="B499" t="s">
        <v>2602</v>
      </c>
      <c r="C499" t="s">
        <v>2603</v>
      </c>
      <c r="D499">
        <v>2012</v>
      </c>
      <c r="E499" t="s">
        <v>2604</v>
      </c>
      <c r="F499" t="s">
        <v>2142</v>
      </c>
    </row>
    <row r="500" spans="1:6">
      <c r="A500" t="s">
        <v>4343</v>
      </c>
      <c r="B500" t="s">
        <v>4344</v>
      </c>
      <c r="C500" t="s">
        <v>4345</v>
      </c>
      <c r="D500">
        <v>2012</v>
      </c>
      <c r="E500" t="s">
        <v>4346</v>
      </c>
      <c r="F500" t="s">
        <v>3948</v>
      </c>
    </row>
    <row r="501" spans="1:6">
      <c r="A501" t="s">
        <v>3099</v>
      </c>
      <c r="B501" t="s">
        <v>3097</v>
      </c>
      <c r="C501" t="s">
        <v>86</v>
      </c>
      <c r="D501">
        <v>2012</v>
      </c>
      <c r="E501" t="s">
        <v>3100</v>
      </c>
      <c r="F501" t="s">
        <v>2757</v>
      </c>
    </row>
    <row r="502" spans="1:6">
      <c r="A502" t="s">
        <v>4352</v>
      </c>
      <c r="B502" t="s">
        <v>4353</v>
      </c>
      <c r="C502" t="s">
        <v>211</v>
      </c>
      <c r="D502">
        <v>2012</v>
      </c>
      <c r="E502" t="s">
        <v>4354</v>
      </c>
      <c r="F502" t="s">
        <v>3948</v>
      </c>
    </row>
    <row r="503" spans="1:6">
      <c r="A503" t="s">
        <v>3115</v>
      </c>
      <c r="B503" t="s">
        <v>3116</v>
      </c>
      <c r="C503" t="s">
        <v>2</v>
      </c>
      <c r="D503">
        <v>2012</v>
      </c>
      <c r="E503" t="s">
        <v>3117</v>
      </c>
      <c r="F503" t="s">
        <v>2757</v>
      </c>
    </row>
    <row r="504" spans="1:6">
      <c r="A504" t="s">
        <v>2495</v>
      </c>
      <c r="B504" t="s">
        <v>2496</v>
      </c>
      <c r="C504" t="s">
        <v>246</v>
      </c>
      <c r="D504">
        <v>2012</v>
      </c>
      <c r="E504" t="s">
        <v>2497</v>
      </c>
      <c r="F504" t="s">
        <v>2142</v>
      </c>
    </row>
    <row r="505" spans="1:6">
      <c r="A505" t="s">
        <v>3096</v>
      </c>
      <c r="B505" t="s">
        <v>3097</v>
      </c>
      <c r="C505" t="s">
        <v>211</v>
      </c>
      <c r="D505">
        <v>2012</v>
      </c>
      <c r="E505" t="s">
        <v>3098</v>
      </c>
      <c r="F505" t="s">
        <v>2757</v>
      </c>
    </row>
    <row r="506" spans="1:6">
      <c r="A506" t="s">
        <v>3298</v>
      </c>
      <c r="B506" t="s">
        <v>3299</v>
      </c>
      <c r="C506" t="s">
        <v>90</v>
      </c>
      <c r="D506">
        <v>2012</v>
      </c>
      <c r="E506" t="s">
        <v>3300</v>
      </c>
      <c r="F506" t="s">
        <v>2757</v>
      </c>
    </row>
    <row r="507" spans="1:6">
      <c r="A507" t="s">
        <v>3259</v>
      </c>
      <c r="B507" t="s">
        <v>3260</v>
      </c>
      <c r="C507" t="s">
        <v>19</v>
      </c>
      <c r="D507">
        <v>2012</v>
      </c>
      <c r="E507" t="s">
        <v>3261</v>
      </c>
      <c r="F507" t="s">
        <v>2757</v>
      </c>
    </row>
    <row r="508" spans="1:6">
      <c r="A508" t="s">
        <v>4077</v>
      </c>
      <c r="B508" t="s">
        <v>4078</v>
      </c>
      <c r="C508" t="s">
        <v>3660</v>
      </c>
      <c r="D508">
        <v>2012</v>
      </c>
      <c r="E508" t="s">
        <v>4079</v>
      </c>
      <c r="F508" t="s">
        <v>3948</v>
      </c>
    </row>
    <row r="509" spans="1:6">
      <c r="A509" t="s">
        <v>3292</v>
      </c>
      <c r="B509" t="s">
        <v>3293</v>
      </c>
      <c r="C509" t="s">
        <v>192</v>
      </c>
      <c r="D509">
        <v>2012</v>
      </c>
      <c r="E509" t="s">
        <v>3294</v>
      </c>
      <c r="F509" t="s">
        <v>2757</v>
      </c>
    </row>
    <row r="510" spans="1:6">
      <c r="A510" t="s">
        <v>3545</v>
      </c>
      <c r="B510" t="s">
        <v>3546</v>
      </c>
      <c r="C510" t="s">
        <v>61</v>
      </c>
      <c r="D510">
        <v>2012</v>
      </c>
      <c r="E510" t="s">
        <v>3547</v>
      </c>
      <c r="F510" t="s">
        <v>3356</v>
      </c>
    </row>
    <row r="511" spans="1:6">
      <c r="A511" t="s">
        <v>2786</v>
      </c>
      <c r="B511" t="s">
        <v>2787</v>
      </c>
      <c r="C511" t="s">
        <v>879</v>
      </c>
      <c r="D511">
        <v>2012</v>
      </c>
      <c r="E511" t="s">
        <v>2788</v>
      </c>
      <c r="F511" t="s">
        <v>2757</v>
      </c>
    </row>
    <row r="512" spans="1:6">
      <c r="A512" t="s">
        <v>3353</v>
      </c>
      <c r="B512" t="s">
        <v>3354</v>
      </c>
      <c r="C512" t="s">
        <v>2282</v>
      </c>
      <c r="D512">
        <v>2012</v>
      </c>
      <c r="E512" t="s">
        <v>3355</v>
      </c>
      <c r="F512" t="s">
        <v>3356</v>
      </c>
    </row>
    <row r="513" spans="1:6">
      <c r="A513" t="s">
        <v>2806</v>
      </c>
      <c r="B513" t="s">
        <v>2807</v>
      </c>
      <c r="C513" t="s">
        <v>589</v>
      </c>
      <c r="D513">
        <v>2012</v>
      </c>
      <c r="E513" t="s">
        <v>2808</v>
      </c>
      <c r="F513" t="s">
        <v>2757</v>
      </c>
    </row>
    <row r="514" spans="1:6">
      <c r="A514" t="s">
        <v>3442</v>
      </c>
      <c r="B514" t="s">
        <v>3443</v>
      </c>
      <c r="C514" t="s">
        <v>1109</v>
      </c>
      <c r="D514">
        <v>2012</v>
      </c>
      <c r="E514" t="s">
        <v>3444</v>
      </c>
      <c r="F514" t="s">
        <v>3356</v>
      </c>
    </row>
    <row r="515" spans="1:6">
      <c r="A515" t="s">
        <v>1724</v>
      </c>
      <c r="B515" t="s">
        <v>321</v>
      </c>
      <c r="C515" t="s">
        <v>90</v>
      </c>
      <c r="D515">
        <v>2012</v>
      </c>
      <c r="E515" t="s">
        <v>4251</v>
      </c>
      <c r="F515" t="s">
        <v>3948</v>
      </c>
    </row>
    <row r="516" spans="1:6">
      <c r="A516" t="s">
        <v>2296</v>
      </c>
      <c r="B516" t="s">
        <v>2297</v>
      </c>
      <c r="C516" t="s">
        <v>19</v>
      </c>
      <c r="D516">
        <v>2012</v>
      </c>
      <c r="E516" t="s">
        <v>2298</v>
      </c>
      <c r="F516" t="s">
        <v>2142</v>
      </c>
    </row>
    <row r="517" spans="1:6">
      <c r="A517" t="s">
        <v>4384</v>
      </c>
      <c r="B517" t="s">
        <v>4385</v>
      </c>
      <c r="C517" t="s">
        <v>4386</v>
      </c>
      <c r="D517">
        <v>2012</v>
      </c>
      <c r="E517" t="s">
        <v>4387</v>
      </c>
      <c r="F517" t="s">
        <v>3948</v>
      </c>
    </row>
    <row r="518" spans="1:6">
      <c r="A518" t="s">
        <v>3036</v>
      </c>
      <c r="B518" t="s">
        <v>3037</v>
      </c>
      <c r="C518" t="s">
        <v>761</v>
      </c>
      <c r="D518">
        <v>2012</v>
      </c>
      <c r="E518" t="s">
        <v>3038</v>
      </c>
      <c r="F518" t="s">
        <v>2757</v>
      </c>
    </row>
    <row r="519" spans="1:6">
      <c r="A519" t="s">
        <v>3266</v>
      </c>
      <c r="B519" t="s">
        <v>3267</v>
      </c>
      <c r="C519" t="s">
        <v>7</v>
      </c>
      <c r="D519">
        <v>2012</v>
      </c>
      <c r="E519" t="s">
        <v>3268</v>
      </c>
      <c r="F519" t="s">
        <v>2757</v>
      </c>
    </row>
    <row r="520" spans="1:6">
      <c r="A520" t="s">
        <v>2498</v>
      </c>
      <c r="B520" t="s">
        <v>2499</v>
      </c>
      <c r="C520" t="s">
        <v>72</v>
      </c>
      <c r="D520">
        <v>2012</v>
      </c>
      <c r="E520" t="s">
        <v>2500</v>
      </c>
      <c r="F520" t="s">
        <v>2142</v>
      </c>
    </row>
    <row r="521" spans="1:6">
      <c r="A521" t="s">
        <v>3223</v>
      </c>
      <c r="B521" t="s">
        <v>3224</v>
      </c>
      <c r="C521" t="s">
        <v>54</v>
      </c>
      <c r="D521">
        <v>2012</v>
      </c>
      <c r="E521" t="s">
        <v>3225</v>
      </c>
      <c r="F521" t="s">
        <v>2757</v>
      </c>
    </row>
    <row r="522" spans="1:6">
      <c r="A522" t="s">
        <v>3482</v>
      </c>
      <c r="B522" t="s">
        <v>3483</v>
      </c>
      <c r="C522" t="s">
        <v>3484</v>
      </c>
      <c r="D522">
        <v>2012</v>
      </c>
      <c r="E522" t="s">
        <v>3485</v>
      </c>
      <c r="F522" t="s">
        <v>3356</v>
      </c>
    </row>
    <row r="523" spans="1:6">
      <c r="A523" t="s">
        <v>2659</v>
      </c>
      <c r="B523" t="s">
        <v>2660</v>
      </c>
      <c r="C523" t="s">
        <v>785</v>
      </c>
      <c r="D523">
        <v>2012</v>
      </c>
      <c r="E523" t="s">
        <v>2661</v>
      </c>
      <c r="F523" t="s">
        <v>2142</v>
      </c>
    </row>
    <row r="524" spans="1:6">
      <c r="A524" t="s">
        <v>2754</v>
      </c>
      <c r="B524" t="s">
        <v>2755</v>
      </c>
      <c r="C524" t="s">
        <v>54</v>
      </c>
      <c r="D524">
        <v>2012</v>
      </c>
      <c r="E524" t="s">
        <v>2756</v>
      </c>
      <c r="F524" t="s">
        <v>2757</v>
      </c>
    </row>
    <row r="525" spans="1:6">
      <c r="A525" t="s">
        <v>2716</v>
      </c>
      <c r="B525" t="s">
        <v>2717</v>
      </c>
      <c r="C525" t="s">
        <v>2718</v>
      </c>
      <c r="D525">
        <v>2012</v>
      </c>
      <c r="E525" t="s">
        <v>2719</v>
      </c>
      <c r="F525" t="s">
        <v>2142</v>
      </c>
    </row>
    <row r="526" spans="1:6">
      <c r="A526" t="s">
        <v>2780</v>
      </c>
      <c r="B526" t="s">
        <v>2781</v>
      </c>
      <c r="C526" t="s">
        <v>612</v>
      </c>
      <c r="D526">
        <v>2012</v>
      </c>
      <c r="E526" t="s">
        <v>2782</v>
      </c>
      <c r="F526" t="s">
        <v>2757</v>
      </c>
    </row>
    <row r="527" spans="1:6">
      <c r="A527" t="s">
        <v>4184</v>
      </c>
      <c r="B527" t="s">
        <v>4185</v>
      </c>
      <c r="C527" t="s">
        <v>1431</v>
      </c>
      <c r="D527">
        <v>2012</v>
      </c>
      <c r="E527" t="s">
        <v>4186</v>
      </c>
      <c r="F527" t="s">
        <v>3948</v>
      </c>
    </row>
    <row r="528" spans="1:6">
      <c r="A528" t="s">
        <v>2623</v>
      </c>
      <c r="B528" t="s">
        <v>2624</v>
      </c>
      <c r="C528" t="s">
        <v>612</v>
      </c>
      <c r="D528">
        <v>2012</v>
      </c>
      <c r="E528" t="s">
        <v>2625</v>
      </c>
      <c r="F528" t="s">
        <v>2142</v>
      </c>
    </row>
    <row r="529" spans="1:6">
      <c r="A529" t="s">
        <v>2318</v>
      </c>
      <c r="B529" t="s">
        <v>2319</v>
      </c>
      <c r="C529" t="s">
        <v>761</v>
      </c>
      <c r="D529">
        <v>2012</v>
      </c>
      <c r="E529" t="s">
        <v>2320</v>
      </c>
      <c r="F529" t="s">
        <v>2142</v>
      </c>
    </row>
    <row r="530" spans="1:6">
      <c r="A530" t="s">
        <v>2216</v>
      </c>
      <c r="B530" t="s">
        <v>2217</v>
      </c>
      <c r="C530" t="s">
        <v>1071</v>
      </c>
      <c r="D530">
        <v>2012</v>
      </c>
      <c r="E530" t="s">
        <v>2218</v>
      </c>
      <c r="F530" t="s">
        <v>2142</v>
      </c>
    </row>
    <row r="531" spans="1:6">
      <c r="A531" t="s">
        <v>3507</v>
      </c>
      <c r="B531" t="s">
        <v>3508</v>
      </c>
      <c r="C531" t="s">
        <v>153</v>
      </c>
      <c r="D531">
        <v>2012</v>
      </c>
      <c r="E531" t="s">
        <v>3509</v>
      </c>
      <c r="F531" t="s">
        <v>3356</v>
      </c>
    </row>
    <row r="532" spans="1:6">
      <c r="A532" t="s">
        <v>2905</v>
      </c>
      <c r="B532" t="s">
        <v>2906</v>
      </c>
      <c r="C532" t="s">
        <v>27</v>
      </c>
      <c r="D532">
        <v>2012</v>
      </c>
      <c r="E532" t="s">
        <v>2907</v>
      </c>
      <c r="F532" t="s">
        <v>2757</v>
      </c>
    </row>
    <row r="533" spans="1:6">
      <c r="A533" t="s">
        <v>3694</v>
      </c>
      <c r="B533" t="s">
        <v>3695</v>
      </c>
      <c r="C533" t="s">
        <v>72</v>
      </c>
      <c r="D533">
        <v>2012</v>
      </c>
      <c r="E533" t="s">
        <v>3696</v>
      </c>
      <c r="F533" t="s">
        <v>3356</v>
      </c>
    </row>
    <row r="534" spans="1:6">
      <c r="A534" t="s">
        <v>2792</v>
      </c>
      <c r="B534" t="s">
        <v>2793</v>
      </c>
      <c r="C534" t="s">
        <v>72</v>
      </c>
      <c r="D534">
        <v>2012</v>
      </c>
      <c r="E534" t="s">
        <v>2794</v>
      </c>
      <c r="F534" t="s">
        <v>2757</v>
      </c>
    </row>
    <row r="535" spans="1:6">
      <c r="A535" t="s">
        <v>3559</v>
      </c>
      <c r="B535" t="s">
        <v>3560</v>
      </c>
      <c r="C535" t="s">
        <v>7</v>
      </c>
      <c r="D535">
        <v>2012</v>
      </c>
      <c r="E535" t="s">
        <v>3561</v>
      </c>
      <c r="F535" t="s">
        <v>3356</v>
      </c>
    </row>
    <row r="536" spans="1:6">
      <c r="A536" t="s">
        <v>3875</v>
      </c>
      <c r="B536" t="s">
        <v>3876</v>
      </c>
      <c r="C536" t="s">
        <v>444</v>
      </c>
      <c r="D536">
        <v>2012</v>
      </c>
      <c r="E536" t="s">
        <v>3877</v>
      </c>
      <c r="F536" t="s">
        <v>3356</v>
      </c>
    </row>
    <row r="537" spans="1:6">
      <c r="A537" t="s">
        <v>3746</v>
      </c>
      <c r="B537" t="s">
        <v>3747</v>
      </c>
      <c r="C537" t="s">
        <v>3748</v>
      </c>
      <c r="D537">
        <v>2012</v>
      </c>
      <c r="E537" t="s">
        <v>3749</v>
      </c>
      <c r="F537" t="s">
        <v>3356</v>
      </c>
    </row>
    <row r="538" spans="1:6">
      <c r="A538" t="s">
        <v>4378</v>
      </c>
      <c r="B538" t="s">
        <v>4379</v>
      </c>
      <c r="C538" t="s">
        <v>1228</v>
      </c>
      <c r="D538">
        <v>2012</v>
      </c>
      <c r="E538" t="s">
        <v>4380</v>
      </c>
      <c r="F538" t="s">
        <v>3948</v>
      </c>
    </row>
    <row r="539" spans="1:6">
      <c r="A539" t="s">
        <v>3581</v>
      </c>
      <c r="B539" t="s">
        <v>3582</v>
      </c>
      <c r="C539" t="s">
        <v>1322</v>
      </c>
      <c r="D539">
        <v>2012</v>
      </c>
      <c r="E539" t="s">
        <v>3583</v>
      </c>
      <c r="F539" t="s">
        <v>3356</v>
      </c>
    </row>
    <row r="540" spans="1:6">
      <c r="A540" t="s">
        <v>4067</v>
      </c>
      <c r="B540" t="s">
        <v>4068</v>
      </c>
      <c r="C540" t="s">
        <v>7</v>
      </c>
      <c r="D540">
        <v>2012</v>
      </c>
      <c r="E540" t="s">
        <v>4069</v>
      </c>
      <c r="F540" t="s">
        <v>3948</v>
      </c>
    </row>
    <row r="541" spans="1:6">
      <c r="A541" t="s">
        <v>4482</v>
      </c>
      <c r="B541" t="s">
        <v>4483</v>
      </c>
      <c r="C541" t="s">
        <v>2567</v>
      </c>
      <c r="D541">
        <v>2012</v>
      </c>
      <c r="E541" t="s">
        <v>4484</v>
      </c>
      <c r="F541" t="s">
        <v>3948</v>
      </c>
    </row>
    <row r="542" spans="1:6">
      <c r="A542" t="s">
        <v>2349</v>
      </c>
      <c r="B542" t="s">
        <v>2350</v>
      </c>
      <c r="C542" t="s">
        <v>23</v>
      </c>
      <c r="D542">
        <v>2012</v>
      </c>
      <c r="E542" t="s">
        <v>2351</v>
      </c>
      <c r="F542" t="s">
        <v>2142</v>
      </c>
    </row>
    <row r="543" spans="1:6">
      <c r="A543" t="s">
        <v>3286</v>
      </c>
      <c r="B543" t="s">
        <v>3287</v>
      </c>
      <c r="C543" t="s">
        <v>287</v>
      </c>
      <c r="D543">
        <v>2012</v>
      </c>
      <c r="E543" t="s">
        <v>3288</v>
      </c>
      <c r="F543" t="s">
        <v>2757</v>
      </c>
    </row>
    <row r="544" spans="1:6">
      <c r="A544" t="s">
        <v>2763</v>
      </c>
      <c r="B544" t="s">
        <v>2764</v>
      </c>
      <c r="C544" t="s">
        <v>315</v>
      </c>
      <c r="D544">
        <v>2012</v>
      </c>
      <c r="E544" t="s">
        <v>2765</v>
      </c>
      <c r="F544" t="s">
        <v>2757</v>
      </c>
    </row>
    <row r="545" spans="1:6">
      <c r="A545" t="s">
        <v>3179</v>
      </c>
      <c r="B545" t="s">
        <v>3180</v>
      </c>
      <c r="C545" t="s">
        <v>1350</v>
      </c>
      <c r="D545">
        <v>2012</v>
      </c>
      <c r="E545" t="s">
        <v>3181</v>
      </c>
      <c r="F545" t="s">
        <v>2757</v>
      </c>
    </row>
    <row r="546" spans="1:6">
      <c r="A546" t="s">
        <v>2247</v>
      </c>
      <c r="B546" t="s">
        <v>2248</v>
      </c>
      <c r="C546" t="s">
        <v>90</v>
      </c>
      <c r="D546">
        <v>2012</v>
      </c>
      <c r="E546" t="s">
        <v>2249</v>
      </c>
      <c r="F546" t="s">
        <v>2142</v>
      </c>
    </row>
    <row r="547" spans="1:6">
      <c r="A547" t="s">
        <v>3403</v>
      </c>
      <c r="B547" t="s">
        <v>3404</v>
      </c>
      <c r="C547" t="s">
        <v>7</v>
      </c>
      <c r="D547">
        <v>2012</v>
      </c>
      <c r="E547" t="s">
        <v>3405</v>
      </c>
      <c r="F547" t="s">
        <v>3356</v>
      </c>
    </row>
    <row r="548" spans="1:6">
      <c r="A548" t="s">
        <v>4218</v>
      </c>
      <c r="B548" t="s">
        <v>4219</v>
      </c>
      <c r="C548" t="s">
        <v>869</v>
      </c>
      <c r="D548">
        <v>2012</v>
      </c>
      <c r="E548" t="s">
        <v>4220</v>
      </c>
      <c r="F548" t="s">
        <v>3948</v>
      </c>
    </row>
    <row r="549" spans="1:6">
      <c r="A549" t="s">
        <v>4199</v>
      </c>
      <c r="B549" t="s">
        <v>4200</v>
      </c>
      <c r="C549" t="s">
        <v>4201</v>
      </c>
      <c r="D549">
        <v>2012</v>
      </c>
      <c r="E549" t="s">
        <v>4202</v>
      </c>
      <c r="F549" t="s">
        <v>3948</v>
      </c>
    </row>
    <row r="550" spans="1:6">
      <c r="A550" t="s">
        <v>2462</v>
      </c>
      <c r="B550" t="s">
        <v>2463</v>
      </c>
      <c r="C550" t="s">
        <v>192</v>
      </c>
      <c r="D550">
        <v>2012</v>
      </c>
      <c r="E550" t="s">
        <v>2464</v>
      </c>
      <c r="F550" t="s">
        <v>2142</v>
      </c>
    </row>
    <row r="551" spans="1:6">
      <c r="A551" t="s">
        <v>2700</v>
      </c>
      <c r="B551" t="s">
        <v>2701</v>
      </c>
      <c r="C551" t="s">
        <v>72</v>
      </c>
      <c r="D551">
        <v>2012</v>
      </c>
      <c r="E551" t="s">
        <v>2702</v>
      </c>
      <c r="F551" t="s">
        <v>2142</v>
      </c>
    </row>
    <row r="552" spans="1:6">
      <c r="A552" t="s">
        <v>3777</v>
      </c>
      <c r="B552" t="s">
        <v>3778</v>
      </c>
      <c r="C552" t="s">
        <v>520</v>
      </c>
      <c r="D552">
        <v>2012</v>
      </c>
      <c r="E552" t="s">
        <v>3779</v>
      </c>
      <c r="F552" t="s">
        <v>3356</v>
      </c>
    </row>
    <row r="553" spans="1:6">
      <c r="A553" t="s">
        <v>2355</v>
      </c>
      <c r="B553" t="s">
        <v>2356</v>
      </c>
      <c r="C553" t="s">
        <v>2357</v>
      </c>
      <c r="D553">
        <v>2012</v>
      </c>
      <c r="E553" t="s">
        <v>2358</v>
      </c>
      <c r="F553" t="s">
        <v>2142</v>
      </c>
    </row>
    <row r="554" spans="1:6">
      <c r="A554" t="s">
        <v>3675</v>
      </c>
      <c r="B554" t="s">
        <v>3676</v>
      </c>
      <c r="C554" t="s">
        <v>632</v>
      </c>
      <c r="D554">
        <v>2012</v>
      </c>
      <c r="E554" t="s">
        <v>3677</v>
      </c>
      <c r="F554" t="s">
        <v>3356</v>
      </c>
    </row>
    <row r="555" spans="1:6">
      <c r="A555" t="s">
        <v>3611</v>
      </c>
      <c r="B555" t="s">
        <v>3612</v>
      </c>
      <c r="C555" t="s">
        <v>76</v>
      </c>
      <c r="D555">
        <v>2012</v>
      </c>
      <c r="E555" t="s">
        <v>3613</v>
      </c>
      <c r="F555" t="s">
        <v>3356</v>
      </c>
    </row>
    <row r="556" spans="1:6">
      <c r="A556" t="s">
        <v>3780</v>
      </c>
      <c r="B556" t="s">
        <v>3781</v>
      </c>
      <c r="C556" t="s">
        <v>2393</v>
      </c>
      <c r="D556">
        <v>2012</v>
      </c>
      <c r="E556" t="s">
        <v>3782</v>
      </c>
      <c r="F556" t="s">
        <v>3356</v>
      </c>
    </row>
    <row r="557" spans="1:6">
      <c r="A557" t="s">
        <v>3633</v>
      </c>
      <c r="B557" t="s">
        <v>3634</v>
      </c>
      <c r="C557" t="s">
        <v>122</v>
      </c>
      <c r="D557">
        <v>2012</v>
      </c>
      <c r="E557" t="s">
        <v>3635</v>
      </c>
      <c r="F557" t="s">
        <v>3356</v>
      </c>
    </row>
    <row r="558" spans="1:6">
      <c r="A558" t="s">
        <v>2798</v>
      </c>
      <c r="B558" t="s">
        <v>2506</v>
      </c>
      <c r="C558" t="s">
        <v>444</v>
      </c>
      <c r="D558">
        <v>2012</v>
      </c>
      <c r="E558" t="s">
        <v>2799</v>
      </c>
      <c r="F558" t="s">
        <v>2757</v>
      </c>
    </row>
    <row r="559" spans="1:6">
      <c r="A559" t="s">
        <v>3600</v>
      </c>
      <c r="B559" t="s">
        <v>3601</v>
      </c>
      <c r="C559" t="s">
        <v>2157</v>
      </c>
      <c r="D559">
        <v>2012</v>
      </c>
      <c r="E559" t="s">
        <v>3602</v>
      </c>
      <c r="F559" t="s">
        <v>3356</v>
      </c>
    </row>
    <row r="560" spans="1:6">
      <c r="A560" t="s">
        <v>3955</v>
      </c>
      <c r="B560" t="s">
        <v>3956</v>
      </c>
      <c r="C560" t="s">
        <v>1109</v>
      </c>
      <c r="D560">
        <v>2012</v>
      </c>
      <c r="E560" t="s">
        <v>3957</v>
      </c>
      <c r="F560" t="s">
        <v>3948</v>
      </c>
    </row>
    <row r="561" spans="1:6">
      <c r="A561" t="s">
        <v>3642</v>
      </c>
      <c r="B561" t="s">
        <v>3643</v>
      </c>
      <c r="C561" t="s">
        <v>1067</v>
      </c>
      <c r="D561">
        <v>2012</v>
      </c>
      <c r="E561" t="s">
        <v>3644</v>
      </c>
      <c r="F561" t="s">
        <v>3356</v>
      </c>
    </row>
    <row r="562" spans="1:6">
      <c r="A562" t="s">
        <v>3942</v>
      </c>
      <c r="B562" t="s">
        <v>3943</v>
      </c>
      <c r="C562" t="s">
        <v>2389</v>
      </c>
      <c r="D562">
        <v>2012</v>
      </c>
      <c r="E562" t="s">
        <v>3944</v>
      </c>
      <c r="F562" t="s">
        <v>3356</v>
      </c>
    </row>
    <row r="563" spans="1:6">
      <c r="A563" t="s">
        <v>3335</v>
      </c>
      <c r="B563" t="s">
        <v>3336</v>
      </c>
      <c r="C563" t="s">
        <v>1516</v>
      </c>
      <c r="D563">
        <v>2012</v>
      </c>
      <c r="E563" t="s">
        <v>3337</v>
      </c>
      <c r="F563" t="s">
        <v>2757</v>
      </c>
    </row>
    <row r="564" spans="1:6">
      <c r="A564" t="s">
        <v>2277</v>
      </c>
      <c r="B564" t="s">
        <v>2278</v>
      </c>
      <c r="C564" t="s">
        <v>761</v>
      </c>
      <c r="D564">
        <v>2012</v>
      </c>
      <c r="E564" t="s">
        <v>2279</v>
      </c>
      <c r="F564" t="s">
        <v>2142</v>
      </c>
    </row>
    <row r="565" spans="1:6">
      <c r="A565" t="s">
        <v>3262</v>
      </c>
      <c r="B565" t="s">
        <v>3263</v>
      </c>
      <c r="C565" t="s">
        <v>211</v>
      </c>
      <c r="D565">
        <v>2012</v>
      </c>
      <c r="E565" t="s">
        <v>3264</v>
      </c>
      <c r="F565" t="s">
        <v>2757</v>
      </c>
    </row>
    <row r="566" spans="1:6">
      <c r="A566" t="s">
        <v>3726</v>
      </c>
      <c r="B566" t="s">
        <v>3727</v>
      </c>
      <c r="C566" t="s">
        <v>1516</v>
      </c>
      <c r="D566">
        <v>2012</v>
      </c>
      <c r="E566" t="s">
        <v>3728</v>
      </c>
      <c r="F566" t="s">
        <v>3356</v>
      </c>
    </row>
    <row r="567" spans="1:6">
      <c r="A567" t="s">
        <v>2770</v>
      </c>
      <c r="B567" t="s">
        <v>2771</v>
      </c>
      <c r="C567" t="s">
        <v>2772</v>
      </c>
      <c r="D567">
        <v>2012</v>
      </c>
      <c r="E567" t="s">
        <v>2773</v>
      </c>
      <c r="F567" t="s">
        <v>2757</v>
      </c>
    </row>
    <row r="568" spans="1:6">
      <c r="A568" t="s">
        <v>4543</v>
      </c>
      <c r="B568" t="s">
        <v>4544</v>
      </c>
      <c r="C568" t="s">
        <v>259</v>
      </c>
      <c r="D568">
        <v>2012</v>
      </c>
      <c r="E568" t="s">
        <v>4545</v>
      </c>
      <c r="F568" t="s">
        <v>4493</v>
      </c>
    </row>
    <row r="569" spans="1:6">
      <c r="A569" t="s">
        <v>3072</v>
      </c>
      <c r="B569" t="s">
        <v>3073</v>
      </c>
      <c r="C569" t="s">
        <v>160</v>
      </c>
      <c r="D569">
        <v>2012</v>
      </c>
      <c r="E569" t="s">
        <v>3074</v>
      </c>
      <c r="F569" t="s">
        <v>2757</v>
      </c>
    </row>
    <row r="570" spans="1:6">
      <c r="A570" t="s">
        <v>4438</v>
      </c>
      <c r="B570" t="s">
        <v>4439</v>
      </c>
      <c r="C570" t="s">
        <v>4440</v>
      </c>
      <c r="D570">
        <v>2012</v>
      </c>
      <c r="E570" t="s">
        <v>4441</v>
      </c>
      <c r="F570" t="s">
        <v>3948</v>
      </c>
    </row>
    <row r="571" spans="1:6">
      <c r="A571" t="s">
        <v>3002</v>
      </c>
      <c r="B571" t="s">
        <v>3003</v>
      </c>
      <c r="C571" t="s">
        <v>72</v>
      </c>
      <c r="D571">
        <v>2012</v>
      </c>
      <c r="E571" t="s">
        <v>3004</v>
      </c>
      <c r="F571" t="s">
        <v>2757</v>
      </c>
    </row>
    <row r="572" spans="1:6">
      <c r="A572" t="s">
        <v>4433</v>
      </c>
      <c r="B572" t="s">
        <v>4434</v>
      </c>
      <c r="C572" t="s">
        <v>72</v>
      </c>
      <c r="D572">
        <v>2012</v>
      </c>
      <c r="E572" t="s">
        <v>4435</v>
      </c>
      <c r="F572" t="s">
        <v>3948</v>
      </c>
    </row>
    <row r="573" spans="1:6">
      <c r="A573" t="s">
        <v>2262</v>
      </c>
      <c r="B573" t="s">
        <v>2263</v>
      </c>
      <c r="C573" t="s">
        <v>72</v>
      </c>
      <c r="D573">
        <v>2012</v>
      </c>
      <c r="E573" t="s">
        <v>2264</v>
      </c>
      <c r="F573" t="s">
        <v>2142</v>
      </c>
    </row>
    <row r="574" spans="1:6">
      <c r="A574" t="s">
        <v>4540</v>
      </c>
      <c r="B574" t="s">
        <v>4541</v>
      </c>
      <c r="C574" t="s">
        <v>1322</v>
      </c>
      <c r="D574">
        <v>2012</v>
      </c>
      <c r="E574" t="s">
        <v>4542</v>
      </c>
      <c r="F574" t="s">
        <v>4493</v>
      </c>
    </row>
    <row r="575" spans="1:6">
      <c r="A575" t="s">
        <v>3976</v>
      </c>
      <c r="B575" t="s">
        <v>3977</v>
      </c>
      <c r="C575" t="s">
        <v>3978</v>
      </c>
      <c r="D575">
        <v>2012</v>
      </c>
      <c r="E575" t="s">
        <v>3979</v>
      </c>
      <c r="F575" t="s">
        <v>3948</v>
      </c>
    </row>
    <row r="576" spans="1:6">
      <c r="A576" t="s">
        <v>2401</v>
      </c>
      <c r="B576" t="s">
        <v>2402</v>
      </c>
      <c r="C576" t="s">
        <v>7</v>
      </c>
      <c r="D576">
        <v>2012</v>
      </c>
      <c r="E576" t="s">
        <v>2403</v>
      </c>
      <c r="F576" t="s">
        <v>2142</v>
      </c>
    </row>
    <row r="577" spans="1:6">
      <c r="A577" t="s">
        <v>3448</v>
      </c>
      <c r="B577" t="s">
        <v>3449</v>
      </c>
      <c r="C577" t="s">
        <v>2423</v>
      </c>
      <c r="D577">
        <v>2012</v>
      </c>
      <c r="E577" t="s">
        <v>3450</v>
      </c>
      <c r="F577" t="s">
        <v>3356</v>
      </c>
    </row>
    <row r="578" spans="1:6">
      <c r="A578" t="s">
        <v>4262</v>
      </c>
      <c r="B578" t="s">
        <v>4263</v>
      </c>
      <c r="C578" t="s">
        <v>2233</v>
      </c>
      <c r="D578">
        <v>2012</v>
      </c>
      <c r="E578" t="s">
        <v>4264</v>
      </c>
      <c r="F578" t="s">
        <v>3948</v>
      </c>
    </row>
    <row r="579" spans="1:6">
      <c r="A579" t="s">
        <v>4324</v>
      </c>
      <c r="B579" t="s">
        <v>4325</v>
      </c>
      <c r="C579" t="s">
        <v>1669</v>
      </c>
      <c r="D579">
        <v>2012</v>
      </c>
      <c r="E579" t="s">
        <v>4326</v>
      </c>
      <c r="F579" t="s">
        <v>3948</v>
      </c>
    </row>
    <row r="580" spans="1:6">
      <c r="A580" t="s">
        <v>4528</v>
      </c>
      <c r="B580" t="s">
        <v>4529</v>
      </c>
      <c r="C580" t="s">
        <v>72</v>
      </c>
      <c r="D580">
        <v>2012</v>
      </c>
      <c r="E580" t="s">
        <v>4530</v>
      </c>
      <c r="F580" t="s">
        <v>4493</v>
      </c>
    </row>
    <row r="581" spans="1:6">
      <c r="A581" t="s">
        <v>3238</v>
      </c>
      <c r="B581" t="s">
        <v>3239</v>
      </c>
      <c r="C581" t="s">
        <v>72</v>
      </c>
      <c r="D581">
        <v>2012</v>
      </c>
      <c r="E581" t="s">
        <v>3240</v>
      </c>
      <c r="F581" t="s">
        <v>2757</v>
      </c>
    </row>
    <row r="582" spans="1:6">
      <c r="A582" t="s">
        <v>4402</v>
      </c>
      <c r="B582" t="s">
        <v>4403</v>
      </c>
      <c r="C582" t="s">
        <v>4404</v>
      </c>
      <c r="D582">
        <v>2012</v>
      </c>
      <c r="E582" t="s">
        <v>4405</v>
      </c>
      <c r="F582" t="s">
        <v>3948</v>
      </c>
    </row>
    <row r="583" spans="1:6">
      <c r="A583" t="s">
        <v>2834</v>
      </c>
      <c r="B583" t="s">
        <v>2835</v>
      </c>
      <c r="C583" t="s">
        <v>2718</v>
      </c>
      <c r="D583">
        <v>2012</v>
      </c>
      <c r="E583" t="s">
        <v>2836</v>
      </c>
      <c r="F583" t="s">
        <v>2757</v>
      </c>
    </row>
    <row r="584" spans="1:6">
      <c r="A584" t="s">
        <v>2181</v>
      </c>
      <c r="B584" t="s">
        <v>2182</v>
      </c>
      <c r="C584" t="s">
        <v>153</v>
      </c>
      <c r="D584">
        <v>2012</v>
      </c>
      <c r="E584" t="s">
        <v>2183</v>
      </c>
      <c r="F584" t="s">
        <v>2142</v>
      </c>
    </row>
    <row r="585" spans="1:6">
      <c r="A585" t="s">
        <v>2727</v>
      </c>
      <c r="B585" t="s">
        <v>2728</v>
      </c>
      <c r="C585" t="s">
        <v>315</v>
      </c>
      <c r="D585">
        <v>2012</v>
      </c>
      <c r="E585" t="s">
        <v>2729</v>
      </c>
      <c r="F585" t="s">
        <v>2142</v>
      </c>
    </row>
    <row r="586" spans="1:6">
      <c r="A586" t="s">
        <v>3381</v>
      </c>
      <c r="B586" t="s">
        <v>3382</v>
      </c>
      <c r="C586" t="s">
        <v>2393</v>
      </c>
      <c r="D586">
        <v>2012</v>
      </c>
      <c r="E586" t="s">
        <v>3383</v>
      </c>
      <c r="F586" t="s">
        <v>3356</v>
      </c>
    </row>
    <row r="587" spans="1:6">
      <c r="A587" t="s">
        <v>4019</v>
      </c>
      <c r="B587" t="s">
        <v>4020</v>
      </c>
      <c r="C587" t="s">
        <v>2233</v>
      </c>
      <c r="D587">
        <v>2012</v>
      </c>
      <c r="E587" t="s">
        <v>4021</v>
      </c>
      <c r="F587" t="s">
        <v>3948</v>
      </c>
    </row>
    <row r="588" spans="1:6">
      <c r="A588" t="s">
        <v>4305</v>
      </c>
      <c r="B588" t="s">
        <v>4306</v>
      </c>
      <c r="C588" t="s">
        <v>1264</v>
      </c>
      <c r="D588">
        <v>2012</v>
      </c>
      <c r="E588" t="s">
        <v>4307</v>
      </c>
      <c r="F588" t="s">
        <v>3948</v>
      </c>
    </row>
    <row r="589" spans="1:6">
      <c r="A589" t="s">
        <v>3556</v>
      </c>
      <c r="B589" t="s">
        <v>3557</v>
      </c>
      <c r="C589" t="s">
        <v>7</v>
      </c>
      <c r="D589">
        <v>2012</v>
      </c>
      <c r="E589" t="s">
        <v>3558</v>
      </c>
      <c r="F589" t="s">
        <v>3356</v>
      </c>
    </row>
    <row r="590" spans="1:6">
      <c r="A590" t="s">
        <v>2205</v>
      </c>
      <c r="B590" t="s">
        <v>2206</v>
      </c>
      <c r="C590" t="s">
        <v>19</v>
      </c>
      <c r="D590">
        <v>2012</v>
      </c>
      <c r="E590" t="s">
        <v>2207</v>
      </c>
      <c r="F590" t="s">
        <v>2142</v>
      </c>
    </row>
    <row r="591" spans="1:6">
      <c r="A591" t="s">
        <v>3859</v>
      </c>
      <c r="B591" t="s">
        <v>3860</v>
      </c>
      <c r="C591" t="s">
        <v>3861</v>
      </c>
      <c r="D591">
        <v>2012</v>
      </c>
      <c r="E591" t="s">
        <v>3862</v>
      </c>
      <c r="F591" t="s">
        <v>3356</v>
      </c>
    </row>
    <row r="592" spans="1:6">
      <c r="A592" t="s">
        <v>3881</v>
      </c>
      <c r="B592" t="s">
        <v>3882</v>
      </c>
      <c r="C592" t="s">
        <v>1561</v>
      </c>
      <c r="D592">
        <v>2012</v>
      </c>
      <c r="E592" t="s">
        <v>3883</v>
      </c>
      <c r="F592" t="s">
        <v>3356</v>
      </c>
    </row>
    <row r="593" spans="1:6">
      <c r="A593" t="s">
        <v>3081</v>
      </c>
      <c r="B593" t="s">
        <v>3082</v>
      </c>
      <c r="C593" t="s">
        <v>2618</v>
      </c>
      <c r="D593">
        <v>2012</v>
      </c>
      <c r="E593" t="s">
        <v>3083</v>
      </c>
      <c r="F593" t="s">
        <v>2757</v>
      </c>
    </row>
    <row r="594" spans="1:6">
      <c r="A594" t="s">
        <v>4052</v>
      </c>
      <c r="B594" t="s">
        <v>4053</v>
      </c>
      <c r="C594" t="s">
        <v>54</v>
      </c>
      <c r="D594">
        <v>2012</v>
      </c>
      <c r="E594" t="s">
        <v>4054</v>
      </c>
      <c r="F594" t="s">
        <v>3948</v>
      </c>
    </row>
    <row r="595" spans="1:6">
      <c r="A595" t="s">
        <v>3895</v>
      </c>
      <c r="B595" t="s">
        <v>3896</v>
      </c>
      <c r="C595" t="s">
        <v>3897</v>
      </c>
      <c r="D595">
        <v>2012</v>
      </c>
      <c r="E595" t="s">
        <v>3898</v>
      </c>
      <c r="F595" t="s">
        <v>3356</v>
      </c>
    </row>
    <row r="596" spans="1:6">
      <c r="A596" t="s">
        <v>3043</v>
      </c>
      <c r="B596" t="s">
        <v>3044</v>
      </c>
      <c r="C596" t="s">
        <v>2882</v>
      </c>
      <c r="D596">
        <v>2012</v>
      </c>
      <c r="E596" t="s">
        <v>3045</v>
      </c>
      <c r="F596" t="s">
        <v>2757</v>
      </c>
    </row>
    <row r="597" spans="1:6">
      <c r="A597" t="s">
        <v>4419</v>
      </c>
      <c r="B597" t="s">
        <v>4420</v>
      </c>
      <c r="C597" t="s">
        <v>305</v>
      </c>
      <c r="D597">
        <v>2012</v>
      </c>
      <c r="E597" t="s">
        <v>4421</v>
      </c>
      <c r="F597" t="s">
        <v>3948</v>
      </c>
    </row>
    <row r="598" spans="1:6">
      <c r="A598" t="s">
        <v>3940</v>
      </c>
      <c r="B598" t="s">
        <v>3019</v>
      </c>
      <c r="C598" t="s">
        <v>219</v>
      </c>
      <c r="D598">
        <v>2012</v>
      </c>
      <c r="E598" t="s">
        <v>3941</v>
      </c>
      <c r="F598" t="s">
        <v>3356</v>
      </c>
    </row>
    <row r="599" spans="1:6">
      <c r="A599" t="s">
        <v>4426</v>
      </c>
      <c r="B599" t="s">
        <v>4427</v>
      </c>
      <c r="C599" t="s">
        <v>983</v>
      </c>
      <c r="D599">
        <v>2012</v>
      </c>
      <c r="E599" t="s">
        <v>4428</v>
      </c>
      <c r="F599" t="s">
        <v>3948</v>
      </c>
    </row>
    <row r="600" spans="1:6">
      <c r="A600" t="s">
        <v>3101</v>
      </c>
      <c r="B600" t="s">
        <v>3102</v>
      </c>
      <c r="C600" t="s">
        <v>19</v>
      </c>
      <c r="D600">
        <v>2012</v>
      </c>
      <c r="E600" t="s">
        <v>3103</v>
      </c>
      <c r="F600" t="s">
        <v>2757</v>
      </c>
    </row>
    <row r="601" spans="1:6">
      <c r="A601" t="s">
        <v>4256</v>
      </c>
      <c r="B601" t="s">
        <v>4257</v>
      </c>
      <c r="C601" t="s">
        <v>27</v>
      </c>
      <c r="D601">
        <v>2012</v>
      </c>
      <c r="E601" t="s">
        <v>4258</v>
      </c>
      <c r="F601" t="s">
        <v>3948</v>
      </c>
    </row>
    <row r="602" spans="1:6">
      <c r="A602" t="s">
        <v>3129</v>
      </c>
      <c r="B602" t="s">
        <v>3130</v>
      </c>
      <c r="C602" t="s">
        <v>2</v>
      </c>
      <c r="D602">
        <v>2012</v>
      </c>
      <c r="E602" t="s">
        <v>3131</v>
      </c>
      <c r="F602" t="s">
        <v>2757</v>
      </c>
    </row>
    <row r="603" spans="1:6">
      <c r="A603" t="s">
        <v>2459</v>
      </c>
      <c r="B603" t="s">
        <v>2460</v>
      </c>
      <c r="C603" t="s">
        <v>869</v>
      </c>
      <c r="D603">
        <v>2012</v>
      </c>
      <c r="E603" t="s">
        <v>2461</v>
      </c>
      <c r="F603" t="s">
        <v>2142</v>
      </c>
    </row>
    <row r="604" spans="1:6">
      <c r="A604" t="s">
        <v>3229</v>
      </c>
      <c r="B604" t="s">
        <v>3230</v>
      </c>
      <c r="C604" t="s">
        <v>15</v>
      </c>
      <c r="D604">
        <v>2012</v>
      </c>
      <c r="E604" t="s">
        <v>3231</v>
      </c>
      <c r="F604" t="s">
        <v>2757</v>
      </c>
    </row>
    <row r="605" spans="1:6">
      <c r="A605" t="s">
        <v>2823</v>
      </c>
      <c r="B605" t="s">
        <v>2824</v>
      </c>
      <c r="C605" t="s">
        <v>326</v>
      </c>
      <c r="D605">
        <v>2012</v>
      </c>
      <c r="E605" t="s">
        <v>2825</v>
      </c>
      <c r="F605" t="s">
        <v>2757</v>
      </c>
    </row>
    <row r="606" spans="1:6">
      <c r="A606" t="s">
        <v>4035</v>
      </c>
      <c r="B606" t="s">
        <v>4036</v>
      </c>
      <c r="C606" t="s">
        <v>4037</v>
      </c>
      <c r="D606">
        <v>2012</v>
      </c>
      <c r="E606" t="s">
        <v>4038</v>
      </c>
      <c r="F606" t="s">
        <v>3948</v>
      </c>
    </row>
    <row r="607" spans="1:6">
      <c r="A607" t="s">
        <v>3808</v>
      </c>
      <c r="B607" t="s">
        <v>3803</v>
      </c>
      <c r="C607" t="s">
        <v>1516</v>
      </c>
      <c r="D607">
        <v>2012</v>
      </c>
      <c r="E607" t="s">
        <v>3809</v>
      </c>
      <c r="F607" t="s">
        <v>3356</v>
      </c>
    </row>
    <row r="608" spans="1:6">
      <c r="A608" t="s">
        <v>4093</v>
      </c>
      <c r="B608" t="s">
        <v>4094</v>
      </c>
      <c r="C608" t="s">
        <v>2</v>
      </c>
      <c r="D608">
        <v>2012</v>
      </c>
      <c r="E608" t="s">
        <v>4095</v>
      </c>
      <c r="F608" t="s">
        <v>3948</v>
      </c>
    </row>
    <row r="609" spans="1:6">
      <c r="A609" t="s">
        <v>3048</v>
      </c>
      <c r="B609" t="s">
        <v>3049</v>
      </c>
      <c r="C609" t="s">
        <v>761</v>
      </c>
      <c r="D609">
        <v>2012</v>
      </c>
      <c r="E609" t="s">
        <v>3050</v>
      </c>
      <c r="F609" t="s">
        <v>2757</v>
      </c>
    </row>
    <row r="610" spans="1:6">
      <c r="A610" t="s">
        <v>3810</v>
      </c>
      <c r="B610" t="s">
        <v>3811</v>
      </c>
      <c r="C610" t="s">
        <v>326</v>
      </c>
      <c r="D610">
        <v>2012</v>
      </c>
      <c r="E610" t="s">
        <v>3812</v>
      </c>
      <c r="F610" t="s">
        <v>3356</v>
      </c>
    </row>
    <row r="611" spans="1:6">
      <c r="A611" t="s">
        <v>3271</v>
      </c>
      <c r="B611" t="s">
        <v>3272</v>
      </c>
      <c r="C611" t="s">
        <v>23</v>
      </c>
      <c r="D611">
        <v>2012</v>
      </c>
      <c r="E611" t="s">
        <v>3273</v>
      </c>
      <c r="F611" t="s">
        <v>2757</v>
      </c>
    </row>
    <row r="612" spans="1:6">
      <c r="A612" t="s">
        <v>3087</v>
      </c>
      <c r="B612" t="s">
        <v>3088</v>
      </c>
      <c r="C612" t="s">
        <v>1492</v>
      </c>
      <c r="D612">
        <v>2012</v>
      </c>
      <c r="E612" t="s">
        <v>3089</v>
      </c>
      <c r="F612" t="s">
        <v>2757</v>
      </c>
    </row>
    <row r="613" spans="1:6">
      <c r="A613" t="s">
        <v>3707</v>
      </c>
      <c r="B613" t="s">
        <v>3708</v>
      </c>
      <c r="C613" t="s">
        <v>736</v>
      </c>
      <c r="D613">
        <v>2012</v>
      </c>
      <c r="E613" t="s">
        <v>3709</v>
      </c>
      <c r="F613" t="s">
        <v>3356</v>
      </c>
    </row>
    <row r="614" spans="1:6">
      <c r="A614" t="s">
        <v>3054</v>
      </c>
      <c r="B614" t="s">
        <v>3055</v>
      </c>
      <c r="C614" t="s">
        <v>3056</v>
      </c>
      <c r="D614">
        <v>2012</v>
      </c>
      <c r="E614" t="s">
        <v>3057</v>
      </c>
      <c r="F614" t="s">
        <v>2757</v>
      </c>
    </row>
    <row r="615" spans="1:6">
      <c r="A615" t="s">
        <v>2231</v>
      </c>
      <c r="B615" t="s">
        <v>2232</v>
      </c>
      <c r="C615" t="s">
        <v>2233</v>
      </c>
      <c r="D615">
        <v>2012</v>
      </c>
      <c r="E615" t="s">
        <v>2234</v>
      </c>
      <c r="F615" t="s">
        <v>2142</v>
      </c>
    </row>
    <row r="616" spans="1:6">
      <c r="A616" t="s">
        <v>2468</v>
      </c>
      <c r="B616" t="s">
        <v>2469</v>
      </c>
      <c r="C616" t="s">
        <v>72</v>
      </c>
      <c r="D616">
        <v>2012</v>
      </c>
      <c r="E616" t="s">
        <v>2470</v>
      </c>
      <c r="F616" t="s">
        <v>2142</v>
      </c>
    </row>
    <row r="617" spans="1:6">
      <c r="A617" t="s">
        <v>3729</v>
      </c>
      <c r="B617" t="s">
        <v>3730</v>
      </c>
      <c r="C617" t="s">
        <v>72</v>
      </c>
      <c r="D617">
        <v>2012</v>
      </c>
      <c r="E617" t="s">
        <v>3731</v>
      </c>
      <c r="F617" t="s">
        <v>3356</v>
      </c>
    </row>
    <row r="618" spans="1:6">
      <c r="A618" t="s">
        <v>4311</v>
      </c>
      <c r="B618" t="s">
        <v>4312</v>
      </c>
      <c r="C618" t="s">
        <v>27</v>
      </c>
      <c r="D618">
        <v>2012</v>
      </c>
      <c r="E618" t="s">
        <v>4313</v>
      </c>
      <c r="F618" t="s">
        <v>3948</v>
      </c>
    </row>
    <row r="619" spans="1:6">
      <c r="A619" t="s">
        <v>2442</v>
      </c>
      <c r="B619" t="s">
        <v>2443</v>
      </c>
      <c r="C619" t="s">
        <v>219</v>
      </c>
      <c r="D619">
        <v>2012</v>
      </c>
      <c r="E619" t="s">
        <v>2444</v>
      </c>
      <c r="F619" t="s">
        <v>2142</v>
      </c>
    </row>
    <row r="620" spans="1:6">
      <c r="A620" t="s">
        <v>2720</v>
      </c>
      <c r="B620" t="s">
        <v>2721</v>
      </c>
      <c r="C620" t="s">
        <v>2083</v>
      </c>
      <c r="D620">
        <v>2012</v>
      </c>
      <c r="E620" t="s">
        <v>2722</v>
      </c>
      <c r="F620" t="s">
        <v>2142</v>
      </c>
    </row>
    <row r="621" spans="1:6">
      <c r="A621" t="s">
        <v>3024</v>
      </c>
      <c r="B621" t="s">
        <v>3025</v>
      </c>
      <c r="C621" t="s">
        <v>444</v>
      </c>
      <c r="D621">
        <v>2012</v>
      </c>
      <c r="E621" t="s">
        <v>3026</v>
      </c>
      <c r="F621" t="s">
        <v>2757</v>
      </c>
    </row>
    <row r="622" spans="1:6">
      <c r="A622" t="s">
        <v>3247</v>
      </c>
      <c r="B622" t="s">
        <v>3248</v>
      </c>
      <c r="C622" t="s">
        <v>1204</v>
      </c>
      <c r="D622">
        <v>2012</v>
      </c>
      <c r="E622" t="s">
        <v>3249</v>
      </c>
      <c r="F622" t="s">
        <v>2757</v>
      </c>
    </row>
    <row r="623" spans="1:6">
      <c r="A623" t="s">
        <v>4317</v>
      </c>
      <c r="B623" t="s">
        <v>4318</v>
      </c>
      <c r="C623" t="s">
        <v>4319</v>
      </c>
      <c r="D623">
        <v>2012</v>
      </c>
      <c r="E623" t="s">
        <v>4320</v>
      </c>
      <c r="F623" t="s">
        <v>3948</v>
      </c>
    </row>
    <row r="624" spans="1:6">
      <c r="A624" t="s">
        <v>3899</v>
      </c>
      <c r="B624" t="s">
        <v>3900</v>
      </c>
      <c r="C624" t="s">
        <v>1516</v>
      </c>
      <c r="D624">
        <v>2012</v>
      </c>
      <c r="E624" t="s">
        <v>3901</v>
      </c>
      <c r="F624" t="s">
        <v>3356</v>
      </c>
    </row>
    <row r="625" spans="1:6">
      <c r="A625" t="s">
        <v>3084</v>
      </c>
      <c r="B625" t="s">
        <v>3085</v>
      </c>
      <c r="C625" t="s">
        <v>725</v>
      </c>
      <c r="D625">
        <v>2012</v>
      </c>
      <c r="E625" t="s">
        <v>3086</v>
      </c>
      <c r="F625" t="s">
        <v>2757</v>
      </c>
    </row>
    <row r="626" spans="1:6">
      <c r="A626" t="s">
        <v>4299</v>
      </c>
      <c r="B626" t="s">
        <v>4300</v>
      </c>
      <c r="C626" t="s">
        <v>153</v>
      </c>
      <c r="D626">
        <v>2012</v>
      </c>
      <c r="E626" t="s">
        <v>4301</v>
      </c>
      <c r="F626" t="s">
        <v>3948</v>
      </c>
    </row>
    <row r="627" spans="1:6">
      <c r="A627" t="s">
        <v>2677</v>
      </c>
      <c r="B627" t="s">
        <v>2678</v>
      </c>
      <c r="C627" t="s">
        <v>219</v>
      </c>
      <c r="D627">
        <v>2012</v>
      </c>
      <c r="E627" t="s">
        <v>2679</v>
      </c>
      <c r="F627" t="s">
        <v>2142</v>
      </c>
    </row>
    <row r="628" spans="1:6">
      <c r="A628" t="s">
        <v>2208</v>
      </c>
      <c r="B628" t="s">
        <v>2176</v>
      </c>
      <c r="C628" t="s">
        <v>19</v>
      </c>
      <c r="D628">
        <v>2012</v>
      </c>
      <c r="E628" t="s">
        <v>2209</v>
      </c>
      <c r="F628" t="s">
        <v>2142</v>
      </c>
    </row>
    <row r="629" spans="1:6">
      <c r="A629" t="s">
        <v>3214</v>
      </c>
      <c r="B629" t="s">
        <v>3215</v>
      </c>
      <c r="C629" t="s">
        <v>1322</v>
      </c>
      <c r="D629">
        <v>2012</v>
      </c>
      <c r="E629" t="s">
        <v>3216</v>
      </c>
      <c r="F629" t="s">
        <v>2757</v>
      </c>
    </row>
    <row r="630" spans="1:6">
      <c r="A630" t="s">
        <v>2921</v>
      </c>
      <c r="B630" t="s">
        <v>2922</v>
      </c>
      <c r="C630" t="s">
        <v>2923</v>
      </c>
      <c r="D630">
        <v>2012</v>
      </c>
      <c r="E630" t="s">
        <v>2924</v>
      </c>
      <c r="F630" t="s">
        <v>2757</v>
      </c>
    </row>
    <row r="631" spans="1:6">
      <c r="A631" t="s">
        <v>4465</v>
      </c>
      <c r="B631" t="s">
        <v>4466</v>
      </c>
      <c r="C631" t="s">
        <v>4467</v>
      </c>
      <c r="D631">
        <v>2012</v>
      </c>
      <c r="E631" t="s">
        <v>4468</v>
      </c>
      <c r="F631" t="s">
        <v>3948</v>
      </c>
    </row>
    <row r="632" spans="1:6">
      <c r="A632" t="s">
        <v>3805</v>
      </c>
      <c r="B632" t="s">
        <v>3806</v>
      </c>
      <c r="C632" t="s">
        <v>612</v>
      </c>
      <c r="D632">
        <v>2012</v>
      </c>
      <c r="E632" t="s">
        <v>3807</v>
      </c>
      <c r="F632" t="s">
        <v>3356</v>
      </c>
    </row>
    <row r="633" spans="1:6">
      <c r="A633" t="s">
        <v>2526</v>
      </c>
      <c r="B633" t="s">
        <v>2527</v>
      </c>
      <c r="C633" t="s">
        <v>2528</v>
      </c>
      <c r="D633">
        <v>2012</v>
      </c>
      <c r="E633" t="s">
        <v>2529</v>
      </c>
      <c r="F633" t="s">
        <v>2142</v>
      </c>
    </row>
    <row r="634" spans="1:6">
      <c r="A634" t="s">
        <v>2665</v>
      </c>
      <c r="B634" t="s">
        <v>2666</v>
      </c>
      <c r="C634" t="s">
        <v>729</v>
      </c>
      <c r="D634">
        <v>2012</v>
      </c>
      <c r="E634" t="s">
        <v>2667</v>
      </c>
      <c r="F634" t="s">
        <v>2142</v>
      </c>
    </row>
    <row r="635" spans="1:6">
      <c r="A635" t="s">
        <v>2575</v>
      </c>
      <c r="B635" t="s">
        <v>2576</v>
      </c>
      <c r="C635" t="s">
        <v>72</v>
      </c>
      <c r="D635">
        <v>2012</v>
      </c>
      <c r="E635" t="s">
        <v>2577</v>
      </c>
      <c r="F635" t="s">
        <v>2142</v>
      </c>
    </row>
    <row r="636" spans="1:6">
      <c r="A636" t="s">
        <v>4289</v>
      </c>
      <c r="B636" t="s">
        <v>4290</v>
      </c>
      <c r="C636" t="s">
        <v>4291</v>
      </c>
      <c r="D636">
        <v>2012</v>
      </c>
      <c r="E636" t="s">
        <v>4292</v>
      </c>
      <c r="F636" t="s">
        <v>3948</v>
      </c>
    </row>
    <row r="637" spans="1:6">
      <c r="A637" t="s">
        <v>3078</v>
      </c>
      <c r="B637" t="s">
        <v>3079</v>
      </c>
      <c r="C637" t="s">
        <v>1597</v>
      </c>
      <c r="D637">
        <v>2012</v>
      </c>
      <c r="E637" t="s">
        <v>3080</v>
      </c>
      <c r="F637" t="s">
        <v>2757</v>
      </c>
    </row>
    <row r="638" spans="1:6">
      <c r="A638" t="s">
        <v>3370</v>
      </c>
      <c r="B638" t="s">
        <v>3371</v>
      </c>
      <c r="C638" t="s">
        <v>1516</v>
      </c>
      <c r="D638">
        <v>2012</v>
      </c>
      <c r="E638" t="s">
        <v>3372</v>
      </c>
      <c r="F638" t="s">
        <v>3356</v>
      </c>
    </row>
    <row r="639" spans="1:6">
      <c r="A639" t="s">
        <v>4022</v>
      </c>
      <c r="B639" t="s">
        <v>4023</v>
      </c>
      <c r="C639" t="s">
        <v>4024</v>
      </c>
      <c r="D639">
        <v>2012</v>
      </c>
      <c r="E639" t="s">
        <v>4025</v>
      </c>
      <c r="F639" t="s">
        <v>3948</v>
      </c>
    </row>
    <row r="640" spans="1:6">
      <c r="A640" t="s">
        <v>4302</v>
      </c>
      <c r="B640" t="s">
        <v>4303</v>
      </c>
      <c r="C640" t="s">
        <v>15</v>
      </c>
      <c r="D640">
        <v>2012</v>
      </c>
      <c r="E640" t="s">
        <v>4304</v>
      </c>
      <c r="F640" t="s">
        <v>3948</v>
      </c>
    </row>
    <row r="641" spans="1:6">
      <c r="A641" t="s">
        <v>3678</v>
      </c>
      <c r="B641" t="s">
        <v>3679</v>
      </c>
      <c r="C641" t="s">
        <v>498</v>
      </c>
      <c r="D641">
        <v>2012</v>
      </c>
      <c r="E641" t="s">
        <v>3680</v>
      </c>
      <c r="F641" t="s">
        <v>3356</v>
      </c>
    </row>
    <row r="642" spans="1:6">
      <c r="A642" t="s">
        <v>3562</v>
      </c>
      <c r="B642" t="s">
        <v>3563</v>
      </c>
      <c r="C642" t="s">
        <v>3609</v>
      </c>
      <c r="D642">
        <v>2012</v>
      </c>
      <c r="E642" t="s">
        <v>3610</v>
      </c>
      <c r="F642" t="s">
        <v>3356</v>
      </c>
    </row>
    <row r="643" spans="1:6">
      <c r="A643" t="s">
        <v>4113</v>
      </c>
      <c r="B643" t="s">
        <v>4114</v>
      </c>
      <c r="C643" t="s">
        <v>1466</v>
      </c>
      <c r="D643">
        <v>2012</v>
      </c>
      <c r="E643" t="s">
        <v>4115</v>
      </c>
      <c r="F643" t="s">
        <v>3948</v>
      </c>
    </row>
    <row r="644" spans="1:6">
      <c r="A644" t="s">
        <v>4100</v>
      </c>
      <c r="B644" t="s">
        <v>4101</v>
      </c>
      <c r="C644" t="s">
        <v>72</v>
      </c>
      <c r="D644">
        <v>2012</v>
      </c>
      <c r="E644" t="s">
        <v>4102</v>
      </c>
      <c r="F644" t="s">
        <v>3948</v>
      </c>
    </row>
    <row r="645" spans="1:6">
      <c r="A645" t="s">
        <v>3846</v>
      </c>
      <c r="B645" t="s">
        <v>3847</v>
      </c>
      <c r="C645" t="s">
        <v>72</v>
      </c>
      <c r="D645">
        <v>2012</v>
      </c>
      <c r="E645" t="s">
        <v>3848</v>
      </c>
      <c r="F645" t="s">
        <v>3356</v>
      </c>
    </row>
    <row r="646" spans="1:6">
      <c r="A646" t="s">
        <v>2438</v>
      </c>
      <c r="B646" t="s">
        <v>2439</v>
      </c>
      <c r="C646" t="s">
        <v>2440</v>
      </c>
      <c r="D646">
        <v>2012</v>
      </c>
      <c r="E646" t="s">
        <v>2441</v>
      </c>
      <c r="F646" t="s">
        <v>2142</v>
      </c>
    </row>
    <row r="647" spans="1:6">
      <c r="A647" t="s">
        <v>3821</v>
      </c>
      <c r="B647" t="s">
        <v>3822</v>
      </c>
      <c r="C647" t="s">
        <v>612</v>
      </c>
      <c r="D647">
        <v>2012</v>
      </c>
      <c r="E647" t="s">
        <v>3823</v>
      </c>
      <c r="F647" t="s">
        <v>3356</v>
      </c>
    </row>
    <row r="648" spans="1:6">
      <c r="A648" t="s">
        <v>3645</v>
      </c>
      <c r="B648" t="s">
        <v>3646</v>
      </c>
      <c r="C648" t="s">
        <v>2040</v>
      </c>
      <c r="D648">
        <v>2012</v>
      </c>
      <c r="E648" t="s">
        <v>3647</v>
      </c>
      <c r="F648" t="s">
        <v>3356</v>
      </c>
    </row>
    <row r="649" spans="1:6">
      <c r="A649" t="s">
        <v>3531</v>
      </c>
      <c r="B649" t="s">
        <v>3532</v>
      </c>
      <c r="C649" t="s">
        <v>27</v>
      </c>
      <c r="D649">
        <v>2012</v>
      </c>
      <c r="E649" t="s">
        <v>3533</v>
      </c>
      <c r="F649" t="s">
        <v>3356</v>
      </c>
    </row>
    <row r="650" spans="1:6">
      <c r="A650" t="s">
        <v>2395</v>
      </c>
      <c r="B650" t="s">
        <v>2396</v>
      </c>
      <c r="C650" t="s">
        <v>211</v>
      </c>
      <c r="D650">
        <v>2012</v>
      </c>
      <c r="E650" t="s">
        <v>2397</v>
      </c>
      <c r="F650" t="s">
        <v>2142</v>
      </c>
    </row>
    <row r="651" spans="1:6">
      <c r="A651" t="s">
        <v>2425</v>
      </c>
      <c r="B651" t="s">
        <v>2426</v>
      </c>
      <c r="C651" t="s">
        <v>2</v>
      </c>
      <c r="D651">
        <v>2012</v>
      </c>
      <c r="E651" t="s">
        <v>2427</v>
      </c>
      <c r="F651" t="s">
        <v>2142</v>
      </c>
    </row>
    <row r="652" spans="1:6">
      <c r="A652" t="s">
        <v>3839</v>
      </c>
      <c r="B652" t="s">
        <v>3840</v>
      </c>
      <c r="C652" t="s">
        <v>1516</v>
      </c>
      <c r="D652">
        <v>2012</v>
      </c>
      <c r="E652" t="s">
        <v>3841</v>
      </c>
      <c r="F652" t="s">
        <v>3356</v>
      </c>
    </row>
    <row r="653" spans="1:6">
      <c r="A653" t="s">
        <v>3964</v>
      </c>
      <c r="B653" t="s">
        <v>3965</v>
      </c>
      <c r="C653" t="s">
        <v>1516</v>
      </c>
      <c r="D653">
        <v>2012</v>
      </c>
      <c r="E653" t="s">
        <v>3966</v>
      </c>
      <c r="F653" t="s">
        <v>3948</v>
      </c>
    </row>
    <row r="654" spans="1:6">
      <c r="A654" t="s">
        <v>4489</v>
      </c>
      <c r="B654" t="s">
        <v>4490</v>
      </c>
      <c r="C654" t="s">
        <v>4491</v>
      </c>
      <c r="D654">
        <v>2012</v>
      </c>
      <c r="E654" t="s">
        <v>4492</v>
      </c>
      <c r="F654" t="s">
        <v>4493</v>
      </c>
    </row>
    <row r="655" spans="1:6">
      <c r="A655" t="s">
        <v>3827</v>
      </c>
      <c r="B655" t="s">
        <v>3828</v>
      </c>
      <c r="C655" t="s">
        <v>72</v>
      </c>
      <c r="D655">
        <v>2012</v>
      </c>
      <c r="E655" t="s">
        <v>3829</v>
      </c>
      <c r="F655" t="s">
        <v>3356</v>
      </c>
    </row>
    <row r="656" spans="1:6">
      <c r="A656" t="s">
        <v>4010</v>
      </c>
      <c r="B656" t="s">
        <v>4011</v>
      </c>
      <c r="C656" t="s">
        <v>54</v>
      </c>
      <c r="D656">
        <v>2012</v>
      </c>
      <c r="E656" t="s">
        <v>4012</v>
      </c>
      <c r="F656" t="s">
        <v>3948</v>
      </c>
    </row>
    <row r="657" spans="1:6">
      <c r="A657" t="s">
        <v>1743</v>
      </c>
      <c r="B657" t="s">
        <v>321</v>
      </c>
      <c r="C657" t="s">
        <v>2233</v>
      </c>
      <c r="D657">
        <v>2012</v>
      </c>
      <c r="E657" t="s">
        <v>4226</v>
      </c>
      <c r="F657" t="s">
        <v>3948</v>
      </c>
    </row>
    <row r="658" spans="1:6">
      <c r="A658" t="s">
        <v>1743</v>
      </c>
      <c r="B658" t="s">
        <v>321</v>
      </c>
      <c r="C658" t="s">
        <v>761</v>
      </c>
      <c r="D658">
        <v>2012</v>
      </c>
      <c r="E658" t="s">
        <v>4265</v>
      </c>
      <c r="F658" t="s">
        <v>3948</v>
      </c>
    </row>
    <row r="659" spans="1:6">
      <c r="A659" t="s">
        <v>3665</v>
      </c>
      <c r="B659" t="s">
        <v>3666</v>
      </c>
      <c r="C659" t="s">
        <v>3667</v>
      </c>
      <c r="D659">
        <v>2012</v>
      </c>
      <c r="E659" t="s">
        <v>3668</v>
      </c>
      <c r="F659" t="s">
        <v>3356</v>
      </c>
    </row>
    <row r="660" spans="1:6">
      <c r="A660" t="s">
        <v>3593</v>
      </c>
      <c r="B660" t="s">
        <v>3594</v>
      </c>
      <c r="C660" t="s">
        <v>3595</v>
      </c>
      <c r="D660">
        <v>2012</v>
      </c>
      <c r="E660" t="s">
        <v>3596</v>
      </c>
      <c r="F660" t="s">
        <v>3356</v>
      </c>
    </row>
    <row r="661" spans="1:6">
      <c r="A661" t="s">
        <v>2238</v>
      </c>
      <c r="B661" t="s">
        <v>2239</v>
      </c>
      <c r="C661" t="s">
        <v>90</v>
      </c>
      <c r="D661">
        <v>2012</v>
      </c>
      <c r="E661" t="s">
        <v>2240</v>
      </c>
      <c r="F661" t="s">
        <v>2142</v>
      </c>
    </row>
    <row r="662" spans="1:6">
      <c r="A662" t="s">
        <v>2166</v>
      </c>
      <c r="B662" t="s">
        <v>2167</v>
      </c>
      <c r="C662" t="s">
        <v>7</v>
      </c>
      <c r="D662">
        <v>2012</v>
      </c>
      <c r="E662" t="s">
        <v>2168</v>
      </c>
      <c r="F662" t="s">
        <v>2142</v>
      </c>
    </row>
    <row r="663" spans="1:6">
      <c r="A663" t="s">
        <v>3967</v>
      </c>
      <c r="B663" t="s">
        <v>3968</v>
      </c>
      <c r="C663" t="s">
        <v>192</v>
      </c>
      <c r="D663">
        <v>2012</v>
      </c>
      <c r="E663" t="s">
        <v>3969</v>
      </c>
      <c r="F663" t="s">
        <v>3948</v>
      </c>
    </row>
    <row r="664" spans="1:6">
      <c r="A664" t="s">
        <v>3504</v>
      </c>
      <c r="B664" t="s">
        <v>3505</v>
      </c>
      <c r="C664" t="s">
        <v>2393</v>
      </c>
      <c r="D664">
        <v>2012</v>
      </c>
      <c r="E664" t="s">
        <v>3506</v>
      </c>
      <c r="F664" t="s">
        <v>3356</v>
      </c>
    </row>
    <row r="665" spans="1:6">
      <c r="A665" t="s">
        <v>3813</v>
      </c>
      <c r="B665" t="s">
        <v>3814</v>
      </c>
      <c r="C665" t="s">
        <v>3815</v>
      </c>
      <c r="D665">
        <v>2012</v>
      </c>
      <c r="E665" t="s">
        <v>3816</v>
      </c>
      <c r="F665" t="s">
        <v>3356</v>
      </c>
    </row>
    <row r="666" spans="1:6">
      <c r="A666" t="s">
        <v>2352</v>
      </c>
      <c r="B666" t="s">
        <v>2353</v>
      </c>
      <c r="C666" t="s">
        <v>27</v>
      </c>
      <c r="D666">
        <v>2012</v>
      </c>
      <c r="E666" t="s">
        <v>2354</v>
      </c>
      <c r="F666" t="s">
        <v>2142</v>
      </c>
    </row>
    <row r="667" spans="1:6">
      <c r="A667" t="s">
        <v>3577</v>
      </c>
      <c r="B667" t="s">
        <v>3578</v>
      </c>
      <c r="C667" t="s">
        <v>3579</v>
      </c>
      <c r="D667">
        <v>2012</v>
      </c>
      <c r="E667" t="s">
        <v>3580</v>
      </c>
      <c r="F667" t="s">
        <v>3356</v>
      </c>
    </row>
    <row r="668" spans="1:6">
      <c r="A668" t="s">
        <v>2324</v>
      </c>
      <c r="B668" t="s">
        <v>2325</v>
      </c>
      <c r="C668" t="s">
        <v>19</v>
      </c>
      <c r="D668">
        <v>2012</v>
      </c>
      <c r="E668" t="s">
        <v>2326</v>
      </c>
      <c r="F668" t="s">
        <v>2142</v>
      </c>
    </row>
    <row r="669" spans="1:6">
      <c r="A669" t="s">
        <v>4144</v>
      </c>
      <c r="B669" t="s">
        <v>4145</v>
      </c>
      <c r="C669" t="s">
        <v>4146</v>
      </c>
      <c r="D669">
        <v>2012</v>
      </c>
      <c r="E669" t="s">
        <v>66</v>
      </c>
      <c r="F669" t="s">
        <v>3948</v>
      </c>
    </row>
    <row r="670" spans="1:6">
      <c r="A670" t="s">
        <v>3713</v>
      </c>
      <c r="B670" t="s">
        <v>3714</v>
      </c>
      <c r="C670" t="s">
        <v>326</v>
      </c>
      <c r="D670">
        <v>2012</v>
      </c>
      <c r="E670" t="s">
        <v>3715</v>
      </c>
      <c r="F670" t="s">
        <v>3356</v>
      </c>
    </row>
    <row r="671" spans="1:6">
      <c r="A671" t="s">
        <v>4486</v>
      </c>
      <c r="B671" t="s">
        <v>4487</v>
      </c>
      <c r="C671" t="s">
        <v>1686</v>
      </c>
      <c r="D671">
        <v>2012</v>
      </c>
      <c r="E671" t="s">
        <v>4488</v>
      </c>
      <c r="F671" t="s">
        <v>3948</v>
      </c>
    </row>
    <row r="672" spans="1:6">
      <c r="A672" t="s">
        <v>2445</v>
      </c>
      <c r="B672" t="s">
        <v>2446</v>
      </c>
      <c r="C672" t="s">
        <v>72</v>
      </c>
      <c r="D672">
        <v>2012</v>
      </c>
      <c r="E672" t="s">
        <v>2447</v>
      </c>
      <c r="F672" t="s">
        <v>2142</v>
      </c>
    </row>
    <row r="673" spans="1:6">
      <c r="A673" t="s">
        <v>2656</v>
      </c>
      <c r="B673" t="s">
        <v>2657</v>
      </c>
      <c r="C673" t="s">
        <v>54</v>
      </c>
      <c r="D673">
        <v>2012</v>
      </c>
      <c r="E673" t="s">
        <v>2658</v>
      </c>
      <c r="F673" t="s">
        <v>2142</v>
      </c>
    </row>
    <row r="674" spans="1:6">
      <c r="A674" t="s">
        <v>3250</v>
      </c>
      <c r="B674" t="s">
        <v>3251</v>
      </c>
      <c r="C674" t="s">
        <v>2528</v>
      </c>
      <c r="D674">
        <v>2012</v>
      </c>
      <c r="E674" t="s">
        <v>3252</v>
      </c>
      <c r="F674" t="s">
        <v>2757</v>
      </c>
    </row>
    <row r="675" spans="1:6">
      <c r="A675" t="s">
        <v>4546</v>
      </c>
      <c r="B675" t="s">
        <v>4547</v>
      </c>
      <c r="C675" t="s">
        <v>520</v>
      </c>
      <c r="D675">
        <v>2012</v>
      </c>
      <c r="E675" t="s">
        <v>4548</v>
      </c>
      <c r="F675" t="s">
        <v>4493</v>
      </c>
    </row>
    <row r="676" spans="1:6">
      <c r="A676" t="s">
        <v>4499</v>
      </c>
      <c r="B676" t="s">
        <v>4500</v>
      </c>
      <c r="C676" t="s">
        <v>3667</v>
      </c>
      <c r="D676">
        <v>2012</v>
      </c>
      <c r="E676" t="s">
        <v>4501</v>
      </c>
      <c r="F676" t="s">
        <v>4493</v>
      </c>
    </row>
    <row r="677" spans="1:6">
      <c r="A677" t="s">
        <v>2598</v>
      </c>
      <c r="B677" t="s">
        <v>2599</v>
      </c>
      <c r="C677" t="s">
        <v>1821</v>
      </c>
      <c r="D677">
        <v>2012</v>
      </c>
      <c r="E677" t="s">
        <v>2600</v>
      </c>
      <c r="F677" t="s">
        <v>2142</v>
      </c>
    </row>
    <row r="678" spans="1:6">
      <c r="A678" t="s">
        <v>3833</v>
      </c>
      <c r="B678" t="s">
        <v>3834</v>
      </c>
      <c r="C678" t="s">
        <v>1365</v>
      </c>
      <c r="D678">
        <v>2012</v>
      </c>
      <c r="E678" t="s">
        <v>3835</v>
      </c>
      <c r="F678" t="s">
        <v>3356</v>
      </c>
    </row>
    <row r="679" spans="1:6">
      <c r="A679" t="s">
        <v>3350</v>
      </c>
      <c r="B679" t="s">
        <v>3351</v>
      </c>
      <c r="C679" t="s">
        <v>2</v>
      </c>
      <c r="D679">
        <v>2012</v>
      </c>
      <c r="E679" t="s">
        <v>3352</v>
      </c>
      <c r="F679" t="s">
        <v>2757</v>
      </c>
    </row>
    <row r="680" spans="1:6">
      <c r="A680" t="s">
        <v>3104</v>
      </c>
      <c r="B680" t="s">
        <v>2188</v>
      </c>
      <c r="C680" t="s">
        <v>211</v>
      </c>
      <c r="D680">
        <v>2012</v>
      </c>
      <c r="E680" t="s">
        <v>3105</v>
      </c>
      <c r="F680" t="s">
        <v>2757</v>
      </c>
    </row>
    <row r="681" spans="1:6">
      <c r="A681" t="s">
        <v>3584</v>
      </c>
      <c r="B681" t="s">
        <v>3585</v>
      </c>
      <c r="C681" t="s">
        <v>1322</v>
      </c>
      <c r="D681">
        <v>2012</v>
      </c>
      <c r="E681" t="s">
        <v>3586</v>
      </c>
      <c r="F681" t="s">
        <v>3356</v>
      </c>
    </row>
    <row r="682" spans="1:6">
      <c r="A682" t="s">
        <v>3207</v>
      </c>
      <c r="B682" t="s">
        <v>234</v>
      </c>
      <c r="C682" t="s">
        <v>2</v>
      </c>
      <c r="D682">
        <v>2012</v>
      </c>
      <c r="E682" t="s">
        <v>3208</v>
      </c>
      <c r="F682" t="s">
        <v>2757</v>
      </c>
    </row>
    <row r="683" spans="1:6">
      <c r="A683" t="s">
        <v>3636</v>
      </c>
      <c r="B683" t="s">
        <v>3637</v>
      </c>
      <c r="C683" t="s">
        <v>219</v>
      </c>
      <c r="D683">
        <v>2012</v>
      </c>
      <c r="E683" t="s">
        <v>3638</v>
      </c>
      <c r="F683" t="s">
        <v>3356</v>
      </c>
    </row>
    <row r="684" spans="1:6">
      <c r="A684" t="s">
        <v>3799</v>
      </c>
      <c r="B684" t="s">
        <v>3800</v>
      </c>
      <c r="C684" t="s">
        <v>72</v>
      </c>
      <c r="D684">
        <v>2012</v>
      </c>
      <c r="E684" t="s">
        <v>3801</v>
      </c>
      <c r="F684" t="s">
        <v>3356</v>
      </c>
    </row>
    <row r="685" spans="1:6">
      <c r="A685" t="s">
        <v>2821</v>
      </c>
      <c r="B685" t="s">
        <v>426</v>
      </c>
      <c r="C685" t="s">
        <v>1264</v>
      </c>
      <c r="D685">
        <v>2012</v>
      </c>
      <c r="E685" t="s">
        <v>2822</v>
      </c>
      <c r="F685" t="s">
        <v>2757</v>
      </c>
    </row>
    <row r="686" spans="1:6">
      <c r="A686" t="s">
        <v>2274</v>
      </c>
      <c r="B686" t="s">
        <v>2275</v>
      </c>
      <c r="C686" t="s">
        <v>761</v>
      </c>
      <c r="D686">
        <v>2012</v>
      </c>
      <c r="E686" t="s">
        <v>2276</v>
      </c>
      <c r="F686" t="s">
        <v>2142</v>
      </c>
    </row>
    <row r="687" spans="1:6">
      <c r="A687" t="s">
        <v>3887</v>
      </c>
      <c r="B687" t="s">
        <v>3888</v>
      </c>
      <c r="C687" t="s">
        <v>54</v>
      </c>
      <c r="D687">
        <v>2012</v>
      </c>
      <c r="E687" t="s">
        <v>3889</v>
      </c>
      <c r="F687" t="s">
        <v>3356</v>
      </c>
    </row>
    <row r="688" spans="1:6">
      <c r="A688" t="s">
        <v>3476</v>
      </c>
      <c r="B688" t="s">
        <v>3477</v>
      </c>
      <c r="C688" t="s">
        <v>444</v>
      </c>
      <c r="D688">
        <v>2012</v>
      </c>
      <c r="E688" t="s">
        <v>3478</v>
      </c>
      <c r="F688" t="s">
        <v>3356</v>
      </c>
    </row>
    <row r="689" spans="1:6">
      <c r="A689" t="s">
        <v>4518</v>
      </c>
      <c r="B689" t="s">
        <v>4519</v>
      </c>
      <c r="C689" t="s">
        <v>2433</v>
      </c>
      <c r="D689">
        <v>2012</v>
      </c>
      <c r="E689" t="s">
        <v>4520</v>
      </c>
      <c r="F689" t="s">
        <v>4493</v>
      </c>
    </row>
    <row r="690" spans="1:6">
      <c r="A690" t="s">
        <v>4531</v>
      </c>
      <c r="B690" t="s">
        <v>4532</v>
      </c>
      <c r="C690" t="s">
        <v>90</v>
      </c>
      <c r="D690">
        <v>2012</v>
      </c>
      <c r="E690" t="s">
        <v>4533</v>
      </c>
      <c r="F690" t="s">
        <v>4493</v>
      </c>
    </row>
    <row r="691" spans="1:6">
      <c r="A691" t="s">
        <v>2196</v>
      </c>
      <c r="B691" t="s">
        <v>2197</v>
      </c>
      <c r="C691" t="s">
        <v>122</v>
      </c>
      <c r="D691">
        <v>2012</v>
      </c>
      <c r="E691" t="s">
        <v>2198</v>
      </c>
      <c r="F691" t="s">
        <v>2142</v>
      </c>
    </row>
    <row r="692" spans="1:6">
      <c r="A692" t="s">
        <v>3090</v>
      </c>
      <c r="B692" t="s">
        <v>3091</v>
      </c>
      <c r="C692" t="s">
        <v>612</v>
      </c>
      <c r="D692">
        <v>2012</v>
      </c>
      <c r="E692" t="s">
        <v>3092</v>
      </c>
      <c r="F692" t="s">
        <v>2757</v>
      </c>
    </row>
    <row r="693" spans="1:6">
      <c r="A693" t="s">
        <v>3344</v>
      </c>
      <c r="B693" t="s">
        <v>3345</v>
      </c>
      <c r="C693" t="s">
        <v>1516</v>
      </c>
      <c r="D693">
        <v>2012</v>
      </c>
      <c r="E693" t="s">
        <v>3346</v>
      </c>
      <c r="F693" t="s">
        <v>2757</v>
      </c>
    </row>
    <row r="694" spans="1:6">
      <c r="A694" t="s">
        <v>2489</v>
      </c>
      <c r="B694" t="s">
        <v>2490</v>
      </c>
      <c r="C694" t="s">
        <v>19</v>
      </c>
      <c r="D694">
        <v>2012</v>
      </c>
      <c r="E694" t="s">
        <v>2491</v>
      </c>
      <c r="F694" t="s">
        <v>2142</v>
      </c>
    </row>
    <row r="695" spans="1:6">
      <c r="A695" t="s">
        <v>2340</v>
      </c>
      <c r="B695" t="s">
        <v>2341</v>
      </c>
      <c r="C695" t="s">
        <v>444</v>
      </c>
      <c r="D695">
        <v>2012</v>
      </c>
      <c r="E695" t="s">
        <v>2342</v>
      </c>
      <c r="F695" t="s">
        <v>2142</v>
      </c>
    </row>
    <row r="696" spans="1:6">
      <c r="A696" t="s">
        <v>4358</v>
      </c>
      <c r="B696" t="s">
        <v>4359</v>
      </c>
      <c r="C696" t="s">
        <v>444</v>
      </c>
      <c r="D696">
        <v>2012</v>
      </c>
      <c r="E696" t="s">
        <v>4360</v>
      </c>
      <c r="F696" t="s">
        <v>3948</v>
      </c>
    </row>
    <row r="697" spans="1:6">
      <c r="A697" t="s">
        <v>2963</v>
      </c>
      <c r="B697" t="s">
        <v>2964</v>
      </c>
      <c r="C697" t="s">
        <v>537</v>
      </c>
      <c r="D697">
        <v>2012</v>
      </c>
      <c r="E697" t="s">
        <v>2965</v>
      </c>
      <c r="F697" t="s">
        <v>2757</v>
      </c>
    </row>
    <row r="698" spans="1:6">
      <c r="A698" t="s">
        <v>2730</v>
      </c>
      <c r="B698" t="s">
        <v>2731</v>
      </c>
      <c r="C698" t="s">
        <v>54</v>
      </c>
      <c r="D698">
        <v>2012</v>
      </c>
      <c r="E698" t="s">
        <v>2732</v>
      </c>
      <c r="F698" t="s">
        <v>2142</v>
      </c>
    </row>
    <row r="699" spans="1:6">
      <c r="A699" t="s">
        <v>2428</v>
      </c>
      <c r="B699" t="s">
        <v>2429</v>
      </c>
      <c r="C699" t="s">
        <v>90</v>
      </c>
      <c r="D699">
        <v>2012</v>
      </c>
      <c r="E699" t="s">
        <v>2430</v>
      </c>
      <c r="F699" t="s">
        <v>2142</v>
      </c>
    </row>
    <row r="700" spans="1:6">
      <c r="A700" t="s">
        <v>2412</v>
      </c>
      <c r="B700" t="s">
        <v>2413</v>
      </c>
      <c r="C700" t="s">
        <v>90</v>
      </c>
      <c r="D700">
        <v>2012</v>
      </c>
      <c r="E700" t="s">
        <v>2414</v>
      </c>
      <c r="F700" t="s">
        <v>2142</v>
      </c>
    </row>
    <row r="701" spans="1:6">
      <c r="A701" t="s">
        <v>3866</v>
      </c>
      <c r="B701" t="s">
        <v>3867</v>
      </c>
      <c r="C701" t="s">
        <v>54</v>
      </c>
      <c r="D701">
        <v>2012</v>
      </c>
      <c r="E701" t="s">
        <v>3868</v>
      </c>
      <c r="F701" t="s">
        <v>3356</v>
      </c>
    </row>
    <row r="702" spans="1:6">
      <c r="A702" t="s">
        <v>2406</v>
      </c>
      <c r="B702" t="s">
        <v>2407</v>
      </c>
      <c r="C702" t="s">
        <v>72</v>
      </c>
      <c r="D702">
        <v>2012</v>
      </c>
      <c r="E702" t="s">
        <v>2408</v>
      </c>
      <c r="F702" t="s">
        <v>2142</v>
      </c>
    </row>
    <row r="703" spans="1:6">
      <c r="A703" t="s">
        <v>3419</v>
      </c>
      <c r="B703" t="s">
        <v>3420</v>
      </c>
      <c r="C703" t="s">
        <v>2904</v>
      </c>
      <c r="D703">
        <v>2012</v>
      </c>
      <c r="E703" t="s">
        <v>66</v>
      </c>
      <c r="F703" t="s">
        <v>3356</v>
      </c>
    </row>
    <row r="704" spans="1:6">
      <c r="A704" t="s">
        <v>2902</v>
      </c>
      <c r="B704" t="s">
        <v>2903</v>
      </c>
      <c r="C704" t="s">
        <v>2904</v>
      </c>
      <c r="D704">
        <v>2012</v>
      </c>
      <c r="E704" t="s">
        <v>66</v>
      </c>
      <c r="F704" t="s">
        <v>2757</v>
      </c>
    </row>
    <row r="705" spans="1:6">
      <c r="A705" t="s">
        <v>4046</v>
      </c>
      <c r="B705" t="s">
        <v>4047</v>
      </c>
      <c r="C705" t="s">
        <v>2633</v>
      </c>
      <c r="D705">
        <v>2011</v>
      </c>
      <c r="E705" t="s">
        <v>4048</v>
      </c>
      <c r="F705" t="s">
        <v>3948</v>
      </c>
    </row>
    <row r="706" spans="1:6">
      <c r="A706" t="s">
        <v>2287</v>
      </c>
      <c r="B706" t="s">
        <v>2288</v>
      </c>
      <c r="C706" t="s">
        <v>677</v>
      </c>
      <c r="D706">
        <v>2011</v>
      </c>
      <c r="E706" t="s">
        <v>2289</v>
      </c>
      <c r="F706" t="s">
        <v>2142</v>
      </c>
    </row>
    <row r="707" spans="1:6">
      <c r="A707" t="s">
        <v>4396</v>
      </c>
      <c r="B707" t="s">
        <v>4397</v>
      </c>
      <c r="C707" t="s">
        <v>1109</v>
      </c>
      <c r="D707">
        <v>2011</v>
      </c>
      <c r="E707" t="s">
        <v>4398</v>
      </c>
      <c r="F707" t="s">
        <v>3948</v>
      </c>
    </row>
    <row r="708" spans="1:6">
      <c r="A708" t="s">
        <v>2202</v>
      </c>
      <c r="B708" t="s">
        <v>2203</v>
      </c>
      <c r="C708" t="s">
        <v>90</v>
      </c>
      <c r="D708">
        <v>2011</v>
      </c>
      <c r="E708" t="s">
        <v>2204</v>
      </c>
      <c r="F708" t="s">
        <v>2142</v>
      </c>
    </row>
    <row r="709" spans="1:6">
      <c r="A709" t="s">
        <v>2695</v>
      </c>
      <c r="B709" t="s">
        <v>2696</v>
      </c>
      <c r="C709" t="s">
        <v>1218</v>
      </c>
      <c r="D709">
        <v>2011</v>
      </c>
      <c r="E709" t="s">
        <v>2697</v>
      </c>
      <c r="F709" t="s">
        <v>2142</v>
      </c>
    </row>
    <row r="710" spans="1:6">
      <c r="A710" t="s">
        <v>4273</v>
      </c>
      <c r="B710" t="s">
        <v>4274</v>
      </c>
      <c r="C710" t="s">
        <v>27</v>
      </c>
      <c r="D710">
        <v>2011</v>
      </c>
      <c r="E710" t="s">
        <v>4275</v>
      </c>
      <c r="F710" t="s">
        <v>3948</v>
      </c>
    </row>
    <row r="711" spans="1:6">
      <c r="A711" t="s">
        <v>2152</v>
      </c>
      <c r="B711" t="s">
        <v>2153</v>
      </c>
      <c r="C711" t="s">
        <v>444</v>
      </c>
      <c r="D711">
        <v>2011</v>
      </c>
      <c r="E711" t="s">
        <v>2154</v>
      </c>
      <c r="F711" t="s">
        <v>2142</v>
      </c>
    </row>
    <row r="712" spans="1:6">
      <c r="A712" t="s">
        <v>2228</v>
      </c>
      <c r="B712" t="s">
        <v>2229</v>
      </c>
      <c r="C712" t="s">
        <v>27</v>
      </c>
      <c r="D712">
        <v>2011</v>
      </c>
      <c r="E712" t="s">
        <v>2230</v>
      </c>
      <c r="F712" t="s">
        <v>2142</v>
      </c>
    </row>
    <row r="713" spans="1:6">
      <c r="A713" t="s">
        <v>2539</v>
      </c>
      <c r="B713" t="s">
        <v>2540</v>
      </c>
      <c r="C713" t="s">
        <v>7</v>
      </c>
      <c r="D713">
        <v>2011</v>
      </c>
      <c r="E713" t="s">
        <v>2541</v>
      </c>
      <c r="F713" t="s">
        <v>2142</v>
      </c>
    </row>
    <row r="714" spans="1:6">
      <c r="A714" t="s">
        <v>4131</v>
      </c>
      <c r="B714" t="s">
        <v>4132</v>
      </c>
      <c r="C714" t="s">
        <v>4133</v>
      </c>
      <c r="D714">
        <v>2011</v>
      </c>
      <c r="E714" t="s">
        <v>4134</v>
      </c>
      <c r="F714" t="s">
        <v>3948</v>
      </c>
    </row>
    <row r="715" spans="1:6">
      <c r="A715" t="s">
        <v>2680</v>
      </c>
      <c r="B715" t="s">
        <v>2681</v>
      </c>
      <c r="C715" t="s">
        <v>27</v>
      </c>
      <c r="D715">
        <v>2011</v>
      </c>
      <c r="E715" t="s">
        <v>2682</v>
      </c>
      <c r="F715" t="s">
        <v>2142</v>
      </c>
    </row>
    <row r="716" spans="1:6">
      <c r="A716" t="s">
        <v>3289</v>
      </c>
      <c r="B716" t="s">
        <v>3290</v>
      </c>
      <c r="C716" t="s">
        <v>229</v>
      </c>
      <c r="D716">
        <v>2011</v>
      </c>
      <c r="E716" t="s">
        <v>3291</v>
      </c>
      <c r="F716" t="s">
        <v>2757</v>
      </c>
    </row>
    <row r="717" spans="1:6">
      <c r="A717" t="s">
        <v>3307</v>
      </c>
      <c r="B717" t="s">
        <v>3308</v>
      </c>
      <c r="C717" t="s">
        <v>86</v>
      </c>
      <c r="D717">
        <v>2011</v>
      </c>
      <c r="E717" t="s">
        <v>3309</v>
      </c>
      <c r="F717" t="s">
        <v>2757</v>
      </c>
    </row>
    <row r="718" spans="1:6">
      <c r="A718" t="s">
        <v>2367</v>
      </c>
      <c r="B718" t="s">
        <v>2368</v>
      </c>
      <c r="C718" t="s">
        <v>761</v>
      </c>
      <c r="D718">
        <v>2011</v>
      </c>
      <c r="E718" t="s">
        <v>2369</v>
      </c>
      <c r="F718" t="s">
        <v>2142</v>
      </c>
    </row>
    <row r="719" spans="1:6">
      <c r="A719" t="s">
        <v>2213</v>
      </c>
      <c r="B719" t="s">
        <v>2214</v>
      </c>
      <c r="C719" t="s">
        <v>27</v>
      </c>
      <c r="D719">
        <v>2011</v>
      </c>
      <c r="E719" t="s">
        <v>2215</v>
      </c>
      <c r="F719" t="s">
        <v>2142</v>
      </c>
    </row>
    <row r="720" spans="1:6">
      <c r="A720" t="s">
        <v>3195</v>
      </c>
      <c r="B720" t="s">
        <v>3196</v>
      </c>
      <c r="C720" t="s">
        <v>259</v>
      </c>
      <c r="D720">
        <v>2011</v>
      </c>
      <c r="E720" t="s">
        <v>3197</v>
      </c>
      <c r="F720" t="s">
        <v>2757</v>
      </c>
    </row>
    <row r="721" spans="1:6">
      <c r="A721" t="s">
        <v>2671</v>
      </c>
      <c r="B721" t="s">
        <v>2672</v>
      </c>
      <c r="C721" t="s">
        <v>27</v>
      </c>
      <c r="D721">
        <v>2011</v>
      </c>
      <c r="E721" t="s">
        <v>2673</v>
      </c>
      <c r="F721" t="s">
        <v>2142</v>
      </c>
    </row>
    <row r="722" spans="1:6">
      <c r="A722" t="s">
        <v>3722</v>
      </c>
      <c r="B722" t="s">
        <v>3723</v>
      </c>
      <c r="C722" t="s">
        <v>3724</v>
      </c>
      <c r="D722">
        <v>2011</v>
      </c>
      <c r="E722" t="s">
        <v>3725</v>
      </c>
      <c r="F722" t="s">
        <v>3356</v>
      </c>
    </row>
    <row r="723" spans="1:6">
      <c r="A723" t="s">
        <v>2244</v>
      </c>
      <c r="B723" t="s">
        <v>2245</v>
      </c>
      <c r="C723" t="s">
        <v>27</v>
      </c>
      <c r="D723">
        <v>2011</v>
      </c>
      <c r="E723" t="s">
        <v>2246</v>
      </c>
      <c r="F723" t="s">
        <v>2142</v>
      </c>
    </row>
    <row r="724" spans="1:6">
      <c r="A724" t="s">
        <v>2890</v>
      </c>
      <c r="B724" t="s">
        <v>2891</v>
      </c>
      <c r="C724" t="s">
        <v>632</v>
      </c>
      <c r="D724">
        <v>2011</v>
      </c>
      <c r="E724" t="s">
        <v>2892</v>
      </c>
      <c r="F724" t="s">
        <v>2757</v>
      </c>
    </row>
    <row r="725" spans="1:6">
      <c r="A725" t="s">
        <v>2975</v>
      </c>
      <c r="B725" t="s">
        <v>2976</v>
      </c>
      <c r="C725" t="s">
        <v>2977</v>
      </c>
      <c r="D725">
        <v>2011</v>
      </c>
      <c r="E725" t="s">
        <v>2978</v>
      </c>
      <c r="F725" t="s">
        <v>2757</v>
      </c>
    </row>
    <row r="726" spans="1:6">
      <c r="A726" t="s">
        <v>4215</v>
      </c>
      <c r="B726" t="s">
        <v>4216</v>
      </c>
      <c r="C726" t="s">
        <v>2423</v>
      </c>
      <c r="D726">
        <v>2011</v>
      </c>
      <c r="E726" t="s">
        <v>4217</v>
      </c>
      <c r="F726" t="s">
        <v>3948</v>
      </c>
    </row>
    <row r="727" spans="1:6">
      <c r="A727" t="s">
        <v>2853</v>
      </c>
      <c r="B727" t="s">
        <v>2854</v>
      </c>
      <c r="C727" t="s">
        <v>27</v>
      </c>
      <c r="D727">
        <v>2011</v>
      </c>
      <c r="E727" t="s">
        <v>2855</v>
      </c>
      <c r="F727" t="s">
        <v>2757</v>
      </c>
    </row>
    <row r="728" spans="1:6">
      <c r="A728" t="s">
        <v>3590</v>
      </c>
      <c r="B728" t="s">
        <v>3591</v>
      </c>
      <c r="C728" t="s">
        <v>27</v>
      </c>
      <c r="D728">
        <v>2011</v>
      </c>
      <c r="E728" t="s">
        <v>3592</v>
      </c>
      <c r="F728" t="s">
        <v>3356</v>
      </c>
    </row>
    <row r="729" spans="1:6">
      <c r="A729" t="s">
        <v>3700</v>
      </c>
      <c r="B729" t="s">
        <v>3701</v>
      </c>
      <c r="C729" t="s">
        <v>3702</v>
      </c>
      <c r="D729">
        <v>2011</v>
      </c>
      <c r="E729" t="s">
        <v>3703</v>
      </c>
      <c r="F729" t="s">
        <v>3356</v>
      </c>
    </row>
    <row r="730" spans="1:6">
      <c r="A730" t="s">
        <v>4244</v>
      </c>
      <c r="B730" t="s">
        <v>4245</v>
      </c>
      <c r="C730" t="s">
        <v>27</v>
      </c>
      <c r="D730">
        <v>2011</v>
      </c>
      <c r="E730" t="s">
        <v>4246</v>
      </c>
      <c r="F730" t="s">
        <v>3948</v>
      </c>
    </row>
    <row r="731" spans="1:6">
      <c r="A731" t="s">
        <v>2453</v>
      </c>
      <c r="B731" t="s">
        <v>2454</v>
      </c>
      <c r="C731" t="s">
        <v>27</v>
      </c>
      <c r="D731">
        <v>2011</v>
      </c>
      <c r="E731" t="s">
        <v>2455</v>
      </c>
      <c r="F731" t="s">
        <v>2142</v>
      </c>
    </row>
    <row r="732" spans="1:6">
      <c r="A732" t="s">
        <v>2880</v>
      </c>
      <c r="B732" t="s">
        <v>2881</v>
      </c>
      <c r="C732" t="s">
        <v>2882</v>
      </c>
      <c r="D732">
        <v>2011</v>
      </c>
      <c r="E732" t="s">
        <v>2883</v>
      </c>
      <c r="F732" t="s">
        <v>2757</v>
      </c>
    </row>
    <row r="733" spans="1:6">
      <c r="A733" t="s">
        <v>3366</v>
      </c>
      <c r="B733" t="s">
        <v>3367</v>
      </c>
      <c r="C733" t="s">
        <v>3368</v>
      </c>
      <c r="D733">
        <v>2011</v>
      </c>
      <c r="E733" t="s">
        <v>3369</v>
      </c>
      <c r="F733" t="s">
        <v>3356</v>
      </c>
    </row>
    <row r="734" spans="1:6">
      <c r="A734" t="s">
        <v>2931</v>
      </c>
      <c r="B734" t="s">
        <v>2932</v>
      </c>
      <c r="C734" t="s">
        <v>118</v>
      </c>
      <c r="D734">
        <v>2011</v>
      </c>
      <c r="E734" t="s">
        <v>2933</v>
      </c>
      <c r="F734" t="s">
        <v>2757</v>
      </c>
    </row>
    <row r="735" spans="1:6">
      <c r="A735" t="s">
        <v>3652</v>
      </c>
      <c r="B735" t="s">
        <v>3653</v>
      </c>
      <c r="C735" t="s">
        <v>72</v>
      </c>
      <c r="D735">
        <v>2011</v>
      </c>
      <c r="E735" t="s">
        <v>3654</v>
      </c>
      <c r="F735" t="s">
        <v>3356</v>
      </c>
    </row>
    <row r="736" spans="1:6">
      <c r="A736" t="s">
        <v>2492</v>
      </c>
      <c r="B736" t="s">
        <v>2493</v>
      </c>
      <c r="C736" t="s">
        <v>246</v>
      </c>
      <c r="D736">
        <v>2011</v>
      </c>
      <c r="E736" t="s">
        <v>2494</v>
      </c>
      <c r="F736" t="s">
        <v>2142</v>
      </c>
    </row>
    <row r="737" spans="1:6">
      <c r="A737" t="s">
        <v>2662</v>
      </c>
      <c r="B737" t="s">
        <v>2663</v>
      </c>
      <c r="C737" t="s">
        <v>27</v>
      </c>
      <c r="D737">
        <v>2011</v>
      </c>
      <c r="E737" t="s">
        <v>2664</v>
      </c>
      <c r="F737" t="s">
        <v>2142</v>
      </c>
    </row>
    <row r="738" spans="1:6">
      <c r="A738" t="s">
        <v>2840</v>
      </c>
      <c r="B738" t="s">
        <v>2841</v>
      </c>
      <c r="C738" t="s">
        <v>2423</v>
      </c>
      <c r="D738">
        <v>2011</v>
      </c>
      <c r="E738" t="s">
        <v>2842</v>
      </c>
      <c r="F738" t="s">
        <v>2757</v>
      </c>
    </row>
    <row r="739" spans="1:6">
      <c r="A739" t="s">
        <v>4502</v>
      </c>
      <c r="B739" t="s">
        <v>4503</v>
      </c>
      <c r="C739" t="s">
        <v>1821</v>
      </c>
      <c r="D739">
        <v>2011</v>
      </c>
      <c r="E739" t="s">
        <v>4504</v>
      </c>
      <c r="F739" t="s">
        <v>4493</v>
      </c>
    </row>
    <row r="740" spans="1:6">
      <c r="A740" t="s">
        <v>3253</v>
      </c>
      <c r="B740" t="s">
        <v>3254</v>
      </c>
      <c r="C740" t="s">
        <v>476</v>
      </c>
      <c r="D740">
        <v>2011</v>
      </c>
      <c r="E740" t="s">
        <v>3255</v>
      </c>
      <c r="F740" t="s">
        <v>2757</v>
      </c>
    </row>
    <row r="741" spans="1:6">
      <c r="A741" t="s">
        <v>2668</v>
      </c>
      <c r="B741" t="s">
        <v>2669</v>
      </c>
      <c r="C741" t="s">
        <v>27</v>
      </c>
      <c r="D741">
        <v>2011</v>
      </c>
      <c r="E741" t="s">
        <v>2670</v>
      </c>
      <c r="F741" t="s">
        <v>2142</v>
      </c>
    </row>
    <row r="742" spans="1:6">
      <c r="A742" t="s">
        <v>2415</v>
      </c>
      <c r="B742" t="s">
        <v>2416</v>
      </c>
      <c r="C742" t="s">
        <v>1751</v>
      </c>
      <c r="D742">
        <v>2011</v>
      </c>
      <c r="E742" t="s">
        <v>2417</v>
      </c>
      <c r="F742" t="s">
        <v>2142</v>
      </c>
    </row>
    <row r="743" spans="1:6">
      <c r="A743" t="s">
        <v>3992</v>
      </c>
      <c r="B743" t="s">
        <v>3993</v>
      </c>
      <c r="C743" t="s">
        <v>72</v>
      </c>
      <c r="D743">
        <v>2011</v>
      </c>
      <c r="E743" t="s">
        <v>3994</v>
      </c>
      <c r="F743" t="s">
        <v>3948</v>
      </c>
    </row>
    <row r="744" spans="1:6">
      <c r="A744" t="s">
        <v>2953</v>
      </c>
      <c r="B744" t="s">
        <v>2954</v>
      </c>
      <c r="C744" t="s">
        <v>27</v>
      </c>
      <c r="D744">
        <v>2011</v>
      </c>
      <c r="E744" t="s">
        <v>2955</v>
      </c>
      <c r="F744" t="s">
        <v>2757</v>
      </c>
    </row>
    <row r="745" spans="1:6">
      <c r="A745" t="s">
        <v>3824</v>
      </c>
      <c r="B745" t="s">
        <v>3825</v>
      </c>
      <c r="C745" t="s">
        <v>54</v>
      </c>
      <c r="D745">
        <v>2011</v>
      </c>
      <c r="E745" t="s">
        <v>3826</v>
      </c>
      <c r="F745" t="s">
        <v>3356</v>
      </c>
    </row>
    <row r="746" spans="1:6">
      <c r="A746" t="s">
        <v>1973</v>
      </c>
      <c r="B746" t="s">
        <v>321</v>
      </c>
      <c r="C746" t="s">
        <v>2614</v>
      </c>
      <c r="D746">
        <v>2011</v>
      </c>
      <c r="E746" t="s">
        <v>4235</v>
      </c>
      <c r="F746" t="s">
        <v>3948</v>
      </c>
    </row>
    <row r="747" spans="1:6">
      <c r="A747" t="s">
        <v>1973</v>
      </c>
      <c r="B747" t="s">
        <v>321</v>
      </c>
      <c r="C747" t="s">
        <v>761</v>
      </c>
      <c r="D747">
        <v>2011</v>
      </c>
      <c r="E747" t="s">
        <v>4243</v>
      </c>
      <c r="F747" t="s">
        <v>3948</v>
      </c>
    </row>
    <row r="748" spans="1:6">
      <c r="A748" t="s">
        <v>4423</v>
      </c>
      <c r="B748" t="s">
        <v>4424</v>
      </c>
      <c r="C748" t="s">
        <v>229</v>
      </c>
      <c r="D748">
        <v>2011</v>
      </c>
      <c r="E748" t="s">
        <v>4425</v>
      </c>
      <c r="F748" t="s">
        <v>3948</v>
      </c>
    </row>
    <row r="749" spans="1:6">
      <c r="A749" t="s">
        <v>1724</v>
      </c>
      <c r="B749" t="s">
        <v>321</v>
      </c>
      <c r="C749" t="s">
        <v>90</v>
      </c>
      <c r="D749">
        <v>2011</v>
      </c>
      <c r="E749" t="s">
        <v>4266</v>
      </c>
      <c r="F749" t="s">
        <v>3948</v>
      </c>
    </row>
    <row r="750" spans="1:6">
      <c r="A750" t="s">
        <v>3501</v>
      </c>
      <c r="B750" t="s">
        <v>3502</v>
      </c>
      <c r="C750" t="s">
        <v>2233</v>
      </c>
      <c r="D750">
        <v>2011</v>
      </c>
      <c r="E750" t="s">
        <v>3503</v>
      </c>
      <c r="F750" t="s">
        <v>3356</v>
      </c>
    </row>
    <row r="751" spans="1:6">
      <c r="A751" t="s">
        <v>3150</v>
      </c>
      <c r="B751" t="s">
        <v>3151</v>
      </c>
      <c r="C751" t="s">
        <v>19</v>
      </c>
      <c r="D751">
        <v>2011</v>
      </c>
      <c r="E751" t="s">
        <v>3152</v>
      </c>
      <c r="F751" t="s">
        <v>2757</v>
      </c>
    </row>
    <row r="752" spans="1:6">
      <c r="A752" t="s">
        <v>2312</v>
      </c>
      <c r="B752" t="s">
        <v>2313</v>
      </c>
      <c r="C752" t="s">
        <v>1041</v>
      </c>
      <c r="D752">
        <v>2011</v>
      </c>
      <c r="E752" t="s">
        <v>2314</v>
      </c>
      <c r="F752" t="s">
        <v>2142</v>
      </c>
    </row>
    <row r="753" spans="1:6">
      <c r="A753" t="s">
        <v>2626</v>
      </c>
      <c r="B753" t="s">
        <v>2627</v>
      </c>
      <c r="C753" t="s">
        <v>27</v>
      </c>
      <c r="D753">
        <v>2011</v>
      </c>
      <c r="E753" t="s">
        <v>2628</v>
      </c>
      <c r="F753" t="s">
        <v>2142</v>
      </c>
    </row>
    <row r="754" spans="1:6">
      <c r="A754" t="s">
        <v>3144</v>
      </c>
      <c r="B754" t="s">
        <v>3145</v>
      </c>
      <c r="C754" t="s">
        <v>476</v>
      </c>
      <c r="D754">
        <v>2011</v>
      </c>
      <c r="E754" t="s">
        <v>3146</v>
      </c>
      <c r="F754" t="s">
        <v>2757</v>
      </c>
    </row>
    <row r="755" spans="1:6">
      <c r="A755" t="s">
        <v>2609</v>
      </c>
      <c r="B755" t="s">
        <v>2610</v>
      </c>
      <c r="C755" t="s">
        <v>1597</v>
      </c>
      <c r="D755">
        <v>2011</v>
      </c>
      <c r="E755" t="s">
        <v>2611</v>
      </c>
      <c r="F755" t="s">
        <v>2142</v>
      </c>
    </row>
    <row r="756" spans="1:6">
      <c r="A756" t="s">
        <v>3522</v>
      </c>
      <c r="B756" t="s">
        <v>3523</v>
      </c>
      <c r="C756" t="s">
        <v>444</v>
      </c>
      <c r="D756">
        <v>2011</v>
      </c>
      <c r="E756" t="s">
        <v>3524</v>
      </c>
      <c r="F756" t="s">
        <v>3356</v>
      </c>
    </row>
    <row r="757" spans="1:6">
      <c r="A757" t="s">
        <v>3617</v>
      </c>
      <c r="B757" t="s">
        <v>3618</v>
      </c>
      <c r="C757" t="s">
        <v>259</v>
      </c>
      <c r="D757">
        <v>2011</v>
      </c>
      <c r="E757" t="s">
        <v>3619</v>
      </c>
      <c r="F757" t="s">
        <v>3356</v>
      </c>
    </row>
    <row r="758" spans="1:6">
      <c r="A758" t="s">
        <v>2884</v>
      </c>
      <c r="B758" t="s">
        <v>2885</v>
      </c>
      <c r="C758" t="s">
        <v>27</v>
      </c>
      <c r="D758">
        <v>2011</v>
      </c>
      <c r="E758" t="s">
        <v>2886</v>
      </c>
      <c r="F758" t="s">
        <v>2757</v>
      </c>
    </row>
    <row r="759" spans="1:6">
      <c r="A759" t="s">
        <v>2163</v>
      </c>
      <c r="B759" t="s">
        <v>2164</v>
      </c>
      <c r="C759" t="s">
        <v>1350</v>
      </c>
      <c r="D759">
        <v>2011</v>
      </c>
      <c r="E759" t="s">
        <v>2165</v>
      </c>
      <c r="F759" t="s">
        <v>2142</v>
      </c>
    </row>
    <row r="760" spans="1:6">
      <c r="A760" t="s">
        <v>2146</v>
      </c>
      <c r="B760" t="s">
        <v>2147</v>
      </c>
      <c r="C760" t="s">
        <v>27</v>
      </c>
      <c r="D760">
        <v>2011</v>
      </c>
      <c r="E760" t="s">
        <v>2148</v>
      </c>
      <c r="F760" t="s">
        <v>2142</v>
      </c>
    </row>
    <row r="761" spans="1:6">
      <c r="A761" t="s">
        <v>4090</v>
      </c>
      <c r="B761" t="s">
        <v>4091</v>
      </c>
      <c r="C761" t="s">
        <v>2503</v>
      </c>
      <c r="D761">
        <v>2011</v>
      </c>
      <c r="E761" t="s">
        <v>4092</v>
      </c>
      <c r="F761" t="s">
        <v>3948</v>
      </c>
    </row>
    <row r="762" spans="1:6">
      <c r="A762" t="s">
        <v>2542</v>
      </c>
      <c r="B762" t="s">
        <v>2543</v>
      </c>
      <c r="C762" t="s">
        <v>743</v>
      </c>
      <c r="D762">
        <v>2011</v>
      </c>
      <c r="E762" t="s">
        <v>2544</v>
      </c>
      <c r="F762" t="s">
        <v>2142</v>
      </c>
    </row>
    <row r="763" spans="1:6">
      <c r="A763" t="s">
        <v>2774</v>
      </c>
      <c r="B763" t="s">
        <v>2775</v>
      </c>
      <c r="C763" t="s">
        <v>2423</v>
      </c>
      <c r="D763">
        <v>2011</v>
      </c>
      <c r="E763" t="s">
        <v>2776</v>
      </c>
      <c r="F763" t="s">
        <v>2757</v>
      </c>
    </row>
    <row r="764" spans="1:6">
      <c r="A764" t="s">
        <v>3462</v>
      </c>
      <c r="B764" t="s">
        <v>3463</v>
      </c>
      <c r="C764" t="s">
        <v>2813</v>
      </c>
      <c r="D764">
        <v>2011</v>
      </c>
      <c r="E764" t="s">
        <v>3464</v>
      </c>
      <c r="F764" t="s">
        <v>3356</v>
      </c>
    </row>
    <row r="765" spans="1:6">
      <c r="A765" t="s">
        <v>2501</v>
      </c>
      <c r="B765" t="s">
        <v>2502</v>
      </c>
      <c r="C765" t="s">
        <v>2503</v>
      </c>
      <c r="D765">
        <v>2011</v>
      </c>
      <c r="E765" t="s">
        <v>2504</v>
      </c>
      <c r="F765" t="s">
        <v>2142</v>
      </c>
    </row>
    <row r="766" spans="1:6">
      <c r="A766" t="s">
        <v>3995</v>
      </c>
      <c r="B766" t="s">
        <v>3996</v>
      </c>
      <c r="C766" t="s">
        <v>72</v>
      </c>
      <c r="D766">
        <v>2011</v>
      </c>
      <c r="E766" t="s">
        <v>3997</v>
      </c>
      <c r="F766" t="s">
        <v>3948</v>
      </c>
    </row>
    <row r="767" spans="1:6">
      <c r="A767" t="s">
        <v>2934</v>
      </c>
      <c r="B767" t="s">
        <v>2935</v>
      </c>
      <c r="C767" t="s">
        <v>2233</v>
      </c>
      <c r="D767">
        <v>2011</v>
      </c>
      <c r="E767" t="s">
        <v>2936</v>
      </c>
      <c r="F767" t="s">
        <v>2757</v>
      </c>
    </row>
    <row r="768" spans="1:6">
      <c r="A768" t="s">
        <v>2698</v>
      </c>
      <c r="B768" t="s">
        <v>99</v>
      </c>
      <c r="C768" t="s">
        <v>7</v>
      </c>
      <c r="D768">
        <v>2011</v>
      </c>
      <c r="E768" t="s">
        <v>2699</v>
      </c>
      <c r="F768" t="s">
        <v>2142</v>
      </c>
    </row>
    <row r="769" spans="1:6">
      <c r="A769" t="s">
        <v>3516</v>
      </c>
      <c r="B769" t="s">
        <v>3517</v>
      </c>
      <c r="C769" t="s">
        <v>27</v>
      </c>
      <c r="D769">
        <v>2011</v>
      </c>
      <c r="E769" t="s">
        <v>3518</v>
      </c>
      <c r="F769" t="s">
        <v>3356</v>
      </c>
    </row>
    <row r="770" spans="1:6">
      <c r="A770" t="s">
        <v>4469</v>
      </c>
      <c r="B770" t="s">
        <v>4470</v>
      </c>
      <c r="C770" t="s">
        <v>277</v>
      </c>
      <c r="D770">
        <v>2011</v>
      </c>
      <c r="E770" t="s">
        <v>4471</v>
      </c>
      <c r="F770" t="s">
        <v>3948</v>
      </c>
    </row>
    <row r="771" spans="1:6">
      <c r="A771" t="s">
        <v>3021</v>
      </c>
      <c r="B771" t="s">
        <v>3022</v>
      </c>
      <c r="C771" t="s">
        <v>219</v>
      </c>
      <c r="D771">
        <v>2011</v>
      </c>
      <c r="E771" t="s">
        <v>3023</v>
      </c>
      <c r="F771" t="s">
        <v>2757</v>
      </c>
    </row>
    <row r="772" spans="1:6">
      <c r="A772" t="s">
        <v>2988</v>
      </c>
      <c r="B772" t="s">
        <v>2989</v>
      </c>
      <c r="C772" t="s">
        <v>219</v>
      </c>
      <c r="D772">
        <v>2011</v>
      </c>
      <c r="E772" t="s">
        <v>2990</v>
      </c>
      <c r="F772" t="s">
        <v>2757</v>
      </c>
    </row>
    <row r="773" spans="1:6">
      <c r="A773" t="s">
        <v>2483</v>
      </c>
      <c r="B773" t="s">
        <v>2484</v>
      </c>
      <c r="C773" t="s">
        <v>7</v>
      </c>
      <c r="D773">
        <v>2011</v>
      </c>
      <c r="E773" t="s">
        <v>2485</v>
      </c>
      <c r="F773" t="s">
        <v>2142</v>
      </c>
    </row>
    <row r="774" spans="1:6">
      <c r="A774" t="s">
        <v>4267</v>
      </c>
      <c r="B774" t="s">
        <v>321</v>
      </c>
      <c r="C774" t="s">
        <v>2157</v>
      </c>
      <c r="D774">
        <v>2011</v>
      </c>
      <c r="E774" t="s">
        <v>4268</v>
      </c>
      <c r="F774" t="s">
        <v>3948</v>
      </c>
    </row>
    <row r="775" spans="1:6">
      <c r="A775" t="s">
        <v>3416</v>
      </c>
      <c r="B775" t="s">
        <v>3417</v>
      </c>
      <c r="C775" t="s">
        <v>2357</v>
      </c>
      <c r="D775">
        <v>2011</v>
      </c>
      <c r="E775" t="s">
        <v>3418</v>
      </c>
      <c r="F775" t="s">
        <v>3356</v>
      </c>
    </row>
    <row r="776" spans="1:6">
      <c r="A776" t="s">
        <v>2250</v>
      </c>
      <c r="B776" t="s">
        <v>2251</v>
      </c>
      <c r="C776" t="s">
        <v>729</v>
      </c>
      <c r="D776">
        <v>2011</v>
      </c>
      <c r="E776" t="s">
        <v>2252</v>
      </c>
      <c r="F776" t="s">
        <v>2142</v>
      </c>
    </row>
    <row r="777" spans="1:6">
      <c r="A777" t="s">
        <v>2418</v>
      </c>
      <c r="B777" t="s">
        <v>2419</v>
      </c>
      <c r="C777" t="s">
        <v>211</v>
      </c>
      <c r="D777">
        <v>2011</v>
      </c>
      <c r="E777" t="s">
        <v>2420</v>
      </c>
      <c r="F777" t="s">
        <v>2142</v>
      </c>
    </row>
    <row r="778" spans="1:6">
      <c r="A778" t="s">
        <v>3198</v>
      </c>
      <c r="B778" t="s">
        <v>3199</v>
      </c>
      <c r="C778" t="s">
        <v>211</v>
      </c>
      <c r="D778">
        <v>2011</v>
      </c>
      <c r="E778" t="s">
        <v>3200</v>
      </c>
      <c r="F778" t="s">
        <v>2757</v>
      </c>
    </row>
    <row r="779" spans="1:6">
      <c r="A779" t="s">
        <v>4284</v>
      </c>
      <c r="B779" t="s">
        <v>4285</v>
      </c>
      <c r="C779" t="s">
        <v>4286</v>
      </c>
      <c r="D779">
        <v>2011</v>
      </c>
      <c r="E779" t="s">
        <v>4287</v>
      </c>
      <c r="F779" t="s">
        <v>3948</v>
      </c>
    </row>
    <row r="780" spans="1:6">
      <c r="A780" t="s">
        <v>4190</v>
      </c>
      <c r="B780" t="s">
        <v>4191</v>
      </c>
      <c r="C780" t="s">
        <v>677</v>
      </c>
      <c r="D780">
        <v>2011</v>
      </c>
      <c r="E780" t="s">
        <v>4192</v>
      </c>
      <c r="F780" t="s">
        <v>3948</v>
      </c>
    </row>
    <row r="781" spans="1:6">
      <c r="A781" t="s">
        <v>3958</v>
      </c>
      <c r="B781" t="s">
        <v>3959</v>
      </c>
      <c r="C781" t="s">
        <v>1925</v>
      </c>
      <c r="D781">
        <v>2011</v>
      </c>
      <c r="E781" t="s">
        <v>3960</v>
      </c>
      <c r="F781" t="s">
        <v>3948</v>
      </c>
    </row>
    <row r="782" spans="1:6">
      <c r="A782" t="s">
        <v>2343</v>
      </c>
      <c r="B782" t="s">
        <v>2344</v>
      </c>
      <c r="C782" t="s">
        <v>27</v>
      </c>
      <c r="D782">
        <v>2011</v>
      </c>
      <c r="E782" t="s">
        <v>2345</v>
      </c>
      <c r="F782" t="s">
        <v>2142</v>
      </c>
    </row>
    <row r="783" spans="1:6">
      <c r="A783" t="s">
        <v>4061</v>
      </c>
      <c r="B783" t="s">
        <v>4062</v>
      </c>
      <c r="C783" t="s">
        <v>19</v>
      </c>
      <c r="D783">
        <v>2011</v>
      </c>
      <c r="E783" t="s">
        <v>4063</v>
      </c>
      <c r="F783" t="s">
        <v>3948</v>
      </c>
    </row>
    <row r="784" spans="1:6">
      <c r="A784" t="s">
        <v>3347</v>
      </c>
      <c r="B784" t="s">
        <v>3348</v>
      </c>
      <c r="C784" t="s">
        <v>326</v>
      </c>
      <c r="D784">
        <v>2011</v>
      </c>
      <c r="E784" t="s">
        <v>3349</v>
      </c>
      <c r="F784" t="s">
        <v>2757</v>
      </c>
    </row>
    <row r="785" spans="1:6">
      <c r="A785" t="s">
        <v>3989</v>
      </c>
      <c r="B785" t="s">
        <v>3990</v>
      </c>
      <c r="C785" t="s">
        <v>72</v>
      </c>
      <c r="D785">
        <v>2011</v>
      </c>
      <c r="E785" t="s">
        <v>3991</v>
      </c>
      <c r="F785" t="s">
        <v>3948</v>
      </c>
    </row>
    <row r="786" spans="1:6">
      <c r="A786" t="s">
        <v>2868</v>
      </c>
      <c r="B786" t="s">
        <v>2869</v>
      </c>
      <c r="C786" t="s">
        <v>27</v>
      </c>
      <c r="D786">
        <v>2011</v>
      </c>
      <c r="E786" t="s">
        <v>2870</v>
      </c>
      <c r="F786" t="s">
        <v>2757</v>
      </c>
    </row>
    <row r="787" spans="1:6">
      <c r="A787" t="s">
        <v>2508</v>
      </c>
      <c r="B787" t="s">
        <v>2509</v>
      </c>
      <c r="C787" t="s">
        <v>725</v>
      </c>
      <c r="D787">
        <v>2011</v>
      </c>
      <c r="E787" t="s">
        <v>2510</v>
      </c>
      <c r="F787" t="s">
        <v>2142</v>
      </c>
    </row>
    <row r="788" spans="1:6">
      <c r="A788" t="s">
        <v>3766</v>
      </c>
      <c r="B788" t="s">
        <v>3767</v>
      </c>
      <c r="C788" t="s">
        <v>72</v>
      </c>
      <c r="D788">
        <v>2011</v>
      </c>
      <c r="E788" t="s">
        <v>3768</v>
      </c>
      <c r="F788" t="s">
        <v>3356</v>
      </c>
    </row>
    <row r="789" spans="1:6">
      <c r="A789" t="s">
        <v>4399</v>
      </c>
      <c r="B789" t="s">
        <v>4400</v>
      </c>
      <c r="C789" t="s">
        <v>122</v>
      </c>
      <c r="D789">
        <v>2011</v>
      </c>
      <c r="E789" t="s">
        <v>4401</v>
      </c>
      <c r="F789" t="s">
        <v>3948</v>
      </c>
    </row>
    <row r="790" spans="1:6">
      <c r="A790" t="s">
        <v>2789</v>
      </c>
      <c r="B790" t="s">
        <v>2790</v>
      </c>
      <c r="C790" t="s">
        <v>505</v>
      </c>
      <c r="D790">
        <v>2011</v>
      </c>
      <c r="E790" t="s">
        <v>2791</v>
      </c>
      <c r="F790" t="s">
        <v>2757</v>
      </c>
    </row>
    <row r="791" spans="1:6">
      <c r="A791" t="s">
        <v>3655</v>
      </c>
      <c r="B791" t="s">
        <v>3656</v>
      </c>
      <c r="C791" t="s">
        <v>54</v>
      </c>
      <c r="D791">
        <v>2011</v>
      </c>
      <c r="E791" t="s">
        <v>3657</v>
      </c>
      <c r="F791" t="s">
        <v>3356</v>
      </c>
    </row>
    <row r="792" spans="1:6">
      <c r="A792" t="s">
        <v>3510</v>
      </c>
      <c r="B792" t="s">
        <v>3511</v>
      </c>
      <c r="C792" t="s">
        <v>259</v>
      </c>
      <c r="D792">
        <v>2011</v>
      </c>
      <c r="E792" t="s">
        <v>3512</v>
      </c>
      <c r="F792" t="s">
        <v>3356</v>
      </c>
    </row>
    <row r="793" spans="1:6">
      <c r="A793" t="s">
        <v>3039</v>
      </c>
      <c r="B793" t="s">
        <v>3040</v>
      </c>
      <c r="C793" t="s">
        <v>3041</v>
      </c>
      <c r="D793">
        <v>2011</v>
      </c>
      <c r="E793" t="s">
        <v>3042</v>
      </c>
      <c r="F793" t="s">
        <v>2757</v>
      </c>
    </row>
    <row r="794" spans="1:6">
      <c r="A794" t="s">
        <v>4450</v>
      </c>
      <c r="B794" t="s">
        <v>4451</v>
      </c>
      <c r="C794" t="s">
        <v>3041</v>
      </c>
      <c r="D794">
        <v>2011</v>
      </c>
      <c r="E794" t="s">
        <v>4452</v>
      </c>
      <c r="F794" t="s">
        <v>3948</v>
      </c>
    </row>
    <row r="795" spans="1:6">
      <c r="A795" t="s">
        <v>3140</v>
      </c>
      <c r="B795" t="s">
        <v>3141</v>
      </c>
      <c r="C795" t="s">
        <v>3142</v>
      </c>
      <c r="D795">
        <v>2011</v>
      </c>
      <c r="E795" t="s">
        <v>3143</v>
      </c>
      <c r="F795" t="s">
        <v>2757</v>
      </c>
    </row>
    <row r="796" spans="1:6">
      <c r="A796" t="s">
        <v>2241</v>
      </c>
      <c r="B796" t="s">
        <v>2242</v>
      </c>
      <c r="C796" t="s">
        <v>72</v>
      </c>
      <c r="D796">
        <v>2011</v>
      </c>
      <c r="E796" t="s">
        <v>2243</v>
      </c>
      <c r="F796" t="s">
        <v>2142</v>
      </c>
    </row>
    <row r="797" spans="1:6">
      <c r="A797" t="s">
        <v>3209</v>
      </c>
      <c r="B797" t="s">
        <v>3210</v>
      </c>
      <c r="C797" t="s">
        <v>2</v>
      </c>
      <c r="D797">
        <v>2011</v>
      </c>
      <c r="E797" t="s">
        <v>3211</v>
      </c>
      <c r="F797" t="s">
        <v>2757</v>
      </c>
    </row>
    <row r="798" spans="1:6">
      <c r="A798" t="s">
        <v>4453</v>
      </c>
      <c r="B798" t="s">
        <v>4454</v>
      </c>
      <c r="C798" t="s">
        <v>494</v>
      </c>
      <c r="D798">
        <v>2011</v>
      </c>
      <c r="E798" t="s">
        <v>4455</v>
      </c>
      <c r="F798" t="s">
        <v>3948</v>
      </c>
    </row>
    <row r="799" spans="1:6">
      <c r="A799" t="s">
        <v>3008</v>
      </c>
      <c r="B799" t="s">
        <v>3009</v>
      </c>
      <c r="C799" t="s">
        <v>315</v>
      </c>
      <c r="D799">
        <v>2011</v>
      </c>
      <c r="E799" t="s">
        <v>3010</v>
      </c>
      <c r="F799" t="s">
        <v>2757</v>
      </c>
    </row>
    <row r="800" spans="1:6">
      <c r="A800" t="s">
        <v>2937</v>
      </c>
      <c r="B800" t="s">
        <v>2023</v>
      </c>
      <c r="C800" t="s">
        <v>27</v>
      </c>
      <c r="D800">
        <v>2011</v>
      </c>
      <c r="E800" t="s">
        <v>2938</v>
      </c>
      <c r="F800" t="s">
        <v>2757</v>
      </c>
    </row>
    <row r="801" spans="1:6">
      <c r="A801" t="s">
        <v>2896</v>
      </c>
      <c r="B801" t="s">
        <v>2897</v>
      </c>
      <c r="C801" t="s">
        <v>72</v>
      </c>
      <c r="D801">
        <v>2011</v>
      </c>
      <c r="E801" t="s">
        <v>2898</v>
      </c>
      <c r="F801" t="s">
        <v>2757</v>
      </c>
    </row>
    <row r="802" spans="1:6">
      <c r="A802" t="s">
        <v>3849</v>
      </c>
      <c r="B802" t="s">
        <v>3850</v>
      </c>
      <c r="C802" t="s">
        <v>90</v>
      </c>
      <c r="D802">
        <v>2011</v>
      </c>
      <c r="E802" t="s">
        <v>3851</v>
      </c>
      <c r="F802" t="s">
        <v>3356</v>
      </c>
    </row>
    <row r="803" spans="1:6">
      <c r="A803" t="s">
        <v>2877</v>
      </c>
      <c r="B803" t="s">
        <v>2878</v>
      </c>
      <c r="C803" t="s">
        <v>2423</v>
      </c>
      <c r="D803">
        <v>2011</v>
      </c>
      <c r="E803" t="s">
        <v>2879</v>
      </c>
      <c r="F803" t="s">
        <v>2757</v>
      </c>
    </row>
    <row r="804" spans="1:6">
      <c r="A804" t="s">
        <v>3623</v>
      </c>
      <c r="B804" t="s">
        <v>3624</v>
      </c>
      <c r="C804" t="s">
        <v>3625</v>
      </c>
      <c r="D804">
        <v>2011</v>
      </c>
      <c r="E804" t="s">
        <v>3626</v>
      </c>
      <c r="F804" t="s">
        <v>3356</v>
      </c>
    </row>
    <row r="805" spans="1:6">
      <c r="A805" t="s">
        <v>4296</v>
      </c>
      <c r="B805" t="s">
        <v>4297</v>
      </c>
      <c r="C805" t="s">
        <v>4286</v>
      </c>
      <c r="D805">
        <v>2011</v>
      </c>
      <c r="E805" t="s">
        <v>4298</v>
      </c>
      <c r="F805" t="s">
        <v>3948</v>
      </c>
    </row>
    <row r="806" spans="1:6">
      <c r="A806" t="s">
        <v>3539</v>
      </c>
      <c r="B806" t="s">
        <v>3540</v>
      </c>
      <c r="C806" t="s">
        <v>114</v>
      </c>
      <c r="D806">
        <v>2011</v>
      </c>
      <c r="E806" t="s">
        <v>3541</v>
      </c>
      <c r="F806" t="s">
        <v>3356</v>
      </c>
    </row>
    <row r="807" spans="1:6">
      <c r="A807" t="s">
        <v>2219</v>
      </c>
      <c r="B807" t="s">
        <v>2220</v>
      </c>
      <c r="C807" t="s">
        <v>211</v>
      </c>
      <c r="D807">
        <v>2011</v>
      </c>
      <c r="E807" t="s">
        <v>2221</v>
      </c>
      <c r="F807" t="s">
        <v>2142</v>
      </c>
    </row>
    <row r="808" spans="1:6">
      <c r="A808" t="s">
        <v>2644</v>
      </c>
      <c r="B808" t="s">
        <v>2645</v>
      </c>
      <c r="C808" t="s">
        <v>27</v>
      </c>
      <c r="D808">
        <v>2011</v>
      </c>
      <c r="E808" t="s">
        <v>2646</v>
      </c>
      <c r="F808" t="s">
        <v>2142</v>
      </c>
    </row>
    <row r="809" spans="1:6">
      <c r="A809" t="s">
        <v>3672</v>
      </c>
      <c r="B809" t="s">
        <v>3673</v>
      </c>
      <c r="C809" t="s">
        <v>1071</v>
      </c>
      <c r="D809">
        <v>2011</v>
      </c>
      <c r="E809" t="s">
        <v>3674</v>
      </c>
      <c r="F809" t="s">
        <v>3356</v>
      </c>
    </row>
    <row r="810" spans="1:6">
      <c r="A810" t="s">
        <v>3924</v>
      </c>
      <c r="B810" t="s">
        <v>3925</v>
      </c>
      <c r="C810" t="s">
        <v>27</v>
      </c>
      <c r="D810">
        <v>2011</v>
      </c>
      <c r="E810" t="s">
        <v>3926</v>
      </c>
      <c r="F810" t="s">
        <v>3356</v>
      </c>
    </row>
    <row r="811" spans="1:6">
      <c r="A811" t="s">
        <v>3836</v>
      </c>
      <c r="B811" t="s">
        <v>3837</v>
      </c>
      <c r="C811" t="s">
        <v>1597</v>
      </c>
      <c r="D811">
        <v>2011</v>
      </c>
      <c r="E811" t="s">
        <v>3838</v>
      </c>
      <c r="F811" t="s">
        <v>3356</v>
      </c>
    </row>
    <row r="812" spans="1:6">
      <c r="A812" t="s">
        <v>2361</v>
      </c>
      <c r="B812" t="s">
        <v>2362</v>
      </c>
      <c r="C812" t="s">
        <v>761</v>
      </c>
      <c r="D812">
        <v>2011</v>
      </c>
      <c r="E812" t="s">
        <v>2363</v>
      </c>
      <c r="F812" t="s">
        <v>2142</v>
      </c>
    </row>
    <row r="813" spans="1:6">
      <c r="A813" t="s">
        <v>4122</v>
      </c>
      <c r="B813" t="s">
        <v>4123</v>
      </c>
      <c r="C813" t="s">
        <v>2503</v>
      </c>
      <c r="D813">
        <v>2011</v>
      </c>
      <c r="E813" t="s">
        <v>4124</v>
      </c>
      <c r="F813" t="s">
        <v>3948</v>
      </c>
    </row>
    <row r="814" spans="1:6">
      <c r="A814" t="s">
        <v>4525</v>
      </c>
      <c r="B814" t="s">
        <v>4526</v>
      </c>
      <c r="C814" t="s">
        <v>27</v>
      </c>
      <c r="D814">
        <v>2011</v>
      </c>
      <c r="E814" t="s">
        <v>4527</v>
      </c>
      <c r="F814" t="s">
        <v>4493</v>
      </c>
    </row>
    <row r="815" spans="1:6">
      <c r="A815" t="s">
        <v>2739</v>
      </c>
      <c r="B815" t="s">
        <v>2740</v>
      </c>
      <c r="C815" t="s">
        <v>494</v>
      </c>
      <c r="D815">
        <v>2011</v>
      </c>
      <c r="E815" t="s">
        <v>2741</v>
      </c>
      <c r="F815" t="s">
        <v>2142</v>
      </c>
    </row>
    <row r="816" spans="1:6">
      <c r="A816" t="s">
        <v>2887</v>
      </c>
      <c r="B816" t="s">
        <v>2888</v>
      </c>
      <c r="C816" t="s">
        <v>27</v>
      </c>
      <c r="D816">
        <v>2011</v>
      </c>
      <c r="E816" t="s">
        <v>2889</v>
      </c>
      <c r="F816" t="s">
        <v>2757</v>
      </c>
    </row>
    <row r="817" spans="1:6">
      <c r="A817" t="s">
        <v>4278</v>
      </c>
      <c r="B817" t="s">
        <v>4279</v>
      </c>
      <c r="C817" t="s">
        <v>476</v>
      </c>
      <c r="D817">
        <v>2011</v>
      </c>
      <c r="E817" t="s">
        <v>4280</v>
      </c>
      <c r="F817" t="s">
        <v>3948</v>
      </c>
    </row>
    <row r="818" spans="1:6">
      <c r="A818" t="s">
        <v>2997</v>
      </c>
      <c r="B818" t="s">
        <v>2998</v>
      </c>
      <c r="C818" t="s">
        <v>90</v>
      </c>
      <c r="D818">
        <v>2011</v>
      </c>
      <c r="E818" t="s">
        <v>2999</v>
      </c>
      <c r="F818" t="s">
        <v>2757</v>
      </c>
    </row>
    <row r="819" spans="1:6">
      <c r="A819" t="s">
        <v>3159</v>
      </c>
      <c r="B819" t="s">
        <v>3160</v>
      </c>
      <c r="C819" t="s">
        <v>7</v>
      </c>
      <c r="D819">
        <v>2011</v>
      </c>
      <c r="E819" t="s">
        <v>3161</v>
      </c>
      <c r="F819" t="s">
        <v>2757</v>
      </c>
    </row>
    <row r="820" spans="1:6">
      <c r="A820" t="s">
        <v>4259</v>
      </c>
      <c r="B820" t="s">
        <v>4260</v>
      </c>
      <c r="C820" t="s">
        <v>27</v>
      </c>
      <c r="D820">
        <v>2011</v>
      </c>
      <c r="E820" t="s">
        <v>4261</v>
      </c>
      <c r="F820" t="s">
        <v>3948</v>
      </c>
    </row>
    <row r="821" spans="1:6">
      <c r="A821" t="s">
        <v>2315</v>
      </c>
      <c r="B821" t="s">
        <v>2316</v>
      </c>
      <c r="C821" t="s">
        <v>27</v>
      </c>
      <c r="D821">
        <v>2011</v>
      </c>
      <c r="E821" t="s">
        <v>2317</v>
      </c>
      <c r="F821" t="s">
        <v>2142</v>
      </c>
    </row>
    <row r="822" spans="1:6">
      <c r="A822" t="s">
        <v>3662</v>
      </c>
      <c r="B822" t="s">
        <v>3663</v>
      </c>
      <c r="C822" t="s">
        <v>54</v>
      </c>
      <c r="D822">
        <v>2011</v>
      </c>
      <c r="E822" t="s">
        <v>3664</v>
      </c>
      <c r="F822" t="s">
        <v>3356</v>
      </c>
    </row>
    <row r="823" spans="1:6">
      <c r="A823" t="s">
        <v>3466</v>
      </c>
      <c r="B823" t="s">
        <v>3467</v>
      </c>
      <c r="C823" t="s">
        <v>19</v>
      </c>
      <c r="D823">
        <v>2011</v>
      </c>
      <c r="E823" t="s">
        <v>3468</v>
      </c>
      <c r="F823" t="s">
        <v>3356</v>
      </c>
    </row>
    <row r="824" spans="1:6">
      <c r="A824" t="s">
        <v>3328</v>
      </c>
      <c r="B824" t="s">
        <v>3329</v>
      </c>
      <c r="C824" t="s">
        <v>3330</v>
      </c>
      <c r="D824">
        <v>2011</v>
      </c>
      <c r="E824" t="s">
        <v>3331</v>
      </c>
      <c r="F824" t="s">
        <v>2757</v>
      </c>
    </row>
    <row r="825" spans="1:6">
      <c r="A825" t="s">
        <v>3553</v>
      </c>
      <c r="B825" t="s">
        <v>3554</v>
      </c>
      <c r="C825" t="s">
        <v>90</v>
      </c>
      <c r="D825">
        <v>2011</v>
      </c>
      <c r="E825" t="s">
        <v>3555</v>
      </c>
      <c r="F825" t="s">
        <v>3356</v>
      </c>
    </row>
    <row r="826" spans="1:6">
      <c r="A826" t="s">
        <v>2477</v>
      </c>
      <c r="B826" t="s">
        <v>2478</v>
      </c>
      <c r="C826" t="s">
        <v>1322</v>
      </c>
      <c r="D826">
        <v>2011</v>
      </c>
      <c r="E826" t="s">
        <v>2479</v>
      </c>
      <c r="F826" t="s">
        <v>2142</v>
      </c>
    </row>
    <row r="827" spans="1:6">
      <c r="A827" t="s">
        <v>3852</v>
      </c>
      <c r="B827" t="s">
        <v>3853</v>
      </c>
      <c r="C827" t="s">
        <v>153</v>
      </c>
      <c r="D827">
        <v>2011</v>
      </c>
      <c r="E827" t="s">
        <v>3854</v>
      </c>
      <c r="F827" t="s">
        <v>3356</v>
      </c>
    </row>
    <row r="828" spans="1:6">
      <c r="A828" t="s">
        <v>3232</v>
      </c>
      <c r="B828" t="s">
        <v>3233</v>
      </c>
      <c r="C828" t="s">
        <v>90</v>
      </c>
      <c r="D828">
        <v>2011</v>
      </c>
      <c r="E828" t="s">
        <v>3234</v>
      </c>
      <c r="F828" t="s">
        <v>2757</v>
      </c>
    </row>
    <row r="829" spans="1:6">
      <c r="A829" t="s">
        <v>3684</v>
      </c>
      <c r="B829" t="s">
        <v>3685</v>
      </c>
      <c r="C829" t="s">
        <v>3660</v>
      </c>
      <c r="D829">
        <v>2011</v>
      </c>
      <c r="E829" t="s">
        <v>3686</v>
      </c>
      <c r="F829" t="s">
        <v>3356</v>
      </c>
    </row>
    <row r="830" spans="1:6">
      <c r="A830" t="s">
        <v>3018</v>
      </c>
      <c r="B830" t="s">
        <v>3019</v>
      </c>
      <c r="C830" t="s">
        <v>219</v>
      </c>
      <c r="D830">
        <v>2011</v>
      </c>
      <c r="E830" t="s">
        <v>3020</v>
      </c>
      <c r="F830" t="s">
        <v>2757</v>
      </c>
    </row>
    <row r="831" spans="1:6">
      <c r="A831" t="s">
        <v>4338</v>
      </c>
      <c r="B831" t="s">
        <v>4315</v>
      </c>
      <c r="C831" t="s">
        <v>785</v>
      </c>
      <c r="D831">
        <v>2011</v>
      </c>
      <c r="E831" t="s">
        <v>4339</v>
      </c>
      <c r="F831" t="s">
        <v>3948</v>
      </c>
    </row>
    <row r="832" spans="1:6">
      <c r="A832" t="s">
        <v>2327</v>
      </c>
      <c r="B832" t="s">
        <v>2328</v>
      </c>
      <c r="C832" t="s">
        <v>7</v>
      </c>
      <c r="D832">
        <v>2011</v>
      </c>
      <c r="E832" t="s">
        <v>2329</v>
      </c>
      <c r="F832" t="s">
        <v>2142</v>
      </c>
    </row>
    <row r="833" spans="1:6">
      <c r="A833" t="s">
        <v>2409</v>
      </c>
      <c r="B833" t="s">
        <v>2410</v>
      </c>
      <c r="C833" t="s">
        <v>761</v>
      </c>
      <c r="D833">
        <v>2011</v>
      </c>
      <c r="E833" t="s">
        <v>2411</v>
      </c>
      <c r="F833" t="s">
        <v>2142</v>
      </c>
    </row>
    <row r="834" spans="1:6">
      <c r="A834" t="s">
        <v>2578</v>
      </c>
      <c r="B834" t="s">
        <v>2579</v>
      </c>
      <c r="C834" t="s">
        <v>2580</v>
      </c>
      <c r="D834">
        <v>2011</v>
      </c>
      <c r="E834" t="s">
        <v>2581</v>
      </c>
      <c r="F834" t="s">
        <v>2142</v>
      </c>
    </row>
    <row r="835" spans="1:6">
      <c r="A835" t="s">
        <v>4456</v>
      </c>
      <c r="B835" t="s">
        <v>4457</v>
      </c>
      <c r="C835" t="s">
        <v>54</v>
      </c>
      <c r="D835">
        <v>2011</v>
      </c>
      <c r="E835" t="s">
        <v>4458</v>
      </c>
      <c r="F835" t="s">
        <v>3948</v>
      </c>
    </row>
    <row r="836" spans="1:6">
      <c r="A836" t="s">
        <v>2435</v>
      </c>
      <c r="B836" t="s">
        <v>2436</v>
      </c>
      <c r="C836" t="s">
        <v>2</v>
      </c>
      <c r="D836">
        <v>2011</v>
      </c>
      <c r="E836" t="s">
        <v>2437</v>
      </c>
      <c r="F836" t="s">
        <v>2142</v>
      </c>
    </row>
    <row r="837" spans="1:6">
      <c r="A837" t="s">
        <v>3217</v>
      </c>
      <c r="B837" t="s">
        <v>3218</v>
      </c>
      <c r="C837" t="s">
        <v>54</v>
      </c>
      <c r="D837">
        <v>2011</v>
      </c>
      <c r="E837" t="s">
        <v>3219</v>
      </c>
      <c r="F837" t="s">
        <v>2757</v>
      </c>
    </row>
    <row r="838" spans="1:6">
      <c r="A838" t="s">
        <v>4156</v>
      </c>
      <c r="B838" t="s">
        <v>4157</v>
      </c>
      <c r="C838" t="s">
        <v>153</v>
      </c>
      <c r="D838">
        <v>2011</v>
      </c>
      <c r="E838" t="s">
        <v>4158</v>
      </c>
      <c r="F838" t="s">
        <v>3948</v>
      </c>
    </row>
    <row r="839" spans="1:6">
      <c r="A839" t="s">
        <v>4477</v>
      </c>
      <c r="B839" t="s">
        <v>4478</v>
      </c>
      <c r="C839" t="s">
        <v>494</v>
      </c>
      <c r="D839">
        <v>2011</v>
      </c>
      <c r="E839" t="s">
        <v>4479</v>
      </c>
      <c r="F839" t="s">
        <v>3948</v>
      </c>
    </row>
    <row r="840" spans="1:6">
      <c r="A840" t="s">
        <v>4474</v>
      </c>
      <c r="B840" t="s">
        <v>4475</v>
      </c>
      <c r="C840" t="s">
        <v>3667</v>
      </c>
      <c r="D840">
        <v>2011</v>
      </c>
      <c r="E840" t="s">
        <v>4476</v>
      </c>
      <c r="F840" t="s">
        <v>3948</v>
      </c>
    </row>
    <row r="841" spans="1:6">
      <c r="A841" t="s">
        <v>2565</v>
      </c>
      <c r="B841" t="s">
        <v>2566</v>
      </c>
      <c r="C841" t="s">
        <v>2567</v>
      </c>
      <c r="D841">
        <v>2011</v>
      </c>
      <c r="E841" t="s">
        <v>2568</v>
      </c>
      <c r="F841" t="s">
        <v>2142</v>
      </c>
    </row>
    <row r="842" spans="1:6">
      <c r="A842" t="s">
        <v>2374</v>
      </c>
      <c r="B842" t="s">
        <v>2375</v>
      </c>
      <c r="C842" t="s">
        <v>1369</v>
      </c>
      <c r="D842">
        <v>2011</v>
      </c>
      <c r="E842" t="s">
        <v>2376</v>
      </c>
      <c r="F842" t="s">
        <v>2142</v>
      </c>
    </row>
    <row r="843" spans="1:6">
      <c r="A843" t="s">
        <v>3397</v>
      </c>
      <c r="B843" t="s">
        <v>3398</v>
      </c>
      <c r="C843" t="s">
        <v>19</v>
      </c>
      <c r="D843">
        <v>2011</v>
      </c>
      <c r="E843" t="s">
        <v>3399</v>
      </c>
      <c r="F843" t="s">
        <v>3356</v>
      </c>
    </row>
    <row r="844" spans="1:6">
      <c r="A844" t="s">
        <v>4141</v>
      </c>
      <c r="B844" t="s">
        <v>4142</v>
      </c>
      <c r="C844" t="s">
        <v>869</v>
      </c>
      <c r="D844">
        <v>2011</v>
      </c>
      <c r="E844" t="s">
        <v>4143</v>
      </c>
      <c r="F844" t="s">
        <v>3948</v>
      </c>
    </row>
    <row r="845" spans="1:6">
      <c r="A845" t="s">
        <v>2918</v>
      </c>
      <c r="B845" t="s">
        <v>2919</v>
      </c>
      <c r="C845" t="s">
        <v>118</v>
      </c>
      <c r="D845">
        <v>2011</v>
      </c>
      <c r="E845" t="s">
        <v>2920</v>
      </c>
      <c r="F845" t="s">
        <v>2757</v>
      </c>
    </row>
    <row r="846" spans="1:6">
      <c r="A846" t="s">
        <v>4039</v>
      </c>
      <c r="B846" t="s">
        <v>4040</v>
      </c>
      <c r="C846" t="s">
        <v>4041</v>
      </c>
      <c r="D846">
        <v>2011</v>
      </c>
      <c r="E846" t="s">
        <v>4042</v>
      </c>
      <c r="F846" t="s">
        <v>3948</v>
      </c>
    </row>
    <row r="847" spans="1:6">
      <c r="A847" t="s">
        <v>3332</v>
      </c>
      <c r="B847" t="s">
        <v>3333</v>
      </c>
      <c r="C847" t="s">
        <v>7</v>
      </c>
      <c r="D847">
        <v>2011</v>
      </c>
      <c r="E847" t="s">
        <v>3334</v>
      </c>
      <c r="F847" t="s">
        <v>2757</v>
      </c>
    </row>
    <row r="848" spans="1:6">
      <c r="A848" t="s">
        <v>3704</v>
      </c>
      <c r="B848" t="s">
        <v>3705</v>
      </c>
      <c r="C848" t="s">
        <v>537</v>
      </c>
      <c r="D848">
        <v>2011</v>
      </c>
      <c r="E848" t="s">
        <v>3706</v>
      </c>
      <c r="F848" t="s">
        <v>3356</v>
      </c>
    </row>
    <row r="849" spans="1:6">
      <c r="A849" t="s">
        <v>4032</v>
      </c>
      <c r="B849" t="s">
        <v>4033</v>
      </c>
      <c r="C849" t="s">
        <v>2</v>
      </c>
      <c r="D849">
        <v>2011</v>
      </c>
      <c r="E849" t="s">
        <v>4034</v>
      </c>
      <c r="F849" t="s">
        <v>3948</v>
      </c>
    </row>
    <row r="850" spans="1:6">
      <c r="A850" t="s">
        <v>4281</v>
      </c>
      <c r="B850" t="s">
        <v>4282</v>
      </c>
      <c r="C850" t="s">
        <v>27</v>
      </c>
      <c r="D850">
        <v>2011</v>
      </c>
      <c r="E850" t="s">
        <v>4283</v>
      </c>
      <c r="F850" t="s">
        <v>3948</v>
      </c>
    </row>
    <row r="851" spans="1:6">
      <c r="A851" t="s">
        <v>2707</v>
      </c>
      <c r="B851" t="s">
        <v>2708</v>
      </c>
      <c r="C851" t="s">
        <v>215</v>
      </c>
      <c r="D851">
        <v>2011</v>
      </c>
      <c r="E851" t="s">
        <v>2709</v>
      </c>
      <c r="F851" t="s">
        <v>2142</v>
      </c>
    </row>
    <row r="852" spans="1:6">
      <c r="A852" t="s">
        <v>3710</v>
      </c>
      <c r="B852" t="s">
        <v>3711</v>
      </c>
      <c r="C852" t="s">
        <v>1488</v>
      </c>
      <c r="D852">
        <v>2011</v>
      </c>
      <c r="E852" t="s">
        <v>3712</v>
      </c>
      <c r="F852" t="s">
        <v>3356</v>
      </c>
    </row>
    <row r="853" spans="1:6">
      <c r="A853" t="s">
        <v>3394</v>
      </c>
      <c r="B853" t="s">
        <v>3395</v>
      </c>
      <c r="C853" t="s">
        <v>15</v>
      </c>
      <c r="D853">
        <v>2011</v>
      </c>
      <c r="E853" t="s">
        <v>3396</v>
      </c>
      <c r="F853" t="s">
        <v>3356</v>
      </c>
    </row>
    <row r="854" spans="1:6">
      <c r="A854" t="s">
        <v>3480</v>
      </c>
      <c r="B854" t="s">
        <v>3477</v>
      </c>
      <c r="C854" t="s">
        <v>761</v>
      </c>
      <c r="D854">
        <v>2011</v>
      </c>
      <c r="E854" t="s">
        <v>3481</v>
      </c>
      <c r="F854" t="s">
        <v>3356</v>
      </c>
    </row>
    <row r="855" spans="1:6">
      <c r="A855" t="s">
        <v>2713</v>
      </c>
      <c r="B855" t="s">
        <v>2714</v>
      </c>
      <c r="C855" t="s">
        <v>1071</v>
      </c>
      <c r="D855">
        <v>2011</v>
      </c>
      <c r="E855" t="s">
        <v>2715</v>
      </c>
      <c r="F855" t="s">
        <v>2142</v>
      </c>
    </row>
    <row r="856" spans="1:6">
      <c r="A856" t="s">
        <v>2893</v>
      </c>
      <c r="B856" t="s">
        <v>2894</v>
      </c>
      <c r="C856" t="s">
        <v>315</v>
      </c>
      <c r="D856">
        <v>2011</v>
      </c>
      <c r="E856" t="s">
        <v>2895</v>
      </c>
      <c r="F856" t="s">
        <v>2757</v>
      </c>
    </row>
    <row r="857" spans="1:6">
      <c r="A857" t="s">
        <v>2612</v>
      </c>
      <c r="B857" t="s">
        <v>2613</v>
      </c>
      <c r="C857" t="s">
        <v>2614</v>
      </c>
      <c r="D857">
        <v>2011</v>
      </c>
      <c r="E857" t="s">
        <v>2615</v>
      </c>
      <c r="F857" t="s">
        <v>2142</v>
      </c>
    </row>
    <row r="858" spans="1:6">
      <c r="A858" t="s">
        <v>2268</v>
      </c>
      <c r="B858" t="s">
        <v>2269</v>
      </c>
      <c r="C858" t="s">
        <v>90</v>
      </c>
      <c r="D858">
        <v>2011</v>
      </c>
      <c r="E858" t="s">
        <v>2270</v>
      </c>
      <c r="F858" t="s">
        <v>2142</v>
      </c>
    </row>
    <row r="859" spans="1:6">
      <c r="A859" t="s">
        <v>3574</v>
      </c>
      <c r="B859" t="s">
        <v>3575</v>
      </c>
      <c r="C859" t="s">
        <v>761</v>
      </c>
      <c r="D859">
        <v>2011</v>
      </c>
      <c r="E859" t="s">
        <v>3576</v>
      </c>
      <c r="F859" t="s">
        <v>3356</v>
      </c>
    </row>
    <row r="860" spans="1:6">
      <c r="A860" t="s">
        <v>2871</v>
      </c>
      <c r="B860" t="s">
        <v>2872</v>
      </c>
      <c r="C860" t="s">
        <v>27</v>
      </c>
      <c r="D860">
        <v>2011</v>
      </c>
      <c r="E860" t="s">
        <v>2873</v>
      </c>
      <c r="F860" t="s">
        <v>2757</v>
      </c>
    </row>
    <row r="861" spans="1:6">
      <c r="A861" t="s">
        <v>4161</v>
      </c>
      <c r="B861" t="s">
        <v>4162</v>
      </c>
      <c r="C861" t="s">
        <v>408</v>
      </c>
      <c r="D861">
        <v>2011</v>
      </c>
      <c r="E861" t="s">
        <v>4163</v>
      </c>
      <c r="F861" t="s">
        <v>3948</v>
      </c>
    </row>
    <row r="862" spans="1:6">
      <c r="A862" t="s">
        <v>2751</v>
      </c>
      <c r="B862" t="s">
        <v>2752</v>
      </c>
      <c r="C862" t="s">
        <v>612</v>
      </c>
      <c r="D862">
        <v>2011</v>
      </c>
      <c r="E862" t="s">
        <v>2753</v>
      </c>
      <c r="F862" t="s">
        <v>2142</v>
      </c>
    </row>
    <row r="863" spans="1:6">
      <c r="A863" t="s">
        <v>2486</v>
      </c>
      <c r="B863" t="s">
        <v>2487</v>
      </c>
      <c r="C863" t="s">
        <v>27</v>
      </c>
      <c r="D863">
        <v>2011</v>
      </c>
      <c r="E863" t="s">
        <v>2488</v>
      </c>
      <c r="F863" t="s">
        <v>2142</v>
      </c>
    </row>
    <row r="864" spans="1:6">
      <c r="A864" t="s">
        <v>2155</v>
      </c>
      <c r="B864" t="s">
        <v>2156</v>
      </c>
      <c r="C864" t="s">
        <v>2157</v>
      </c>
      <c r="D864">
        <v>2011</v>
      </c>
      <c r="E864" t="s">
        <v>2158</v>
      </c>
      <c r="F864" t="s">
        <v>2142</v>
      </c>
    </row>
    <row r="865" spans="1:6">
      <c r="A865" t="s">
        <v>3872</v>
      </c>
      <c r="B865" t="s">
        <v>3873</v>
      </c>
      <c r="C865" t="s">
        <v>1357</v>
      </c>
      <c r="D865">
        <v>2011</v>
      </c>
      <c r="E865" t="s">
        <v>3874</v>
      </c>
      <c r="F865" t="s">
        <v>3356</v>
      </c>
    </row>
    <row r="866" spans="1:6">
      <c r="A866" t="s">
        <v>3830</v>
      </c>
      <c r="B866" t="s">
        <v>3831</v>
      </c>
      <c r="C866" t="s">
        <v>1568</v>
      </c>
      <c r="D866">
        <v>2011</v>
      </c>
      <c r="E866" t="s">
        <v>3832</v>
      </c>
      <c r="F866" t="s">
        <v>3356</v>
      </c>
    </row>
    <row r="867" spans="1:6">
      <c r="A867" t="s">
        <v>1753</v>
      </c>
      <c r="B867" t="s">
        <v>321</v>
      </c>
      <c r="C867" t="s">
        <v>27</v>
      </c>
      <c r="D867">
        <v>2011</v>
      </c>
      <c r="E867" t="s">
        <v>3265</v>
      </c>
      <c r="F867" t="s">
        <v>2757</v>
      </c>
    </row>
    <row r="868" spans="1:6">
      <c r="A868" t="s">
        <v>1753</v>
      </c>
      <c r="B868" t="s">
        <v>321</v>
      </c>
      <c r="C868" t="s">
        <v>72</v>
      </c>
      <c r="D868">
        <v>2011</v>
      </c>
      <c r="E868" t="s">
        <v>4239</v>
      </c>
      <c r="F868" t="s">
        <v>3948</v>
      </c>
    </row>
    <row r="869" spans="1:6">
      <c r="A869" t="s">
        <v>1753</v>
      </c>
      <c r="B869" t="s">
        <v>321</v>
      </c>
      <c r="C869" t="s">
        <v>72</v>
      </c>
      <c r="D869">
        <v>2011</v>
      </c>
      <c r="E869" t="s">
        <v>4240</v>
      </c>
      <c r="F869" t="s">
        <v>3948</v>
      </c>
    </row>
    <row r="870" spans="1:6">
      <c r="A870" t="s">
        <v>1753</v>
      </c>
      <c r="B870" t="s">
        <v>321</v>
      </c>
      <c r="C870" t="s">
        <v>72</v>
      </c>
      <c r="D870">
        <v>2011</v>
      </c>
      <c r="E870" t="s">
        <v>4241</v>
      </c>
      <c r="F870" t="s">
        <v>3948</v>
      </c>
    </row>
    <row r="871" spans="1:6">
      <c r="A871" t="s">
        <v>1753</v>
      </c>
      <c r="B871" t="s">
        <v>321</v>
      </c>
      <c r="C871" t="s">
        <v>72</v>
      </c>
      <c r="D871">
        <v>2011</v>
      </c>
      <c r="E871" t="s">
        <v>4242</v>
      </c>
      <c r="F871" t="s">
        <v>3948</v>
      </c>
    </row>
    <row r="872" spans="1:6">
      <c r="A872" t="s">
        <v>1753</v>
      </c>
      <c r="B872" t="s">
        <v>321</v>
      </c>
      <c r="C872" t="s">
        <v>219</v>
      </c>
      <c r="D872">
        <v>2011</v>
      </c>
      <c r="E872" t="s">
        <v>4329</v>
      </c>
      <c r="F872" t="s">
        <v>3948</v>
      </c>
    </row>
    <row r="873" spans="1:6">
      <c r="A873" t="s">
        <v>3528</v>
      </c>
      <c r="B873" t="s">
        <v>3529</v>
      </c>
      <c r="C873" t="s">
        <v>2</v>
      </c>
      <c r="D873">
        <v>2011</v>
      </c>
      <c r="E873" t="s">
        <v>3530</v>
      </c>
      <c r="F873" t="s">
        <v>3356</v>
      </c>
    </row>
    <row r="874" spans="1:6">
      <c r="A874" t="s">
        <v>2629</v>
      </c>
      <c r="B874" t="s">
        <v>2263</v>
      </c>
      <c r="C874" t="s">
        <v>27</v>
      </c>
      <c r="D874">
        <v>2011</v>
      </c>
      <c r="E874" t="s">
        <v>2630</v>
      </c>
      <c r="F874" t="s">
        <v>2142</v>
      </c>
    </row>
    <row r="875" spans="1:6">
      <c r="A875" t="s">
        <v>3562</v>
      </c>
      <c r="B875" t="s">
        <v>3563</v>
      </c>
      <c r="C875" t="s">
        <v>27</v>
      </c>
      <c r="D875">
        <v>2011</v>
      </c>
      <c r="E875" t="s">
        <v>3564</v>
      </c>
      <c r="F875" t="s">
        <v>3356</v>
      </c>
    </row>
    <row r="876" spans="1:6">
      <c r="A876" t="s">
        <v>4447</v>
      </c>
      <c r="B876" t="s">
        <v>4448</v>
      </c>
      <c r="C876" t="s">
        <v>1963</v>
      </c>
      <c r="D876">
        <v>2011</v>
      </c>
      <c r="E876" t="s">
        <v>4449</v>
      </c>
      <c r="F876" t="s">
        <v>3948</v>
      </c>
    </row>
    <row r="877" spans="1:6">
      <c r="A877" t="s">
        <v>2777</v>
      </c>
      <c r="B877" t="s">
        <v>2778</v>
      </c>
      <c r="C877" t="s">
        <v>27</v>
      </c>
      <c r="D877">
        <v>2011</v>
      </c>
      <c r="E877" t="s">
        <v>2779</v>
      </c>
      <c r="F877" t="s">
        <v>2757</v>
      </c>
    </row>
    <row r="878" spans="1:6">
      <c r="A878" t="s">
        <v>3892</v>
      </c>
      <c r="B878" t="s">
        <v>3893</v>
      </c>
      <c r="C878" t="s">
        <v>505</v>
      </c>
      <c r="D878">
        <v>2011</v>
      </c>
      <c r="E878" t="s">
        <v>3894</v>
      </c>
      <c r="F878" t="s">
        <v>3356</v>
      </c>
    </row>
    <row r="879" spans="1:6">
      <c r="A879" t="s">
        <v>3384</v>
      </c>
      <c r="B879" t="s">
        <v>3385</v>
      </c>
      <c r="C879" t="s">
        <v>2</v>
      </c>
      <c r="D879">
        <v>2011</v>
      </c>
      <c r="E879" t="s">
        <v>3386</v>
      </c>
      <c r="F879" t="s">
        <v>3356</v>
      </c>
    </row>
    <row r="880" spans="1:6">
      <c r="A880" t="s">
        <v>2830</v>
      </c>
      <c r="B880" t="s">
        <v>2831</v>
      </c>
      <c r="C880" t="s">
        <v>2832</v>
      </c>
      <c r="D880">
        <v>2011</v>
      </c>
      <c r="E880" t="s">
        <v>2833</v>
      </c>
      <c r="F880" t="s">
        <v>2757</v>
      </c>
    </row>
    <row r="881" spans="1:6">
      <c r="A881" t="s">
        <v>3908</v>
      </c>
      <c r="B881" t="s">
        <v>3909</v>
      </c>
      <c r="C881" t="s">
        <v>3910</v>
      </c>
      <c r="D881">
        <v>2011</v>
      </c>
      <c r="E881" t="s">
        <v>3911</v>
      </c>
      <c r="F881" t="s">
        <v>3356</v>
      </c>
    </row>
    <row r="882" spans="1:6">
      <c r="A882" t="s">
        <v>2582</v>
      </c>
      <c r="B882" t="s">
        <v>2583</v>
      </c>
      <c r="C882" t="s">
        <v>494</v>
      </c>
      <c r="D882">
        <v>2011</v>
      </c>
      <c r="E882" t="s">
        <v>2584</v>
      </c>
      <c r="F882" t="s">
        <v>2142</v>
      </c>
    </row>
    <row r="883" spans="1:6">
      <c r="A883" t="s">
        <v>4314</v>
      </c>
      <c r="B883" t="s">
        <v>4315</v>
      </c>
      <c r="C883" t="s">
        <v>785</v>
      </c>
      <c r="D883">
        <v>2011</v>
      </c>
      <c r="E883" t="s">
        <v>4316</v>
      </c>
      <c r="F883" t="s">
        <v>3948</v>
      </c>
    </row>
    <row r="884" spans="1:6">
      <c r="A884" t="s">
        <v>2689</v>
      </c>
      <c r="B884" t="s">
        <v>2690</v>
      </c>
      <c r="C884" t="s">
        <v>440</v>
      </c>
      <c r="D884">
        <v>2011</v>
      </c>
      <c r="E884" t="s">
        <v>2691</v>
      </c>
      <c r="F884" t="s">
        <v>2142</v>
      </c>
    </row>
    <row r="885" spans="1:6">
      <c r="A885" t="s">
        <v>3171</v>
      </c>
      <c r="B885" t="s">
        <v>3172</v>
      </c>
      <c r="C885" t="s">
        <v>35</v>
      </c>
      <c r="D885">
        <v>2011</v>
      </c>
      <c r="E885" t="s">
        <v>3173</v>
      </c>
      <c r="F885" t="s">
        <v>2757</v>
      </c>
    </row>
    <row r="886" spans="1:6">
      <c r="A886" t="s">
        <v>3204</v>
      </c>
      <c r="B886" t="s">
        <v>3205</v>
      </c>
      <c r="C886" t="s">
        <v>23</v>
      </c>
      <c r="D886">
        <v>2011</v>
      </c>
      <c r="E886" t="s">
        <v>3206</v>
      </c>
      <c r="F886" t="s">
        <v>2757</v>
      </c>
    </row>
    <row r="887" spans="1:6">
      <c r="A887" t="s">
        <v>1743</v>
      </c>
      <c r="B887" t="s">
        <v>321</v>
      </c>
      <c r="C887" t="s">
        <v>1218</v>
      </c>
      <c r="D887">
        <v>2011</v>
      </c>
      <c r="E887" t="s">
        <v>4224</v>
      </c>
      <c r="F887" t="s">
        <v>3948</v>
      </c>
    </row>
    <row r="888" spans="1:6">
      <c r="A888" t="s">
        <v>1743</v>
      </c>
      <c r="B888" t="s">
        <v>321</v>
      </c>
      <c r="C888" t="s">
        <v>27</v>
      </c>
      <c r="D888">
        <v>2011</v>
      </c>
      <c r="E888" t="s">
        <v>4230</v>
      </c>
      <c r="F888" t="s">
        <v>3948</v>
      </c>
    </row>
    <row r="889" spans="1:6">
      <c r="A889" t="s">
        <v>1743</v>
      </c>
      <c r="B889" t="s">
        <v>321</v>
      </c>
      <c r="C889" t="s">
        <v>27</v>
      </c>
      <c r="D889">
        <v>2011</v>
      </c>
      <c r="E889" t="s">
        <v>4234</v>
      </c>
      <c r="F889" t="s">
        <v>3948</v>
      </c>
    </row>
    <row r="890" spans="1:6">
      <c r="A890" t="s">
        <v>1743</v>
      </c>
      <c r="B890" t="s">
        <v>321</v>
      </c>
      <c r="C890" t="s">
        <v>27</v>
      </c>
      <c r="D890">
        <v>2011</v>
      </c>
      <c r="E890" t="s">
        <v>4272</v>
      </c>
      <c r="F890" t="s">
        <v>3948</v>
      </c>
    </row>
    <row r="891" spans="1:6">
      <c r="A891" t="s">
        <v>1743</v>
      </c>
      <c r="B891" t="s">
        <v>321</v>
      </c>
      <c r="C891" t="s">
        <v>27</v>
      </c>
      <c r="D891">
        <v>2011</v>
      </c>
      <c r="E891" t="s">
        <v>4524</v>
      </c>
      <c r="F891" t="s">
        <v>4493</v>
      </c>
    </row>
    <row r="892" spans="1:6">
      <c r="A892" t="s">
        <v>4247</v>
      </c>
      <c r="B892" t="s">
        <v>4248</v>
      </c>
      <c r="C892" t="s">
        <v>315</v>
      </c>
      <c r="D892">
        <v>2011</v>
      </c>
      <c r="E892" t="s">
        <v>4249</v>
      </c>
      <c r="F892" t="s">
        <v>3948</v>
      </c>
    </row>
    <row r="893" spans="1:6">
      <c r="A893" t="s">
        <v>3220</v>
      </c>
      <c r="B893" t="s">
        <v>3221</v>
      </c>
      <c r="C893" t="s">
        <v>122</v>
      </c>
      <c r="D893">
        <v>2011</v>
      </c>
      <c r="E893" t="s">
        <v>3222</v>
      </c>
      <c r="F893" t="s">
        <v>2757</v>
      </c>
    </row>
    <row r="894" spans="1:6">
      <c r="A894" t="s">
        <v>4340</v>
      </c>
      <c r="B894" t="s">
        <v>321</v>
      </c>
      <c r="C894" t="s">
        <v>4341</v>
      </c>
      <c r="D894">
        <v>2011</v>
      </c>
      <c r="E894" t="s">
        <v>4342</v>
      </c>
      <c r="F894" t="s">
        <v>3948</v>
      </c>
    </row>
    <row r="895" spans="1:6">
      <c r="A895" t="s">
        <v>2330</v>
      </c>
      <c r="B895" t="s">
        <v>2331</v>
      </c>
      <c r="C895" t="s">
        <v>27</v>
      </c>
      <c r="D895">
        <v>2011</v>
      </c>
      <c r="E895" t="s">
        <v>2332</v>
      </c>
      <c r="F895" t="s">
        <v>2142</v>
      </c>
    </row>
    <row r="896" spans="1:6">
      <c r="A896" t="s">
        <v>4231</v>
      </c>
      <c r="B896" t="s">
        <v>4232</v>
      </c>
      <c r="C896" t="s">
        <v>27</v>
      </c>
      <c r="D896">
        <v>2011</v>
      </c>
      <c r="E896" t="s">
        <v>4233</v>
      </c>
      <c r="F896" t="s">
        <v>3948</v>
      </c>
    </row>
    <row r="897" spans="1:6">
      <c r="A897" t="s">
        <v>2692</v>
      </c>
      <c r="B897" t="s">
        <v>2693</v>
      </c>
      <c r="C897" t="s">
        <v>27</v>
      </c>
      <c r="D897">
        <v>2011</v>
      </c>
      <c r="E897" t="s">
        <v>2694</v>
      </c>
      <c r="F897" t="s">
        <v>2142</v>
      </c>
    </row>
    <row r="898" spans="1:6">
      <c r="A898" t="s">
        <v>2448</v>
      </c>
      <c r="B898" t="s">
        <v>2449</v>
      </c>
      <c r="C898" t="s">
        <v>27</v>
      </c>
      <c r="D898">
        <v>2011</v>
      </c>
      <c r="E898" t="s">
        <v>2450</v>
      </c>
      <c r="F898" t="s">
        <v>2142</v>
      </c>
    </row>
    <row r="899" spans="1:6">
      <c r="A899" t="s">
        <v>4212</v>
      </c>
      <c r="B899" t="s">
        <v>4213</v>
      </c>
      <c r="C899" t="s">
        <v>3496</v>
      </c>
      <c r="D899">
        <v>2011</v>
      </c>
      <c r="E899" t="s">
        <v>4214</v>
      </c>
      <c r="F899" t="s">
        <v>3948</v>
      </c>
    </row>
    <row r="900" spans="1:6">
      <c r="A900" t="s">
        <v>3690</v>
      </c>
      <c r="B900" t="s">
        <v>3691</v>
      </c>
      <c r="C900" t="s">
        <v>3692</v>
      </c>
      <c r="D900">
        <v>2011</v>
      </c>
      <c r="E900" t="s">
        <v>66</v>
      </c>
      <c r="F900" t="s">
        <v>3356</v>
      </c>
    </row>
    <row r="901" spans="1:6">
      <c r="A901" t="s">
        <v>2803</v>
      </c>
      <c r="B901" t="s">
        <v>2804</v>
      </c>
      <c r="C901" t="s">
        <v>408</v>
      </c>
      <c r="D901">
        <v>2011</v>
      </c>
      <c r="E901" t="s">
        <v>2805</v>
      </c>
      <c r="F901" t="s">
        <v>2757</v>
      </c>
    </row>
    <row r="902" spans="1:6">
      <c r="A902" t="s">
        <v>2956</v>
      </c>
      <c r="B902" t="s">
        <v>2957</v>
      </c>
      <c r="C902" t="s">
        <v>27</v>
      </c>
      <c r="D902">
        <v>2011</v>
      </c>
      <c r="E902" t="s">
        <v>2958</v>
      </c>
      <c r="F902" t="s">
        <v>2757</v>
      </c>
    </row>
    <row r="903" spans="1:6">
      <c r="A903" t="s">
        <v>2398</v>
      </c>
      <c r="B903" t="s">
        <v>2399</v>
      </c>
      <c r="C903" t="s">
        <v>7</v>
      </c>
      <c r="D903">
        <v>2011</v>
      </c>
      <c r="E903" t="s">
        <v>2400</v>
      </c>
      <c r="F903" t="s">
        <v>2142</v>
      </c>
    </row>
    <row r="904" spans="1:6">
      <c r="A904" t="s">
        <v>2847</v>
      </c>
      <c r="B904" t="s">
        <v>2848</v>
      </c>
      <c r="C904" t="s">
        <v>2423</v>
      </c>
      <c r="D904">
        <v>2011</v>
      </c>
      <c r="E904" t="s">
        <v>2849</v>
      </c>
      <c r="F904" t="s">
        <v>2757</v>
      </c>
    </row>
    <row r="905" spans="1:6">
      <c r="A905" t="s">
        <v>2865</v>
      </c>
      <c r="B905" t="s">
        <v>2866</v>
      </c>
      <c r="C905" t="s">
        <v>27</v>
      </c>
      <c r="D905">
        <v>2011</v>
      </c>
      <c r="E905" t="s">
        <v>2867</v>
      </c>
      <c r="F905" t="s">
        <v>2757</v>
      </c>
    </row>
    <row r="906" spans="1:6">
      <c r="A906" t="s">
        <v>4125</v>
      </c>
      <c r="B906" t="s">
        <v>4126</v>
      </c>
      <c r="C906" t="s">
        <v>368</v>
      </c>
      <c r="D906">
        <v>2011</v>
      </c>
      <c r="E906" t="s">
        <v>4127</v>
      </c>
      <c r="F906" t="s">
        <v>3948</v>
      </c>
    </row>
    <row r="907" spans="1:6">
      <c r="A907" t="s">
        <v>2925</v>
      </c>
      <c r="B907" t="s">
        <v>2926</v>
      </c>
      <c r="C907" t="s">
        <v>761</v>
      </c>
      <c r="D907">
        <v>2011</v>
      </c>
      <c r="E907" t="s">
        <v>2927</v>
      </c>
      <c r="F907" t="s">
        <v>2757</v>
      </c>
    </row>
    <row r="908" spans="1:6">
      <c r="A908" t="s">
        <v>3739</v>
      </c>
      <c r="B908" t="s">
        <v>3740</v>
      </c>
      <c r="C908" t="s">
        <v>1925</v>
      </c>
      <c r="D908">
        <v>2011</v>
      </c>
      <c r="E908" t="s">
        <v>3741</v>
      </c>
      <c r="F908" t="s">
        <v>3356</v>
      </c>
    </row>
    <row r="909" spans="1:6">
      <c r="A909" t="s">
        <v>3454</v>
      </c>
      <c r="B909" t="s">
        <v>3455</v>
      </c>
      <c r="C909" t="s">
        <v>3456</v>
      </c>
      <c r="D909">
        <v>2011</v>
      </c>
      <c r="E909" t="s">
        <v>3457</v>
      </c>
      <c r="F909" t="s">
        <v>3356</v>
      </c>
    </row>
    <row r="910" spans="1:6">
      <c r="A910" t="s">
        <v>2605</v>
      </c>
      <c r="B910" t="s">
        <v>2606</v>
      </c>
      <c r="C910" t="s">
        <v>2607</v>
      </c>
      <c r="D910">
        <v>2011</v>
      </c>
      <c r="E910" t="s">
        <v>2608</v>
      </c>
      <c r="F910" t="s">
        <v>2142</v>
      </c>
    </row>
    <row r="911" spans="1:6">
      <c r="A911" t="s">
        <v>3489</v>
      </c>
      <c r="B911" t="s">
        <v>3490</v>
      </c>
      <c r="C911" t="s">
        <v>2</v>
      </c>
      <c r="D911">
        <v>2011</v>
      </c>
      <c r="E911" t="s">
        <v>3491</v>
      </c>
      <c r="F911" t="s">
        <v>3356</v>
      </c>
    </row>
    <row r="912" spans="1:6">
      <c r="A912" t="s">
        <v>2199</v>
      </c>
      <c r="B912" t="s">
        <v>2200</v>
      </c>
      <c r="C912" t="s">
        <v>19</v>
      </c>
      <c r="D912">
        <v>2011</v>
      </c>
      <c r="E912" t="s">
        <v>2201</v>
      </c>
      <c r="F912" t="s">
        <v>2142</v>
      </c>
    </row>
    <row r="913" spans="1:6">
      <c r="A913" t="s">
        <v>2783</v>
      </c>
      <c r="B913" t="s">
        <v>2784</v>
      </c>
      <c r="C913" t="s">
        <v>72</v>
      </c>
      <c r="D913">
        <v>2011</v>
      </c>
      <c r="E913" t="s">
        <v>2785</v>
      </c>
      <c r="F913" t="s">
        <v>2757</v>
      </c>
    </row>
    <row r="914" spans="1:6">
      <c r="A914" t="s">
        <v>2299</v>
      </c>
      <c r="B914" t="s">
        <v>2300</v>
      </c>
      <c r="C914" t="s">
        <v>27</v>
      </c>
      <c r="D914">
        <v>2011</v>
      </c>
      <c r="E914" t="s">
        <v>2301</v>
      </c>
      <c r="F914" t="s">
        <v>2142</v>
      </c>
    </row>
    <row r="915" spans="1:6">
      <c r="A915" t="s">
        <v>2520</v>
      </c>
      <c r="B915" t="s">
        <v>2521</v>
      </c>
      <c r="C915" t="s">
        <v>27</v>
      </c>
      <c r="D915">
        <v>2011</v>
      </c>
      <c r="E915" t="s">
        <v>2522</v>
      </c>
      <c r="F915" t="s">
        <v>2142</v>
      </c>
    </row>
    <row r="916" spans="1:6">
      <c r="A916" t="s">
        <v>2982</v>
      </c>
      <c r="B916" t="s">
        <v>2983</v>
      </c>
      <c r="C916" t="s">
        <v>86</v>
      </c>
      <c r="D916">
        <v>2011</v>
      </c>
      <c r="E916" t="s">
        <v>2984</v>
      </c>
      <c r="F916" t="s">
        <v>2757</v>
      </c>
    </row>
    <row r="917" spans="1:6">
      <c r="A917" t="s">
        <v>3869</v>
      </c>
      <c r="B917" t="s">
        <v>3870</v>
      </c>
      <c r="C917" t="s">
        <v>1302</v>
      </c>
      <c r="D917">
        <v>2011</v>
      </c>
      <c r="E917" t="s">
        <v>3871</v>
      </c>
      <c r="F917" t="s">
        <v>3356</v>
      </c>
    </row>
    <row r="918" spans="1:6">
      <c r="A918" t="s">
        <v>3280</v>
      </c>
      <c r="B918" t="s">
        <v>3281</v>
      </c>
      <c r="C918" t="s">
        <v>7</v>
      </c>
      <c r="D918">
        <v>2011</v>
      </c>
      <c r="E918" t="s">
        <v>3282</v>
      </c>
      <c r="F918" t="s">
        <v>2757</v>
      </c>
    </row>
    <row r="919" spans="1:6">
      <c r="A919" t="s">
        <v>3338</v>
      </c>
      <c r="B919" t="s">
        <v>3339</v>
      </c>
      <c r="C919" t="s">
        <v>23</v>
      </c>
      <c r="D919">
        <v>2011</v>
      </c>
      <c r="E919" t="s">
        <v>3340</v>
      </c>
      <c r="F919" t="s">
        <v>2757</v>
      </c>
    </row>
    <row r="920" spans="1:6">
      <c r="A920" t="s">
        <v>2505</v>
      </c>
      <c r="B920" t="s">
        <v>2506</v>
      </c>
      <c r="C920" t="s">
        <v>444</v>
      </c>
      <c r="D920">
        <v>2011</v>
      </c>
      <c r="E920" t="s">
        <v>2507</v>
      </c>
      <c r="F920" t="s">
        <v>2142</v>
      </c>
    </row>
    <row r="921" spans="1:6">
      <c r="A921" t="s">
        <v>2465</v>
      </c>
      <c r="B921" t="s">
        <v>2466</v>
      </c>
      <c r="C921" t="s">
        <v>90</v>
      </c>
      <c r="D921">
        <v>2011</v>
      </c>
      <c r="E921" t="s">
        <v>2467</v>
      </c>
      <c r="F921" t="s">
        <v>2142</v>
      </c>
    </row>
    <row r="922" spans="1:6">
      <c r="A922" t="s">
        <v>2471</v>
      </c>
      <c r="B922" t="s">
        <v>2472</v>
      </c>
      <c r="C922" t="s">
        <v>490</v>
      </c>
      <c r="D922">
        <v>2011</v>
      </c>
      <c r="E922" t="s">
        <v>2473</v>
      </c>
      <c r="F922" t="s">
        <v>2142</v>
      </c>
    </row>
    <row r="923" spans="1:6">
      <c r="A923" t="s">
        <v>4174</v>
      </c>
      <c r="B923" t="s">
        <v>4175</v>
      </c>
      <c r="C923" t="s">
        <v>2357</v>
      </c>
      <c r="D923">
        <v>2011</v>
      </c>
      <c r="E923" t="s">
        <v>4176</v>
      </c>
      <c r="F923" t="s">
        <v>3948</v>
      </c>
    </row>
    <row r="924" spans="1:6">
      <c r="A924" t="s">
        <v>4177</v>
      </c>
      <c r="B924" t="s">
        <v>4178</v>
      </c>
      <c r="C924" t="s">
        <v>939</v>
      </c>
      <c r="D924">
        <v>2011</v>
      </c>
      <c r="E924" t="s">
        <v>4179</v>
      </c>
      <c r="F924" t="s">
        <v>3948</v>
      </c>
    </row>
    <row r="925" spans="1:6">
      <c r="A925" t="s">
        <v>3630</v>
      </c>
      <c r="B925" t="s">
        <v>3631</v>
      </c>
      <c r="C925" t="s">
        <v>72</v>
      </c>
      <c r="D925">
        <v>2011</v>
      </c>
      <c r="E925" t="s">
        <v>3632</v>
      </c>
      <c r="F925" t="s">
        <v>3356</v>
      </c>
    </row>
    <row r="926" spans="1:6">
      <c r="A926" t="s">
        <v>2635</v>
      </c>
      <c r="B926" t="s">
        <v>2636</v>
      </c>
      <c r="C926" t="s">
        <v>1350</v>
      </c>
      <c r="D926">
        <v>2011</v>
      </c>
      <c r="E926" t="s">
        <v>2637</v>
      </c>
      <c r="F926" t="s">
        <v>2142</v>
      </c>
    </row>
    <row r="927" spans="1:6">
      <c r="A927" t="s">
        <v>2302</v>
      </c>
      <c r="B927" t="s">
        <v>2023</v>
      </c>
      <c r="C927" t="s">
        <v>27</v>
      </c>
      <c r="D927">
        <v>2011</v>
      </c>
      <c r="E927" t="s">
        <v>2303</v>
      </c>
      <c r="F927" t="s">
        <v>2142</v>
      </c>
    </row>
    <row r="928" spans="1:6">
      <c r="A928" t="s">
        <v>2431</v>
      </c>
      <c r="B928" t="s">
        <v>2432</v>
      </c>
      <c r="C928" t="s">
        <v>2433</v>
      </c>
      <c r="D928">
        <v>2011</v>
      </c>
      <c r="E928" t="s">
        <v>2434</v>
      </c>
      <c r="F928" t="s">
        <v>2142</v>
      </c>
    </row>
    <row r="929" spans="1:6">
      <c r="A929" t="s">
        <v>3763</v>
      </c>
      <c r="B929" t="s">
        <v>3764</v>
      </c>
      <c r="C929" t="s">
        <v>612</v>
      </c>
      <c r="D929">
        <v>2011</v>
      </c>
      <c r="E929" t="s">
        <v>3765</v>
      </c>
      <c r="F929" t="s">
        <v>3356</v>
      </c>
    </row>
    <row r="930" spans="1:6">
      <c r="A930" t="s">
        <v>3458</v>
      </c>
      <c r="B930" t="s">
        <v>3459</v>
      </c>
      <c r="C930" t="s">
        <v>3460</v>
      </c>
      <c r="D930">
        <v>2011</v>
      </c>
      <c r="E930" t="s">
        <v>3461</v>
      </c>
      <c r="F930" t="s">
        <v>3356</v>
      </c>
    </row>
    <row r="931" spans="1:6">
      <c r="A931" t="s">
        <v>2271</v>
      </c>
      <c r="B931" t="s">
        <v>2272</v>
      </c>
      <c r="C931" t="s">
        <v>444</v>
      </c>
      <c r="D931">
        <v>2011</v>
      </c>
      <c r="E931" t="s">
        <v>2273</v>
      </c>
      <c r="F931" t="s">
        <v>2142</v>
      </c>
    </row>
    <row r="932" spans="1:6">
      <c r="A932" t="s">
        <v>4293</v>
      </c>
      <c r="B932" t="s">
        <v>4294</v>
      </c>
      <c r="C932" t="s">
        <v>7</v>
      </c>
      <c r="D932">
        <v>2011</v>
      </c>
      <c r="E932" t="s">
        <v>4295</v>
      </c>
      <c r="F932" t="s">
        <v>3948</v>
      </c>
    </row>
    <row r="933" spans="1:6">
      <c r="A933" t="s">
        <v>2187</v>
      </c>
      <c r="B933" t="s">
        <v>2188</v>
      </c>
      <c r="C933" t="s">
        <v>7</v>
      </c>
      <c r="D933">
        <v>2011</v>
      </c>
      <c r="E933" t="s">
        <v>2189</v>
      </c>
      <c r="F933" t="s">
        <v>2142</v>
      </c>
    </row>
    <row r="934" spans="1:6">
      <c r="A934" t="s">
        <v>2874</v>
      </c>
      <c r="B934" t="s">
        <v>2875</v>
      </c>
      <c r="C934" t="s">
        <v>27</v>
      </c>
      <c r="D934">
        <v>2011</v>
      </c>
      <c r="E934" t="s">
        <v>2876</v>
      </c>
      <c r="F934" t="s">
        <v>2757</v>
      </c>
    </row>
    <row r="935" spans="1:6">
      <c r="A935" t="s">
        <v>2748</v>
      </c>
      <c r="B935" t="s">
        <v>2749</v>
      </c>
      <c r="C935" t="s">
        <v>7</v>
      </c>
      <c r="D935">
        <v>2011</v>
      </c>
      <c r="E935" t="s">
        <v>2750</v>
      </c>
      <c r="F935" t="s">
        <v>2142</v>
      </c>
    </row>
    <row r="936" spans="1:6">
      <c r="A936" t="s">
        <v>4206</v>
      </c>
      <c r="B936" t="s">
        <v>4207</v>
      </c>
      <c r="C936" t="s">
        <v>15</v>
      </c>
      <c r="D936">
        <v>2011</v>
      </c>
      <c r="E936" t="s">
        <v>4208</v>
      </c>
      <c r="F936" t="s">
        <v>3948</v>
      </c>
    </row>
    <row r="937" spans="1:6">
      <c r="A937" t="s">
        <v>4461</v>
      </c>
      <c r="B937" t="s">
        <v>4462</v>
      </c>
      <c r="C937" t="s">
        <v>4463</v>
      </c>
      <c r="D937">
        <v>2011</v>
      </c>
      <c r="E937" t="s">
        <v>4464</v>
      </c>
      <c r="F937" t="s">
        <v>3948</v>
      </c>
    </row>
    <row r="938" spans="1:6">
      <c r="A938" t="s">
        <v>2914</v>
      </c>
      <c r="B938" t="s">
        <v>2915</v>
      </c>
      <c r="C938" t="s">
        <v>2916</v>
      </c>
      <c r="D938">
        <v>2011</v>
      </c>
      <c r="E938" t="s">
        <v>2917</v>
      </c>
      <c r="F938" t="s">
        <v>2757</v>
      </c>
    </row>
    <row r="939" spans="1:6">
      <c r="A939" t="s">
        <v>2647</v>
      </c>
      <c r="B939" t="s">
        <v>2648</v>
      </c>
      <c r="C939" t="s">
        <v>90</v>
      </c>
      <c r="D939">
        <v>2011</v>
      </c>
      <c r="E939" t="s">
        <v>2649</v>
      </c>
      <c r="F939" t="s">
        <v>2142</v>
      </c>
    </row>
    <row r="940" spans="1:6">
      <c r="A940" t="s">
        <v>3750</v>
      </c>
      <c r="B940" t="s">
        <v>3751</v>
      </c>
      <c r="C940" t="s">
        <v>2433</v>
      </c>
      <c r="D940">
        <v>2011</v>
      </c>
      <c r="E940" t="s">
        <v>3752</v>
      </c>
      <c r="F940" t="s">
        <v>3356</v>
      </c>
    </row>
    <row r="941" spans="1:6">
      <c r="A941" t="s">
        <v>2175</v>
      </c>
      <c r="B941" t="s">
        <v>2176</v>
      </c>
      <c r="C941" t="s">
        <v>19</v>
      </c>
      <c r="D941">
        <v>2011</v>
      </c>
      <c r="E941" t="s">
        <v>2177</v>
      </c>
      <c r="F941" t="s">
        <v>2142</v>
      </c>
    </row>
    <row r="942" spans="1:6">
      <c r="A942" t="s">
        <v>3620</v>
      </c>
      <c r="B942" t="s">
        <v>3621</v>
      </c>
      <c r="C942" t="s">
        <v>2603</v>
      </c>
      <c r="D942">
        <v>2011</v>
      </c>
      <c r="E942" t="s">
        <v>3622</v>
      </c>
      <c r="F942" t="s">
        <v>3356</v>
      </c>
    </row>
    <row r="943" spans="1:6">
      <c r="A943" t="s">
        <v>184</v>
      </c>
      <c r="B943" t="s">
        <v>185</v>
      </c>
      <c r="C943" t="s">
        <v>27</v>
      </c>
      <c r="D943">
        <v>2010</v>
      </c>
      <c r="E943" t="s">
        <v>186</v>
      </c>
      <c r="F943" t="s">
        <v>4</v>
      </c>
    </row>
    <row r="944" spans="1:6">
      <c r="A944" t="s">
        <v>851</v>
      </c>
      <c r="B944" t="s">
        <v>852</v>
      </c>
      <c r="C944" t="s">
        <v>19</v>
      </c>
      <c r="D944">
        <v>2010</v>
      </c>
      <c r="E944" t="s">
        <v>853</v>
      </c>
      <c r="F944" t="s">
        <v>686</v>
      </c>
    </row>
    <row r="945" spans="1:6">
      <c r="A945" t="s">
        <v>1082</v>
      </c>
      <c r="B945" t="s">
        <v>1083</v>
      </c>
      <c r="C945" t="s">
        <v>2</v>
      </c>
      <c r="D945">
        <v>2010</v>
      </c>
      <c r="E945" t="s">
        <v>1084</v>
      </c>
      <c r="F945" t="s">
        <v>686</v>
      </c>
    </row>
    <row r="946" spans="1:6">
      <c r="A946" t="s">
        <v>382</v>
      </c>
      <c r="B946" t="s">
        <v>383</v>
      </c>
      <c r="C946" t="s">
        <v>90</v>
      </c>
      <c r="D946">
        <v>2010</v>
      </c>
      <c r="E946" t="s">
        <v>384</v>
      </c>
      <c r="F946" t="s">
        <v>4</v>
      </c>
    </row>
    <row r="947" spans="1:6">
      <c r="A947" t="s">
        <v>874</v>
      </c>
      <c r="B947" t="s">
        <v>875</v>
      </c>
      <c r="C947" t="s">
        <v>19</v>
      </c>
      <c r="D947">
        <v>2010</v>
      </c>
      <c r="E947" t="s">
        <v>876</v>
      </c>
      <c r="F947" t="s">
        <v>686</v>
      </c>
    </row>
    <row r="948" spans="1:6">
      <c r="A948" t="s">
        <v>1863</v>
      </c>
      <c r="B948" t="s">
        <v>1864</v>
      </c>
      <c r="C948" t="s">
        <v>19</v>
      </c>
      <c r="D948">
        <v>2010</v>
      </c>
      <c r="E948" t="s">
        <v>1865</v>
      </c>
      <c r="F948" t="s">
        <v>1328</v>
      </c>
    </row>
    <row r="949" spans="1:6">
      <c r="A949" t="s">
        <v>1032</v>
      </c>
      <c r="B949" t="s">
        <v>1033</v>
      </c>
      <c r="C949" t="s">
        <v>2</v>
      </c>
      <c r="D949">
        <v>2010</v>
      </c>
      <c r="E949" t="s">
        <v>1034</v>
      </c>
      <c r="F949" t="s">
        <v>686</v>
      </c>
    </row>
    <row r="950" spans="1:6">
      <c r="A950" t="s">
        <v>916</v>
      </c>
      <c r="B950" t="s">
        <v>917</v>
      </c>
      <c r="C950" t="s">
        <v>2</v>
      </c>
      <c r="D950">
        <v>2010</v>
      </c>
      <c r="E950" t="s">
        <v>918</v>
      </c>
      <c r="F950" t="s">
        <v>686</v>
      </c>
    </row>
    <row r="951" spans="1:6">
      <c r="A951" t="s">
        <v>1595</v>
      </c>
      <c r="B951" t="s">
        <v>1596</v>
      </c>
      <c r="C951" t="s">
        <v>1597</v>
      </c>
      <c r="D951">
        <v>2010</v>
      </c>
      <c r="E951" t="s">
        <v>1598</v>
      </c>
      <c r="F951" t="s">
        <v>1328</v>
      </c>
    </row>
    <row r="952" spans="1:6">
      <c r="A952" t="s">
        <v>413</v>
      </c>
      <c r="B952" t="s">
        <v>414</v>
      </c>
      <c r="C952" t="s">
        <v>54</v>
      </c>
      <c r="D952">
        <v>2010</v>
      </c>
      <c r="E952" t="s">
        <v>415</v>
      </c>
      <c r="F952" t="s">
        <v>4</v>
      </c>
    </row>
    <row r="953" spans="1:6">
      <c r="A953" t="s">
        <v>431</v>
      </c>
      <c r="B953" t="s">
        <v>432</v>
      </c>
      <c r="C953" t="s">
        <v>326</v>
      </c>
      <c r="D953">
        <v>2010</v>
      </c>
      <c r="E953" t="s">
        <v>433</v>
      </c>
      <c r="F953" t="s">
        <v>4</v>
      </c>
    </row>
    <row r="954" spans="1:6">
      <c r="A954" t="s">
        <v>1056</v>
      </c>
      <c r="B954" t="s">
        <v>1057</v>
      </c>
      <c r="C954" t="s">
        <v>2</v>
      </c>
      <c r="D954">
        <v>2010</v>
      </c>
      <c r="E954" t="s">
        <v>1058</v>
      </c>
      <c r="F954" t="s">
        <v>686</v>
      </c>
    </row>
    <row r="955" spans="1:6">
      <c r="A955" t="s">
        <v>1949</v>
      </c>
      <c r="B955" t="s">
        <v>1950</v>
      </c>
      <c r="C955" t="s">
        <v>1821</v>
      </c>
      <c r="D955">
        <v>2010</v>
      </c>
      <c r="E955" t="s">
        <v>1951</v>
      </c>
      <c r="F955" t="s">
        <v>1917</v>
      </c>
    </row>
    <row r="956" spans="1:6">
      <c r="A956" t="s">
        <v>410</v>
      </c>
      <c r="B956" t="s">
        <v>411</v>
      </c>
      <c r="C956" t="s">
        <v>27</v>
      </c>
      <c r="D956">
        <v>2010</v>
      </c>
      <c r="E956" t="s">
        <v>412</v>
      </c>
      <c r="F956" t="s">
        <v>4</v>
      </c>
    </row>
    <row r="957" spans="1:6">
      <c r="A957" t="s">
        <v>56</v>
      </c>
      <c r="B957" t="s">
        <v>57</v>
      </c>
      <c r="C957" t="s">
        <v>27</v>
      </c>
      <c r="D957">
        <v>2010</v>
      </c>
      <c r="E957" t="s">
        <v>58</v>
      </c>
      <c r="F957" t="s">
        <v>4</v>
      </c>
    </row>
    <row r="958" spans="1:6">
      <c r="A958" t="s">
        <v>995</v>
      </c>
      <c r="B958" t="s">
        <v>996</v>
      </c>
      <c r="C958" t="s">
        <v>118</v>
      </c>
      <c r="D958">
        <v>2010</v>
      </c>
      <c r="E958" t="s">
        <v>997</v>
      </c>
      <c r="F958" t="s">
        <v>686</v>
      </c>
    </row>
    <row r="959" spans="1:6">
      <c r="A959" t="s">
        <v>1475</v>
      </c>
      <c r="B959" t="s">
        <v>1476</v>
      </c>
      <c r="C959" t="s">
        <v>1477</v>
      </c>
      <c r="D959">
        <v>2010</v>
      </c>
      <c r="E959" t="s">
        <v>1478</v>
      </c>
      <c r="F959" t="s">
        <v>1328</v>
      </c>
    </row>
    <row r="960" spans="1:6">
      <c r="A960" t="s">
        <v>240</v>
      </c>
      <c r="B960" t="s">
        <v>241</v>
      </c>
      <c r="C960" t="s">
        <v>242</v>
      </c>
      <c r="D960">
        <v>2010</v>
      </c>
      <c r="E960" t="s">
        <v>243</v>
      </c>
      <c r="F960" t="s">
        <v>4</v>
      </c>
    </row>
    <row r="961" spans="1:6">
      <c r="A961" t="s">
        <v>1419</v>
      </c>
      <c r="B961" t="s">
        <v>1420</v>
      </c>
      <c r="C961" t="s">
        <v>1421</v>
      </c>
      <c r="D961">
        <v>2010</v>
      </c>
      <c r="E961" t="s">
        <v>1422</v>
      </c>
      <c r="F961" t="s">
        <v>1328</v>
      </c>
    </row>
    <row r="962" spans="1:6">
      <c r="A962" t="s">
        <v>1606</v>
      </c>
      <c r="B962" t="s">
        <v>1607</v>
      </c>
      <c r="C962" t="s">
        <v>1608</v>
      </c>
      <c r="D962">
        <v>2010</v>
      </c>
      <c r="E962" t="s">
        <v>1609</v>
      </c>
      <c r="F962" t="s">
        <v>1328</v>
      </c>
    </row>
    <row r="963" spans="1:6">
      <c r="A963" t="s">
        <v>346</v>
      </c>
      <c r="B963" t="s">
        <v>347</v>
      </c>
      <c r="C963" t="s">
        <v>90</v>
      </c>
      <c r="D963">
        <v>2010</v>
      </c>
      <c r="E963" t="s">
        <v>348</v>
      </c>
      <c r="F963" t="s">
        <v>4</v>
      </c>
    </row>
    <row r="964" spans="1:6">
      <c r="A964" t="s">
        <v>1345</v>
      </c>
      <c r="B964" t="s">
        <v>1346</v>
      </c>
      <c r="C964" t="s">
        <v>326</v>
      </c>
      <c r="D964">
        <v>2010</v>
      </c>
      <c r="E964" t="s">
        <v>1347</v>
      </c>
      <c r="F964" t="s">
        <v>1328</v>
      </c>
    </row>
    <row r="965" spans="1:6">
      <c r="A965" t="s">
        <v>953</v>
      </c>
      <c r="B965" t="s">
        <v>954</v>
      </c>
      <c r="C965" t="s">
        <v>35</v>
      </c>
      <c r="D965">
        <v>2010</v>
      </c>
      <c r="E965" t="s">
        <v>955</v>
      </c>
      <c r="F965" t="s">
        <v>686</v>
      </c>
    </row>
    <row r="966" spans="1:6">
      <c r="A966" t="s">
        <v>600</v>
      </c>
      <c r="B966" t="s">
        <v>601</v>
      </c>
      <c r="C966" t="s">
        <v>118</v>
      </c>
      <c r="D966">
        <v>2010</v>
      </c>
      <c r="E966" t="s">
        <v>602</v>
      </c>
      <c r="F966" t="s">
        <v>4</v>
      </c>
    </row>
    <row r="967" spans="1:6">
      <c r="A967" t="s">
        <v>1667</v>
      </c>
      <c r="B967" t="s">
        <v>1668</v>
      </c>
      <c r="C967" t="s">
        <v>1669</v>
      </c>
      <c r="D967">
        <v>2010</v>
      </c>
      <c r="E967" t="s">
        <v>1670</v>
      </c>
      <c r="F967" t="s">
        <v>1328</v>
      </c>
    </row>
    <row r="968" spans="1:6">
      <c r="A968" t="s">
        <v>2112</v>
      </c>
      <c r="B968" t="s">
        <v>2113</v>
      </c>
      <c r="C968" t="s">
        <v>114</v>
      </c>
      <c r="D968">
        <v>2010</v>
      </c>
      <c r="E968" t="s">
        <v>2114</v>
      </c>
      <c r="F968" t="s">
        <v>1917</v>
      </c>
    </row>
    <row r="969" spans="1:6">
      <c r="A969" t="s">
        <v>1724</v>
      </c>
      <c r="B969" t="s">
        <v>321</v>
      </c>
      <c r="C969" t="s">
        <v>90</v>
      </c>
      <c r="D969">
        <v>2010</v>
      </c>
      <c r="E969" t="s">
        <v>2021</v>
      </c>
      <c r="F969" t="s">
        <v>1917</v>
      </c>
    </row>
    <row r="970" spans="1:6">
      <c r="A970" t="s">
        <v>2085</v>
      </c>
      <c r="B970" t="s">
        <v>2086</v>
      </c>
      <c r="C970" t="s">
        <v>114</v>
      </c>
      <c r="D970">
        <v>2010</v>
      </c>
      <c r="E970" t="s">
        <v>2087</v>
      </c>
      <c r="F970" t="s">
        <v>1917</v>
      </c>
    </row>
    <row r="971" spans="1:6">
      <c r="A971" t="s">
        <v>1908</v>
      </c>
      <c r="B971" t="s">
        <v>1909</v>
      </c>
      <c r="C971" t="s">
        <v>781</v>
      </c>
      <c r="D971">
        <v>2010</v>
      </c>
      <c r="E971" t="s">
        <v>1910</v>
      </c>
      <c r="F971" t="s">
        <v>1328</v>
      </c>
    </row>
    <row r="972" spans="1:6">
      <c r="A972" t="s">
        <v>2061</v>
      </c>
      <c r="B972" t="s">
        <v>2062</v>
      </c>
      <c r="C972" t="s">
        <v>1365</v>
      </c>
      <c r="D972">
        <v>2010</v>
      </c>
      <c r="E972" t="s">
        <v>2063</v>
      </c>
      <c r="F972" t="s">
        <v>1917</v>
      </c>
    </row>
    <row r="973" spans="1:6">
      <c r="A973" t="s">
        <v>1069</v>
      </c>
      <c r="B973" t="s">
        <v>1070</v>
      </c>
      <c r="C973" t="s">
        <v>1071</v>
      </c>
      <c r="D973">
        <v>2010</v>
      </c>
      <c r="E973" t="s">
        <v>1072</v>
      </c>
      <c r="F973" t="s">
        <v>686</v>
      </c>
    </row>
    <row r="974" spans="1:6">
      <c r="A974" t="s">
        <v>1936</v>
      </c>
      <c r="B974" t="s">
        <v>1937</v>
      </c>
      <c r="C974" t="s">
        <v>1204</v>
      </c>
      <c r="D974">
        <v>2010</v>
      </c>
      <c r="E974" t="s">
        <v>1938</v>
      </c>
      <c r="F974" t="s">
        <v>1917</v>
      </c>
    </row>
    <row r="975" spans="1:6">
      <c r="A975" t="s">
        <v>972</v>
      </c>
      <c r="B975" t="s">
        <v>973</v>
      </c>
      <c r="C975" t="s">
        <v>27</v>
      </c>
      <c r="D975">
        <v>2010</v>
      </c>
      <c r="E975" t="s">
        <v>974</v>
      </c>
      <c r="F975" t="s">
        <v>686</v>
      </c>
    </row>
    <row r="976" spans="1:6">
      <c r="A976" t="s">
        <v>2057</v>
      </c>
      <c r="B976" t="s">
        <v>2058</v>
      </c>
      <c r="C976" t="s">
        <v>2059</v>
      </c>
      <c r="D976">
        <v>2010</v>
      </c>
      <c r="E976" t="s">
        <v>2060</v>
      </c>
      <c r="F976" t="s">
        <v>1917</v>
      </c>
    </row>
    <row r="977" spans="1:6">
      <c r="A977" t="s">
        <v>397</v>
      </c>
      <c r="B977" t="s">
        <v>398</v>
      </c>
      <c r="C977" t="s">
        <v>27</v>
      </c>
      <c r="D977">
        <v>2010</v>
      </c>
      <c r="E977" t="s">
        <v>399</v>
      </c>
      <c r="F977" t="s">
        <v>4</v>
      </c>
    </row>
    <row r="978" spans="1:6">
      <c r="A978" t="s">
        <v>136</v>
      </c>
      <c r="B978" t="s">
        <v>137</v>
      </c>
      <c r="C978" t="s">
        <v>72</v>
      </c>
      <c r="D978">
        <v>2010</v>
      </c>
      <c r="E978" t="s">
        <v>138</v>
      </c>
      <c r="F978" t="s">
        <v>4</v>
      </c>
    </row>
    <row r="979" spans="1:6">
      <c r="A979" t="s">
        <v>518</v>
      </c>
      <c r="B979" t="s">
        <v>519</v>
      </c>
      <c r="C979" t="s">
        <v>520</v>
      </c>
      <c r="D979">
        <v>2010</v>
      </c>
      <c r="E979" t="s">
        <v>521</v>
      </c>
      <c r="F979" t="s">
        <v>4</v>
      </c>
    </row>
    <row r="980" spans="1:6">
      <c r="A980" t="s">
        <v>317</v>
      </c>
      <c r="B980" t="s">
        <v>318</v>
      </c>
      <c r="C980" t="s">
        <v>72</v>
      </c>
      <c r="D980">
        <v>2010</v>
      </c>
      <c r="E980" t="s">
        <v>319</v>
      </c>
      <c r="F980" t="s">
        <v>4</v>
      </c>
    </row>
    <row r="981" spans="1:6">
      <c r="A981" t="s">
        <v>959</v>
      </c>
      <c r="B981" t="s">
        <v>960</v>
      </c>
      <c r="C981" t="s">
        <v>27</v>
      </c>
      <c r="D981">
        <v>2010</v>
      </c>
      <c r="E981" t="s">
        <v>961</v>
      </c>
      <c r="F981" t="s">
        <v>686</v>
      </c>
    </row>
    <row r="982" spans="1:6">
      <c r="A982" t="s">
        <v>1713</v>
      </c>
      <c r="B982" t="s">
        <v>1714</v>
      </c>
      <c r="C982" t="s">
        <v>1322</v>
      </c>
      <c r="D982">
        <v>2010</v>
      </c>
      <c r="E982" t="s">
        <v>1715</v>
      </c>
      <c r="F982" t="s">
        <v>1328</v>
      </c>
    </row>
    <row r="983" spans="1:6">
      <c r="A983" t="s">
        <v>1223</v>
      </c>
      <c r="B983" t="s">
        <v>1224</v>
      </c>
      <c r="C983" t="s">
        <v>211</v>
      </c>
      <c r="D983">
        <v>2010</v>
      </c>
      <c r="E983" t="s">
        <v>1225</v>
      </c>
      <c r="F983" t="s">
        <v>686</v>
      </c>
    </row>
    <row r="984" spans="1:6">
      <c r="A984" t="s">
        <v>1978</v>
      </c>
      <c r="B984" t="s">
        <v>1979</v>
      </c>
      <c r="C984" t="s">
        <v>1548</v>
      </c>
      <c r="D984">
        <v>2010</v>
      </c>
      <c r="E984" t="s">
        <v>1980</v>
      </c>
      <c r="F984" t="s">
        <v>1917</v>
      </c>
    </row>
    <row r="985" spans="1:6">
      <c r="A985" t="s">
        <v>1013</v>
      </c>
      <c r="B985" t="s">
        <v>1014</v>
      </c>
      <c r="C985" t="s">
        <v>114</v>
      </c>
      <c r="D985">
        <v>2010</v>
      </c>
      <c r="E985" t="s">
        <v>1015</v>
      </c>
      <c r="F985" t="s">
        <v>686</v>
      </c>
    </row>
    <row r="986" spans="1:6">
      <c r="A986" t="s">
        <v>2106</v>
      </c>
      <c r="B986" t="s">
        <v>2107</v>
      </c>
      <c r="C986" t="s">
        <v>114</v>
      </c>
      <c r="D986">
        <v>2010</v>
      </c>
      <c r="E986" t="s">
        <v>2108</v>
      </c>
      <c r="F986" t="s">
        <v>1917</v>
      </c>
    </row>
    <row r="987" spans="1:6">
      <c r="A987" t="s">
        <v>700</v>
      </c>
      <c r="B987" t="s">
        <v>701</v>
      </c>
      <c r="C987" t="s">
        <v>27</v>
      </c>
      <c r="D987">
        <v>2010</v>
      </c>
      <c r="E987" t="s">
        <v>702</v>
      </c>
      <c r="F987" t="s">
        <v>686</v>
      </c>
    </row>
    <row r="988" spans="1:6">
      <c r="A988" t="s">
        <v>1550</v>
      </c>
      <c r="B988" t="s">
        <v>1551</v>
      </c>
      <c r="C988" t="s">
        <v>326</v>
      </c>
      <c r="D988">
        <v>2010</v>
      </c>
      <c r="E988" t="s">
        <v>1552</v>
      </c>
      <c r="F988" t="s">
        <v>1328</v>
      </c>
    </row>
    <row r="989" spans="1:6">
      <c r="A989" t="s">
        <v>81</v>
      </c>
      <c r="B989" t="s">
        <v>82</v>
      </c>
      <c r="C989" t="s">
        <v>27</v>
      </c>
      <c r="D989">
        <v>2010</v>
      </c>
      <c r="E989" t="s">
        <v>83</v>
      </c>
      <c r="F989" t="s">
        <v>4</v>
      </c>
    </row>
    <row r="990" spans="1:6">
      <c r="A990" t="s">
        <v>2100</v>
      </c>
      <c r="B990" t="s">
        <v>2101</v>
      </c>
      <c r="C990" t="s">
        <v>114</v>
      </c>
      <c r="D990">
        <v>2010</v>
      </c>
      <c r="E990" t="s">
        <v>2102</v>
      </c>
      <c r="F990" t="s">
        <v>1917</v>
      </c>
    </row>
    <row r="991" spans="1:6">
      <c r="A991" t="s">
        <v>759</v>
      </c>
      <c r="B991" t="s">
        <v>760</v>
      </c>
      <c r="C991" t="s">
        <v>761</v>
      </c>
      <c r="D991">
        <v>2010</v>
      </c>
      <c r="E991" t="s">
        <v>762</v>
      </c>
      <c r="F991" t="s">
        <v>686</v>
      </c>
    </row>
    <row r="992" spans="1:6">
      <c r="A992" t="s">
        <v>825</v>
      </c>
      <c r="B992" t="s">
        <v>826</v>
      </c>
      <c r="C992" t="s">
        <v>27</v>
      </c>
      <c r="D992">
        <v>2010</v>
      </c>
      <c r="E992" t="s">
        <v>827</v>
      </c>
      <c r="F992" t="s">
        <v>686</v>
      </c>
    </row>
    <row r="993" spans="1:6">
      <c r="A993" t="s">
        <v>1995</v>
      </c>
      <c r="B993" t="s">
        <v>1996</v>
      </c>
      <c r="C993" t="s">
        <v>1244</v>
      </c>
      <c r="D993">
        <v>2010</v>
      </c>
      <c r="E993" t="s">
        <v>1997</v>
      </c>
      <c r="F993" t="s">
        <v>1917</v>
      </c>
    </row>
    <row r="994" spans="1:6">
      <c r="A994" t="s">
        <v>70</v>
      </c>
      <c r="B994" t="s">
        <v>71</v>
      </c>
      <c r="C994" t="s">
        <v>72</v>
      </c>
      <c r="D994">
        <v>2010</v>
      </c>
      <c r="E994" t="s">
        <v>73</v>
      </c>
      <c r="F994" t="s">
        <v>4</v>
      </c>
    </row>
    <row r="995" spans="1:6">
      <c r="A995" t="s">
        <v>1946</v>
      </c>
      <c r="B995" t="s">
        <v>1947</v>
      </c>
      <c r="C995" t="s">
        <v>15</v>
      </c>
      <c r="D995">
        <v>2010</v>
      </c>
      <c r="E995" t="s">
        <v>1948</v>
      </c>
      <c r="F995" t="s">
        <v>1917</v>
      </c>
    </row>
    <row r="996" spans="1:6">
      <c r="A996" t="s">
        <v>1252</v>
      </c>
      <c r="B996" t="s">
        <v>1253</v>
      </c>
      <c r="C996" t="s">
        <v>219</v>
      </c>
      <c r="D996">
        <v>2010</v>
      </c>
      <c r="E996" t="s">
        <v>1254</v>
      </c>
      <c r="F996" t="s">
        <v>686</v>
      </c>
    </row>
    <row r="997" spans="1:6">
      <c r="A997" t="s">
        <v>1262</v>
      </c>
      <c r="B997" t="s">
        <v>1263</v>
      </c>
      <c r="C997" t="s">
        <v>1264</v>
      </c>
      <c r="D997">
        <v>2010</v>
      </c>
      <c r="E997" t="s">
        <v>1265</v>
      </c>
      <c r="F997" t="s">
        <v>686</v>
      </c>
    </row>
    <row r="998" spans="1:6">
      <c r="A998" t="s">
        <v>224</v>
      </c>
      <c r="B998" t="s">
        <v>225</v>
      </c>
      <c r="C998" t="s">
        <v>19</v>
      </c>
      <c r="D998">
        <v>2010</v>
      </c>
      <c r="E998" t="s">
        <v>226</v>
      </c>
      <c r="F998" t="s">
        <v>4</v>
      </c>
    </row>
    <row r="999" spans="1:6">
      <c r="A999" t="s">
        <v>1035</v>
      </c>
      <c r="B999" t="s">
        <v>1036</v>
      </c>
      <c r="C999" t="s">
        <v>1037</v>
      </c>
      <c r="D999">
        <v>2010</v>
      </c>
      <c r="E999" t="s">
        <v>1038</v>
      </c>
      <c r="F999" t="s">
        <v>686</v>
      </c>
    </row>
    <row r="1000" spans="1:6">
      <c r="A1000" t="s">
        <v>403</v>
      </c>
      <c r="B1000" t="s">
        <v>404</v>
      </c>
      <c r="C1000" t="s">
        <v>27</v>
      </c>
      <c r="D1000">
        <v>2010</v>
      </c>
      <c r="E1000" t="s">
        <v>405</v>
      </c>
      <c r="F1000" t="s">
        <v>4</v>
      </c>
    </row>
    <row r="1001" spans="1:6">
      <c r="A1001" t="s">
        <v>1599</v>
      </c>
      <c r="B1001" t="s">
        <v>1600</v>
      </c>
      <c r="C1001" t="s">
        <v>1601</v>
      </c>
      <c r="D1001">
        <v>2010</v>
      </c>
      <c r="E1001" t="s">
        <v>1602</v>
      </c>
      <c r="F1001" t="s">
        <v>1328</v>
      </c>
    </row>
    <row r="1002" spans="1:6">
      <c r="A1002" t="s">
        <v>1563</v>
      </c>
      <c r="B1002" t="s">
        <v>1564</v>
      </c>
      <c r="C1002" t="s">
        <v>781</v>
      </c>
      <c r="D1002">
        <v>2010</v>
      </c>
      <c r="E1002" t="s">
        <v>1565</v>
      </c>
      <c r="F1002" t="s">
        <v>1328</v>
      </c>
    </row>
    <row r="1003" spans="1:6">
      <c r="A1003" t="s">
        <v>1233</v>
      </c>
      <c r="B1003" t="s">
        <v>1234</v>
      </c>
      <c r="C1003" t="s">
        <v>27</v>
      </c>
      <c r="D1003">
        <v>2010</v>
      </c>
      <c r="E1003" t="s">
        <v>1235</v>
      </c>
      <c r="F1003" t="s">
        <v>686</v>
      </c>
    </row>
    <row r="1004" spans="1:6">
      <c r="A1004" t="s">
        <v>25</v>
      </c>
      <c r="B1004" t="s">
        <v>26</v>
      </c>
      <c r="C1004" t="s">
        <v>27</v>
      </c>
      <c r="D1004">
        <v>2010</v>
      </c>
      <c r="E1004" t="s">
        <v>28</v>
      </c>
      <c r="F1004" t="s">
        <v>4</v>
      </c>
    </row>
    <row r="1005" spans="1:6">
      <c r="A1005" t="s">
        <v>2133</v>
      </c>
      <c r="B1005" t="s">
        <v>2134</v>
      </c>
      <c r="C1005" t="s">
        <v>869</v>
      </c>
      <c r="D1005">
        <v>2010</v>
      </c>
      <c r="E1005" t="s">
        <v>2135</v>
      </c>
      <c r="F1005" t="s">
        <v>1917</v>
      </c>
    </row>
    <row r="1006" spans="1:6">
      <c r="A1006" t="s">
        <v>158</v>
      </c>
      <c r="B1006" t="s">
        <v>159</v>
      </c>
      <c r="C1006" t="s">
        <v>160</v>
      </c>
      <c r="D1006">
        <v>2010</v>
      </c>
      <c r="E1006" t="s">
        <v>161</v>
      </c>
      <c r="F1006" t="s">
        <v>4</v>
      </c>
    </row>
    <row r="1007" spans="1:6">
      <c r="A1007" t="s">
        <v>1092</v>
      </c>
      <c r="B1007" t="s">
        <v>1093</v>
      </c>
      <c r="C1007" t="s">
        <v>1094</v>
      </c>
      <c r="D1007">
        <v>2010</v>
      </c>
      <c r="E1007" t="s">
        <v>1095</v>
      </c>
      <c r="F1007" t="s">
        <v>686</v>
      </c>
    </row>
    <row r="1008" spans="1:6">
      <c r="A1008" t="s">
        <v>975</v>
      </c>
      <c r="B1008" t="s">
        <v>976</v>
      </c>
      <c r="C1008" t="s">
        <v>27</v>
      </c>
      <c r="D1008">
        <v>2010</v>
      </c>
      <c r="E1008" t="s">
        <v>977</v>
      </c>
      <c r="F1008" t="s">
        <v>686</v>
      </c>
    </row>
    <row r="1009" spans="1:6">
      <c r="A1009" t="s">
        <v>847</v>
      </c>
      <c r="B1009" t="s">
        <v>848</v>
      </c>
      <c r="C1009" t="s">
        <v>849</v>
      </c>
      <c r="D1009">
        <v>2010</v>
      </c>
      <c r="E1009" t="s">
        <v>850</v>
      </c>
      <c r="F1009" t="s">
        <v>686</v>
      </c>
    </row>
    <row r="1010" spans="1:6">
      <c r="A1010" t="s">
        <v>1622</v>
      </c>
      <c r="B1010" t="s">
        <v>1623</v>
      </c>
      <c r="C1010" t="s">
        <v>1624</v>
      </c>
      <c r="D1010">
        <v>2010</v>
      </c>
      <c r="E1010" t="s">
        <v>1625</v>
      </c>
      <c r="F1010" t="s">
        <v>1328</v>
      </c>
    </row>
    <row r="1011" spans="1:6">
      <c r="A1011" t="s">
        <v>485</v>
      </c>
      <c r="B1011" t="s">
        <v>486</v>
      </c>
      <c r="C1011" t="s">
        <v>440</v>
      </c>
      <c r="D1011">
        <v>2010</v>
      </c>
      <c r="E1011" t="s">
        <v>487</v>
      </c>
      <c r="F1011" t="s">
        <v>4</v>
      </c>
    </row>
    <row r="1012" spans="1:6">
      <c r="A1012" t="s">
        <v>1471</v>
      </c>
      <c r="B1012" t="s">
        <v>1472</v>
      </c>
      <c r="C1012" t="s">
        <v>1473</v>
      </c>
      <c r="D1012">
        <v>2010</v>
      </c>
      <c r="E1012" t="s">
        <v>1474</v>
      </c>
      <c r="F1012" t="s">
        <v>1328</v>
      </c>
    </row>
    <row r="1013" spans="1:6">
      <c r="A1013" t="s">
        <v>559</v>
      </c>
      <c r="B1013" t="s">
        <v>560</v>
      </c>
      <c r="C1013" t="s">
        <v>561</v>
      </c>
      <c r="D1013">
        <v>2010</v>
      </c>
      <c r="E1013" t="s">
        <v>562</v>
      </c>
      <c r="F1013" t="s">
        <v>4</v>
      </c>
    </row>
    <row r="1014" spans="1:6">
      <c r="A1014" t="s">
        <v>1111</v>
      </c>
      <c r="B1014" t="s">
        <v>1112</v>
      </c>
      <c r="C1014" t="s">
        <v>229</v>
      </c>
      <c r="D1014">
        <v>2010</v>
      </c>
      <c r="E1014" t="s">
        <v>1113</v>
      </c>
      <c r="F1014" t="s">
        <v>686</v>
      </c>
    </row>
    <row r="1015" spans="1:6">
      <c r="A1015" t="s">
        <v>358</v>
      </c>
      <c r="B1015" t="s">
        <v>359</v>
      </c>
      <c r="C1015" t="s">
        <v>360</v>
      </c>
      <c r="D1015">
        <v>2010</v>
      </c>
      <c r="E1015" t="s">
        <v>361</v>
      </c>
      <c r="F1015" t="s">
        <v>4</v>
      </c>
    </row>
    <row r="1016" spans="1:6">
      <c r="A1016" t="s">
        <v>272</v>
      </c>
      <c r="B1016" t="s">
        <v>273</v>
      </c>
      <c r="C1016" t="s">
        <v>103</v>
      </c>
      <c r="D1016">
        <v>2010</v>
      </c>
      <c r="E1016" t="s">
        <v>274</v>
      </c>
      <c r="F1016" t="s">
        <v>4</v>
      </c>
    </row>
    <row r="1017" spans="1:6">
      <c r="A1017" t="s">
        <v>1716</v>
      </c>
      <c r="B1017" t="s">
        <v>1717</v>
      </c>
      <c r="C1017" t="s">
        <v>114</v>
      </c>
      <c r="D1017">
        <v>2010</v>
      </c>
      <c r="E1017" t="s">
        <v>1718</v>
      </c>
      <c r="F1017" t="s">
        <v>1328</v>
      </c>
    </row>
    <row r="1018" spans="1:6">
      <c r="A1018" t="s">
        <v>934</v>
      </c>
      <c r="B1018" t="s">
        <v>935</v>
      </c>
      <c r="C1018" t="s">
        <v>476</v>
      </c>
      <c r="D1018">
        <v>2010</v>
      </c>
      <c r="E1018" t="s">
        <v>936</v>
      </c>
      <c r="F1018" t="s">
        <v>686</v>
      </c>
    </row>
    <row r="1019" spans="1:6">
      <c r="A1019" t="s">
        <v>1436</v>
      </c>
      <c r="B1019" t="s">
        <v>1437</v>
      </c>
      <c r="C1019" t="s">
        <v>114</v>
      </c>
      <c r="D1019">
        <v>2010</v>
      </c>
      <c r="E1019" t="s">
        <v>1438</v>
      </c>
      <c r="F1019" t="s">
        <v>1328</v>
      </c>
    </row>
    <row r="1020" spans="1:6">
      <c r="A1020" t="s">
        <v>1429</v>
      </c>
      <c r="B1020" t="s">
        <v>1430</v>
      </c>
      <c r="C1020" t="s">
        <v>1431</v>
      </c>
      <c r="D1020">
        <v>2010</v>
      </c>
      <c r="E1020" t="s">
        <v>1432</v>
      </c>
      <c r="F1020" t="s">
        <v>1328</v>
      </c>
    </row>
    <row r="1021" spans="1:6">
      <c r="A1021" t="s">
        <v>221</v>
      </c>
      <c r="B1021" t="s">
        <v>222</v>
      </c>
      <c r="C1021" t="s">
        <v>19</v>
      </c>
      <c r="D1021">
        <v>2010</v>
      </c>
      <c r="E1021" t="s">
        <v>223</v>
      </c>
      <c r="F1021" t="s">
        <v>4</v>
      </c>
    </row>
    <row r="1022" spans="1:6">
      <c r="A1022" t="s">
        <v>1525</v>
      </c>
      <c r="B1022" t="s">
        <v>1526</v>
      </c>
      <c r="C1022" t="s">
        <v>19</v>
      </c>
      <c r="D1022">
        <v>2010</v>
      </c>
      <c r="E1022" t="s">
        <v>1527</v>
      </c>
      <c r="F1022" t="s">
        <v>1328</v>
      </c>
    </row>
    <row r="1023" spans="1:6">
      <c r="A1023" t="s">
        <v>1186</v>
      </c>
      <c r="B1023" t="s">
        <v>450</v>
      </c>
      <c r="C1023" t="s">
        <v>122</v>
      </c>
      <c r="D1023">
        <v>2010</v>
      </c>
      <c r="E1023" t="s">
        <v>1187</v>
      </c>
      <c r="F1023" t="s">
        <v>686</v>
      </c>
    </row>
    <row r="1024" spans="1:6">
      <c r="A1024" t="s">
        <v>931</v>
      </c>
      <c r="B1024" t="s">
        <v>932</v>
      </c>
      <c r="C1024" t="s">
        <v>19</v>
      </c>
      <c r="D1024">
        <v>2010</v>
      </c>
      <c r="E1024" t="s">
        <v>933</v>
      </c>
      <c r="F1024" t="s">
        <v>686</v>
      </c>
    </row>
    <row r="1025" spans="1:6">
      <c r="A1025" t="s">
        <v>618</v>
      </c>
      <c r="B1025" t="s">
        <v>619</v>
      </c>
      <c r="C1025" t="s">
        <v>72</v>
      </c>
      <c r="D1025">
        <v>2010</v>
      </c>
      <c r="E1025" t="s">
        <v>620</v>
      </c>
      <c r="F1025" t="s">
        <v>4</v>
      </c>
    </row>
    <row r="1026" spans="1:6">
      <c r="A1026" t="s">
        <v>580</v>
      </c>
      <c r="B1026" t="s">
        <v>581</v>
      </c>
      <c r="C1026" t="s">
        <v>2</v>
      </c>
      <c r="D1026">
        <v>2010</v>
      </c>
      <c r="E1026" t="s">
        <v>582</v>
      </c>
      <c r="F1026" t="s">
        <v>4</v>
      </c>
    </row>
    <row r="1027" spans="1:6">
      <c r="A1027" t="s">
        <v>638</v>
      </c>
      <c r="B1027" t="s">
        <v>639</v>
      </c>
      <c r="C1027" t="s">
        <v>118</v>
      </c>
      <c r="D1027">
        <v>2010</v>
      </c>
      <c r="E1027" t="s">
        <v>640</v>
      </c>
      <c r="F1027" t="s">
        <v>4</v>
      </c>
    </row>
    <row r="1028" spans="1:6">
      <c r="A1028" t="s">
        <v>587</v>
      </c>
      <c r="B1028" t="s">
        <v>588</v>
      </c>
      <c r="C1028" t="s">
        <v>589</v>
      </c>
      <c r="D1028">
        <v>2010</v>
      </c>
      <c r="E1028" t="s">
        <v>590</v>
      </c>
      <c r="F1028" t="s">
        <v>4</v>
      </c>
    </row>
    <row r="1029" spans="1:6">
      <c r="A1029" t="s">
        <v>1986</v>
      </c>
      <c r="B1029" t="s">
        <v>1987</v>
      </c>
      <c r="C1029" t="s">
        <v>229</v>
      </c>
      <c r="D1029">
        <v>2010</v>
      </c>
      <c r="E1029" t="s">
        <v>1988</v>
      </c>
      <c r="F1029" t="s">
        <v>1917</v>
      </c>
    </row>
    <row r="1030" spans="1:6">
      <c r="A1030" t="s">
        <v>962</v>
      </c>
      <c r="B1030" t="s">
        <v>963</v>
      </c>
      <c r="C1030" t="s">
        <v>90</v>
      </c>
      <c r="D1030">
        <v>2010</v>
      </c>
      <c r="E1030" t="s">
        <v>964</v>
      </c>
      <c r="F1030" t="s">
        <v>686</v>
      </c>
    </row>
    <row r="1031" spans="1:6">
      <c r="A1031" t="s">
        <v>1197</v>
      </c>
      <c r="B1031" t="s">
        <v>1198</v>
      </c>
      <c r="C1031" t="s">
        <v>90</v>
      </c>
      <c r="D1031">
        <v>2010</v>
      </c>
      <c r="E1031" t="s">
        <v>1199</v>
      </c>
      <c r="F1031" t="s">
        <v>686</v>
      </c>
    </row>
    <row r="1032" spans="1:6">
      <c r="A1032" t="s">
        <v>591</v>
      </c>
      <c r="B1032" t="s">
        <v>592</v>
      </c>
      <c r="C1032" t="s">
        <v>72</v>
      </c>
      <c r="D1032">
        <v>2010</v>
      </c>
      <c r="E1032" t="s">
        <v>593</v>
      </c>
      <c r="F1032" t="s">
        <v>4</v>
      </c>
    </row>
    <row r="1033" spans="1:6">
      <c r="A1033" t="s">
        <v>1930</v>
      </c>
      <c r="B1033" t="s">
        <v>1931</v>
      </c>
      <c r="C1033" t="s">
        <v>1686</v>
      </c>
      <c r="D1033">
        <v>2010</v>
      </c>
      <c r="E1033" t="s">
        <v>1932</v>
      </c>
      <c r="F1033" t="s">
        <v>1917</v>
      </c>
    </row>
    <row r="1034" spans="1:6">
      <c r="A1034" t="s">
        <v>546</v>
      </c>
      <c r="B1034" t="s">
        <v>547</v>
      </c>
      <c r="C1034" t="s">
        <v>27</v>
      </c>
      <c r="D1034">
        <v>2010</v>
      </c>
      <c r="E1034" t="s">
        <v>548</v>
      </c>
      <c r="F1034" t="s">
        <v>4</v>
      </c>
    </row>
    <row r="1035" spans="1:6">
      <c r="A1035" t="s">
        <v>1914</v>
      </c>
      <c r="B1035" t="s">
        <v>1915</v>
      </c>
      <c r="C1035" t="s">
        <v>326</v>
      </c>
      <c r="D1035">
        <v>2010</v>
      </c>
      <c r="E1035" t="s">
        <v>1916</v>
      </c>
      <c r="F1035" t="s">
        <v>1917</v>
      </c>
    </row>
    <row r="1036" spans="1:6">
      <c r="A1036" t="s">
        <v>2068</v>
      </c>
      <c r="B1036" t="s">
        <v>2069</v>
      </c>
      <c r="C1036" t="s">
        <v>1727</v>
      </c>
      <c r="D1036">
        <v>2010</v>
      </c>
      <c r="E1036" t="s">
        <v>2070</v>
      </c>
      <c r="F1036" t="s">
        <v>1917</v>
      </c>
    </row>
    <row r="1037" spans="1:6">
      <c r="A1037" t="s">
        <v>1085</v>
      </c>
      <c r="B1037" t="s">
        <v>1086</v>
      </c>
      <c r="C1037" t="s">
        <v>1087</v>
      </c>
      <c r="D1037">
        <v>2010</v>
      </c>
      <c r="E1037" t="s">
        <v>1088</v>
      </c>
      <c r="F1037" t="s">
        <v>686</v>
      </c>
    </row>
    <row r="1038" spans="1:6">
      <c r="A1038" t="s">
        <v>105</v>
      </c>
      <c r="B1038" t="s">
        <v>106</v>
      </c>
      <c r="C1038" t="s">
        <v>27</v>
      </c>
      <c r="D1038">
        <v>2010</v>
      </c>
      <c r="E1038" t="s">
        <v>107</v>
      </c>
      <c r="F1038" t="s">
        <v>4</v>
      </c>
    </row>
    <row r="1039" spans="1:6">
      <c r="A1039" t="s">
        <v>1989</v>
      </c>
      <c r="B1039" t="s">
        <v>1990</v>
      </c>
      <c r="C1039" t="s">
        <v>743</v>
      </c>
      <c r="D1039">
        <v>2010</v>
      </c>
      <c r="E1039" t="s">
        <v>1991</v>
      </c>
      <c r="F1039" t="s">
        <v>1917</v>
      </c>
    </row>
    <row r="1040" spans="1:6">
      <c r="A1040" t="s">
        <v>2109</v>
      </c>
      <c r="B1040" t="s">
        <v>2110</v>
      </c>
      <c r="C1040" t="s">
        <v>114</v>
      </c>
      <c r="D1040">
        <v>2010</v>
      </c>
      <c r="E1040" t="s">
        <v>2111</v>
      </c>
      <c r="F1040" t="s">
        <v>1917</v>
      </c>
    </row>
    <row r="1041" spans="1:6">
      <c r="A1041" t="s">
        <v>1824</v>
      </c>
      <c r="B1041" t="s">
        <v>1825</v>
      </c>
      <c r="C1041" t="s">
        <v>1826</v>
      </c>
      <c r="D1041">
        <v>2010</v>
      </c>
      <c r="E1041" t="s">
        <v>1827</v>
      </c>
      <c r="F1041" t="s">
        <v>1328</v>
      </c>
    </row>
    <row r="1042" spans="1:6">
      <c r="A1042" t="s">
        <v>2118</v>
      </c>
      <c r="B1042" t="s">
        <v>2119</v>
      </c>
      <c r="C1042" t="s">
        <v>114</v>
      </c>
      <c r="D1042">
        <v>2010</v>
      </c>
      <c r="E1042" t="s">
        <v>2120</v>
      </c>
      <c r="F1042" t="s">
        <v>1917</v>
      </c>
    </row>
    <row r="1043" spans="1:6">
      <c r="A1043" t="s">
        <v>535</v>
      </c>
      <c r="B1043" t="s">
        <v>536</v>
      </c>
      <c r="C1043" t="s">
        <v>537</v>
      </c>
      <c r="D1043">
        <v>2010</v>
      </c>
      <c r="E1043" t="s">
        <v>538</v>
      </c>
      <c r="F1043" t="s">
        <v>4</v>
      </c>
    </row>
    <row r="1044" spans="1:6">
      <c r="A1044" t="s">
        <v>1768</v>
      </c>
      <c r="B1044" t="s">
        <v>321</v>
      </c>
      <c r="C1044" t="s">
        <v>512</v>
      </c>
      <c r="D1044">
        <v>2010</v>
      </c>
      <c r="E1044" t="s">
        <v>1769</v>
      </c>
      <c r="F1044" t="s">
        <v>1328</v>
      </c>
    </row>
    <row r="1045" spans="1:6">
      <c r="A1045" t="s">
        <v>370</v>
      </c>
      <c r="B1045" t="s">
        <v>371</v>
      </c>
      <c r="C1045" t="s">
        <v>61</v>
      </c>
      <c r="D1045">
        <v>2010</v>
      </c>
      <c r="E1045" t="s">
        <v>372</v>
      </c>
      <c r="F1045" t="s">
        <v>4</v>
      </c>
    </row>
    <row r="1046" spans="1:6">
      <c r="A1046" t="s">
        <v>1630</v>
      </c>
      <c r="B1046" t="s">
        <v>1631</v>
      </c>
      <c r="C1046" t="s">
        <v>31</v>
      </c>
      <c r="D1046">
        <v>2010</v>
      </c>
      <c r="E1046" t="s">
        <v>1632</v>
      </c>
      <c r="F1046" t="s">
        <v>1328</v>
      </c>
    </row>
    <row r="1047" spans="1:6">
      <c r="A1047" t="s">
        <v>928</v>
      </c>
      <c r="B1047" t="s">
        <v>929</v>
      </c>
      <c r="C1047" t="s">
        <v>211</v>
      </c>
      <c r="D1047">
        <v>2010</v>
      </c>
      <c r="E1047" t="s">
        <v>930</v>
      </c>
      <c r="F1047" t="s">
        <v>686</v>
      </c>
    </row>
    <row r="1048" spans="1:6">
      <c r="A1048" t="s">
        <v>644</v>
      </c>
      <c r="B1048" t="s">
        <v>645</v>
      </c>
      <c r="C1048" t="s">
        <v>27</v>
      </c>
      <c r="D1048">
        <v>2010</v>
      </c>
      <c r="E1048" t="s">
        <v>646</v>
      </c>
      <c r="F1048" t="s">
        <v>4</v>
      </c>
    </row>
    <row r="1049" spans="1:6">
      <c r="A1049" t="s">
        <v>400</v>
      </c>
      <c r="B1049" t="s">
        <v>401</v>
      </c>
      <c r="C1049" t="s">
        <v>27</v>
      </c>
      <c r="D1049">
        <v>2010</v>
      </c>
      <c r="E1049" t="s">
        <v>402</v>
      </c>
      <c r="F1049" t="s">
        <v>4</v>
      </c>
    </row>
    <row r="1050" spans="1:6">
      <c r="A1050" t="s">
        <v>1531</v>
      </c>
      <c r="B1050" t="s">
        <v>1532</v>
      </c>
      <c r="C1050" t="s">
        <v>219</v>
      </c>
      <c r="D1050">
        <v>2010</v>
      </c>
      <c r="E1050" t="s">
        <v>1533</v>
      </c>
      <c r="F1050" t="s">
        <v>1328</v>
      </c>
    </row>
    <row r="1051" spans="1:6">
      <c r="A1051" t="s">
        <v>1393</v>
      </c>
      <c r="B1051" t="s">
        <v>1394</v>
      </c>
      <c r="C1051" t="s">
        <v>1071</v>
      </c>
      <c r="D1051">
        <v>2010</v>
      </c>
      <c r="E1051" t="s">
        <v>1395</v>
      </c>
      <c r="F1051" t="s">
        <v>1328</v>
      </c>
    </row>
    <row r="1052" spans="1:6">
      <c r="A1052" t="s">
        <v>139</v>
      </c>
      <c r="B1052" t="s">
        <v>140</v>
      </c>
      <c r="C1052" t="s">
        <v>19</v>
      </c>
      <c r="D1052">
        <v>2010</v>
      </c>
      <c r="E1052" t="s">
        <v>141</v>
      </c>
      <c r="F1052" t="s">
        <v>4</v>
      </c>
    </row>
    <row r="1053" spans="1:6">
      <c r="A1053" t="s">
        <v>665</v>
      </c>
      <c r="B1053" t="s">
        <v>666</v>
      </c>
      <c r="C1053" t="s">
        <v>561</v>
      </c>
      <c r="D1053">
        <v>2010</v>
      </c>
      <c r="E1053" t="s">
        <v>667</v>
      </c>
      <c r="F1053" t="s">
        <v>4</v>
      </c>
    </row>
    <row r="1054" spans="1:6">
      <c r="A1054" t="s">
        <v>783</v>
      </c>
      <c r="B1054" t="s">
        <v>784</v>
      </c>
      <c r="C1054" t="s">
        <v>785</v>
      </c>
      <c r="D1054">
        <v>2010</v>
      </c>
      <c r="E1054" t="s">
        <v>786</v>
      </c>
      <c r="F1054" t="s">
        <v>686</v>
      </c>
    </row>
    <row r="1055" spans="1:6">
      <c r="A1055" t="s">
        <v>1242</v>
      </c>
      <c r="B1055" t="s">
        <v>1243</v>
      </c>
      <c r="C1055" t="s">
        <v>1244</v>
      </c>
      <c r="D1055">
        <v>2010</v>
      </c>
      <c r="E1055" t="s">
        <v>1245</v>
      </c>
      <c r="F1055" t="s">
        <v>686</v>
      </c>
    </row>
    <row r="1056" spans="1:6">
      <c r="A1056" t="s">
        <v>2071</v>
      </c>
      <c r="B1056" t="s">
        <v>2072</v>
      </c>
      <c r="C1056" t="s">
        <v>2073</v>
      </c>
      <c r="D1056">
        <v>2010</v>
      </c>
      <c r="E1056" t="s">
        <v>2074</v>
      </c>
      <c r="F1056" t="s">
        <v>1917</v>
      </c>
    </row>
    <row r="1057" spans="1:6">
      <c r="A1057" t="s">
        <v>861</v>
      </c>
      <c r="B1057" t="s">
        <v>862</v>
      </c>
      <c r="C1057" t="s">
        <v>2</v>
      </c>
      <c r="D1057">
        <v>2010</v>
      </c>
      <c r="E1057" t="s">
        <v>863</v>
      </c>
      <c r="F1057" t="s">
        <v>686</v>
      </c>
    </row>
    <row r="1058" spans="1:6">
      <c r="A1058" t="s">
        <v>17</v>
      </c>
      <c r="B1058" t="s">
        <v>18</v>
      </c>
      <c r="C1058" t="s">
        <v>19</v>
      </c>
      <c r="D1058">
        <v>2010</v>
      </c>
      <c r="E1058" t="s">
        <v>20</v>
      </c>
      <c r="F1058" t="s">
        <v>4</v>
      </c>
    </row>
    <row r="1059" spans="1:6">
      <c r="A1059" t="s">
        <v>577</v>
      </c>
      <c r="B1059" t="s">
        <v>578</v>
      </c>
      <c r="C1059" t="s">
        <v>61</v>
      </c>
      <c r="D1059">
        <v>2010</v>
      </c>
      <c r="E1059" t="s">
        <v>579</v>
      </c>
      <c r="F1059" t="s">
        <v>4</v>
      </c>
    </row>
    <row r="1060" spans="1:6">
      <c r="A1060" t="s">
        <v>766</v>
      </c>
      <c r="B1060" t="s">
        <v>767</v>
      </c>
      <c r="C1060" t="s">
        <v>7</v>
      </c>
      <c r="D1060">
        <v>2010</v>
      </c>
      <c r="E1060" t="s">
        <v>768</v>
      </c>
      <c r="F1060" t="s">
        <v>686</v>
      </c>
    </row>
    <row r="1061" spans="1:6">
      <c r="A1061" t="s">
        <v>2091</v>
      </c>
      <c r="B1061" t="s">
        <v>2092</v>
      </c>
      <c r="C1061" t="s">
        <v>114</v>
      </c>
      <c r="D1061">
        <v>2010</v>
      </c>
      <c r="E1061" t="s">
        <v>2093</v>
      </c>
      <c r="F1061" t="s">
        <v>1917</v>
      </c>
    </row>
    <row r="1062" spans="1:6">
      <c r="A1062" t="s">
        <v>1168</v>
      </c>
      <c r="B1062" t="s">
        <v>1169</v>
      </c>
      <c r="C1062" t="s">
        <v>2</v>
      </c>
      <c r="D1062">
        <v>2010</v>
      </c>
      <c r="E1062" t="s">
        <v>1170</v>
      </c>
      <c r="F1062" t="s">
        <v>686</v>
      </c>
    </row>
    <row r="1063" spans="1:6">
      <c r="A1063" t="s">
        <v>181</v>
      </c>
      <c r="B1063" t="s">
        <v>182</v>
      </c>
      <c r="C1063" t="s">
        <v>27</v>
      </c>
      <c r="D1063">
        <v>2010</v>
      </c>
      <c r="E1063" t="s">
        <v>183</v>
      </c>
      <c r="F1063" t="s">
        <v>4</v>
      </c>
    </row>
    <row r="1064" spans="1:6">
      <c r="A1064" t="s">
        <v>1753</v>
      </c>
      <c r="B1064" t="s">
        <v>321</v>
      </c>
      <c r="C1064" t="s">
        <v>72</v>
      </c>
      <c r="D1064">
        <v>2010</v>
      </c>
      <c r="E1064" t="s">
        <v>1754</v>
      </c>
      <c r="F1064" t="s">
        <v>1328</v>
      </c>
    </row>
    <row r="1065" spans="1:6">
      <c r="A1065" t="s">
        <v>1753</v>
      </c>
      <c r="B1065" t="s">
        <v>321</v>
      </c>
      <c r="C1065" t="s">
        <v>72</v>
      </c>
      <c r="D1065">
        <v>2010</v>
      </c>
      <c r="E1065" t="s">
        <v>1760</v>
      </c>
      <c r="F1065" t="s">
        <v>1328</v>
      </c>
    </row>
    <row r="1066" spans="1:6">
      <c r="A1066" t="s">
        <v>1753</v>
      </c>
      <c r="B1066" t="s">
        <v>321</v>
      </c>
      <c r="C1066" t="s">
        <v>72</v>
      </c>
      <c r="D1066">
        <v>2010</v>
      </c>
      <c r="E1066" t="s">
        <v>1763</v>
      </c>
      <c r="F1066" t="s">
        <v>1328</v>
      </c>
    </row>
    <row r="1067" spans="1:6">
      <c r="A1067" t="s">
        <v>1753</v>
      </c>
      <c r="B1067" t="s">
        <v>321</v>
      </c>
      <c r="C1067" t="s">
        <v>72</v>
      </c>
      <c r="D1067">
        <v>2010</v>
      </c>
      <c r="E1067" t="s">
        <v>1765</v>
      </c>
      <c r="F1067" t="s">
        <v>1328</v>
      </c>
    </row>
    <row r="1068" spans="1:6">
      <c r="A1068" t="s">
        <v>1753</v>
      </c>
      <c r="B1068" t="s">
        <v>2103</v>
      </c>
      <c r="C1068" t="s">
        <v>27</v>
      </c>
      <c r="D1068">
        <v>2010</v>
      </c>
      <c r="E1068" t="s">
        <v>2104</v>
      </c>
      <c r="F1068" t="s">
        <v>1917</v>
      </c>
    </row>
    <row r="1069" spans="1:6">
      <c r="A1069" t="s">
        <v>1753</v>
      </c>
      <c r="B1069" t="s">
        <v>321</v>
      </c>
      <c r="C1069" t="s">
        <v>114</v>
      </c>
      <c r="D1069">
        <v>2010</v>
      </c>
      <c r="E1069" t="s">
        <v>2105</v>
      </c>
      <c r="F1069" t="s">
        <v>1917</v>
      </c>
    </row>
    <row r="1070" spans="1:6">
      <c r="A1070" t="s">
        <v>727</v>
      </c>
      <c r="B1070" t="s">
        <v>728</v>
      </c>
      <c r="C1070" t="s">
        <v>729</v>
      </c>
      <c r="D1070">
        <v>2010</v>
      </c>
      <c r="E1070" t="s">
        <v>730</v>
      </c>
      <c r="F1070" t="s">
        <v>686</v>
      </c>
    </row>
    <row r="1071" spans="1:6">
      <c r="A1071" t="s">
        <v>1998</v>
      </c>
      <c r="B1071" t="s">
        <v>1999</v>
      </c>
      <c r="C1071" t="s">
        <v>722</v>
      </c>
      <c r="D1071">
        <v>2010</v>
      </c>
      <c r="E1071" t="s">
        <v>66</v>
      </c>
      <c r="F1071" t="s">
        <v>1917</v>
      </c>
    </row>
    <row r="1072" spans="1:6">
      <c r="A1072" t="s">
        <v>659</v>
      </c>
      <c r="B1072" t="s">
        <v>660</v>
      </c>
      <c r="C1072" t="s">
        <v>118</v>
      </c>
      <c r="D1072">
        <v>2010</v>
      </c>
      <c r="E1072" t="s">
        <v>661</v>
      </c>
      <c r="F1072" t="s">
        <v>4</v>
      </c>
    </row>
    <row r="1073" spans="1:6">
      <c r="A1073" t="s">
        <v>2115</v>
      </c>
      <c r="B1073" t="s">
        <v>2116</v>
      </c>
      <c r="C1073" t="s">
        <v>114</v>
      </c>
      <c r="D1073">
        <v>2010</v>
      </c>
      <c r="E1073" t="s">
        <v>2117</v>
      </c>
      <c r="F1073" t="s">
        <v>1917</v>
      </c>
    </row>
    <row r="1074" spans="1:6">
      <c r="A1074" t="s">
        <v>355</v>
      </c>
      <c r="B1074" t="s">
        <v>356</v>
      </c>
      <c r="C1074" t="s">
        <v>27</v>
      </c>
      <c r="D1074">
        <v>2010</v>
      </c>
      <c r="E1074" t="s">
        <v>357</v>
      </c>
      <c r="F1074" t="s">
        <v>4</v>
      </c>
    </row>
    <row r="1075" spans="1:6">
      <c r="A1075" t="s">
        <v>313</v>
      </c>
      <c r="B1075" t="s">
        <v>314</v>
      </c>
      <c r="C1075" t="s">
        <v>315</v>
      </c>
      <c r="D1075">
        <v>2010</v>
      </c>
      <c r="E1075" t="s">
        <v>316</v>
      </c>
      <c r="F1075" t="s">
        <v>4</v>
      </c>
    </row>
    <row r="1076" spans="1:6">
      <c r="A1076" t="s">
        <v>1700</v>
      </c>
      <c r="B1076" t="s">
        <v>1701</v>
      </c>
      <c r="C1076" t="s">
        <v>114</v>
      </c>
      <c r="D1076">
        <v>2010</v>
      </c>
      <c r="E1076" t="s">
        <v>1702</v>
      </c>
      <c r="F1076" t="s">
        <v>1328</v>
      </c>
    </row>
    <row r="1077" spans="1:6">
      <c r="A1077" t="s">
        <v>1183</v>
      </c>
      <c r="B1077" t="s">
        <v>1184</v>
      </c>
      <c r="C1077" t="s">
        <v>259</v>
      </c>
      <c r="D1077">
        <v>2010</v>
      </c>
      <c r="E1077" t="s">
        <v>1185</v>
      </c>
      <c r="F1077" t="s">
        <v>686</v>
      </c>
    </row>
    <row r="1078" spans="1:6">
      <c r="A1078" t="s">
        <v>965</v>
      </c>
      <c r="B1078" t="s">
        <v>966</v>
      </c>
      <c r="C1078" t="s">
        <v>19</v>
      </c>
      <c r="D1078">
        <v>2010</v>
      </c>
      <c r="E1078" t="s">
        <v>967</v>
      </c>
      <c r="F1078" t="s">
        <v>686</v>
      </c>
    </row>
    <row r="1079" spans="1:6">
      <c r="A1079" t="s">
        <v>1653</v>
      </c>
      <c r="B1079" t="s">
        <v>1654</v>
      </c>
      <c r="C1079" t="s">
        <v>1098</v>
      </c>
      <c r="D1079">
        <v>2010</v>
      </c>
      <c r="E1079" t="s">
        <v>1655</v>
      </c>
      <c r="F1079" t="s">
        <v>1328</v>
      </c>
    </row>
    <row r="1080" spans="1:6">
      <c r="A1080" t="s">
        <v>913</v>
      </c>
      <c r="B1080" t="s">
        <v>914</v>
      </c>
      <c r="C1080" t="s">
        <v>2</v>
      </c>
      <c r="D1080">
        <v>2010</v>
      </c>
      <c r="E1080" t="s">
        <v>915</v>
      </c>
      <c r="F1080" t="s">
        <v>686</v>
      </c>
    </row>
    <row r="1081" spans="1:6">
      <c r="A1081" t="s">
        <v>1059</v>
      </c>
      <c r="B1081" t="s">
        <v>1060</v>
      </c>
      <c r="C1081" t="s">
        <v>19</v>
      </c>
      <c r="D1081">
        <v>2010</v>
      </c>
      <c r="E1081" t="s">
        <v>1061</v>
      </c>
      <c r="F1081" t="s">
        <v>686</v>
      </c>
    </row>
    <row r="1082" spans="1:6">
      <c r="A1082" t="s">
        <v>1694</v>
      </c>
      <c r="B1082" t="s">
        <v>1695</v>
      </c>
      <c r="C1082" t="s">
        <v>114</v>
      </c>
      <c r="D1082">
        <v>2010</v>
      </c>
      <c r="E1082" t="s">
        <v>1696</v>
      </c>
      <c r="F1082" t="s">
        <v>1328</v>
      </c>
    </row>
    <row r="1083" spans="1:6">
      <c r="A1083" t="s">
        <v>1543</v>
      </c>
      <c r="B1083" t="s">
        <v>1544</v>
      </c>
      <c r="C1083" t="s">
        <v>1350</v>
      </c>
      <c r="D1083">
        <v>2010</v>
      </c>
      <c r="E1083" t="s">
        <v>1545</v>
      </c>
      <c r="F1083" t="s">
        <v>1328</v>
      </c>
    </row>
    <row r="1084" spans="1:6">
      <c r="A1084" t="s">
        <v>1282</v>
      </c>
      <c r="B1084" t="s">
        <v>1283</v>
      </c>
      <c r="C1084" t="s">
        <v>72</v>
      </c>
      <c r="D1084">
        <v>2010</v>
      </c>
      <c r="E1084" t="s">
        <v>1284</v>
      </c>
      <c r="F1084" t="s">
        <v>686</v>
      </c>
    </row>
    <row r="1085" spans="1:6">
      <c r="A1085" t="s">
        <v>142</v>
      </c>
      <c r="B1085" t="s">
        <v>143</v>
      </c>
      <c r="C1085" t="s">
        <v>27</v>
      </c>
      <c r="D1085">
        <v>2010</v>
      </c>
      <c r="E1085" t="s">
        <v>144</v>
      </c>
      <c r="F1085" t="s">
        <v>4</v>
      </c>
    </row>
    <row r="1086" spans="1:6">
      <c r="A1086" t="s">
        <v>190</v>
      </c>
      <c r="B1086" t="s">
        <v>191</v>
      </c>
      <c r="C1086" t="s">
        <v>192</v>
      </c>
      <c r="D1086">
        <v>2010</v>
      </c>
      <c r="E1086" t="s">
        <v>193</v>
      </c>
      <c r="F1086" t="s">
        <v>4</v>
      </c>
    </row>
    <row r="1087" spans="1:6">
      <c r="A1087" t="s">
        <v>2088</v>
      </c>
      <c r="B1087" t="s">
        <v>2089</v>
      </c>
      <c r="C1087" t="s">
        <v>869</v>
      </c>
      <c r="D1087">
        <v>2010</v>
      </c>
      <c r="E1087" t="s">
        <v>2090</v>
      </c>
      <c r="F1087" t="s">
        <v>1917</v>
      </c>
    </row>
    <row r="1088" spans="1:6">
      <c r="A1088" t="s">
        <v>621</v>
      </c>
      <c r="B1088" t="s">
        <v>622</v>
      </c>
      <c r="C1088" t="s">
        <v>27</v>
      </c>
      <c r="D1088">
        <v>2010</v>
      </c>
      <c r="E1088" t="s">
        <v>623</v>
      </c>
      <c r="F1088" t="s">
        <v>4</v>
      </c>
    </row>
    <row r="1089" spans="1:6">
      <c r="A1089" t="s">
        <v>877</v>
      </c>
      <c r="B1089" t="s">
        <v>878</v>
      </c>
      <c r="C1089" t="s">
        <v>879</v>
      </c>
      <c r="D1089">
        <v>2010</v>
      </c>
      <c r="E1089" t="s">
        <v>880</v>
      </c>
      <c r="F1089" t="s">
        <v>686</v>
      </c>
    </row>
    <row r="1090" spans="1:6">
      <c r="A1090" t="s">
        <v>296</v>
      </c>
      <c r="B1090" t="s">
        <v>297</v>
      </c>
      <c r="C1090" t="s">
        <v>298</v>
      </c>
      <c r="D1090">
        <v>2010</v>
      </c>
      <c r="E1090" t="s">
        <v>299</v>
      </c>
      <c r="F1090" t="s">
        <v>4</v>
      </c>
    </row>
    <row r="1091" spans="1:6">
      <c r="A1091" t="s">
        <v>1514</v>
      </c>
      <c r="B1091" t="s">
        <v>1515</v>
      </c>
      <c r="C1091" t="s">
        <v>1516</v>
      </c>
      <c r="D1091">
        <v>2010</v>
      </c>
      <c r="E1091" t="s">
        <v>1517</v>
      </c>
      <c r="F1091" t="s">
        <v>1328</v>
      </c>
    </row>
    <row r="1092" spans="1:6">
      <c r="A1092" t="s">
        <v>1709</v>
      </c>
      <c r="B1092" t="s">
        <v>1710</v>
      </c>
      <c r="C1092" t="s">
        <v>114</v>
      </c>
      <c r="D1092">
        <v>2010</v>
      </c>
      <c r="E1092" t="s">
        <v>1711</v>
      </c>
      <c r="F1092" t="s">
        <v>1328</v>
      </c>
    </row>
    <row r="1093" spans="1:6">
      <c r="A1093" t="s">
        <v>1239</v>
      </c>
      <c r="B1093" t="s">
        <v>1240</v>
      </c>
      <c r="C1093" t="s">
        <v>90</v>
      </c>
      <c r="D1093">
        <v>2010</v>
      </c>
      <c r="E1093" t="s">
        <v>1241</v>
      </c>
      <c r="F1093" t="s">
        <v>686</v>
      </c>
    </row>
    <row r="1094" spans="1:6">
      <c r="A1094" t="s">
        <v>910</v>
      </c>
      <c r="B1094" t="s">
        <v>911</v>
      </c>
      <c r="C1094" t="s">
        <v>31</v>
      </c>
      <c r="D1094">
        <v>2010</v>
      </c>
      <c r="E1094" t="s">
        <v>912</v>
      </c>
      <c r="F1094" t="s">
        <v>686</v>
      </c>
    </row>
    <row r="1095" spans="1:6">
      <c r="A1095" t="s">
        <v>2130</v>
      </c>
      <c r="B1095" t="s">
        <v>2131</v>
      </c>
      <c r="C1095" t="s">
        <v>114</v>
      </c>
      <c r="D1095">
        <v>2010</v>
      </c>
      <c r="E1095" t="s">
        <v>2132</v>
      </c>
      <c r="F1095" t="s">
        <v>1917</v>
      </c>
    </row>
    <row r="1096" spans="1:6">
      <c r="A1096" t="s">
        <v>1316</v>
      </c>
      <c r="B1096" t="s">
        <v>1317</v>
      </c>
      <c r="C1096" t="s">
        <v>1318</v>
      </c>
      <c r="D1096">
        <v>2010</v>
      </c>
      <c r="E1096" t="s">
        <v>1319</v>
      </c>
      <c r="F1096" t="s">
        <v>686</v>
      </c>
    </row>
    <row r="1097" spans="1:6">
      <c r="A1097" t="s">
        <v>394</v>
      </c>
      <c r="B1097" t="s">
        <v>395</v>
      </c>
      <c r="C1097" t="s">
        <v>27</v>
      </c>
      <c r="D1097">
        <v>2010</v>
      </c>
      <c r="E1097" t="s">
        <v>396</v>
      </c>
      <c r="F1097" t="s">
        <v>4</v>
      </c>
    </row>
    <row r="1098" spans="1:6">
      <c r="A1098" t="s">
        <v>43</v>
      </c>
      <c r="B1098" t="s">
        <v>44</v>
      </c>
      <c r="C1098" t="s">
        <v>27</v>
      </c>
      <c r="D1098">
        <v>2010</v>
      </c>
      <c r="E1098" t="s">
        <v>45</v>
      </c>
      <c r="F1098" t="s">
        <v>4</v>
      </c>
    </row>
    <row r="1099" spans="1:6">
      <c r="A1099" t="s">
        <v>9</v>
      </c>
      <c r="B1099" t="s">
        <v>10</v>
      </c>
      <c r="C1099" t="s">
        <v>11</v>
      </c>
      <c r="D1099">
        <v>2010</v>
      </c>
      <c r="E1099" t="s">
        <v>12</v>
      </c>
      <c r="F1099" t="s">
        <v>4</v>
      </c>
    </row>
    <row r="1100" spans="1:6">
      <c r="A1100" t="s">
        <v>482</v>
      </c>
      <c r="B1100" t="s">
        <v>483</v>
      </c>
      <c r="C1100" t="s">
        <v>61</v>
      </c>
      <c r="D1100">
        <v>2010</v>
      </c>
      <c r="E1100" t="s">
        <v>484</v>
      </c>
      <c r="F1100" t="s">
        <v>4</v>
      </c>
    </row>
    <row r="1101" spans="1:6">
      <c r="A1101" t="s">
        <v>1697</v>
      </c>
      <c r="B1101" t="s">
        <v>1698</v>
      </c>
      <c r="C1101" t="s">
        <v>23</v>
      </c>
      <c r="D1101">
        <v>2010</v>
      </c>
      <c r="E1101" t="s">
        <v>1699</v>
      </c>
      <c r="F1101" t="s">
        <v>1328</v>
      </c>
    </row>
    <row r="1102" spans="1:6">
      <c r="A1102" t="s">
        <v>1486</v>
      </c>
      <c r="B1102" t="s">
        <v>1487</v>
      </c>
      <c r="C1102" t="s">
        <v>1488</v>
      </c>
      <c r="D1102">
        <v>2010</v>
      </c>
      <c r="E1102" t="s">
        <v>1489</v>
      </c>
      <c r="F1102" t="s">
        <v>1328</v>
      </c>
    </row>
    <row r="1103" spans="1:6">
      <c r="A1103" t="s">
        <v>1626</v>
      </c>
      <c r="B1103" t="s">
        <v>1627</v>
      </c>
      <c r="C1103" t="s">
        <v>1628</v>
      </c>
      <c r="D1103">
        <v>2010</v>
      </c>
      <c r="E1103" t="s">
        <v>1629</v>
      </c>
      <c r="F1103" t="s">
        <v>1328</v>
      </c>
    </row>
    <row r="1104" spans="1:6">
      <c r="A1104" t="s">
        <v>428</v>
      </c>
      <c r="B1104" t="s">
        <v>429</v>
      </c>
      <c r="C1104" t="s">
        <v>27</v>
      </c>
      <c r="D1104">
        <v>2010</v>
      </c>
      <c r="E1104" t="s">
        <v>430</v>
      </c>
      <c r="F1104" t="s">
        <v>4</v>
      </c>
    </row>
    <row r="1105" spans="1:6">
      <c r="A1105" t="s">
        <v>1304</v>
      </c>
      <c r="B1105" t="s">
        <v>1305</v>
      </c>
      <c r="C1105" t="s">
        <v>11</v>
      </c>
      <c r="D1105">
        <v>2010</v>
      </c>
      <c r="E1105" t="s">
        <v>1306</v>
      </c>
      <c r="F1105" t="s">
        <v>686</v>
      </c>
    </row>
    <row r="1106" spans="1:6">
      <c r="A1106" t="s">
        <v>802</v>
      </c>
      <c r="B1106" t="s">
        <v>803</v>
      </c>
      <c r="C1106" t="s">
        <v>804</v>
      </c>
      <c r="D1106">
        <v>2010</v>
      </c>
      <c r="E1106" t="s">
        <v>805</v>
      </c>
      <c r="F1106" t="s">
        <v>686</v>
      </c>
    </row>
    <row r="1107" spans="1:6">
      <c r="A1107" t="s">
        <v>569</v>
      </c>
      <c r="B1107" t="s">
        <v>570</v>
      </c>
      <c r="C1107" t="s">
        <v>571</v>
      </c>
      <c r="D1107">
        <v>2010</v>
      </c>
      <c r="E1107" t="s">
        <v>572</v>
      </c>
      <c r="F1107" t="s">
        <v>4</v>
      </c>
    </row>
    <row r="1108" spans="1:6">
      <c r="A1108" t="s">
        <v>425</v>
      </c>
      <c r="B1108" t="s">
        <v>426</v>
      </c>
      <c r="C1108" t="s">
        <v>326</v>
      </c>
      <c r="D1108">
        <v>2010</v>
      </c>
      <c r="E1108" t="s">
        <v>427</v>
      </c>
      <c r="F1108" t="s">
        <v>4</v>
      </c>
    </row>
    <row r="1109" spans="1:6">
      <c r="A1109" t="s">
        <v>128</v>
      </c>
      <c r="B1109" t="s">
        <v>129</v>
      </c>
      <c r="C1109" t="s">
        <v>7</v>
      </c>
      <c r="D1109">
        <v>2010</v>
      </c>
      <c r="E1109" t="s">
        <v>130</v>
      </c>
      <c r="F1109" t="s">
        <v>4</v>
      </c>
    </row>
    <row r="1110" spans="1:6">
      <c r="A1110" t="s">
        <v>606</v>
      </c>
      <c r="B1110" t="s">
        <v>607</v>
      </c>
      <c r="C1110" t="s">
        <v>608</v>
      </c>
      <c r="D1110">
        <v>2010</v>
      </c>
      <c r="E1110" t="s">
        <v>609</v>
      </c>
      <c r="F1110" t="s">
        <v>4</v>
      </c>
    </row>
    <row r="1111" spans="1:6">
      <c r="A1111" t="s">
        <v>844</v>
      </c>
      <c r="B1111" t="s">
        <v>845</v>
      </c>
      <c r="C1111" t="s">
        <v>781</v>
      </c>
      <c r="D1111">
        <v>2010</v>
      </c>
      <c r="E1111" t="s">
        <v>846</v>
      </c>
      <c r="F1111" t="s">
        <v>686</v>
      </c>
    </row>
    <row r="1112" spans="1:6">
      <c r="A1112" t="s">
        <v>438</v>
      </c>
      <c r="B1112" t="s">
        <v>439</v>
      </c>
      <c r="C1112" t="s">
        <v>440</v>
      </c>
      <c r="D1112">
        <v>2010</v>
      </c>
      <c r="E1112" t="s">
        <v>441</v>
      </c>
      <c r="F1112" t="s">
        <v>4</v>
      </c>
    </row>
    <row r="1113" spans="1:6">
      <c r="A1113" t="s">
        <v>419</v>
      </c>
      <c r="B1113" t="s">
        <v>420</v>
      </c>
      <c r="C1113" t="s">
        <v>27</v>
      </c>
      <c r="D1113">
        <v>2010</v>
      </c>
      <c r="E1113" t="s">
        <v>421</v>
      </c>
      <c r="F1113" t="s">
        <v>4</v>
      </c>
    </row>
    <row r="1114" spans="1:6">
      <c r="A1114" t="s">
        <v>334</v>
      </c>
      <c r="B1114" t="s">
        <v>335</v>
      </c>
      <c r="C1114" t="s">
        <v>219</v>
      </c>
      <c r="D1114">
        <v>2010</v>
      </c>
      <c r="E1114" t="s">
        <v>336</v>
      </c>
      <c r="F1114" t="s">
        <v>4</v>
      </c>
    </row>
    <row r="1115" spans="1:6">
      <c r="A1115" t="s">
        <v>95</v>
      </c>
      <c r="B1115" t="s">
        <v>96</v>
      </c>
      <c r="C1115" t="s">
        <v>35</v>
      </c>
      <c r="D1115">
        <v>2010</v>
      </c>
      <c r="E1115" t="s">
        <v>97</v>
      </c>
      <c r="F1115" t="s">
        <v>4</v>
      </c>
    </row>
    <row r="1116" spans="1:6">
      <c r="A1116" t="s">
        <v>1458</v>
      </c>
      <c r="B1116" t="s">
        <v>1459</v>
      </c>
      <c r="C1116" t="s">
        <v>677</v>
      </c>
      <c r="D1116">
        <v>2010</v>
      </c>
      <c r="E1116" t="s">
        <v>1460</v>
      </c>
      <c r="F1116" t="s">
        <v>1328</v>
      </c>
    </row>
    <row r="1117" spans="1:6">
      <c r="A1117" t="s">
        <v>779</v>
      </c>
      <c r="B1117" t="s">
        <v>780</v>
      </c>
      <c r="C1117" t="s">
        <v>781</v>
      </c>
      <c r="D1117">
        <v>2010</v>
      </c>
      <c r="E1117" t="s">
        <v>782</v>
      </c>
      <c r="F1117" t="s">
        <v>686</v>
      </c>
    </row>
    <row r="1118" spans="1:6">
      <c r="A1118" t="s">
        <v>1249</v>
      </c>
      <c r="B1118" t="s">
        <v>1250</v>
      </c>
      <c r="C1118" t="s">
        <v>15</v>
      </c>
      <c r="D1118">
        <v>2010</v>
      </c>
      <c r="E1118" t="s">
        <v>1251</v>
      </c>
      <c r="F1118" t="s">
        <v>686</v>
      </c>
    </row>
    <row r="1119" spans="1:6">
      <c r="A1119" t="s">
        <v>1226</v>
      </c>
      <c r="B1119" t="s">
        <v>1227</v>
      </c>
      <c r="C1119" t="s">
        <v>1228</v>
      </c>
      <c r="D1119">
        <v>2010</v>
      </c>
      <c r="E1119" t="s">
        <v>1229</v>
      </c>
      <c r="F1119" t="s">
        <v>686</v>
      </c>
    </row>
    <row r="1120" spans="1:6">
      <c r="A1120" t="s">
        <v>1735</v>
      </c>
      <c r="B1120" t="s">
        <v>321</v>
      </c>
      <c r="C1120" t="s">
        <v>1736</v>
      </c>
      <c r="D1120">
        <v>2010</v>
      </c>
      <c r="E1120" t="s">
        <v>1737</v>
      </c>
      <c r="F1120" t="s">
        <v>1328</v>
      </c>
    </row>
    <row r="1121" spans="1:6">
      <c r="A1121" t="s">
        <v>1678</v>
      </c>
      <c r="B1121" t="s">
        <v>1679</v>
      </c>
      <c r="C1121" t="s">
        <v>520</v>
      </c>
      <c r="D1121">
        <v>2010</v>
      </c>
      <c r="E1121" t="s">
        <v>1680</v>
      </c>
      <c r="F1121" t="s">
        <v>1328</v>
      </c>
    </row>
    <row r="1122" spans="1:6">
      <c r="A1122" t="s">
        <v>1494</v>
      </c>
      <c r="B1122" t="s">
        <v>1495</v>
      </c>
      <c r="C1122" t="s">
        <v>242</v>
      </c>
      <c r="D1122">
        <v>2009</v>
      </c>
      <c r="E1122" t="s">
        <v>1496</v>
      </c>
      <c r="F1122" t="s">
        <v>1328</v>
      </c>
    </row>
    <row r="1123" spans="1:6">
      <c r="A1123" t="s">
        <v>496</v>
      </c>
      <c r="B1123" t="s">
        <v>497</v>
      </c>
      <c r="C1123" t="s">
        <v>498</v>
      </c>
      <c r="D1123">
        <v>2009</v>
      </c>
      <c r="E1123" t="s">
        <v>499</v>
      </c>
      <c r="F1123" t="s">
        <v>4</v>
      </c>
    </row>
    <row r="1124" spans="1:6">
      <c r="A1124" t="s">
        <v>1028</v>
      </c>
      <c r="B1124" t="s">
        <v>1029</v>
      </c>
      <c r="C1124" t="s">
        <v>1030</v>
      </c>
      <c r="D1124">
        <v>2009</v>
      </c>
      <c r="E1124" t="s">
        <v>1031</v>
      </c>
      <c r="F1124" t="s">
        <v>686</v>
      </c>
    </row>
    <row r="1125" spans="1:6">
      <c r="A1125" t="s">
        <v>1891</v>
      </c>
      <c r="B1125" t="s">
        <v>321</v>
      </c>
      <c r="C1125" t="s">
        <v>54</v>
      </c>
      <c r="D1125">
        <v>2009</v>
      </c>
      <c r="E1125" t="s">
        <v>1892</v>
      </c>
      <c r="F1125" t="s">
        <v>1328</v>
      </c>
    </row>
    <row r="1126" spans="1:6">
      <c r="A1126" t="s">
        <v>1209</v>
      </c>
      <c r="B1126" t="s">
        <v>1210</v>
      </c>
      <c r="C1126" t="s">
        <v>219</v>
      </c>
      <c r="D1126">
        <v>2009</v>
      </c>
      <c r="E1126" t="s">
        <v>1211</v>
      </c>
      <c r="F1126" t="s">
        <v>686</v>
      </c>
    </row>
    <row r="1127" spans="1:6">
      <c r="A1127" t="s">
        <v>985</v>
      </c>
      <c r="B1127" t="s">
        <v>986</v>
      </c>
      <c r="C1127" t="s">
        <v>987</v>
      </c>
      <c r="D1127">
        <v>2009</v>
      </c>
      <c r="E1127" t="s">
        <v>988</v>
      </c>
      <c r="F1127" t="s">
        <v>686</v>
      </c>
    </row>
    <row r="1128" spans="1:6">
      <c r="A1128" t="s">
        <v>1780</v>
      </c>
      <c r="B1128" t="s">
        <v>321</v>
      </c>
      <c r="C1128" t="s">
        <v>1781</v>
      </c>
      <c r="D1128">
        <v>2009</v>
      </c>
      <c r="E1128" t="s">
        <v>1782</v>
      </c>
      <c r="F1128" t="s">
        <v>1328</v>
      </c>
    </row>
    <row r="1129" spans="1:6">
      <c r="A1129" t="s">
        <v>380</v>
      </c>
      <c r="B1129" t="s">
        <v>99</v>
      </c>
      <c r="C1129" t="s">
        <v>7</v>
      </c>
      <c r="D1129">
        <v>2009</v>
      </c>
      <c r="E1129" t="s">
        <v>381</v>
      </c>
      <c r="F1129" t="s">
        <v>4</v>
      </c>
    </row>
    <row r="1130" spans="1:6">
      <c r="A1130" t="s">
        <v>1412</v>
      </c>
      <c r="B1130" t="s">
        <v>1413</v>
      </c>
      <c r="C1130" t="s">
        <v>632</v>
      </c>
      <c r="D1130">
        <v>2009</v>
      </c>
      <c r="E1130" t="s">
        <v>1414</v>
      </c>
      <c r="F1130" t="s">
        <v>1328</v>
      </c>
    </row>
    <row r="1131" spans="1:6">
      <c r="A1131" t="s">
        <v>151</v>
      </c>
      <c r="B1131" t="s">
        <v>152</v>
      </c>
      <c r="C1131" t="s">
        <v>153</v>
      </c>
      <c r="D1131">
        <v>2009</v>
      </c>
      <c r="E1131" t="s">
        <v>154</v>
      </c>
      <c r="F1131" t="s">
        <v>4</v>
      </c>
    </row>
    <row r="1132" spans="1:6">
      <c r="A1132" t="s">
        <v>1646</v>
      </c>
      <c r="B1132" t="s">
        <v>1647</v>
      </c>
      <c r="C1132" t="s">
        <v>1648</v>
      </c>
      <c r="D1132">
        <v>2009</v>
      </c>
      <c r="E1132" t="s">
        <v>1649</v>
      </c>
      <c r="F1132" t="s">
        <v>1328</v>
      </c>
    </row>
    <row r="1133" spans="1:6">
      <c r="A1133" t="s">
        <v>796</v>
      </c>
      <c r="B1133" t="s">
        <v>797</v>
      </c>
      <c r="C1133" t="s">
        <v>219</v>
      </c>
      <c r="D1133">
        <v>2009</v>
      </c>
      <c r="E1133" t="s">
        <v>798</v>
      </c>
      <c r="F1133" t="s">
        <v>686</v>
      </c>
    </row>
    <row r="1134" spans="1:6">
      <c r="A1134" t="s">
        <v>1255</v>
      </c>
      <c r="B1134" t="s">
        <v>1256</v>
      </c>
      <c r="C1134" t="s">
        <v>1257</v>
      </c>
      <c r="D1134">
        <v>2009</v>
      </c>
      <c r="E1134" t="s">
        <v>1258</v>
      </c>
      <c r="F1134" t="s">
        <v>686</v>
      </c>
    </row>
    <row r="1135" spans="1:6">
      <c r="A1135" t="s">
        <v>603</v>
      </c>
      <c r="B1135" t="s">
        <v>604</v>
      </c>
      <c r="C1135" t="s">
        <v>54</v>
      </c>
      <c r="D1135">
        <v>2009</v>
      </c>
      <c r="E1135" t="s">
        <v>605</v>
      </c>
      <c r="F1135" t="s">
        <v>4</v>
      </c>
    </row>
    <row r="1136" spans="1:6">
      <c r="A1136" t="s">
        <v>898</v>
      </c>
      <c r="B1136" t="s">
        <v>899</v>
      </c>
      <c r="C1136" t="s">
        <v>90</v>
      </c>
      <c r="D1136">
        <v>2009</v>
      </c>
      <c r="E1136" t="s">
        <v>900</v>
      </c>
      <c r="F1136" t="s">
        <v>686</v>
      </c>
    </row>
    <row r="1137" spans="1:6">
      <c r="A1137" t="s">
        <v>1194</v>
      </c>
      <c r="B1137" t="s">
        <v>1195</v>
      </c>
      <c r="C1137" t="s">
        <v>1129</v>
      </c>
      <c r="D1137">
        <v>2009</v>
      </c>
      <c r="E1137" t="s">
        <v>1196</v>
      </c>
      <c r="F1137" t="s">
        <v>686</v>
      </c>
    </row>
    <row r="1138" spans="1:6">
      <c r="A1138" t="s">
        <v>468</v>
      </c>
      <c r="B1138" t="s">
        <v>469</v>
      </c>
      <c r="C1138" t="s">
        <v>215</v>
      </c>
      <c r="D1138">
        <v>2009</v>
      </c>
      <c r="E1138" t="s">
        <v>470</v>
      </c>
      <c r="F1138" t="s">
        <v>4</v>
      </c>
    </row>
    <row r="1139" spans="1:6">
      <c r="A1139" t="s">
        <v>78</v>
      </c>
      <c r="B1139" t="s">
        <v>79</v>
      </c>
      <c r="C1139" t="s">
        <v>2</v>
      </c>
      <c r="D1139">
        <v>2009</v>
      </c>
      <c r="E1139" t="s">
        <v>80</v>
      </c>
      <c r="F1139" t="s">
        <v>4</v>
      </c>
    </row>
    <row r="1140" spans="1:6">
      <c r="A1140" t="s">
        <v>627</v>
      </c>
      <c r="B1140" t="s">
        <v>628</v>
      </c>
      <c r="C1140" t="s">
        <v>118</v>
      </c>
      <c r="D1140">
        <v>2009</v>
      </c>
      <c r="E1140" t="s">
        <v>629</v>
      </c>
      <c r="F1140" t="s">
        <v>4</v>
      </c>
    </row>
    <row r="1141" spans="1:6">
      <c r="A1141" t="s">
        <v>88</v>
      </c>
      <c r="B1141" t="s">
        <v>89</v>
      </c>
      <c r="C1141" t="s">
        <v>90</v>
      </c>
      <c r="D1141">
        <v>2009</v>
      </c>
      <c r="E1141" t="s">
        <v>91</v>
      </c>
      <c r="F1141" t="s">
        <v>4</v>
      </c>
    </row>
    <row r="1142" spans="1:6">
      <c r="A1142" t="s">
        <v>1770</v>
      </c>
      <c r="B1142" t="s">
        <v>1771</v>
      </c>
      <c r="C1142" t="s">
        <v>298</v>
      </c>
      <c r="D1142">
        <v>2009</v>
      </c>
      <c r="E1142" t="s">
        <v>1772</v>
      </c>
      <c r="F1142" t="s">
        <v>1328</v>
      </c>
    </row>
    <row r="1143" spans="1:6">
      <c r="A1143" t="s">
        <v>1961</v>
      </c>
      <c r="B1143" t="s">
        <v>1962</v>
      </c>
      <c r="C1143" t="s">
        <v>1963</v>
      </c>
      <c r="D1143">
        <v>2009</v>
      </c>
      <c r="E1143" t="s">
        <v>1964</v>
      </c>
      <c r="F1143" t="s">
        <v>1917</v>
      </c>
    </row>
    <row r="1144" spans="1:6">
      <c r="A1144" t="s">
        <v>116</v>
      </c>
      <c r="B1144" t="s">
        <v>117</v>
      </c>
      <c r="C1144" t="s">
        <v>118</v>
      </c>
      <c r="D1144">
        <v>2009</v>
      </c>
      <c r="E1144" t="s">
        <v>119</v>
      </c>
      <c r="F1144" t="s">
        <v>4</v>
      </c>
    </row>
    <row r="1145" spans="1:6">
      <c r="A1145" t="s">
        <v>1725</v>
      </c>
      <c r="B1145" t="s">
        <v>1726</v>
      </c>
      <c r="C1145" t="s">
        <v>1727</v>
      </c>
      <c r="D1145">
        <v>2009</v>
      </c>
      <c r="E1145" t="s">
        <v>1728</v>
      </c>
      <c r="F1145" t="s">
        <v>1328</v>
      </c>
    </row>
    <row r="1146" spans="1:6">
      <c r="A1146" t="s">
        <v>46</v>
      </c>
      <c r="B1146" t="s">
        <v>47</v>
      </c>
      <c r="C1146" t="s">
        <v>19</v>
      </c>
      <c r="D1146">
        <v>2009</v>
      </c>
      <c r="E1146" t="s">
        <v>48</v>
      </c>
      <c r="F1146" t="s">
        <v>4</v>
      </c>
    </row>
    <row r="1147" spans="1:6">
      <c r="A1147" t="s">
        <v>2054</v>
      </c>
      <c r="B1147" t="s">
        <v>2055</v>
      </c>
      <c r="C1147" t="s">
        <v>315</v>
      </c>
      <c r="D1147">
        <v>2009</v>
      </c>
      <c r="E1147" t="s">
        <v>2056</v>
      </c>
      <c r="F1147" t="s">
        <v>1917</v>
      </c>
    </row>
    <row r="1148" spans="1:6">
      <c r="A1148" t="s">
        <v>528</v>
      </c>
      <c r="B1148" t="s">
        <v>529</v>
      </c>
      <c r="C1148" t="s">
        <v>219</v>
      </c>
      <c r="D1148">
        <v>2009</v>
      </c>
      <c r="E1148" t="s">
        <v>530</v>
      </c>
      <c r="F1148" t="s">
        <v>4</v>
      </c>
    </row>
    <row r="1149" spans="1:6">
      <c r="A1149" t="s">
        <v>1952</v>
      </c>
      <c r="B1149" t="s">
        <v>1953</v>
      </c>
      <c r="C1149" t="s">
        <v>1322</v>
      </c>
      <c r="D1149">
        <v>2009</v>
      </c>
      <c r="E1149" t="s">
        <v>1954</v>
      </c>
      <c r="F1149" t="s">
        <v>1917</v>
      </c>
    </row>
    <row r="1150" spans="1:6">
      <c r="A1150" t="s">
        <v>1810</v>
      </c>
      <c r="B1150" t="s">
        <v>321</v>
      </c>
      <c r="C1150" t="s">
        <v>90</v>
      </c>
      <c r="D1150">
        <v>2009</v>
      </c>
      <c r="E1150" t="s">
        <v>1811</v>
      </c>
      <c r="F1150" t="s">
        <v>1328</v>
      </c>
    </row>
    <row r="1151" spans="1:6">
      <c r="A1151" t="s">
        <v>1837</v>
      </c>
      <c r="B1151" t="s">
        <v>321</v>
      </c>
      <c r="C1151" t="s">
        <v>90</v>
      </c>
      <c r="D1151">
        <v>2009</v>
      </c>
      <c r="E1151" t="s">
        <v>1838</v>
      </c>
      <c r="F1151" t="s">
        <v>1328</v>
      </c>
    </row>
    <row r="1152" spans="1:6">
      <c r="A1152" t="s">
        <v>1724</v>
      </c>
      <c r="B1152" t="s">
        <v>321</v>
      </c>
      <c r="C1152" t="s">
        <v>150</v>
      </c>
      <c r="D1152">
        <v>2009</v>
      </c>
      <c r="E1152" t="s">
        <v>66</v>
      </c>
      <c r="F1152" t="s">
        <v>1328</v>
      </c>
    </row>
    <row r="1153" spans="1:6">
      <c r="A1153" t="s">
        <v>1981</v>
      </c>
      <c r="B1153" t="s">
        <v>321</v>
      </c>
      <c r="C1153" t="s">
        <v>1871</v>
      </c>
      <c r="D1153">
        <v>2009</v>
      </c>
      <c r="E1153" t="s">
        <v>1982</v>
      </c>
      <c r="F1153" t="s">
        <v>1917</v>
      </c>
    </row>
    <row r="1154" spans="1:6">
      <c r="A1154" t="s">
        <v>1981</v>
      </c>
      <c r="B1154" t="s">
        <v>321</v>
      </c>
      <c r="C1154" t="s">
        <v>1871</v>
      </c>
      <c r="D1154">
        <v>2009</v>
      </c>
      <c r="E1154" t="s">
        <v>2014</v>
      </c>
      <c r="F1154" t="s">
        <v>1917</v>
      </c>
    </row>
    <row r="1155" spans="1:6">
      <c r="A1155" t="s">
        <v>531</v>
      </c>
      <c r="B1155" t="s">
        <v>532</v>
      </c>
      <c r="C1155" t="s">
        <v>533</v>
      </c>
      <c r="D1155">
        <v>2009</v>
      </c>
      <c r="E1155" t="s">
        <v>534</v>
      </c>
      <c r="F1155" t="s">
        <v>4</v>
      </c>
    </row>
    <row r="1156" spans="1:6">
      <c r="A1156" t="s">
        <v>67</v>
      </c>
      <c r="B1156" t="s">
        <v>68</v>
      </c>
      <c r="C1156" t="s">
        <v>27</v>
      </c>
      <c r="D1156">
        <v>2009</v>
      </c>
      <c r="E1156" t="s">
        <v>69</v>
      </c>
      <c r="F1156" t="s">
        <v>4</v>
      </c>
    </row>
    <row r="1157" spans="1:6">
      <c r="A1157" t="s">
        <v>1273</v>
      </c>
      <c r="B1157" t="s">
        <v>1274</v>
      </c>
      <c r="C1157" t="s">
        <v>90</v>
      </c>
      <c r="D1157">
        <v>2009</v>
      </c>
      <c r="E1157" t="s">
        <v>1275</v>
      </c>
      <c r="F1157" t="s">
        <v>686</v>
      </c>
    </row>
    <row r="1158" spans="1:6">
      <c r="A1158" t="s">
        <v>98</v>
      </c>
      <c r="B1158" t="s">
        <v>99</v>
      </c>
      <c r="C1158" t="s">
        <v>7</v>
      </c>
      <c r="D1158">
        <v>2009</v>
      </c>
      <c r="E1158" t="s">
        <v>100</v>
      </c>
      <c r="F1158" t="s">
        <v>4</v>
      </c>
    </row>
    <row r="1159" spans="1:6">
      <c r="A1159" t="s">
        <v>1380</v>
      </c>
      <c r="B1159" t="s">
        <v>1381</v>
      </c>
      <c r="C1159" t="s">
        <v>72</v>
      </c>
      <c r="D1159">
        <v>2009</v>
      </c>
      <c r="E1159" t="s">
        <v>1382</v>
      </c>
      <c r="F1159" t="s">
        <v>1328</v>
      </c>
    </row>
    <row r="1160" spans="1:6">
      <c r="A1160" t="s">
        <v>1104</v>
      </c>
      <c r="B1160" t="s">
        <v>1105</v>
      </c>
      <c r="C1160" t="s">
        <v>229</v>
      </c>
      <c r="D1160">
        <v>2009</v>
      </c>
      <c r="E1160" t="s">
        <v>1106</v>
      </c>
      <c r="F1160" t="s">
        <v>686</v>
      </c>
    </row>
    <row r="1161" spans="1:6">
      <c r="A1161" t="s">
        <v>1503</v>
      </c>
      <c r="B1161" t="s">
        <v>1504</v>
      </c>
      <c r="C1161" t="s">
        <v>1505</v>
      </c>
      <c r="D1161">
        <v>2009</v>
      </c>
      <c r="E1161" t="s">
        <v>1506</v>
      </c>
      <c r="F1161" t="s">
        <v>1328</v>
      </c>
    </row>
    <row r="1162" spans="1:6">
      <c r="A1162" t="s">
        <v>503</v>
      </c>
      <c r="B1162" t="s">
        <v>504</v>
      </c>
      <c r="C1162" t="s">
        <v>505</v>
      </c>
      <c r="D1162">
        <v>2009</v>
      </c>
      <c r="E1162" t="s">
        <v>506</v>
      </c>
      <c r="F1162" t="s">
        <v>4</v>
      </c>
    </row>
    <row r="1163" spans="1:6">
      <c r="A1163" t="s">
        <v>1706</v>
      </c>
      <c r="B1163" t="s">
        <v>1707</v>
      </c>
      <c r="C1163" t="s">
        <v>1218</v>
      </c>
      <c r="D1163">
        <v>2009</v>
      </c>
      <c r="E1163" t="s">
        <v>1708</v>
      </c>
      <c r="F1163" t="s">
        <v>1328</v>
      </c>
    </row>
    <row r="1164" spans="1:6">
      <c r="A1164" t="s">
        <v>2065</v>
      </c>
      <c r="B1164" t="s">
        <v>2066</v>
      </c>
      <c r="C1164" t="s">
        <v>612</v>
      </c>
      <c r="D1164">
        <v>2009</v>
      </c>
      <c r="E1164" t="s">
        <v>2067</v>
      </c>
      <c r="F1164" t="s">
        <v>1917</v>
      </c>
    </row>
    <row r="1165" spans="1:6">
      <c r="A1165" t="s">
        <v>2008</v>
      </c>
      <c r="B1165" t="s">
        <v>2009</v>
      </c>
      <c r="C1165" t="s">
        <v>575</v>
      </c>
      <c r="D1165">
        <v>2009</v>
      </c>
      <c r="E1165" t="s">
        <v>2010</v>
      </c>
      <c r="F1165" t="s">
        <v>1917</v>
      </c>
    </row>
    <row r="1166" spans="1:6">
      <c r="A1166" t="s">
        <v>1843</v>
      </c>
      <c r="B1166" t="s">
        <v>321</v>
      </c>
      <c r="C1166" t="s">
        <v>1844</v>
      </c>
      <c r="D1166">
        <v>2009</v>
      </c>
      <c r="E1166" t="s">
        <v>1845</v>
      </c>
      <c r="F1166" t="s">
        <v>1328</v>
      </c>
    </row>
    <row r="1167" spans="1:6">
      <c r="A1167" t="s">
        <v>1131</v>
      </c>
      <c r="B1167" t="s">
        <v>1132</v>
      </c>
      <c r="C1167" t="s">
        <v>259</v>
      </c>
      <c r="D1167">
        <v>2009</v>
      </c>
      <c r="E1167" t="s">
        <v>1133</v>
      </c>
      <c r="F1167" t="s">
        <v>686</v>
      </c>
    </row>
    <row r="1168" spans="1:6">
      <c r="A1168" t="s">
        <v>651</v>
      </c>
      <c r="B1168" t="s">
        <v>652</v>
      </c>
      <c r="C1168" t="s">
        <v>653</v>
      </c>
      <c r="D1168">
        <v>2009</v>
      </c>
      <c r="E1168" t="s">
        <v>654</v>
      </c>
      <c r="F1168" t="s">
        <v>4</v>
      </c>
    </row>
    <row r="1169" spans="1:6">
      <c r="A1169" t="s">
        <v>947</v>
      </c>
      <c r="B1169" t="s">
        <v>948</v>
      </c>
      <c r="C1169" t="s">
        <v>72</v>
      </c>
      <c r="D1169">
        <v>2009</v>
      </c>
      <c r="E1169" t="s">
        <v>949</v>
      </c>
      <c r="F1169" t="s">
        <v>686</v>
      </c>
    </row>
    <row r="1170" spans="1:6">
      <c r="A1170" t="s">
        <v>1152</v>
      </c>
      <c r="B1170" t="s">
        <v>1153</v>
      </c>
      <c r="C1170" t="s">
        <v>7</v>
      </c>
      <c r="D1170">
        <v>2009</v>
      </c>
      <c r="E1170" t="s">
        <v>1154</v>
      </c>
      <c r="F1170" t="s">
        <v>686</v>
      </c>
    </row>
    <row r="1171" spans="1:6">
      <c r="A1171" t="s">
        <v>465</v>
      </c>
      <c r="B1171" t="s">
        <v>466</v>
      </c>
      <c r="C1171" t="s">
        <v>246</v>
      </c>
      <c r="D1171">
        <v>2009</v>
      </c>
      <c r="E1171" t="s">
        <v>467</v>
      </c>
      <c r="F1171" t="s">
        <v>4</v>
      </c>
    </row>
    <row r="1172" spans="1:6">
      <c r="A1172" t="s">
        <v>923</v>
      </c>
      <c r="B1172" t="s">
        <v>908</v>
      </c>
      <c r="C1172" t="s">
        <v>575</v>
      </c>
      <c r="D1172">
        <v>2009</v>
      </c>
      <c r="E1172" t="s">
        <v>924</v>
      </c>
      <c r="F1172" t="s">
        <v>686</v>
      </c>
    </row>
    <row r="1173" spans="1:6">
      <c r="A1173" t="s">
        <v>925</v>
      </c>
      <c r="B1173" t="s">
        <v>926</v>
      </c>
      <c r="C1173" t="s">
        <v>72</v>
      </c>
      <c r="D1173">
        <v>2009</v>
      </c>
      <c r="E1173" t="s">
        <v>927</v>
      </c>
      <c r="F1173" t="s">
        <v>686</v>
      </c>
    </row>
    <row r="1174" spans="1:6">
      <c r="A1174" t="s">
        <v>956</v>
      </c>
      <c r="B1174" t="s">
        <v>957</v>
      </c>
      <c r="C1174" t="s">
        <v>90</v>
      </c>
      <c r="D1174">
        <v>2009</v>
      </c>
      <c r="E1174" t="s">
        <v>958</v>
      </c>
      <c r="F1174" t="s">
        <v>686</v>
      </c>
    </row>
    <row r="1175" spans="1:6">
      <c r="A1175" t="s">
        <v>1367</v>
      </c>
      <c r="B1175" t="s">
        <v>1368</v>
      </c>
      <c r="C1175" t="s">
        <v>1369</v>
      </c>
      <c r="D1175">
        <v>2009</v>
      </c>
      <c r="E1175" t="s">
        <v>1370</v>
      </c>
      <c r="F1175" t="s">
        <v>1328</v>
      </c>
    </row>
    <row r="1176" spans="1:6">
      <c r="A1176" t="s">
        <v>406</v>
      </c>
      <c r="B1176" t="s">
        <v>407</v>
      </c>
      <c r="C1176" t="s">
        <v>408</v>
      </c>
      <c r="D1176">
        <v>2009</v>
      </c>
      <c r="E1176" t="s">
        <v>409</v>
      </c>
      <c r="F1176" t="s">
        <v>4</v>
      </c>
    </row>
    <row r="1177" spans="1:6">
      <c r="A1177" t="s">
        <v>837</v>
      </c>
      <c r="B1177" t="s">
        <v>838</v>
      </c>
      <c r="C1177" t="s">
        <v>72</v>
      </c>
      <c r="D1177">
        <v>2009</v>
      </c>
      <c r="E1177" t="s">
        <v>839</v>
      </c>
      <c r="F1177" t="s">
        <v>686</v>
      </c>
    </row>
    <row r="1178" spans="1:6">
      <c r="A1178" t="s">
        <v>1448</v>
      </c>
      <c r="B1178" t="s">
        <v>1449</v>
      </c>
      <c r="C1178" t="s">
        <v>1450</v>
      </c>
      <c r="D1178">
        <v>2009</v>
      </c>
      <c r="E1178" t="s">
        <v>1451</v>
      </c>
      <c r="F1178" t="s">
        <v>1328</v>
      </c>
    </row>
    <row r="1179" spans="1:6">
      <c r="A1179" t="s">
        <v>1812</v>
      </c>
      <c r="B1179" t="s">
        <v>1813</v>
      </c>
      <c r="C1179" t="s">
        <v>575</v>
      </c>
      <c r="D1179">
        <v>2009</v>
      </c>
      <c r="E1179" t="s">
        <v>1814</v>
      </c>
      <c r="F1179" t="s">
        <v>1328</v>
      </c>
    </row>
    <row r="1180" spans="1:6">
      <c r="A1180" t="s">
        <v>1266</v>
      </c>
      <c r="B1180" t="s">
        <v>1267</v>
      </c>
      <c r="C1180" t="s">
        <v>122</v>
      </c>
      <c r="D1180">
        <v>2009</v>
      </c>
      <c r="E1180" t="s">
        <v>1268</v>
      </c>
      <c r="F1180" t="s">
        <v>686</v>
      </c>
    </row>
    <row r="1181" spans="1:6">
      <c r="A1181" t="s">
        <v>1146</v>
      </c>
      <c r="B1181" t="s">
        <v>1147</v>
      </c>
      <c r="C1181" t="s">
        <v>219</v>
      </c>
      <c r="D1181">
        <v>2009</v>
      </c>
      <c r="E1181" t="s">
        <v>1148</v>
      </c>
      <c r="F1181" t="s">
        <v>686</v>
      </c>
    </row>
    <row r="1182" spans="1:6">
      <c r="A1182" t="s">
        <v>1269</v>
      </c>
      <c r="B1182" t="s">
        <v>1270</v>
      </c>
      <c r="C1182" t="s">
        <v>1271</v>
      </c>
      <c r="D1182">
        <v>2009</v>
      </c>
      <c r="E1182" t="s">
        <v>1272</v>
      </c>
      <c r="F1182" t="s">
        <v>686</v>
      </c>
    </row>
    <row r="1183" spans="1:6">
      <c r="A1183" t="s">
        <v>1300</v>
      </c>
      <c r="B1183" t="s">
        <v>1301</v>
      </c>
      <c r="C1183" t="s">
        <v>1302</v>
      </c>
      <c r="D1183">
        <v>2009</v>
      </c>
      <c r="E1183" t="s">
        <v>1303</v>
      </c>
      <c r="F1183" t="s">
        <v>686</v>
      </c>
    </row>
    <row r="1184" spans="1:6">
      <c r="A1184" t="s">
        <v>434</v>
      </c>
      <c r="B1184" t="s">
        <v>435</v>
      </c>
      <c r="C1184" t="s">
        <v>436</v>
      </c>
      <c r="D1184">
        <v>2009</v>
      </c>
      <c r="E1184" t="s">
        <v>437</v>
      </c>
      <c r="F1184" t="s">
        <v>4</v>
      </c>
    </row>
    <row r="1185" spans="1:6">
      <c r="A1185" t="s">
        <v>1579</v>
      </c>
      <c r="B1185" t="s">
        <v>1580</v>
      </c>
      <c r="C1185" t="s">
        <v>315</v>
      </c>
      <c r="D1185">
        <v>2009</v>
      </c>
      <c r="E1185" t="s">
        <v>1581</v>
      </c>
      <c r="F1185" t="s">
        <v>1328</v>
      </c>
    </row>
    <row r="1186" spans="1:6">
      <c r="A1186" t="s">
        <v>0</v>
      </c>
      <c r="B1186" t="s">
        <v>1</v>
      </c>
      <c r="C1186" t="s">
        <v>2</v>
      </c>
      <c r="D1186">
        <v>2009</v>
      </c>
      <c r="E1186" t="s">
        <v>3</v>
      </c>
      <c r="F1186" t="s">
        <v>4</v>
      </c>
    </row>
    <row r="1187" spans="1:6">
      <c r="A1187" t="s">
        <v>1884</v>
      </c>
      <c r="B1187" t="s">
        <v>1885</v>
      </c>
      <c r="C1187" t="s">
        <v>118</v>
      </c>
      <c r="D1187">
        <v>2009</v>
      </c>
      <c r="E1187" t="s">
        <v>1886</v>
      </c>
      <c r="F1187" t="s">
        <v>1328</v>
      </c>
    </row>
    <row r="1188" spans="1:6">
      <c r="A1188" t="s">
        <v>542</v>
      </c>
      <c r="B1188" t="s">
        <v>543</v>
      </c>
      <c r="C1188" t="s">
        <v>544</v>
      </c>
      <c r="D1188">
        <v>2009</v>
      </c>
      <c r="E1188" t="s">
        <v>545</v>
      </c>
      <c r="F1188" t="s">
        <v>4</v>
      </c>
    </row>
    <row r="1189" spans="1:6">
      <c r="A1189" t="s">
        <v>1461</v>
      </c>
      <c r="B1189" t="s">
        <v>1462</v>
      </c>
      <c r="C1189" t="s">
        <v>229</v>
      </c>
      <c r="D1189">
        <v>2009</v>
      </c>
      <c r="E1189" t="s">
        <v>1463</v>
      </c>
      <c r="F1189" t="s">
        <v>1328</v>
      </c>
    </row>
    <row r="1190" spans="1:6">
      <c r="A1190" t="s">
        <v>1342</v>
      </c>
      <c r="B1190" t="s">
        <v>1343</v>
      </c>
      <c r="C1190" t="s">
        <v>2</v>
      </c>
      <c r="D1190">
        <v>2009</v>
      </c>
      <c r="E1190" t="s">
        <v>1344</v>
      </c>
      <c r="F1190" t="s">
        <v>1328</v>
      </c>
    </row>
    <row r="1191" spans="1:6">
      <c r="A1191" t="s">
        <v>769</v>
      </c>
      <c r="B1191" t="s">
        <v>770</v>
      </c>
      <c r="C1191" t="s">
        <v>743</v>
      </c>
      <c r="D1191">
        <v>2009</v>
      </c>
      <c r="E1191" t="s">
        <v>771</v>
      </c>
      <c r="F1191" t="s">
        <v>686</v>
      </c>
    </row>
    <row r="1192" spans="1:6">
      <c r="A1192" t="s">
        <v>293</v>
      </c>
      <c r="B1192" t="s">
        <v>294</v>
      </c>
      <c r="C1192" t="s">
        <v>7</v>
      </c>
      <c r="D1192">
        <v>2009</v>
      </c>
      <c r="E1192" t="s">
        <v>295</v>
      </c>
      <c r="F1192" t="s">
        <v>4</v>
      </c>
    </row>
    <row r="1193" spans="1:6">
      <c r="A1193" t="s">
        <v>1096</v>
      </c>
      <c r="B1193" t="s">
        <v>1097</v>
      </c>
      <c r="C1193" t="s">
        <v>1098</v>
      </c>
      <c r="D1193">
        <v>2009</v>
      </c>
      <c r="E1193" t="s">
        <v>1099</v>
      </c>
      <c r="F1193" t="s">
        <v>686</v>
      </c>
    </row>
    <row r="1194" spans="1:6">
      <c r="A1194" t="s">
        <v>458</v>
      </c>
      <c r="B1194" t="s">
        <v>459</v>
      </c>
      <c r="C1194" t="s">
        <v>460</v>
      </c>
      <c r="D1194">
        <v>2009</v>
      </c>
      <c r="E1194" t="s">
        <v>461</v>
      </c>
      <c r="F1194" t="s">
        <v>4</v>
      </c>
    </row>
    <row r="1195" spans="1:6">
      <c r="A1195" t="s">
        <v>1158</v>
      </c>
      <c r="B1195" t="s">
        <v>1159</v>
      </c>
      <c r="C1195" t="s">
        <v>1160</v>
      </c>
      <c r="D1195">
        <v>2009</v>
      </c>
      <c r="E1195" t="s">
        <v>1161</v>
      </c>
      <c r="F1195" t="s">
        <v>686</v>
      </c>
    </row>
    <row r="1196" spans="1:6">
      <c r="A1196" t="s">
        <v>1874</v>
      </c>
      <c r="B1196" t="s">
        <v>321</v>
      </c>
      <c r="C1196" t="s">
        <v>1875</v>
      </c>
      <c r="D1196">
        <v>2009</v>
      </c>
      <c r="E1196" t="s">
        <v>1876</v>
      </c>
      <c r="F1196" t="s">
        <v>1328</v>
      </c>
    </row>
    <row r="1197" spans="1:6">
      <c r="A1197" t="s">
        <v>373</v>
      </c>
      <c r="B1197" t="s">
        <v>374</v>
      </c>
      <c r="C1197" t="s">
        <v>375</v>
      </c>
      <c r="D1197">
        <v>2009</v>
      </c>
      <c r="E1197" t="s">
        <v>376</v>
      </c>
      <c r="F1197" t="s">
        <v>4</v>
      </c>
    </row>
    <row r="1198" spans="1:6">
      <c r="A1198" t="s">
        <v>1236</v>
      </c>
      <c r="B1198" t="s">
        <v>1237</v>
      </c>
      <c r="C1198" t="s">
        <v>1071</v>
      </c>
      <c r="D1198">
        <v>2009</v>
      </c>
      <c r="E1198" t="s">
        <v>1238</v>
      </c>
      <c r="F1198" t="s">
        <v>686</v>
      </c>
    </row>
    <row r="1199" spans="1:6">
      <c r="A1199" t="s">
        <v>213</v>
      </c>
      <c r="B1199" t="s">
        <v>214</v>
      </c>
      <c r="C1199" t="s">
        <v>215</v>
      </c>
      <c r="D1199">
        <v>2009</v>
      </c>
      <c r="E1199" t="s">
        <v>216</v>
      </c>
      <c r="F1199" t="s">
        <v>4</v>
      </c>
    </row>
    <row r="1200" spans="1:6">
      <c r="A1200" t="s">
        <v>950</v>
      </c>
      <c r="B1200" t="s">
        <v>951</v>
      </c>
      <c r="C1200" t="s">
        <v>2</v>
      </c>
      <c r="D1200">
        <v>2009</v>
      </c>
      <c r="E1200" t="s">
        <v>952</v>
      </c>
      <c r="F1200" t="s">
        <v>686</v>
      </c>
    </row>
    <row r="1201" spans="1:6">
      <c r="A1201" t="s">
        <v>391</v>
      </c>
      <c r="B1201" t="s">
        <v>392</v>
      </c>
      <c r="C1201" t="s">
        <v>215</v>
      </c>
      <c r="D1201">
        <v>2009</v>
      </c>
      <c r="E1201" t="s">
        <v>393</v>
      </c>
      <c r="F1201" t="s">
        <v>4</v>
      </c>
    </row>
    <row r="1202" spans="1:6">
      <c r="A1202" t="s">
        <v>2005</v>
      </c>
      <c r="B1202" t="s">
        <v>2006</v>
      </c>
      <c r="C1202" t="s">
        <v>476</v>
      </c>
      <c r="D1202">
        <v>2009</v>
      </c>
      <c r="E1202" t="s">
        <v>2007</v>
      </c>
      <c r="F1202" t="s">
        <v>1917</v>
      </c>
    </row>
    <row r="1203" spans="1:6">
      <c r="A1203" t="s">
        <v>944</v>
      </c>
      <c r="B1203" t="s">
        <v>945</v>
      </c>
      <c r="C1203" t="s">
        <v>72</v>
      </c>
      <c r="D1203">
        <v>2009</v>
      </c>
      <c r="E1203" t="s">
        <v>946</v>
      </c>
      <c r="F1203" t="s">
        <v>686</v>
      </c>
    </row>
    <row r="1204" spans="1:6">
      <c r="A1204" t="s">
        <v>2038</v>
      </c>
      <c r="B1204" t="s">
        <v>2039</v>
      </c>
      <c r="C1204" t="s">
        <v>2040</v>
      </c>
      <c r="D1204">
        <v>2009</v>
      </c>
      <c r="E1204" t="s">
        <v>2041</v>
      </c>
      <c r="F1204" t="s">
        <v>1917</v>
      </c>
    </row>
    <row r="1205" spans="1:6">
      <c r="A1205" t="s">
        <v>630</v>
      </c>
      <c r="B1205" t="s">
        <v>631</v>
      </c>
      <c r="C1205" t="s">
        <v>632</v>
      </c>
      <c r="D1205">
        <v>2009</v>
      </c>
      <c r="E1205" t="s">
        <v>633</v>
      </c>
      <c r="F1205" t="s">
        <v>4</v>
      </c>
    </row>
    <row r="1206" spans="1:6">
      <c r="A1206" t="s">
        <v>1753</v>
      </c>
      <c r="B1206" t="s">
        <v>321</v>
      </c>
      <c r="C1206" t="s">
        <v>72</v>
      </c>
      <c r="D1206">
        <v>2009</v>
      </c>
      <c r="E1206" t="s">
        <v>1758</v>
      </c>
      <c r="F1206" t="s">
        <v>1328</v>
      </c>
    </row>
    <row r="1207" spans="1:6">
      <c r="A1207" t="s">
        <v>1753</v>
      </c>
      <c r="B1207" t="s">
        <v>321</v>
      </c>
      <c r="C1207" t="s">
        <v>72</v>
      </c>
      <c r="D1207">
        <v>2009</v>
      </c>
      <c r="E1207" t="s">
        <v>1759</v>
      </c>
      <c r="F1207" t="s">
        <v>1328</v>
      </c>
    </row>
    <row r="1208" spans="1:6">
      <c r="A1208" t="s">
        <v>1753</v>
      </c>
      <c r="B1208" t="s">
        <v>321</v>
      </c>
      <c r="C1208" t="s">
        <v>72</v>
      </c>
      <c r="D1208">
        <v>2009</v>
      </c>
      <c r="E1208" t="s">
        <v>1762</v>
      </c>
      <c r="F1208" t="s">
        <v>1328</v>
      </c>
    </row>
    <row r="1209" spans="1:6">
      <c r="A1209" t="s">
        <v>1753</v>
      </c>
      <c r="B1209" t="s">
        <v>321</v>
      </c>
      <c r="C1209" t="s">
        <v>72</v>
      </c>
      <c r="D1209">
        <v>2009</v>
      </c>
      <c r="E1209" t="s">
        <v>1764</v>
      </c>
      <c r="F1209" t="s">
        <v>1328</v>
      </c>
    </row>
    <row r="1210" spans="1:6">
      <c r="A1210" t="s">
        <v>772</v>
      </c>
      <c r="B1210" t="s">
        <v>773</v>
      </c>
      <c r="C1210" t="s">
        <v>774</v>
      </c>
      <c r="D1210">
        <v>2009</v>
      </c>
      <c r="E1210" t="s">
        <v>775</v>
      </c>
      <c r="F1210" t="s">
        <v>686</v>
      </c>
    </row>
    <row r="1211" spans="1:6">
      <c r="A1211" t="s">
        <v>1259</v>
      </c>
      <c r="B1211" t="s">
        <v>1260</v>
      </c>
      <c r="C1211" t="s">
        <v>804</v>
      </c>
      <c r="D1211">
        <v>2009</v>
      </c>
      <c r="E1211" t="s">
        <v>1261</v>
      </c>
      <c r="F1211" t="s">
        <v>686</v>
      </c>
    </row>
    <row r="1212" spans="1:6">
      <c r="A1212" t="s">
        <v>92</v>
      </c>
      <c r="B1212" t="s">
        <v>93</v>
      </c>
      <c r="C1212" t="s">
        <v>90</v>
      </c>
      <c r="D1212">
        <v>2009</v>
      </c>
      <c r="E1212" t="s">
        <v>94</v>
      </c>
      <c r="F1212" t="s">
        <v>4</v>
      </c>
    </row>
    <row r="1213" spans="1:6">
      <c r="A1213" t="s">
        <v>1202</v>
      </c>
      <c r="B1213" t="s">
        <v>1203</v>
      </c>
      <c r="C1213" t="s">
        <v>1204</v>
      </c>
      <c r="D1213">
        <v>2009</v>
      </c>
      <c r="E1213" t="s">
        <v>1205</v>
      </c>
      <c r="F1213" t="s">
        <v>686</v>
      </c>
    </row>
    <row r="1214" spans="1:6">
      <c r="A1214" t="s">
        <v>1124</v>
      </c>
      <c r="B1214" t="s">
        <v>1125</v>
      </c>
      <c r="C1214" t="s">
        <v>31</v>
      </c>
      <c r="D1214">
        <v>2009</v>
      </c>
      <c r="E1214" t="s">
        <v>1126</v>
      </c>
      <c r="F1214" t="s">
        <v>686</v>
      </c>
    </row>
    <row r="1215" spans="1:6">
      <c r="A1215" t="s">
        <v>1230</v>
      </c>
      <c r="B1215" t="s">
        <v>1231</v>
      </c>
      <c r="C1215" t="s">
        <v>7</v>
      </c>
      <c r="D1215">
        <v>2009</v>
      </c>
      <c r="E1215" t="s">
        <v>1232</v>
      </c>
      <c r="F1215" t="s">
        <v>686</v>
      </c>
    </row>
    <row r="1216" spans="1:6">
      <c r="A1216" t="s">
        <v>1860</v>
      </c>
      <c r="B1216" t="s">
        <v>1861</v>
      </c>
      <c r="C1216" t="s">
        <v>270</v>
      </c>
      <c r="D1216">
        <v>2009</v>
      </c>
      <c r="E1216" t="s">
        <v>1862</v>
      </c>
      <c r="F1216" t="s">
        <v>1328</v>
      </c>
    </row>
    <row r="1217" spans="1:6">
      <c r="A1217" t="s">
        <v>1743</v>
      </c>
      <c r="B1217" t="s">
        <v>321</v>
      </c>
      <c r="C1217" t="s">
        <v>287</v>
      </c>
      <c r="D1217">
        <v>2009</v>
      </c>
      <c r="E1217" t="s">
        <v>1744</v>
      </c>
      <c r="F1217" t="s">
        <v>1328</v>
      </c>
    </row>
    <row r="1218" spans="1:6">
      <c r="A1218" t="s">
        <v>52</v>
      </c>
      <c r="B1218" t="s">
        <v>53</v>
      </c>
      <c r="C1218" t="s">
        <v>54</v>
      </c>
      <c r="D1218">
        <v>2009</v>
      </c>
      <c r="E1218" t="s">
        <v>55</v>
      </c>
      <c r="F1218" t="s">
        <v>4</v>
      </c>
    </row>
    <row r="1219" spans="1:6">
      <c r="A1219" t="s">
        <v>1970</v>
      </c>
      <c r="B1219" t="s">
        <v>1971</v>
      </c>
      <c r="C1219" t="s">
        <v>1228</v>
      </c>
      <c r="D1219">
        <v>2009</v>
      </c>
      <c r="E1219" t="s">
        <v>1972</v>
      </c>
      <c r="F1219" t="s">
        <v>1917</v>
      </c>
    </row>
    <row r="1220" spans="1:6">
      <c r="A1220" t="s">
        <v>282</v>
      </c>
      <c r="B1220" t="s">
        <v>283</v>
      </c>
      <c r="C1220" t="s">
        <v>72</v>
      </c>
      <c r="D1220">
        <v>2009</v>
      </c>
      <c r="E1220" t="s">
        <v>284</v>
      </c>
      <c r="F1220" t="s">
        <v>4</v>
      </c>
    </row>
    <row r="1221" spans="1:6">
      <c r="A1221" t="s">
        <v>148</v>
      </c>
      <c r="B1221" t="s">
        <v>149</v>
      </c>
      <c r="C1221" t="s">
        <v>150</v>
      </c>
      <c r="D1221">
        <v>2009</v>
      </c>
      <c r="E1221" t="s">
        <v>66</v>
      </c>
      <c r="F1221" t="s">
        <v>4</v>
      </c>
    </row>
    <row r="1222" spans="1:6">
      <c r="A1222" t="s">
        <v>1377</v>
      </c>
      <c r="B1222" t="s">
        <v>1378</v>
      </c>
      <c r="C1222" t="s">
        <v>305</v>
      </c>
      <c r="D1222">
        <v>2009</v>
      </c>
      <c r="E1222" t="s">
        <v>1379</v>
      </c>
      <c r="F1222" t="s">
        <v>1328</v>
      </c>
    </row>
    <row r="1223" spans="1:6">
      <c r="A1223" t="s">
        <v>1107</v>
      </c>
      <c r="B1223" t="s">
        <v>1108</v>
      </c>
      <c r="C1223" t="s">
        <v>1109</v>
      </c>
      <c r="D1223">
        <v>2009</v>
      </c>
      <c r="E1223" t="s">
        <v>1110</v>
      </c>
      <c r="F1223" t="s">
        <v>686</v>
      </c>
    </row>
    <row r="1224" spans="1:6">
      <c r="A1224" t="s">
        <v>703</v>
      </c>
      <c r="B1224" t="s">
        <v>704</v>
      </c>
      <c r="C1224" t="s">
        <v>533</v>
      </c>
      <c r="D1224">
        <v>2009</v>
      </c>
      <c r="E1224" t="s">
        <v>705</v>
      </c>
      <c r="F1224" t="s">
        <v>686</v>
      </c>
    </row>
    <row r="1225" spans="1:6">
      <c r="A1225" t="s">
        <v>1313</v>
      </c>
      <c r="B1225" t="s">
        <v>1314</v>
      </c>
      <c r="C1225" t="s">
        <v>122</v>
      </c>
      <c r="D1225">
        <v>2009</v>
      </c>
      <c r="E1225" t="s">
        <v>1315</v>
      </c>
      <c r="F1225" t="s">
        <v>686</v>
      </c>
    </row>
    <row r="1226" spans="1:6">
      <c r="A1226" t="s">
        <v>573</v>
      </c>
      <c r="B1226" t="s">
        <v>574</v>
      </c>
      <c r="C1226" t="s">
        <v>575</v>
      </c>
      <c r="D1226">
        <v>2009</v>
      </c>
      <c r="E1226" t="s">
        <v>576</v>
      </c>
      <c r="F1226" t="s">
        <v>4</v>
      </c>
    </row>
    <row r="1227" spans="1:6">
      <c r="A1227" t="s">
        <v>1065</v>
      </c>
      <c r="B1227" t="s">
        <v>1066</v>
      </c>
      <c r="C1227" t="s">
        <v>1067</v>
      </c>
      <c r="D1227">
        <v>2009</v>
      </c>
      <c r="E1227" t="s">
        <v>1068</v>
      </c>
      <c r="F1227" t="s">
        <v>686</v>
      </c>
    </row>
    <row r="1228" spans="1:6">
      <c r="A1228" t="s">
        <v>1320</v>
      </c>
      <c r="B1228" t="s">
        <v>1321</v>
      </c>
      <c r="C1228" t="s">
        <v>1322</v>
      </c>
      <c r="D1228">
        <v>2009</v>
      </c>
      <c r="E1228" t="s">
        <v>1323</v>
      </c>
      <c r="F1228" t="s">
        <v>686</v>
      </c>
    </row>
    <row r="1229" spans="1:6">
      <c r="A1229" t="s">
        <v>904</v>
      </c>
      <c r="B1229" t="s">
        <v>905</v>
      </c>
      <c r="C1229" t="s">
        <v>2</v>
      </c>
      <c r="D1229">
        <v>2009</v>
      </c>
      <c r="E1229" t="s">
        <v>906</v>
      </c>
      <c r="F1229" t="s">
        <v>686</v>
      </c>
    </row>
    <row r="1230" spans="1:6">
      <c r="A1230" t="s">
        <v>723</v>
      </c>
      <c r="B1230" t="s">
        <v>724</v>
      </c>
      <c r="C1230" t="s">
        <v>725</v>
      </c>
      <c r="D1230">
        <v>2009</v>
      </c>
      <c r="E1230" t="s">
        <v>726</v>
      </c>
      <c r="F1230" t="s">
        <v>686</v>
      </c>
    </row>
    <row r="1231" spans="1:6">
      <c r="A1231" t="s">
        <v>1010</v>
      </c>
      <c r="B1231" t="s">
        <v>1011</v>
      </c>
      <c r="C1231" t="s">
        <v>229</v>
      </c>
      <c r="D1231">
        <v>2009</v>
      </c>
      <c r="E1231" t="s">
        <v>1012</v>
      </c>
      <c r="F1231" t="s">
        <v>686</v>
      </c>
    </row>
    <row r="1232" spans="1:6">
      <c r="A1232" t="s">
        <v>828</v>
      </c>
      <c r="B1232" t="s">
        <v>829</v>
      </c>
      <c r="C1232" t="s">
        <v>72</v>
      </c>
      <c r="D1232">
        <v>2009</v>
      </c>
      <c r="E1232" t="s">
        <v>830</v>
      </c>
      <c r="F1232" t="s">
        <v>686</v>
      </c>
    </row>
    <row r="1233" spans="1:6">
      <c r="A1233" t="s">
        <v>1114</v>
      </c>
      <c r="B1233" t="s">
        <v>1115</v>
      </c>
      <c r="C1233" t="s">
        <v>1116</v>
      </c>
      <c r="D1233">
        <v>2009</v>
      </c>
      <c r="E1233" t="s">
        <v>1117</v>
      </c>
      <c r="F1233" t="s">
        <v>686</v>
      </c>
    </row>
    <row r="1234" spans="1:6">
      <c r="A1234" t="s">
        <v>1582</v>
      </c>
      <c r="B1234" t="s">
        <v>1583</v>
      </c>
      <c r="C1234" t="s">
        <v>520</v>
      </c>
      <c r="D1234">
        <v>2009</v>
      </c>
      <c r="E1234" t="s">
        <v>1584</v>
      </c>
      <c r="F1234" t="s">
        <v>1328</v>
      </c>
    </row>
    <row r="1235" spans="1:6">
      <c r="A1235" t="s">
        <v>1573</v>
      </c>
      <c r="B1235" t="s">
        <v>1574</v>
      </c>
      <c r="C1235" t="s">
        <v>326</v>
      </c>
      <c r="D1235">
        <v>2009</v>
      </c>
      <c r="E1235" t="s">
        <v>1575</v>
      </c>
      <c r="F1235" t="s">
        <v>1328</v>
      </c>
    </row>
    <row r="1236" spans="1:6">
      <c r="A1236" t="s">
        <v>1589</v>
      </c>
      <c r="B1236" t="s">
        <v>1590</v>
      </c>
      <c r="C1236" t="s">
        <v>512</v>
      </c>
      <c r="D1236">
        <v>2009</v>
      </c>
      <c r="E1236" t="s">
        <v>1591</v>
      </c>
      <c r="F1236" t="s">
        <v>1328</v>
      </c>
    </row>
    <row r="1237" spans="1:6">
      <c r="A1237" t="s">
        <v>1162</v>
      </c>
      <c r="B1237" t="s">
        <v>1163</v>
      </c>
      <c r="C1237" t="s">
        <v>122</v>
      </c>
      <c r="D1237">
        <v>2008</v>
      </c>
      <c r="E1237" t="s">
        <v>1164</v>
      </c>
      <c r="F1237" t="s">
        <v>686</v>
      </c>
    </row>
    <row r="1238" spans="1:6">
      <c r="A1238" t="s">
        <v>37</v>
      </c>
      <c r="B1238" t="s">
        <v>38</v>
      </c>
      <c r="C1238" t="s">
        <v>19</v>
      </c>
      <c r="D1238">
        <v>2008</v>
      </c>
      <c r="E1238" t="s">
        <v>39</v>
      </c>
      <c r="F1238" t="s">
        <v>4</v>
      </c>
    </row>
    <row r="1239" spans="1:6">
      <c r="A1239" t="s">
        <v>840</v>
      </c>
      <c r="B1239" t="s">
        <v>841</v>
      </c>
      <c r="C1239" t="s">
        <v>72</v>
      </c>
      <c r="D1239">
        <v>2008</v>
      </c>
      <c r="E1239" t="s">
        <v>842</v>
      </c>
      <c r="F1239" t="s">
        <v>686</v>
      </c>
    </row>
    <row r="1240" spans="1:6">
      <c r="A1240" t="s">
        <v>1927</v>
      </c>
      <c r="B1240" t="s">
        <v>321</v>
      </c>
      <c r="C1240" t="s">
        <v>54</v>
      </c>
      <c r="D1240">
        <v>2008</v>
      </c>
      <c r="E1240" t="s">
        <v>1928</v>
      </c>
      <c r="F1240" t="s">
        <v>1917</v>
      </c>
    </row>
    <row r="1241" spans="1:6">
      <c r="A1241" t="s">
        <v>1783</v>
      </c>
      <c r="B1241" t="s">
        <v>321</v>
      </c>
      <c r="C1241" t="s">
        <v>1264</v>
      </c>
      <c r="D1241">
        <v>2008</v>
      </c>
      <c r="E1241" t="s">
        <v>1784</v>
      </c>
      <c r="F1241" t="s">
        <v>1328</v>
      </c>
    </row>
    <row r="1242" spans="1:6">
      <c r="A1242" t="s">
        <v>366</v>
      </c>
      <c r="B1242" t="s">
        <v>367</v>
      </c>
      <c r="C1242" t="s">
        <v>368</v>
      </c>
      <c r="D1242">
        <v>2008</v>
      </c>
      <c r="E1242" t="s">
        <v>369</v>
      </c>
      <c r="F1242" t="s">
        <v>4</v>
      </c>
    </row>
    <row r="1243" spans="1:6">
      <c r="A1243" t="s">
        <v>1553</v>
      </c>
      <c r="B1243" t="s">
        <v>1554</v>
      </c>
      <c r="C1243" t="s">
        <v>7</v>
      </c>
      <c r="D1243">
        <v>2008</v>
      </c>
      <c r="E1243" t="s">
        <v>1555</v>
      </c>
      <c r="F1243" t="s">
        <v>1328</v>
      </c>
    </row>
    <row r="1244" spans="1:6">
      <c r="A1244" t="s">
        <v>1134</v>
      </c>
      <c r="B1244" t="s">
        <v>1135</v>
      </c>
      <c r="C1244" t="s">
        <v>76</v>
      </c>
      <c r="D1244">
        <v>2008</v>
      </c>
      <c r="E1244" t="s">
        <v>1136</v>
      </c>
      <c r="F1244" t="s">
        <v>686</v>
      </c>
    </row>
    <row r="1245" spans="1:6">
      <c r="A1245" t="s">
        <v>907</v>
      </c>
      <c r="B1245" t="s">
        <v>908</v>
      </c>
      <c r="C1245" t="s">
        <v>31</v>
      </c>
      <c r="D1245">
        <v>2008</v>
      </c>
      <c r="E1245" t="s">
        <v>909</v>
      </c>
      <c r="F1245" t="s">
        <v>686</v>
      </c>
    </row>
    <row r="1246" spans="1:6">
      <c r="A1246" t="s">
        <v>1335</v>
      </c>
      <c r="B1246" t="s">
        <v>1336</v>
      </c>
      <c r="C1246" t="s">
        <v>229</v>
      </c>
      <c r="D1246">
        <v>2008</v>
      </c>
      <c r="E1246" t="s">
        <v>1337</v>
      </c>
      <c r="F1246" t="s">
        <v>1328</v>
      </c>
    </row>
    <row r="1247" spans="1:6">
      <c r="A1247" t="s">
        <v>1001</v>
      </c>
      <c r="B1247" t="s">
        <v>1002</v>
      </c>
      <c r="C1247" t="s">
        <v>61</v>
      </c>
      <c r="D1247">
        <v>2008</v>
      </c>
      <c r="E1247" t="s">
        <v>1003</v>
      </c>
      <c r="F1247" t="s">
        <v>686</v>
      </c>
    </row>
    <row r="1248" spans="1:6">
      <c r="A1248" t="s">
        <v>1592</v>
      </c>
      <c r="B1248" t="s">
        <v>1593</v>
      </c>
      <c r="C1248" t="s">
        <v>612</v>
      </c>
      <c r="D1248">
        <v>2008</v>
      </c>
      <c r="E1248" t="s">
        <v>1594</v>
      </c>
      <c r="F1248" t="s">
        <v>1328</v>
      </c>
    </row>
    <row r="1249" spans="1:6">
      <c r="A1249" t="s">
        <v>172</v>
      </c>
      <c r="B1249" t="s">
        <v>173</v>
      </c>
      <c r="C1249" t="s">
        <v>72</v>
      </c>
      <c r="D1249">
        <v>2008</v>
      </c>
      <c r="E1249" t="s">
        <v>174</v>
      </c>
      <c r="F1249" t="s">
        <v>4</v>
      </c>
    </row>
    <row r="1250" spans="1:6">
      <c r="A1250" t="s">
        <v>1902</v>
      </c>
      <c r="B1250" t="s">
        <v>1903</v>
      </c>
      <c r="C1250" t="s">
        <v>1071</v>
      </c>
      <c r="D1250">
        <v>2008</v>
      </c>
      <c r="E1250" t="s">
        <v>1904</v>
      </c>
      <c r="F1250" t="s">
        <v>1328</v>
      </c>
    </row>
    <row r="1251" spans="1:6">
      <c r="A1251" t="s">
        <v>819</v>
      </c>
      <c r="B1251" t="s">
        <v>38</v>
      </c>
      <c r="C1251" t="s">
        <v>86</v>
      </c>
      <c r="D1251">
        <v>2008</v>
      </c>
      <c r="E1251" t="s">
        <v>820</v>
      </c>
      <c r="F1251" t="s">
        <v>686</v>
      </c>
    </row>
    <row r="1252" spans="1:6">
      <c r="A1252" t="s">
        <v>1518</v>
      </c>
      <c r="B1252" t="s">
        <v>1519</v>
      </c>
      <c r="C1252" t="s">
        <v>1520</v>
      </c>
      <c r="D1252">
        <v>2008</v>
      </c>
      <c r="E1252" t="s">
        <v>1521</v>
      </c>
      <c r="F1252" t="s">
        <v>1328</v>
      </c>
    </row>
    <row r="1253" spans="1:6">
      <c r="A1253" t="s">
        <v>1464</v>
      </c>
      <c r="B1253" t="s">
        <v>1465</v>
      </c>
      <c r="C1253" t="s">
        <v>1466</v>
      </c>
      <c r="D1253">
        <v>2008</v>
      </c>
      <c r="E1253" t="s">
        <v>1467</v>
      </c>
      <c r="F1253" t="s">
        <v>1328</v>
      </c>
    </row>
    <row r="1254" spans="1:6">
      <c r="A1254" t="s">
        <v>422</v>
      </c>
      <c r="B1254" t="s">
        <v>423</v>
      </c>
      <c r="C1254" t="s">
        <v>72</v>
      </c>
      <c r="D1254">
        <v>2008</v>
      </c>
      <c r="E1254" t="s">
        <v>424</v>
      </c>
      <c r="F1254" t="s">
        <v>4</v>
      </c>
    </row>
    <row r="1255" spans="1:6">
      <c r="A1255" t="s">
        <v>194</v>
      </c>
      <c r="B1255" t="s">
        <v>195</v>
      </c>
      <c r="C1255" t="s">
        <v>72</v>
      </c>
      <c r="D1255">
        <v>2008</v>
      </c>
      <c r="E1255" t="s">
        <v>196</v>
      </c>
      <c r="F1255" t="s">
        <v>4</v>
      </c>
    </row>
    <row r="1256" spans="1:6">
      <c r="A1256" t="s">
        <v>1973</v>
      </c>
      <c r="B1256" t="s">
        <v>321</v>
      </c>
      <c r="C1256" t="s">
        <v>126</v>
      </c>
      <c r="D1256">
        <v>2008</v>
      </c>
      <c r="E1256" t="s">
        <v>1974</v>
      </c>
      <c r="F1256" t="s">
        <v>1917</v>
      </c>
    </row>
    <row r="1257" spans="1:6">
      <c r="A1257" t="s">
        <v>275</v>
      </c>
      <c r="B1257" t="s">
        <v>276</v>
      </c>
      <c r="C1257" t="s">
        <v>277</v>
      </c>
      <c r="D1257">
        <v>2008</v>
      </c>
      <c r="E1257" t="s">
        <v>278</v>
      </c>
      <c r="F1257" t="s">
        <v>4</v>
      </c>
    </row>
    <row r="1258" spans="1:6">
      <c r="A1258" t="s">
        <v>1870</v>
      </c>
      <c r="B1258" t="s">
        <v>321</v>
      </c>
      <c r="C1258" t="s">
        <v>1871</v>
      </c>
      <c r="D1258">
        <v>2008</v>
      </c>
      <c r="E1258" t="s">
        <v>1872</v>
      </c>
      <c r="F1258" t="s">
        <v>1328</v>
      </c>
    </row>
    <row r="1259" spans="1:6">
      <c r="A1259" t="s">
        <v>1684</v>
      </c>
      <c r="B1259" t="s">
        <v>1685</v>
      </c>
      <c r="C1259" t="s">
        <v>1686</v>
      </c>
      <c r="D1259">
        <v>2008</v>
      </c>
      <c r="E1259" t="s">
        <v>1687</v>
      </c>
      <c r="F1259" t="s">
        <v>1328</v>
      </c>
    </row>
    <row r="1260" spans="1:6">
      <c r="A1260" t="s">
        <v>1310</v>
      </c>
      <c r="B1260" t="s">
        <v>1311</v>
      </c>
      <c r="C1260" t="s">
        <v>72</v>
      </c>
      <c r="D1260">
        <v>2008</v>
      </c>
      <c r="E1260" t="s">
        <v>1312</v>
      </c>
      <c r="F1260" t="s">
        <v>686</v>
      </c>
    </row>
    <row r="1261" spans="1:6">
      <c r="A1261" t="s">
        <v>1664</v>
      </c>
      <c r="B1261" t="s">
        <v>1665</v>
      </c>
      <c r="C1261" t="s">
        <v>122</v>
      </c>
      <c r="D1261">
        <v>2008</v>
      </c>
      <c r="E1261" t="s">
        <v>1666</v>
      </c>
      <c r="F1261" t="s">
        <v>1328</v>
      </c>
    </row>
    <row r="1262" spans="1:6">
      <c r="A1262" t="s">
        <v>1307</v>
      </c>
      <c r="B1262" t="s">
        <v>1308</v>
      </c>
      <c r="C1262" t="s">
        <v>54</v>
      </c>
      <c r="D1262">
        <v>2008</v>
      </c>
      <c r="E1262" t="s">
        <v>1309</v>
      </c>
      <c r="F1262" t="s">
        <v>686</v>
      </c>
    </row>
    <row r="1263" spans="1:6">
      <c r="A1263" t="s">
        <v>1007</v>
      </c>
      <c r="B1263" t="s">
        <v>1008</v>
      </c>
      <c r="C1263" t="s">
        <v>118</v>
      </c>
      <c r="D1263">
        <v>2008</v>
      </c>
      <c r="E1263" t="s">
        <v>1009</v>
      </c>
      <c r="F1263" t="s">
        <v>686</v>
      </c>
    </row>
    <row r="1264" spans="1:6">
      <c r="A1264" t="s">
        <v>1880</v>
      </c>
      <c r="B1264" t="s">
        <v>1881</v>
      </c>
      <c r="C1264" t="s">
        <v>1882</v>
      </c>
      <c r="D1264">
        <v>2008</v>
      </c>
      <c r="E1264" t="s">
        <v>1883</v>
      </c>
      <c r="F1264" t="s">
        <v>1328</v>
      </c>
    </row>
    <row r="1265" spans="1:6">
      <c r="A1265" t="s">
        <v>5</v>
      </c>
      <c r="B1265" t="s">
        <v>6</v>
      </c>
      <c r="C1265" t="s">
        <v>7</v>
      </c>
      <c r="D1265">
        <v>2008</v>
      </c>
      <c r="E1265" t="s">
        <v>8</v>
      </c>
      <c r="F1265" t="s">
        <v>4</v>
      </c>
    </row>
    <row r="1266" spans="1:6">
      <c r="A1266" t="s">
        <v>1923</v>
      </c>
      <c r="B1266" t="s">
        <v>1924</v>
      </c>
      <c r="C1266" t="s">
        <v>1925</v>
      </c>
      <c r="D1266">
        <v>2008</v>
      </c>
      <c r="E1266" t="s">
        <v>1926</v>
      </c>
      <c r="F1266" t="s">
        <v>1917</v>
      </c>
    </row>
    <row r="1267" spans="1:6">
      <c r="A1267" t="s">
        <v>894</v>
      </c>
      <c r="B1267" t="s">
        <v>895</v>
      </c>
      <c r="C1267" t="s">
        <v>896</v>
      </c>
      <c r="D1267">
        <v>2008</v>
      </c>
      <c r="E1267" t="s">
        <v>897</v>
      </c>
      <c r="F1267" t="s">
        <v>686</v>
      </c>
    </row>
    <row r="1268" spans="1:6">
      <c r="A1268" t="s">
        <v>884</v>
      </c>
      <c r="B1268" t="s">
        <v>885</v>
      </c>
      <c r="C1268" t="s">
        <v>886</v>
      </c>
      <c r="D1268">
        <v>2008</v>
      </c>
      <c r="E1268" t="s">
        <v>887</v>
      </c>
      <c r="F1268" t="s">
        <v>686</v>
      </c>
    </row>
    <row r="1269" spans="1:6">
      <c r="A1269" t="s">
        <v>510</v>
      </c>
      <c r="B1269" t="s">
        <v>511</v>
      </c>
      <c r="C1269" t="s">
        <v>512</v>
      </c>
      <c r="D1269">
        <v>2008</v>
      </c>
      <c r="E1269" t="s">
        <v>513</v>
      </c>
      <c r="F1269" t="s">
        <v>4</v>
      </c>
    </row>
    <row r="1270" spans="1:6">
      <c r="A1270" t="s">
        <v>377</v>
      </c>
      <c r="B1270" t="s">
        <v>378</v>
      </c>
      <c r="C1270" t="s">
        <v>19</v>
      </c>
      <c r="D1270">
        <v>2008</v>
      </c>
      <c r="E1270" t="s">
        <v>379</v>
      </c>
      <c r="F1270" t="s">
        <v>4</v>
      </c>
    </row>
    <row r="1271" spans="1:6">
      <c r="A1271" t="s">
        <v>74</v>
      </c>
      <c r="B1271" t="s">
        <v>75</v>
      </c>
      <c r="C1271" t="s">
        <v>76</v>
      </c>
      <c r="D1271">
        <v>2008</v>
      </c>
      <c r="E1271" t="s">
        <v>77</v>
      </c>
      <c r="F1271" t="s">
        <v>4</v>
      </c>
    </row>
    <row r="1272" spans="1:6">
      <c r="A1272" t="s">
        <v>1640</v>
      </c>
      <c r="B1272" t="s">
        <v>1641</v>
      </c>
      <c r="C1272" t="s">
        <v>1322</v>
      </c>
      <c r="D1272">
        <v>2008</v>
      </c>
      <c r="E1272" t="s">
        <v>1642</v>
      </c>
      <c r="F1272" t="s">
        <v>1328</v>
      </c>
    </row>
    <row r="1273" spans="1:6">
      <c r="A1273" t="s">
        <v>690</v>
      </c>
      <c r="B1273" t="s">
        <v>691</v>
      </c>
      <c r="C1273" t="s">
        <v>692</v>
      </c>
      <c r="D1273">
        <v>2008</v>
      </c>
      <c r="E1273" t="s">
        <v>693</v>
      </c>
      <c r="F1273" t="s">
        <v>686</v>
      </c>
    </row>
    <row r="1274" spans="1:6">
      <c r="A1274" t="s">
        <v>1079</v>
      </c>
      <c r="B1274" t="s">
        <v>1080</v>
      </c>
      <c r="C1274" t="s">
        <v>72</v>
      </c>
      <c r="D1274">
        <v>2008</v>
      </c>
      <c r="E1274" t="s">
        <v>1081</v>
      </c>
      <c r="F1274" t="s">
        <v>686</v>
      </c>
    </row>
    <row r="1275" spans="1:6">
      <c r="A1275" t="s">
        <v>133</v>
      </c>
      <c r="B1275" t="s">
        <v>134</v>
      </c>
      <c r="C1275" t="s">
        <v>2</v>
      </c>
      <c r="D1275">
        <v>2008</v>
      </c>
      <c r="E1275" t="s">
        <v>135</v>
      </c>
      <c r="F1275" t="s">
        <v>4</v>
      </c>
    </row>
    <row r="1276" spans="1:6">
      <c r="A1276" t="s">
        <v>745</v>
      </c>
      <c r="B1276" t="s">
        <v>746</v>
      </c>
      <c r="C1276" t="s">
        <v>118</v>
      </c>
      <c r="D1276">
        <v>2008</v>
      </c>
      <c r="E1276" t="s">
        <v>747</v>
      </c>
      <c r="F1276" t="s">
        <v>686</v>
      </c>
    </row>
    <row r="1277" spans="1:6">
      <c r="A1277" t="s">
        <v>1355</v>
      </c>
      <c r="B1277" t="s">
        <v>1356</v>
      </c>
      <c r="C1277" t="s">
        <v>1357</v>
      </c>
      <c r="D1277">
        <v>2008</v>
      </c>
      <c r="E1277" t="s">
        <v>1358</v>
      </c>
      <c r="F1277" t="s">
        <v>1328</v>
      </c>
    </row>
    <row r="1278" spans="1:6">
      <c r="A1278" t="s">
        <v>1819</v>
      </c>
      <c r="B1278" t="s">
        <v>1820</v>
      </c>
      <c r="C1278" t="s">
        <v>1821</v>
      </c>
      <c r="D1278">
        <v>2008</v>
      </c>
      <c r="E1278" t="s">
        <v>1822</v>
      </c>
      <c r="F1278" t="s">
        <v>1328</v>
      </c>
    </row>
    <row r="1279" spans="1:6">
      <c r="A1279" t="s">
        <v>217</v>
      </c>
      <c r="B1279" t="s">
        <v>218</v>
      </c>
      <c r="C1279" t="s">
        <v>219</v>
      </c>
      <c r="D1279">
        <v>2008</v>
      </c>
      <c r="E1279" t="s">
        <v>220</v>
      </c>
      <c r="F1279" t="s">
        <v>4</v>
      </c>
    </row>
    <row r="1280" spans="1:6">
      <c r="A1280" t="s">
        <v>2078</v>
      </c>
      <c r="B1280" t="s">
        <v>2079</v>
      </c>
      <c r="C1280" t="s">
        <v>1473</v>
      </c>
      <c r="D1280">
        <v>2008</v>
      </c>
      <c r="E1280" t="s">
        <v>2080</v>
      </c>
      <c r="F1280" t="s">
        <v>1917</v>
      </c>
    </row>
    <row r="1281" spans="1:6">
      <c r="A1281" t="s">
        <v>763</v>
      </c>
      <c r="B1281" t="s">
        <v>764</v>
      </c>
      <c r="C1281" t="s">
        <v>736</v>
      </c>
      <c r="D1281">
        <v>2008</v>
      </c>
      <c r="E1281" t="s">
        <v>765</v>
      </c>
      <c r="F1281" t="s">
        <v>686</v>
      </c>
    </row>
    <row r="1282" spans="1:6">
      <c r="A1282" t="s">
        <v>331</v>
      </c>
      <c r="B1282" t="s">
        <v>332</v>
      </c>
      <c r="C1282" t="s">
        <v>90</v>
      </c>
      <c r="D1282">
        <v>2008</v>
      </c>
      <c r="E1282" t="s">
        <v>333</v>
      </c>
      <c r="F1282" t="s">
        <v>4</v>
      </c>
    </row>
    <row r="1283" spans="1:6">
      <c r="A1283" t="s">
        <v>1286</v>
      </c>
      <c r="B1283" t="s">
        <v>1287</v>
      </c>
      <c r="C1283" t="s">
        <v>19</v>
      </c>
      <c r="D1283">
        <v>2008</v>
      </c>
      <c r="E1283" t="s">
        <v>1288</v>
      </c>
      <c r="F1283" t="s">
        <v>686</v>
      </c>
    </row>
    <row r="1284" spans="1:6">
      <c r="A1284" t="s">
        <v>831</v>
      </c>
      <c r="B1284" t="s">
        <v>832</v>
      </c>
      <c r="C1284" t="s">
        <v>612</v>
      </c>
      <c r="D1284">
        <v>2008</v>
      </c>
      <c r="E1284" t="s">
        <v>833</v>
      </c>
      <c r="F1284" t="s">
        <v>686</v>
      </c>
    </row>
    <row r="1285" spans="1:6">
      <c r="A1285" t="s">
        <v>867</v>
      </c>
      <c r="B1285" t="s">
        <v>868</v>
      </c>
      <c r="C1285" t="s">
        <v>869</v>
      </c>
      <c r="D1285">
        <v>2008</v>
      </c>
      <c r="E1285" t="s">
        <v>870</v>
      </c>
      <c r="F1285" t="s">
        <v>686</v>
      </c>
    </row>
    <row r="1286" spans="1:6">
      <c r="A1286" t="s">
        <v>1507</v>
      </c>
      <c r="B1286" t="s">
        <v>1508</v>
      </c>
      <c r="C1286" t="s">
        <v>7</v>
      </c>
      <c r="D1286">
        <v>2008</v>
      </c>
      <c r="E1286" t="s">
        <v>1509</v>
      </c>
      <c r="F1286" t="s">
        <v>1328</v>
      </c>
    </row>
    <row r="1287" spans="1:6">
      <c r="A1287" t="s">
        <v>2136</v>
      </c>
      <c r="B1287" t="s">
        <v>2137</v>
      </c>
      <c r="C1287" t="s">
        <v>90</v>
      </c>
      <c r="D1287">
        <v>2008</v>
      </c>
      <c r="E1287" t="s">
        <v>2138</v>
      </c>
      <c r="F1287" t="s">
        <v>1917</v>
      </c>
    </row>
    <row r="1288" spans="1:6">
      <c r="A1288" t="s">
        <v>1246</v>
      </c>
      <c r="B1288" t="s">
        <v>1247</v>
      </c>
      <c r="C1288" t="s">
        <v>229</v>
      </c>
      <c r="D1288">
        <v>2008</v>
      </c>
      <c r="E1288" t="s">
        <v>1248</v>
      </c>
      <c r="F1288" t="s">
        <v>686</v>
      </c>
    </row>
    <row r="1289" spans="1:6">
      <c r="A1289" t="s">
        <v>1766</v>
      </c>
      <c r="B1289" t="s">
        <v>321</v>
      </c>
      <c r="C1289" t="s">
        <v>72</v>
      </c>
      <c r="D1289">
        <v>2008</v>
      </c>
      <c r="E1289" t="s">
        <v>1767</v>
      </c>
      <c r="F1289" t="s">
        <v>1328</v>
      </c>
    </row>
    <row r="1290" spans="1:6">
      <c r="A1290" t="s">
        <v>1753</v>
      </c>
      <c r="B1290" t="s">
        <v>321</v>
      </c>
      <c r="C1290" t="s">
        <v>72</v>
      </c>
      <c r="D1290">
        <v>2008</v>
      </c>
      <c r="E1290" t="s">
        <v>1761</v>
      </c>
      <c r="F1290" t="s">
        <v>1328</v>
      </c>
    </row>
    <row r="1291" spans="1:6">
      <c r="A1291" t="s">
        <v>1753</v>
      </c>
      <c r="B1291" t="s">
        <v>321</v>
      </c>
      <c r="C1291" t="s">
        <v>72</v>
      </c>
      <c r="D1291">
        <v>2008</v>
      </c>
      <c r="E1291" t="s">
        <v>1839</v>
      </c>
      <c r="F1291" t="s">
        <v>1328</v>
      </c>
    </row>
    <row r="1292" spans="1:6">
      <c r="A1292" t="s">
        <v>1753</v>
      </c>
      <c r="B1292" t="s">
        <v>321</v>
      </c>
      <c r="C1292" t="s">
        <v>72</v>
      </c>
      <c r="D1292">
        <v>2008</v>
      </c>
      <c r="E1292" t="s">
        <v>1890</v>
      </c>
      <c r="F1292" t="s">
        <v>1328</v>
      </c>
    </row>
    <row r="1293" spans="1:6">
      <c r="A1293" t="s">
        <v>2081</v>
      </c>
      <c r="B1293" t="s">
        <v>2082</v>
      </c>
      <c r="C1293" t="s">
        <v>2083</v>
      </c>
      <c r="D1293">
        <v>2008</v>
      </c>
      <c r="E1293" t="s">
        <v>2084</v>
      </c>
      <c r="F1293" t="s">
        <v>1917</v>
      </c>
    </row>
    <row r="1294" spans="1:6">
      <c r="A1294" t="s">
        <v>1053</v>
      </c>
      <c r="B1294" t="s">
        <v>1054</v>
      </c>
      <c r="C1294" t="s">
        <v>7</v>
      </c>
      <c r="D1294">
        <v>2008</v>
      </c>
      <c r="E1294" t="s">
        <v>1055</v>
      </c>
      <c r="F1294" t="s">
        <v>686</v>
      </c>
    </row>
    <row r="1295" spans="1:6">
      <c r="A1295" t="s">
        <v>328</v>
      </c>
      <c r="B1295" t="s">
        <v>329</v>
      </c>
      <c r="C1295" t="s">
        <v>90</v>
      </c>
      <c r="D1295">
        <v>2008</v>
      </c>
      <c r="E1295" t="s">
        <v>330</v>
      </c>
      <c r="F1295" t="s">
        <v>4</v>
      </c>
    </row>
    <row r="1296" spans="1:6">
      <c r="A1296" t="s">
        <v>175</v>
      </c>
      <c r="B1296" t="s">
        <v>176</v>
      </c>
      <c r="C1296" t="s">
        <v>19</v>
      </c>
      <c r="D1296">
        <v>2008</v>
      </c>
      <c r="E1296" t="s">
        <v>177</v>
      </c>
      <c r="F1296" t="s">
        <v>4</v>
      </c>
    </row>
    <row r="1297" spans="1:6">
      <c r="A1297" t="s">
        <v>33</v>
      </c>
      <c r="B1297" t="s">
        <v>34</v>
      </c>
      <c r="C1297" t="s">
        <v>35</v>
      </c>
      <c r="D1297">
        <v>2008</v>
      </c>
      <c r="E1297" t="s">
        <v>36</v>
      </c>
      <c r="F1297" t="s">
        <v>4</v>
      </c>
    </row>
    <row r="1298" spans="1:6">
      <c r="A1298" t="s">
        <v>1348</v>
      </c>
      <c r="B1298" t="s">
        <v>1349</v>
      </c>
      <c r="C1298" t="s">
        <v>1350</v>
      </c>
      <c r="D1298">
        <v>2008</v>
      </c>
      <c r="E1298" t="s">
        <v>1351</v>
      </c>
      <c r="F1298" t="s">
        <v>1328</v>
      </c>
    </row>
    <row r="1299" spans="1:6">
      <c r="A1299" t="s">
        <v>1656</v>
      </c>
      <c r="B1299" t="s">
        <v>1657</v>
      </c>
      <c r="C1299" t="s">
        <v>90</v>
      </c>
      <c r="D1299">
        <v>2008</v>
      </c>
      <c r="E1299" t="s">
        <v>1658</v>
      </c>
      <c r="F1299" t="s">
        <v>1328</v>
      </c>
    </row>
    <row r="1300" spans="1:6">
      <c r="A1300" t="s">
        <v>1887</v>
      </c>
      <c r="B1300" t="s">
        <v>1888</v>
      </c>
      <c r="C1300" t="s">
        <v>1548</v>
      </c>
      <c r="D1300">
        <v>2008</v>
      </c>
      <c r="E1300" t="s">
        <v>1889</v>
      </c>
      <c r="F1300" t="s">
        <v>1328</v>
      </c>
    </row>
    <row r="1301" spans="1:6">
      <c r="A1301" t="s">
        <v>1570</v>
      </c>
      <c r="B1301" t="s">
        <v>1571</v>
      </c>
      <c r="C1301" t="s">
        <v>436</v>
      </c>
      <c r="D1301">
        <v>2008</v>
      </c>
      <c r="E1301" t="s">
        <v>1572</v>
      </c>
      <c r="F1301" t="s">
        <v>1328</v>
      </c>
    </row>
    <row r="1302" spans="1:6">
      <c r="A1302" t="s">
        <v>706</v>
      </c>
      <c r="B1302" t="s">
        <v>707</v>
      </c>
      <c r="C1302" t="s">
        <v>72</v>
      </c>
      <c r="D1302">
        <v>2008</v>
      </c>
      <c r="E1302" t="s">
        <v>708</v>
      </c>
      <c r="F1302" t="s">
        <v>686</v>
      </c>
    </row>
    <row r="1303" spans="1:6">
      <c r="A1303" t="s">
        <v>610</v>
      </c>
      <c r="B1303" t="s">
        <v>611</v>
      </c>
      <c r="C1303" t="s">
        <v>612</v>
      </c>
      <c r="D1303">
        <v>2008</v>
      </c>
      <c r="E1303" t="s">
        <v>613</v>
      </c>
      <c r="F1303" t="s">
        <v>4</v>
      </c>
    </row>
    <row r="1304" spans="1:6">
      <c r="A1304" t="s">
        <v>671</v>
      </c>
      <c r="B1304" t="s">
        <v>672</v>
      </c>
      <c r="C1304" t="s">
        <v>673</v>
      </c>
      <c r="D1304">
        <v>2008</v>
      </c>
      <c r="E1304" t="s">
        <v>674</v>
      </c>
      <c r="F1304" t="s">
        <v>4</v>
      </c>
    </row>
    <row r="1305" spans="1:6">
      <c r="A1305" t="s">
        <v>1155</v>
      </c>
      <c r="B1305" t="s">
        <v>1156</v>
      </c>
      <c r="C1305" t="s">
        <v>76</v>
      </c>
      <c r="D1305">
        <v>2008</v>
      </c>
      <c r="E1305" t="s">
        <v>1157</v>
      </c>
      <c r="F1305" t="s">
        <v>686</v>
      </c>
    </row>
    <row r="1306" spans="1:6">
      <c r="A1306" t="s">
        <v>1165</v>
      </c>
      <c r="B1306" t="s">
        <v>1166</v>
      </c>
      <c r="C1306" t="s">
        <v>114</v>
      </c>
      <c r="D1306">
        <v>2008</v>
      </c>
      <c r="E1306" t="s">
        <v>1167</v>
      </c>
      <c r="F1306" t="s">
        <v>686</v>
      </c>
    </row>
    <row r="1307" spans="1:6">
      <c r="A1307" t="s">
        <v>624</v>
      </c>
      <c r="B1307" t="s">
        <v>625</v>
      </c>
      <c r="C1307" t="s">
        <v>270</v>
      </c>
      <c r="D1307">
        <v>2008</v>
      </c>
      <c r="E1307" t="s">
        <v>626</v>
      </c>
      <c r="F1307" t="s">
        <v>4</v>
      </c>
    </row>
    <row r="1308" spans="1:6">
      <c r="A1308" t="s">
        <v>101</v>
      </c>
      <c r="B1308" t="s">
        <v>102</v>
      </c>
      <c r="C1308" t="s">
        <v>103</v>
      </c>
      <c r="D1308">
        <v>2008</v>
      </c>
      <c r="E1308" t="s">
        <v>104</v>
      </c>
      <c r="F1308" t="s">
        <v>4</v>
      </c>
    </row>
    <row r="1309" spans="1:6">
      <c r="A1309" t="s">
        <v>1180</v>
      </c>
      <c r="B1309" t="s">
        <v>1181</v>
      </c>
      <c r="C1309" t="s">
        <v>31</v>
      </c>
      <c r="D1309">
        <v>2008</v>
      </c>
      <c r="E1309" t="s">
        <v>1182</v>
      </c>
      <c r="F1309" t="s">
        <v>686</v>
      </c>
    </row>
    <row r="1310" spans="1:6">
      <c r="A1310" t="s">
        <v>2046</v>
      </c>
      <c r="B1310" t="s">
        <v>2047</v>
      </c>
      <c r="C1310" t="s">
        <v>229</v>
      </c>
      <c r="D1310">
        <v>2008</v>
      </c>
      <c r="E1310" t="s">
        <v>2048</v>
      </c>
      <c r="F1310" t="s">
        <v>1917</v>
      </c>
    </row>
    <row r="1311" spans="1:6">
      <c r="A1311" t="s">
        <v>2127</v>
      </c>
      <c r="B1311" t="s">
        <v>2128</v>
      </c>
      <c r="C1311" t="s">
        <v>90</v>
      </c>
      <c r="D1311">
        <v>2008</v>
      </c>
      <c r="E1311" t="s">
        <v>2129</v>
      </c>
      <c r="F1311" t="s">
        <v>1917</v>
      </c>
    </row>
    <row r="1312" spans="1:6">
      <c r="A1312" t="s">
        <v>2097</v>
      </c>
      <c r="B1312" t="s">
        <v>2098</v>
      </c>
      <c r="C1312" t="s">
        <v>1648</v>
      </c>
      <c r="D1312">
        <v>2008</v>
      </c>
      <c r="E1312" t="s">
        <v>2099</v>
      </c>
      <c r="F1312" t="s">
        <v>1917</v>
      </c>
    </row>
    <row r="1313" spans="1:6">
      <c r="A1313" t="s">
        <v>120</v>
      </c>
      <c r="B1313" t="s">
        <v>121</v>
      </c>
      <c r="C1313" t="s">
        <v>122</v>
      </c>
      <c r="D1313">
        <v>2008</v>
      </c>
      <c r="E1313" t="s">
        <v>123</v>
      </c>
      <c r="F1313" t="s">
        <v>4</v>
      </c>
    </row>
    <row r="1314" spans="1:6">
      <c r="A1314" t="s">
        <v>937</v>
      </c>
      <c r="B1314" t="s">
        <v>938</v>
      </c>
      <c r="C1314" t="s">
        <v>939</v>
      </c>
      <c r="D1314">
        <v>2008</v>
      </c>
      <c r="E1314" t="s">
        <v>940</v>
      </c>
      <c r="F1314" t="s">
        <v>686</v>
      </c>
    </row>
    <row r="1315" spans="1:6">
      <c r="A1315" t="s">
        <v>709</v>
      </c>
      <c r="B1315" t="s">
        <v>710</v>
      </c>
      <c r="C1315" t="s">
        <v>711</v>
      </c>
      <c r="D1315">
        <v>2008</v>
      </c>
      <c r="E1315" t="s">
        <v>712</v>
      </c>
      <c r="F1315" t="s">
        <v>686</v>
      </c>
    </row>
    <row r="1316" spans="1:6">
      <c r="A1316" t="s">
        <v>1868</v>
      </c>
      <c r="B1316" t="s">
        <v>1294</v>
      </c>
      <c r="C1316" t="s">
        <v>259</v>
      </c>
      <c r="D1316">
        <v>2008</v>
      </c>
      <c r="E1316" t="s">
        <v>1869</v>
      </c>
      <c r="F1316" t="s">
        <v>1328</v>
      </c>
    </row>
    <row r="1317" spans="1:6">
      <c r="A1317" t="s">
        <v>442</v>
      </c>
      <c r="B1317" t="s">
        <v>443</v>
      </c>
      <c r="C1317" t="s">
        <v>444</v>
      </c>
      <c r="D1317">
        <v>2008</v>
      </c>
      <c r="E1317" t="s">
        <v>445</v>
      </c>
      <c r="F1317" t="s">
        <v>4</v>
      </c>
    </row>
    <row r="1318" spans="1:6">
      <c r="A1318" t="s">
        <v>1383</v>
      </c>
      <c r="B1318" t="s">
        <v>1384</v>
      </c>
      <c r="C1318" t="s">
        <v>31</v>
      </c>
      <c r="D1318">
        <v>2008</v>
      </c>
      <c r="E1318" t="s">
        <v>1385</v>
      </c>
      <c r="F1318" t="s">
        <v>1328</v>
      </c>
    </row>
    <row r="1319" spans="1:6">
      <c r="A1319" t="s">
        <v>1688</v>
      </c>
      <c r="B1319" t="s">
        <v>1689</v>
      </c>
      <c r="C1319" t="s">
        <v>72</v>
      </c>
      <c r="D1319">
        <v>2008</v>
      </c>
      <c r="E1319" t="s">
        <v>1690</v>
      </c>
      <c r="F1319" t="s">
        <v>1328</v>
      </c>
    </row>
    <row r="1320" spans="1:6">
      <c r="A1320" t="s">
        <v>1540</v>
      </c>
      <c r="B1320" t="s">
        <v>1541</v>
      </c>
      <c r="C1320" t="s">
        <v>326</v>
      </c>
      <c r="D1320">
        <v>2008</v>
      </c>
      <c r="E1320" t="s">
        <v>1542</v>
      </c>
      <c r="F1320" t="s">
        <v>1328</v>
      </c>
    </row>
    <row r="1321" spans="1:6">
      <c r="A1321" t="s">
        <v>21</v>
      </c>
      <c r="B1321" t="s">
        <v>22</v>
      </c>
      <c r="C1321" t="s">
        <v>23</v>
      </c>
      <c r="D1321">
        <v>2007</v>
      </c>
      <c r="E1321" t="s">
        <v>24</v>
      </c>
      <c r="F1321" t="s">
        <v>4</v>
      </c>
    </row>
    <row r="1322" spans="1:6">
      <c r="A1322" t="s">
        <v>1835</v>
      </c>
      <c r="B1322" t="s">
        <v>321</v>
      </c>
      <c r="C1322" t="s">
        <v>15</v>
      </c>
      <c r="D1322">
        <v>2007</v>
      </c>
      <c r="E1322" t="s">
        <v>1836</v>
      </c>
      <c r="F1322" t="s">
        <v>1328</v>
      </c>
    </row>
    <row r="1323" spans="1:6">
      <c r="A1323" t="s">
        <v>303</v>
      </c>
      <c r="B1323" t="s">
        <v>304</v>
      </c>
      <c r="C1323" t="s">
        <v>305</v>
      </c>
      <c r="D1323">
        <v>2007</v>
      </c>
      <c r="E1323" t="s">
        <v>306</v>
      </c>
      <c r="F1323" t="s">
        <v>4</v>
      </c>
    </row>
    <row r="1324" spans="1:6">
      <c r="A1324" t="s">
        <v>1786</v>
      </c>
      <c r="B1324" t="s">
        <v>321</v>
      </c>
      <c r="C1324" t="s">
        <v>126</v>
      </c>
      <c r="D1324">
        <v>2007</v>
      </c>
      <c r="E1324" t="s">
        <v>1787</v>
      </c>
      <c r="F1324" t="s">
        <v>1328</v>
      </c>
    </row>
    <row r="1325" spans="1:6">
      <c r="A1325" t="s">
        <v>1089</v>
      </c>
      <c r="B1325" t="s">
        <v>1090</v>
      </c>
      <c r="C1325" t="s">
        <v>939</v>
      </c>
      <c r="D1325">
        <v>2007</v>
      </c>
      <c r="E1325" t="s">
        <v>1091</v>
      </c>
      <c r="F1325" t="s">
        <v>686</v>
      </c>
    </row>
    <row r="1326" spans="1:6">
      <c r="A1326" t="s">
        <v>2002</v>
      </c>
      <c r="B1326" t="s">
        <v>2003</v>
      </c>
      <c r="C1326" t="s">
        <v>72</v>
      </c>
      <c r="D1326">
        <v>2007</v>
      </c>
      <c r="E1326" t="s">
        <v>2004</v>
      </c>
      <c r="F1326" t="s">
        <v>1917</v>
      </c>
    </row>
    <row r="1327" spans="1:6">
      <c r="A1327" t="s">
        <v>1338</v>
      </c>
      <c r="B1327" t="s">
        <v>1339</v>
      </c>
      <c r="C1327" t="s">
        <v>1340</v>
      </c>
      <c r="D1327">
        <v>2007</v>
      </c>
      <c r="E1327" t="s">
        <v>1341</v>
      </c>
      <c r="F1327" t="s">
        <v>1328</v>
      </c>
    </row>
    <row r="1328" spans="1:6">
      <c r="A1328" t="s">
        <v>165</v>
      </c>
      <c r="B1328" t="s">
        <v>166</v>
      </c>
      <c r="C1328" t="s">
        <v>72</v>
      </c>
      <c r="D1328">
        <v>2007</v>
      </c>
      <c r="E1328" t="s">
        <v>167</v>
      </c>
      <c r="F1328" t="s">
        <v>4</v>
      </c>
    </row>
    <row r="1329" spans="1:6">
      <c r="A1329" t="s">
        <v>1900</v>
      </c>
      <c r="B1329" t="s">
        <v>321</v>
      </c>
      <c r="C1329" t="s">
        <v>90</v>
      </c>
      <c r="D1329">
        <v>2007</v>
      </c>
      <c r="E1329" t="s">
        <v>1901</v>
      </c>
      <c r="F1329" t="s">
        <v>1328</v>
      </c>
    </row>
    <row r="1330" spans="1:6">
      <c r="A1330" t="s">
        <v>1279</v>
      </c>
      <c r="B1330" t="s">
        <v>1280</v>
      </c>
      <c r="C1330" t="s">
        <v>612</v>
      </c>
      <c r="D1330">
        <v>2007</v>
      </c>
      <c r="E1330" t="s">
        <v>1281</v>
      </c>
      <c r="F1330" t="s">
        <v>686</v>
      </c>
    </row>
    <row r="1331" spans="1:6">
      <c r="A1331" t="s">
        <v>49</v>
      </c>
      <c r="B1331" t="s">
        <v>50</v>
      </c>
      <c r="C1331" t="s">
        <v>19</v>
      </c>
      <c r="D1331">
        <v>2007</v>
      </c>
      <c r="E1331" t="s">
        <v>51</v>
      </c>
      <c r="F1331" t="s">
        <v>4</v>
      </c>
    </row>
    <row r="1332" spans="1:6">
      <c r="A1332" t="s">
        <v>1566</v>
      </c>
      <c r="B1332" t="s">
        <v>1567</v>
      </c>
      <c r="C1332" t="s">
        <v>1568</v>
      </c>
      <c r="D1332">
        <v>2007</v>
      </c>
      <c r="E1332" t="s">
        <v>1569</v>
      </c>
      <c r="F1332" t="s">
        <v>1328</v>
      </c>
    </row>
    <row r="1333" spans="1:6">
      <c r="A1333" t="s">
        <v>1043</v>
      </c>
      <c r="B1333" t="s">
        <v>1044</v>
      </c>
      <c r="C1333" t="s">
        <v>54</v>
      </c>
      <c r="D1333">
        <v>2007</v>
      </c>
      <c r="E1333" t="s">
        <v>1045</v>
      </c>
      <c r="F1333" t="s">
        <v>686</v>
      </c>
    </row>
    <row r="1334" spans="1:6">
      <c r="A1334" t="s">
        <v>713</v>
      </c>
      <c r="B1334" t="s">
        <v>714</v>
      </c>
      <c r="C1334" t="s">
        <v>114</v>
      </c>
      <c r="D1334">
        <v>2007</v>
      </c>
      <c r="E1334" t="s">
        <v>715</v>
      </c>
      <c r="F1334" t="s">
        <v>686</v>
      </c>
    </row>
    <row r="1335" spans="1:6">
      <c r="A1335" t="s">
        <v>248</v>
      </c>
      <c r="B1335" t="s">
        <v>113</v>
      </c>
      <c r="C1335" t="s">
        <v>114</v>
      </c>
      <c r="D1335">
        <v>2007</v>
      </c>
      <c r="E1335" t="s">
        <v>249</v>
      </c>
      <c r="F1335" t="s">
        <v>4</v>
      </c>
    </row>
    <row r="1336" spans="1:6">
      <c r="A1336" t="s">
        <v>1850</v>
      </c>
      <c r="B1336" t="s">
        <v>1851</v>
      </c>
      <c r="C1336" t="s">
        <v>1852</v>
      </c>
      <c r="D1336">
        <v>2007</v>
      </c>
      <c r="E1336" t="s">
        <v>1853</v>
      </c>
      <c r="F1336" t="s">
        <v>1328</v>
      </c>
    </row>
    <row r="1337" spans="1:6">
      <c r="A1337" t="s">
        <v>268</v>
      </c>
      <c r="B1337" t="s">
        <v>269</v>
      </c>
      <c r="C1337" t="s">
        <v>270</v>
      </c>
      <c r="D1337">
        <v>2007</v>
      </c>
      <c r="E1337" t="s">
        <v>271</v>
      </c>
      <c r="F1337" t="s">
        <v>4</v>
      </c>
    </row>
    <row r="1338" spans="1:6">
      <c r="A1338" t="s">
        <v>2121</v>
      </c>
      <c r="B1338" t="s">
        <v>2122</v>
      </c>
      <c r="C1338" t="s">
        <v>1322</v>
      </c>
      <c r="D1338">
        <v>2007</v>
      </c>
      <c r="E1338" t="s">
        <v>2123</v>
      </c>
      <c r="F1338" t="s">
        <v>1917</v>
      </c>
    </row>
    <row r="1339" spans="1:6">
      <c r="A1339" t="s">
        <v>919</v>
      </c>
      <c r="B1339" t="s">
        <v>920</v>
      </c>
      <c r="C1339" t="s">
        <v>921</v>
      </c>
      <c r="D1339">
        <v>2007</v>
      </c>
      <c r="E1339" t="s">
        <v>922</v>
      </c>
      <c r="F1339" t="s">
        <v>686</v>
      </c>
    </row>
    <row r="1340" spans="1:6">
      <c r="A1340" t="s">
        <v>1528</v>
      </c>
      <c r="B1340" t="s">
        <v>1529</v>
      </c>
      <c r="C1340" t="s">
        <v>1087</v>
      </c>
      <c r="D1340">
        <v>2007</v>
      </c>
      <c r="E1340" t="s">
        <v>1530</v>
      </c>
      <c r="F1340" t="s">
        <v>1328</v>
      </c>
    </row>
    <row r="1341" spans="1:6">
      <c r="A1341" t="s">
        <v>597</v>
      </c>
      <c r="B1341" t="s">
        <v>598</v>
      </c>
      <c r="C1341" t="s">
        <v>126</v>
      </c>
      <c r="D1341">
        <v>2007</v>
      </c>
      <c r="E1341" t="s">
        <v>599</v>
      </c>
      <c r="F1341" t="s">
        <v>4</v>
      </c>
    </row>
    <row r="1342" spans="1:6">
      <c r="A1342" t="s">
        <v>40</v>
      </c>
      <c r="B1342" t="s">
        <v>41</v>
      </c>
      <c r="C1342" t="s">
        <v>31</v>
      </c>
      <c r="D1342">
        <v>2007</v>
      </c>
      <c r="E1342" t="s">
        <v>42</v>
      </c>
      <c r="F1342" t="s">
        <v>4</v>
      </c>
    </row>
    <row r="1343" spans="1:6">
      <c r="A1343" t="s">
        <v>1188</v>
      </c>
      <c r="B1343" t="s">
        <v>1189</v>
      </c>
      <c r="C1343" t="s">
        <v>263</v>
      </c>
      <c r="D1343">
        <v>2007</v>
      </c>
      <c r="E1343" t="s">
        <v>1190</v>
      </c>
      <c r="F1343" t="s">
        <v>686</v>
      </c>
    </row>
    <row r="1344" spans="1:6">
      <c r="A1344" t="s">
        <v>748</v>
      </c>
      <c r="B1344" t="s">
        <v>749</v>
      </c>
      <c r="C1344" t="s">
        <v>750</v>
      </c>
      <c r="D1344">
        <v>2007</v>
      </c>
      <c r="E1344" t="s">
        <v>751</v>
      </c>
      <c r="F1344" t="s">
        <v>686</v>
      </c>
    </row>
    <row r="1345" spans="1:6">
      <c r="A1345" t="s">
        <v>244</v>
      </c>
      <c r="B1345" t="s">
        <v>245</v>
      </c>
      <c r="C1345" t="s">
        <v>246</v>
      </c>
      <c r="D1345">
        <v>2007</v>
      </c>
      <c r="E1345" t="s">
        <v>247</v>
      </c>
      <c r="F1345" t="s">
        <v>4</v>
      </c>
    </row>
    <row r="1346" spans="1:6">
      <c r="A1346" t="s">
        <v>1559</v>
      </c>
      <c r="B1346" t="s">
        <v>1560</v>
      </c>
      <c r="C1346" t="s">
        <v>1561</v>
      </c>
      <c r="D1346">
        <v>2007</v>
      </c>
      <c r="E1346" t="s">
        <v>1562</v>
      </c>
      <c r="F1346" t="s">
        <v>1328</v>
      </c>
    </row>
    <row r="1347" spans="1:6">
      <c r="A1347" t="s">
        <v>233</v>
      </c>
      <c r="B1347" t="s">
        <v>234</v>
      </c>
      <c r="C1347" t="s">
        <v>23</v>
      </c>
      <c r="D1347">
        <v>2007</v>
      </c>
      <c r="E1347" t="s">
        <v>235</v>
      </c>
      <c r="F1347" t="s">
        <v>4</v>
      </c>
    </row>
    <row r="1348" spans="1:6">
      <c r="A1348" t="s">
        <v>1359</v>
      </c>
      <c r="B1348" t="s">
        <v>1360</v>
      </c>
      <c r="C1348" t="s">
        <v>1361</v>
      </c>
      <c r="D1348">
        <v>2007</v>
      </c>
      <c r="E1348" t="s">
        <v>1362</v>
      </c>
      <c r="F1348" t="s">
        <v>1328</v>
      </c>
    </row>
    <row r="1349" spans="1:6">
      <c r="A1349" t="s">
        <v>455</v>
      </c>
      <c r="B1349" t="s">
        <v>456</v>
      </c>
      <c r="C1349" t="s">
        <v>31</v>
      </c>
      <c r="D1349">
        <v>2007</v>
      </c>
      <c r="E1349" t="s">
        <v>457</v>
      </c>
      <c r="F1349" t="s">
        <v>4</v>
      </c>
    </row>
    <row r="1350" spans="1:6">
      <c r="A1350" t="s">
        <v>992</v>
      </c>
      <c r="B1350" t="s">
        <v>993</v>
      </c>
      <c r="C1350" t="s">
        <v>86</v>
      </c>
      <c r="D1350">
        <v>2007</v>
      </c>
      <c r="E1350" t="s">
        <v>994</v>
      </c>
      <c r="F1350" t="s">
        <v>686</v>
      </c>
    </row>
    <row r="1351" spans="1:6">
      <c r="A1351" t="s">
        <v>1661</v>
      </c>
      <c r="B1351" t="s">
        <v>1662</v>
      </c>
      <c r="C1351" t="s">
        <v>90</v>
      </c>
      <c r="D1351">
        <v>2007</v>
      </c>
      <c r="E1351" t="s">
        <v>1663</v>
      </c>
      <c r="F1351" t="s">
        <v>1328</v>
      </c>
    </row>
    <row r="1352" spans="1:6">
      <c r="A1352" t="s">
        <v>1832</v>
      </c>
      <c r="B1352" t="s">
        <v>1833</v>
      </c>
      <c r="C1352" t="s">
        <v>114</v>
      </c>
      <c r="D1352">
        <v>2007</v>
      </c>
      <c r="E1352" t="s">
        <v>1834</v>
      </c>
      <c r="F1352" t="s">
        <v>1328</v>
      </c>
    </row>
    <row r="1353" spans="1:6">
      <c r="A1353" t="s">
        <v>1911</v>
      </c>
      <c r="B1353" t="s">
        <v>1912</v>
      </c>
      <c r="C1353" t="s">
        <v>31</v>
      </c>
      <c r="D1353">
        <v>2007</v>
      </c>
      <c r="E1353" t="s">
        <v>1913</v>
      </c>
      <c r="F1353" t="s">
        <v>1328</v>
      </c>
    </row>
    <row r="1354" spans="1:6">
      <c r="A1354" t="s">
        <v>13</v>
      </c>
      <c r="B1354" t="s">
        <v>14</v>
      </c>
      <c r="C1354" t="s">
        <v>15</v>
      </c>
      <c r="D1354">
        <v>2007</v>
      </c>
      <c r="E1354" t="s">
        <v>16</v>
      </c>
      <c r="F1354" t="s">
        <v>4</v>
      </c>
    </row>
    <row r="1355" spans="1:6">
      <c r="A1355" t="s">
        <v>388</v>
      </c>
      <c r="B1355" t="s">
        <v>389</v>
      </c>
      <c r="C1355" t="s">
        <v>326</v>
      </c>
      <c r="D1355">
        <v>2007</v>
      </c>
      <c r="E1355" t="s">
        <v>390</v>
      </c>
      <c r="F1355" t="s">
        <v>4</v>
      </c>
    </row>
    <row r="1356" spans="1:6">
      <c r="A1356" t="s">
        <v>901</v>
      </c>
      <c r="B1356" t="s">
        <v>902</v>
      </c>
      <c r="C1356" t="s">
        <v>315</v>
      </c>
      <c r="D1356">
        <v>2007</v>
      </c>
      <c r="E1356" t="s">
        <v>903</v>
      </c>
      <c r="F1356" t="s">
        <v>686</v>
      </c>
    </row>
    <row r="1357" spans="1:6">
      <c r="A1357" t="s">
        <v>1363</v>
      </c>
      <c r="B1357" t="s">
        <v>1364</v>
      </c>
      <c r="C1357" t="s">
        <v>1365</v>
      </c>
      <c r="D1357">
        <v>2007</v>
      </c>
      <c r="E1357" t="s">
        <v>1366</v>
      </c>
      <c r="F1357" t="s">
        <v>1328</v>
      </c>
    </row>
    <row r="1358" spans="1:6">
      <c r="A1358" t="s">
        <v>1490</v>
      </c>
      <c r="B1358" t="s">
        <v>1491</v>
      </c>
      <c r="C1358" t="s">
        <v>1492</v>
      </c>
      <c r="D1358">
        <v>2007</v>
      </c>
      <c r="E1358" t="s">
        <v>1493</v>
      </c>
      <c r="F1358" t="s">
        <v>1328</v>
      </c>
    </row>
    <row r="1359" spans="1:6">
      <c r="A1359" t="s">
        <v>1016</v>
      </c>
      <c r="B1359" t="s">
        <v>1017</v>
      </c>
      <c r="C1359" t="s">
        <v>150</v>
      </c>
      <c r="D1359">
        <v>2007</v>
      </c>
      <c r="E1359" t="s">
        <v>66</v>
      </c>
      <c r="F1359" t="s">
        <v>686</v>
      </c>
    </row>
    <row r="1360" spans="1:6">
      <c r="A1360" t="s">
        <v>858</v>
      </c>
      <c r="B1360" t="s">
        <v>859</v>
      </c>
      <c r="C1360" t="s">
        <v>35</v>
      </c>
      <c r="D1360">
        <v>2007</v>
      </c>
      <c r="E1360" t="s">
        <v>860</v>
      </c>
      <c r="F1360" t="s">
        <v>686</v>
      </c>
    </row>
    <row r="1361" spans="1:6">
      <c r="A1361" t="s">
        <v>871</v>
      </c>
      <c r="B1361" t="s">
        <v>872</v>
      </c>
      <c r="C1361" t="s">
        <v>23</v>
      </c>
      <c r="D1361">
        <v>2007</v>
      </c>
      <c r="E1361" t="s">
        <v>873</v>
      </c>
      <c r="F1361" t="s">
        <v>686</v>
      </c>
    </row>
    <row r="1362" spans="1:6">
      <c r="A1362" t="s">
        <v>1390</v>
      </c>
      <c r="B1362" t="s">
        <v>1391</v>
      </c>
      <c r="C1362" t="s">
        <v>537</v>
      </c>
      <c r="D1362">
        <v>2007</v>
      </c>
      <c r="E1362" t="s">
        <v>1392</v>
      </c>
      <c r="F1362" t="s">
        <v>1328</v>
      </c>
    </row>
    <row r="1363" spans="1:6">
      <c r="A1363" t="s">
        <v>1441</v>
      </c>
      <c r="B1363" t="s">
        <v>1442</v>
      </c>
      <c r="C1363" t="s">
        <v>1443</v>
      </c>
      <c r="D1363">
        <v>2007</v>
      </c>
      <c r="E1363" t="s">
        <v>1444</v>
      </c>
      <c r="F1363" t="s">
        <v>1328</v>
      </c>
    </row>
    <row r="1364" spans="1:6">
      <c r="A1364" t="s">
        <v>2124</v>
      </c>
      <c r="B1364" t="s">
        <v>2125</v>
      </c>
      <c r="C1364" t="s">
        <v>90</v>
      </c>
      <c r="D1364">
        <v>2007</v>
      </c>
      <c r="E1364" t="s">
        <v>2126</v>
      </c>
      <c r="F1364" t="s">
        <v>1917</v>
      </c>
    </row>
    <row r="1365" spans="1:6">
      <c r="A1365" t="s">
        <v>1755</v>
      </c>
      <c r="B1365" t="s">
        <v>1756</v>
      </c>
      <c r="C1365" t="s">
        <v>15</v>
      </c>
      <c r="D1365">
        <v>2007</v>
      </c>
      <c r="E1365" t="s">
        <v>1757</v>
      </c>
      <c r="F1365" t="s">
        <v>1328</v>
      </c>
    </row>
    <row r="1366" spans="1:6">
      <c r="A1366" t="s">
        <v>1206</v>
      </c>
      <c r="B1366" t="s">
        <v>1207</v>
      </c>
      <c r="C1366" t="s">
        <v>72</v>
      </c>
      <c r="D1366">
        <v>2007</v>
      </c>
      <c r="E1366" t="s">
        <v>1208</v>
      </c>
      <c r="F1366" t="s">
        <v>686</v>
      </c>
    </row>
    <row r="1367" spans="1:6">
      <c r="A1367" t="s">
        <v>1510</v>
      </c>
      <c r="B1367" t="s">
        <v>1511</v>
      </c>
      <c r="C1367" t="s">
        <v>1512</v>
      </c>
      <c r="D1367">
        <v>2007</v>
      </c>
      <c r="E1367" t="s">
        <v>1513</v>
      </c>
      <c r="F1367" t="s">
        <v>1328</v>
      </c>
    </row>
    <row r="1368" spans="1:6">
      <c r="A1368" t="s">
        <v>1127</v>
      </c>
      <c r="B1368" t="s">
        <v>1128</v>
      </c>
      <c r="C1368" t="s">
        <v>1129</v>
      </c>
      <c r="D1368">
        <v>2007</v>
      </c>
      <c r="E1368" t="s">
        <v>1130</v>
      </c>
      <c r="F1368" t="s">
        <v>686</v>
      </c>
    </row>
    <row r="1369" spans="1:6">
      <c r="A1369" t="s">
        <v>1073</v>
      </c>
      <c r="B1369" t="s">
        <v>1074</v>
      </c>
      <c r="C1369" t="s">
        <v>31</v>
      </c>
      <c r="D1369">
        <v>2007</v>
      </c>
      <c r="E1369" t="s">
        <v>1075</v>
      </c>
      <c r="F1369" t="s">
        <v>686</v>
      </c>
    </row>
    <row r="1370" spans="1:6">
      <c r="A1370" t="s">
        <v>741</v>
      </c>
      <c r="B1370" t="s">
        <v>742</v>
      </c>
      <c r="C1370" t="s">
        <v>743</v>
      </c>
      <c r="D1370">
        <v>2007</v>
      </c>
      <c r="E1370" t="s">
        <v>744</v>
      </c>
      <c r="F1370" t="s">
        <v>686</v>
      </c>
    </row>
    <row r="1371" spans="1:6">
      <c r="A1371" t="s">
        <v>474</v>
      </c>
      <c r="B1371" t="s">
        <v>475</v>
      </c>
      <c r="C1371" t="s">
        <v>476</v>
      </c>
      <c r="D1371">
        <v>2007</v>
      </c>
      <c r="E1371" t="s">
        <v>477</v>
      </c>
      <c r="F1371" t="s">
        <v>4</v>
      </c>
    </row>
    <row r="1372" spans="1:6">
      <c r="A1372" t="s">
        <v>1636</v>
      </c>
      <c r="B1372" t="s">
        <v>1637</v>
      </c>
      <c r="C1372" t="s">
        <v>1638</v>
      </c>
      <c r="D1372">
        <v>2007</v>
      </c>
      <c r="E1372" t="s">
        <v>1639</v>
      </c>
      <c r="F1372" t="s">
        <v>1328</v>
      </c>
    </row>
    <row r="1373" spans="1:6">
      <c r="A1373" t="s">
        <v>813</v>
      </c>
      <c r="B1373" t="s">
        <v>814</v>
      </c>
      <c r="C1373" t="s">
        <v>19</v>
      </c>
      <c r="D1373">
        <v>2007</v>
      </c>
      <c r="E1373" t="s">
        <v>815</v>
      </c>
      <c r="F1373" t="s">
        <v>686</v>
      </c>
    </row>
    <row r="1374" spans="1:6">
      <c r="A1374" t="s">
        <v>655</v>
      </c>
      <c r="B1374" t="s">
        <v>656</v>
      </c>
      <c r="C1374" t="s">
        <v>657</v>
      </c>
      <c r="D1374">
        <v>2007</v>
      </c>
      <c r="E1374" t="s">
        <v>658</v>
      </c>
      <c r="F1374" t="s">
        <v>4</v>
      </c>
    </row>
    <row r="1375" spans="1:6">
      <c r="A1375" t="s">
        <v>2018</v>
      </c>
      <c r="B1375" t="s">
        <v>2019</v>
      </c>
      <c r="C1375" t="s">
        <v>86</v>
      </c>
      <c r="D1375">
        <v>2007</v>
      </c>
      <c r="E1375" t="s">
        <v>2020</v>
      </c>
      <c r="F1375" t="s">
        <v>1917</v>
      </c>
    </row>
    <row r="1376" spans="1:6">
      <c r="A1376" t="s">
        <v>1004</v>
      </c>
      <c r="B1376" t="s">
        <v>1005</v>
      </c>
      <c r="C1376" t="s">
        <v>114</v>
      </c>
      <c r="D1376">
        <v>2007</v>
      </c>
      <c r="E1376" t="s">
        <v>1006</v>
      </c>
      <c r="F1376" t="s">
        <v>686</v>
      </c>
    </row>
    <row r="1377" spans="1:6">
      <c r="A1377" t="s">
        <v>941</v>
      </c>
      <c r="B1377" t="s">
        <v>942</v>
      </c>
      <c r="C1377" t="s">
        <v>90</v>
      </c>
      <c r="D1377">
        <v>2007</v>
      </c>
      <c r="E1377" t="s">
        <v>943</v>
      </c>
      <c r="F1377" t="s">
        <v>686</v>
      </c>
    </row>
    <row r="1378" spans="1:6">
      <c r="A1378" t="s">
        <v>124</v>
      </c>
      <c r="B1378" t="s">
        <v>125</v>
      </c>
      <c r="C1378" t="s">
        <v>126</v>
      </c>
      <c r="D1378">
        <v>2007</v>
      </c>
      <c r="E1378" t="s">
        <v>127</v>
      </c>
      <c r="F1378" t="s">
        <v>4</v>
      </c>
    </row>
    <row r="1379" spans="1:6">
      <c r="A1379" t="s">
        <v>145</v>
      </c>
      <c r="B1379" t="s">
        <v>146</v>
      </c>
      <c r="C1379" t="s">
        <v>72</v>
      </c>
      <c r="D1379">
        <v>2006</v>
      </c>
      <c r="E1379" t="s">
        <v>147</v>
      </c>
      <c r="F1379" t="s">
        <v>4</v>
      </c>
    </row>
    <row r="1380" spans="1:6">
      <c r="A1380" t="s">
        <v>1576</v>
      </c>
      <c r="B1380" t="s">
        <v>1577</v>
      </c>
      <c r="C1380" t="s">
        <v>72</v>
      </c>
      <c r="D1380">
        <v>2006</v>
      </c>
      <c r="E1380" t="s">
        <v>1578</v>
      </c>
      <c r="F1380" t="s">
        <v>1328</v>
      </c>
    </row>
    <row r="1381" spans="1:6">
      <c r="A1381" t="s">
        <v>978</v>
      </c>
      <c r="B1381" t="s">
        <v>979</v>
      </c>
      <c r="C1381" t="s">
        <v>90</v>
      </c>
      <c r="D1381">
        <v>2006</v>
      </c>
      <c r="E1381" t="s">
        <v>980</v>
      </c>
      <c r="F1381" t="s">
        <v>686</v>
      </c>
    </row>
    <row r="1382" spans="1:6">
      <c r="A1382" t="s">
        <v>549</v>
      </c>
      <c r="B1382" t="s">
        <v>550</v>
      </c>
      <c r="C1382" t="s">
        <v>440</v>
      </c>
      <c r="D1382">
        <v>2006</v>
      </c>
      <c r="E1382" t="s">
        <v>551</v>
      </c>
      <c r="F1382" t="s">
        <v>4</v>
      </c>
    </row>
    <row r="1383" spans="1:6">
      <c r="A1383" t="s">
        <v>1992</v>
      </c>
      <c r="B1383" t="s">
        <v>1993</v>
      </c>
      <c r="C1383" t="s">
        <v>31</v>
      </c>
      <c r="D1383">
        <v>2006</v>
      </c>
      <c r="E1383" t="s">
        <v>1994</v>
      </c>
      <c r="F1383" t="s">
        <v>1917</v>
      </c>
    </row>
    <row r="1384" spans="1:6">
      <c r="A1384" t="s">
        <v>1415</v>
      </c>
      <c r="B1384" t="s">
        <v>1416</v>
      </c>
      <c r="C1384" t="s">
        <v>1417</v>
      </c>
      <c r="D1384">
        <v>2006</v>
      </c>
      <c r="E1384" t="s">
        <v>1418</v>
      </c>
      <c r="F1384" t="s">
        <v>1328</v>
      </c>
    </row>
    <row r="1385" spans="1:6">
      <c r="A1385" t="s">
        <v>968</v>
      </c>
      <c r="B1385" t="s">
        <v>969</v>
      </c>
      <c r="C1385" t="s">
        <v>970</v>
      </c>
      <c r="D1385">
        <v>2006</v>
      </c>
      <c r="E1385" t="s">
        <v>971</v>
      </c>
      <c r="F1385" t="s">
        <v>686</v>
      </c>
    </row>
    <row r="1386" spans="1:6">
      <c r="A1386" t="s">
        <v>1049</v>
      </c>
      <c r="B1386" t="s">
        <v>1050</v>
      </c>
      <c r="C1386" t="s">
        <v>1051</v>
      </c>
      <c r="D1386">
        <v>2006</v>
      </c>
      <c r="E1386" t="s">
        <v>1052</v>
      </c>
      <c r="F1386" t="s">
        <v>686</v>
      </c>
    </row>
    <row r="1387" spans="1:6">
      <c r="A1387" t="s">
        <v>59</v>
      </c>
      <c r="B1387" t="s">
        <v>60</v>
      </c>
      <c r="C1387" t="s">
        <v>61</v>
      </c>
      <c r="D1387">
        <v>2006</v>
      </c>
      <c r="E1387" t="s">
        <v>62</v>
      </c>
      <c r="F1387" t="s">
        <v>4</v>
      </c>
    </row>
    <row r="1388" spans="1:6">
      <c r="A1388" t="s">
        <v>1643</v>
      </c>
      <c r="B1388" t="s">
        <v>1644</v>
      </c>
      <c r="C1388" t="s">
        <v>1102</v>
      </c>
      <c r="D1388">
        <v>2006</v>
      </c>
      <c r="E1388" t="s">
        <v>1645</v>
      </c>
      <c r="F1388" t="s">
        <v>1328</v>
      </c>
    </row>
    <row r="1389" spans="1:6">
      <c r="A1389" t="s">
        <v>1681</v>
      </c>
      <c r="B1389" t="s">
        <v>1682</v>
      </c>
      <c r="C1389" t="s">
        <v>72</v>
      </c>
      <c r="D1389">
        <v>2006</v>
      </c>
      <c r="E1389" t="s">
        <v>1683</v>
      </c>
      <c r="F1389" t="s">
        <v>1328</v>
      </c>
    </row>
    <row r="1390" spans="1:6">
      <c r="A1390" t="s">
        <v>1546</v>
      </c>
      <c r="B1390" t="s">
        <v>1547</v>
      </c>
      <c r="C1390" t="s">
        <v>1548</v>
      </c>
      <c r="D1390">
        <v>2006</v>
      </c>
      <c r="E1390" t="s">
        <v>1549</v>
      </c>
      <c r="F1390" t="s">
        <v>1328</v>
      </c>
    </row>
    <row r="1391" spans="1:6">
      <c r="A1391" t="s">
        <v>566</v>
      </c>
      <c r="B1391" t="s">
        <v>567</v>
      </c>
      <c r="C1391" t="s">
        <v>520</v>
      </c>
      <c r="D1391">
        <v>2006</v>
      </c>
      <c r="E1391" t="s">
        <v>568</v>
      </c>
      <c r="F1391" t="s">
        <v>4</v>
      </c>
    </row>
    <row r="1392" spans="1:6">
      <c r="A1392" t="s">
        <v>307</v>
      </c>
      <c r="B1392" t="s">
        <v>308</v>
      </c>
      <c r="C1392" t="s">
        <v>153</v>
      </c>
      <c r="D1392">
        <v>2006</v>
      </c>
      <c r="E1392" t="s">
        <v>309</v>
      </c>
      <c r="F1392" t="s">
        <v>4</v>
      </c>
    </row>
    <row r="1393" spans="1:6">
      <c r="A1393" t="s">
        <v>500</v>
      </c>
      <c r="B1393" t="s">
        <v>501</v>
      </c>
      <c r="C1393" t="s">
        <v>72</v>
      </c>
      <c r="D1393">
        <v>2006</v>
      </c>
      <c r="E1393" t="s">
        <v>502</v>
      </c>
      <c r="F1393" t="s">
        <v>4</v>
      </c>
    </row>
    <row r="1394" spans="1:6">
      <c r="A1394" t="s">
        <v>1399</v>
      </c>
      <c r="B1394" t="s">
        <v>1400</v>
      </c>
      <c r="C1394" t="s">
        <v>1264</v>
      </c>
      <c r="D1394">
        <v>2006</v>
      </c>
      <c r="E1394" t="s">
        <v>1401</v>
      </c>
      <c r="F1394" t="s">
        <v>1328</v>
      </c>
    </row>
    <row r="1395" spans="1:6">
      <c r="A1395" t="s">
        <v>1408</v>
      </c>
      <c r="B1395" t="s">
        <v>1409</v>
      </c>
      <c r="C1395" t="s">
        <v>1410</v>
      </c>
      <c r="D1395">
        <v>2006</v>
      </c>
      <c r="E1395" t="s">
        <v>1411</v>
      </c>
      <c r="F1395" t="s">
        <v>1328</v>
      </c>
    </row>
    <row r="1396" spans="1:6">
      <c r="A1396" t="s">
        <v>1479</v>
      </c>
      <c r="B1396" t="s">
        <v>1480</v>
      </c>
      <c r="C1396" t="s">
        <v>1481</v>
      </c>
      <c r="D1396">
        <v>2006</v>
      </c>
      <c r="E1396" t="s">
        <v>1482</v>
      </c>
      <c r="F1396" t="s">
        <v>1328</v>
      </c>
    </row>
    <row r="1397" spans="1:6">
      <c r="A1397" t="s">
        <v>563</v>
      </c>
      <c r="B1397" t="s">
        <v>564</v>
      </c>
      <c r="C1397" t="s">
        <v>440</v>
      </c>
      <c r="D1397">
        <v>2006</v>
      </c>
      <c r="E1397" t="s">
        <v>565</v>
      </c>
      <c r="F1397" t="s">
        <v>4</v>
      </c>
    </row>
    <row r="1398" spans="1:6">
      <c r="A1398" t="s">
        <v>1675</v>
      </c>
      <c r="B1398" t="s">
        <v>1676</v>
      </c>
      <c r="C1398" t="s">
        <v>1322</v>
      </c>
      <c r="D1398">
        <v>2006</v>
      </c>
      <c r="E1398" t="s">
        <v>1677</v>
      </c>
      <c r="F1398" t="s">
        <v>1328</v>
      </c>
    </row>
    <row r="1399" spans="1:6">
      <c r="A1399" t="s">
        <v>1965</v>
      </c>
      <c r="B1399" t="s">
        <v>218</v>
      </c>
      <c r="C1399" t="s">
        <v>122</v>
      </c>
      <c r="D1399">
        <v>2006</v>
      </c>
      <c r="E1399" t="s">
        <v>1966</v>
      </c>
      <c r="F1399" t="s">
        <v>1917</v>
      </c>
    </row>
    <row r="1400" spans="1:6">
      <c r="A1400" t="s">
        <v>416</v>
      </c>
      <c r="B1400" t="s">
        <v>417</v>
      </c>
      <c r="C1400" t="s">
        <v>61</v>
      </c>
      <c r="D1400">
        <v>2006</v>
      </c>
      <c r="E1400" t="s">
        <v>418</v>
      </c>
      <c r="F1400" t="s">
        <v>4</v>
      </c>
    </row>
    <row r="1401" spans="1:6">
      <c r="A1401" t="s">
        <v>697</v>
      </c>
      <c r="B1401" t="s">
        <v>698</v>
      </c>
      <c r="C1401" t="s">
        <v>699</v>
      </c>
      <c r="D1401">
        <v>2006</v>
      </c>
      <c r="E1401" t="s">
        <v>66</v>
      </c>
      <c r="F1401" t="s">
        <v>686</v>
      </c>
    </row>
    <row r="1402" spans="1:6">
      <c r="A1402" t="s">
        <v>555</v>
      </c>
      <c r="B1402" t="s">
        <v>556</v>
      </c>
      <c r="C1402" t="s">
        <v>557</v>
      </c>
      <c r="D1402">
        <v>2006</v>
      </c>
      <c r="E1402" t="s">
        <v>558</v>
      </c>
      <c r="F1402" t="s">
        <v>4</v>
      </c>
    </row>
    <row r="1403" spans="1:6">
      <c r="A1403" t="s">
        <v>1100</v>
      </c>
      <c r="B1403" t="s">
        <v>1101</v>
      </c>
      <c r="C1403" t="s">
        <v>1102</v>
      </c>
      <c r="D1403">
        <v>2006</v>
      </c>
      <c r="E1403" t="s">
        <v>1103</v>
      </c>
      <c r="F1403" t="s">
        <v>686</v>
      </c>
    </row>
    <row r="1404" spans="1:6">
      <c r="A1404" t="s">
        <v>1920</v>
      </c>
      <c r="B1404" t="s">
        <v>1921</v>
      </c>
      <c r="C1404" t="s">
        <v>72</v>
      </c>
      <c r="D1404">
        <v>2006</v>
      </c>
      <c r="E1404" t="s">
        <v>1922</v>
      </c>
      <c r="F1404" t="s">
        <v>1917</v>
      </c>
    </row>
    <row r="1405" spans="1:6">
      <c r="A1405" t="s">
        <v>734</v>
      </c>
      <c r="B1405" t="s">
        <v>735</v>
      </c>
      <c r="C1405" t="s">
        <v>736</v>
      </c>
      <c r="D1405">
        <v>2006</v>
      </c>
      <c r="E1405" t="s">
        <v>737</v>
      </c>
      <c r="F1405" t="s">
        <v>686</v>
      </c>
    </row>
    <row r="1406" spans="1:6">
      <c r="A1406" t="s">
        <v>446</v>
      </c>
      <c r="B1406" t="s">
        <v>447</v>
      </c>
      <c r="C1406" t="s">
        <v>11</v>
      </c>
      <c r="D1406">
        <v>2006</v>
      </c>
      <c r="E1406" t="s">
        <v>448</v>
      </c>
      <c r="F1406" t="s">
        <v>4</v>
      </c>
    </row>
    <row r="1407" spans="1:6">
      <c r="A1407" t="s">
        <v>492</v>
      </c>
      <c r="B1407" t="s">
        <v>493</v>
      </c>
      <c r="C1407" t="s">
        <v>494</v>
      </c>
      <c r="D1407">
        <v>2006</v>
      </c>
      <c r="E1407" t="s">
        <v>495</v>
      </c>
      <c r="F1407" t="s">
        <v>4</v>
      </c>
    </row>
    <row r="1408" spans="1:6">
      <c r="A1408" t="s">
        <v>2075</v>
      </c>
      <c r="B1408" t="s">
        <v>2076</v>
      </c>
      <c r="C1408" t="s">
        <v>1751</v>
      </c>
      <c r="D1408">
        <v>2006</v>
      </c>
      <c r="E1408" t="s">
        <v>2077</v>
      </c>
      <c r="F1408" t="s">
        <v>1917</v>
      </c>
    </row>
    <row r="1409" spans="1:6">
      <c r="A1409" t="s">
        <v>227</v>
      </c>
      <c r="B1409" t="s">
        <v>228</v>
      </c>
      <c r="C1409" t="s">
        <v>229</v>
      </c>
      <c r="D1409">
        <v>2006</v>
      </c>
      <c r="E1409" t="s">
        <v>230</v>
      </c>
      <c r="F1409" t="s">
        <v>4</v>
      </c>
    </row>
    <row r="1410" spans="1:6">
      <c r="A1410" t="s">
        <v>1905</v>
      </c>
      <c r="B1410" t="s">
        <v>1906</v>
      </c>
      <c r="C1410" t="s">
        <v>90</v>
      </c>
      <c r="D1410">
        <v>2006</v>
      </c>
      <c r="E1410" t="s">
        <v>1907</v>
      </c>
      <c r="F1410" t="s">
        <v>1328</v>
      </c>
    </row>
    <row r="1411" spans="1:6">
      <c r="A1411" t="s">
        <v>2022</v>
      </c>
      <c r="B1411" t="s">
        <v>2023</v>
      </c>
      <c r="C1411" t="s">
        <v>15</v>
      </c>
      <c r="D1411">
        <v>2006</v>
      </c>
      <c r="E1411" t="s">
        <v>2024</v>
      </c>
      <c r="F1411" t="s">
        <v>1917</v>
      </c>
    </row>
    <row r="1412" spans="1:6">
      <c r="A1412" t="s">
        <v>1556</v>
      </c>
      <c r="B1412" t="s">
        <v>1557</v>
      </c>
      <c r="C1412" t="s">
        <v>122</v>
      </c>
      <c r="D1412">
        <v>2006</v>
      </c>
      <c r="E1412" t="s">
        <v>1558</v>
      </c>
      <c r="F1412" t="s">
        <v>1328</v>
      </c>
    </row>
    <row r="1413" spans="1:6">
      <c r="A1413" t="s">
        <v>1615</v>
      </c>
      <c r="B1413" t="s">
        <v>1616</v>
      </c>
      <c r="C1413" t="s">
        <v>1617</v>
      </c>
      <c r="D1413">
        <v>2006</v>
      </c>
      <c r="E1413" t="s">
        <v>1618</v>
      </c>
      <c r="F1413" t="s">
        <v>1328</v>
      </c>
    </row>
    <row r="1414" spans="1:6">
      <c r="A1414" t="s">
        <v>1753</v>
      </c>
      <c r="B1414" t="s">
        <v>321</v>
      </c>
      <c r="C1414" t="s">
        <v>72</v>
      </c>
      <c r="D1414">
        <v>2006</v>
      </c>
      <c r="E1414" t="s">
        <v>1873</v>
      </c>
      <c r="F1414" t="s">
        <v>1328</v>
      </c>
    </row>
    <row r="1415" spans="1:6">
      <c r="A1415" t="s">
        <v>634</v>
      </c>
      <c r="B1415" t="s">
        <v>635</v>
      </c>
      <c r="C1415" t="s">
        <v>636</v>
      </c>
      <c r="D1415">
        <v>2006</v>
      </c>
      <c r="E1415" t="s">
        <v>637</v>
      </c>
      <c r="F1415" t="s">
        <v>4</v>
      </c>
    </row>
    <row r="1416" spans="1:6">
      <c r="A1416" t="s">
        <v>888</v>
      </c>
      <c r="B1416" t="s">
        <v>889</v>
      </c>
      <c r="C1416" t="s">
        <v>259</v>
      </c>
      <c r="D1416">
        <v>2006</v>
      </c>
      <c r="E1416" t="s">
        <v>890</v>
      </c>
      <c r="F1416" t="s">
        <v>686</v>
      </c>
    </row>
    <row r="1417" spans="1:6">
      <c r="A1417" t="s">
        <v>1633</v>
      </c>
      <c r="B1417" t="s">
        <v>1634</v>
      </c>
      <c r="C1417" t="s">
        <v>19</v>
      </c>
      <c r="D1417">
        <v>2006</v>
      </c>
      <c r="E1417" t="s">
        <v>1635</v>
      </c>
      <c r="F1417" t="s">
        <v>1328</v>
      </c>
    </row>
    <row r="1418" spans="1:6">
      <c r="A1418" t="s">
        <v>155</v>
      </c>
      <c r="B1418" t="s">
        <v>156</v>
      </c>
      <c r="C1418" t="s">
        <v>72</v>
      </c>
      <c r="D1418">
        <v>2006</v>
      </c>
      <c r="E1418" t="s">
        <v>157</v>
      </c>
      <c r="F1418" t="s">
        <v>4</v>
      </c>
    </row>
    <row r="1419" spans="1:6">
      <c r="A1419" t="s">
        <v>552</v>
      </c>
      <c r="B1419" t="s">
        <v>553</v>
      </c>
      <c r="C1419" t="s">
        <v>192</v>
      </c>
      <c r="D1419">
        <v>2006</v>
      </c>
      <c r="E1419" t="s">
        <v>554</v>
      </c>
      <c r="F1419" t="s">
        <v>4</v>
      </c>
    </row>
    <row r="1420" spans="1:6">
      <c r="A1420" t="s">
        <v>793</v>
      </c>
      <c r="B1420" t="s">
        <v>794</v>
      </c>
      <c r="C1420" t="s">
        <v>7</v>
      </c>
      <c r="D1420">
        <v>2006</v>
      </c>
      <c r="E1420" t="s">
        <v>795</v>
      </c>
      <c r="F1420" t="s">
        <v>686</v>
      </c>
    </row>
    <row r="1421" spans="1:6">
      <c r="A1421" t="s">
        <v>1703</v>
      </c>
      <c r="B1421" t="s">
        <v>1704</v>
      </c>
      <c r="C1421" t="s">
        <v>90</v>
      </c>
      <c r="D1421">
        <v>2006</v>
      </c>
      <c r="E1421" t="s">
        <v>1705</v>
      </c>
      <c r="F1421" t="s">
        <v>1328</v>
      </c>
    </row>
    <row r="1422" spans="1:6">
      <c r="A1422" t="s">
        <v>1021</v>
      </c>
      <c r="B1422" t="s">
        <v>1022</v>
      </c>
      <c r="C1422" t="s">
        <v>122</v>
      </c>
      <c r="D1422">
        <v>2006</v>
      </c>
      <c r="E1422" t="s">
        <v>1023</v>
      </c>
      <c r="F1422" t="s">
        <v>686</v>
      </c>
    </row>
    <row r="1423" spans="1:6">
      <c r="A1423" t="s">
        <v>1276</v>
      </c>
      <c r="B1423" t="s">
        <v>1277</v>
      </c>
      <c r="C1423" t="s">
        <v>326</v>
      </c>
      <c r="D1423">
        <v>2006</v>
      </c>
      <c r="E1423" t="s">
        <v>1278</v>
      </c>
      <c r="F1423" t="s">
        <v>686</v>
      </c>
    </row>
    <row r="1424" spans="1:6">
      <c r="A1424" t="s">
        <v>1143</v>
      </c>
      <c r="B1424" t="s">
        <v>1144</v>
      </c>
      <c r="C1424" t="s">
        <v>19</v>
      </c>
      <c r="D1424">
        <v>2006</v>
      </c>
      <c r="E1424" t="s">
        <v>1145</v>
      </c>
      <c r="F1424" t="s">
        <v>686</v>
      </c>
    </row>
    <row r="1425" spans="1:6">
      <c r="A1425" t="s">
        <v>1174</v>
      </c>
      <c r="B1425" t="s">
        <v>1175</v>
      </c>
      <c r="C1425" t="s">
        <v>118</v>
      </c>
      <c r="D1425">
        <v>2006</v>
      </c>
      <c r="E1425" t="s">
        <v>1176</v>
      </c>
      <c r="F1425" t="s">
        <v>686</v>
      </c>
    </row>
    <row r="1426" spans="1:6">
      <c r="A1426" t="s">
        <v>205</v>
      </c>
      <c r="B1426" t="s">
        <v>206</v>
      </c>
      <c r="C1426" t="s">
        <v>207</v>
      </c>
      <c r="D1426">
        <v>2006</v>
      </c>
      <c r="E1426" t="s">
        <v>208</v>
      </c>
      <c r="F1426" t="s">
        <v>4</v>
      </c>
    </row>
    <row r="1427" spans="1:6">
      <c r="A1427" t="s">
        <v>324</v>
      </c>
      <c r="B1427" t="s">
        <v>325</v>
      </c>
      <c r="C1427" t="s">
        <v>326</v>
      </c>
      <c r="D1427">
        <v>2006</v>
      </c>
      <c r="E1427" t="s">
        <v>327</v>
      </c>
      <c r="F1427" t="s">
        <v>4</v>
      </c>
    </row>
    <row r="1428" spans="1:6">
      <c r="A1428" t="s">
        <v>29</v>
      </c>
      <c r="B1428" t="s">
        <v>30</v>
      </c>
      <c r="C1428" t="s">
        <v>31</v>
      </c>
      <c r="D1428">
        <v>2006</v>
      </c>
      <c r="E1428" t="s">
        <v>32</v>
      </c>
      <c r="F1428" t="s">
        <v>4</v>
      </c>
    </row>
    <row r="1429" spans="1:6">
      <c r="A1429" t="s">
        <v>507</v>
      </c>
      <c r="B1429" t="s">
        <v>508</v>
      </c>
      <c r="C1429" t="s">
        <v>72</v>
      </c>
      <c r="D1429">
        <v>2005</v>
      </c>
      <c r="E1429" t="s">
        <v>509</v>
      </c>
      <c r="F1429" t="s">
        <v>4</v>
      </c>
    </row>
    <row r="1430" spans="1:6">
      <c r="A1430" t="s">
        <v>834</v>
      </c>
      <c r="B1430" t="s">
        <v>835</v>
      </c>
      <c r="C1430" t="s">
        <v>72</v>
      </c>
      <c r="D1430">
        <v>2005</v>
      </c>
      <c r="E1430" t="s">
        <v>836</v>
      </c>
      <c r="F1430" t="s">
        <v>686</v>
      </c>
    </row>
    <row r="1431" spans="1:6">
      <c r="A1431" t="s">
        <v>385</v>
      </c>
      <c r="B1431" t="s">
        <v>386</v>
      </c>
      <c r="C1431" t="s">
        <v>122</v>
      </c>
      <c r="D1431">
        <v>2005</v>
      </c>
      <c r="E1431" t="s">
        <v>387</v>
      </c>
      <c r="F1431" t="s">
        <v>4</v>
      </c>
    </row>
    <row r="1432" spans="1:6">
      <c r="A1432" t="s">
        <v>452</v>
      </c>
      <c r="B1432" t="s">
        <v>453</v>
      </c>
      <c r="C1432" t="s">
        <v>72</v>
      </c>
      <c r="D1432">
        <v>2005</v>
      </c>
      <c r="E1432" t="s">
        <v>454</v>
      </c>
      <c r="F1432" t="s">
        <v>4</v>
      </c>
    </row>
    <row r="1433" spans="1:6">
      <c r="A1433" t="s">
        <v>1942</v>
      </c>
      <c r="B1433" t="s">
        <v>1943</v>
      </c>
      <c r="C1433" t="s">
        <v>677</v>
      </c>
      <c r="D1433">
        <v>2005</v>
      </c>
      <c r="E1433" t="s">
        <v>1944</v>
      </c>
      <c r="F1433" t="s">
        <v>1917</v>
      </c>
    </row>
    <row r="1434" spans="1:6">
      <c r="A1434" t="s">
        <v>310</v>
      </c>
      <c r="B1434" t="s">
        <v>311</v>
      </c>
      <c r="C1434" t="s">
        <v>259</v>
      </c>
      <c r="D1434">
        <v>2005</v>
      </c>
      <c r="E1434" t="s">
        <v>312</v>
      </c>
      <c r="F1434" t="s">
        <v>4</v>
      </c>
    </row>
    <row r="1435" spans="1:6">
      <c r="A1435" t="s">
        <v>1671</v>
      </c>
      <c r="B1435" t="s">
        <v>1672</v>
      </c>
      <c r="C1435" t="s">
        <v>1673</v>
      </c>
      <c r="D1435">
        <v>2005</v>
      </c>
      <c r="E1435" t="s">
        <v>1674</v>
      </c>
      <c r="F1435" t="s">
        <v>1328</v>
      </c>
    </row>
    <row r="1436" spans="1:6">
      <c r="A1436" t="s">
        <v>594</v>
      </c>
      <c r="B1436" t="s">
        <v>595</v>
      </c>
      <c r="C1436" t="s">
        <v>122</v>
      </c>
      <c r="D1436">
        <v>2005</v>
      </c>
      <c r="E1436" t="s">
        <v>596</v>
      </c>
      <c r="F1436" t="s">
        <v>4</v>
      </c>
    </row>
    <row r="1437" spans="1:6">
      <c r="A1437" t="s">
        <v>989</v>
      </c>
      <c r="B1437" t="s">
        <v>990</v>
      </c>
      <c r="C1437" t="s">
        <v>122</v>
      </c>
      <c r="D1437">
        <v>2005</v>
      </c>
      <c r="E1437" t="s">
        <v>991</v>
      </c>
      <c r="F1437" t="s">
        <v>686</v>
      </c>
    </row>
    <row r="1438" spans="1:6">
      <c r="A1438" t="s">
        <v>1749</v>
      </c>
      <c r="B1438" t="s">
        <v>1750</v>
      </c>
      <c r="C1438" t="s">
        <v>1751</v>
      </c>
      <c r="D1438">
        <v>2005</v>
      </c>
      <c r="E1438" t="s">
        <v>1752</v>
      </c>
      <c r="F1438" t="s">
        <v>1328</v>
      </c>
    </row>
    <row r="1439" spans="1:6">
      <c r="A1439" t="s">
        <v>1191</v>
      </c>
      <c r="B1439" t="s">
        <v>1192</v>
      </c>
      <c r="C1439" t="s">
        <v>677</v>
      </c>
      <c r="D1439">
        <v>2005</v>
      </c>
      <c r="E1439" t="s">
        <v>1193</v>
      </c>
      <c r="F1439" t="s">
        <v>686</v>
      </c>
    </row>
    <row r="1440" spans="1:6">
      <c r="A1440" t="s">
        <v>449</v>
      </c>
      <c r="B1440" t="s">
        <v>450</v>
      </c>
      <c r="C1440" t="s">
        <v>259</v>
      </c>
      <c r="D1440">
        <v>2005</v>
      </c>
      <c r="E1440" t="s">
        <v>451</v>
      </c>
      <c r="F1440" t="s">
        <v>4</v>
      </c>
    </row>
    <row r="1441" spans="1:6">
      <c r="A1441" t="s">
        <v>1140</v>
      </c>
      <c r="B1441" t="s">
        <v>1141</v>
      </c>
      <c r="C1441" t="s">
        <v>72</v>
      </c>
      <c r="D1441">
        <v>2005</v>
      </c>
      <c r="E1441" t="s">
        <v>1142</v>
      </c>
      <c r="F1441" t="s">
        <v>686</v>
      </c>
    </row>
    <row r="1442" spans="1:6">
      <c r="A1442" t="s">
        <v>1374</v>
      </c>
      <c r="B1442" t="s">
        <v>1375</v>
      </c>
      <c r="C1442" t="s">
        <v>19</v>
      </c>
      <c r="D1442">
        <v>2005</v>
      </c>
      <c r="E1442" t="s">
        <v>1376</v>
      </c>
      <c r="F1442" t="s">
        <v>1328</v>
      </c>
    </row>
    <row r="1443" spans="1:6">
      <c r="A1443" t="s">
        <v>112</v>
      </c>
      <c r="B1443" t="s">
        <v>113</v>
      </c>
      <c r="C1443" t="s">
        <v>114</v>
      </c>
      <c r="D1443">
        <v>2005</v>
      </c>
      <c r="E1443" t="s">
        <v>115</v>
      </c>
      <c r="F1443" t="s">
        <v>4</v>
      </c>
    </row>
    <row r="1444" spans="1:6">
      <c r="A1444" t="s">
        <v>738</v>
      </c>
      <c r="B1444" t="s">
        <v>739</v>
      </c>
      <c r="C1444" t="s">
        <v>736</v>
      </c>
      <c r="D1444">
        <v>2005</v>
      </c>
      <c r="E1444" t="s">
        <v>740</v>
      </c>
      <c r="F1444" t="s">
        <v>686</v>
      </c>
    </row>
    <row r="1445" spans="1:6">
      <c r="A1445" t="s">
        <v>1691</v>
      </c>
      <c r="B1445" t="s">
        <v>1692</v>
      </c>
      <c r="C1445" t="s">
        <v>122</v>
      </c>
      <c r="D1445">
        <v>2005</v>
      </c>
      <c r="E1445" t="s">
        <v>1693</v>
      </c>
      <c r="F1445" t="s">
        <v>1328</v>
      </c>
    </row>
    <row r="1446" spans="1:6">
      <c r="A1446" t="s">
        <v>1738</v>
      </c>
      <c r="B1446" t="s">
        <v>1739</v>
      </c>
      <c r="C1446" t="s">
        <v>72</v>
      </c>
      <c r="D1446">
        <v>2005</v>
      </c>
      <c r="E1446" t="s">
        <v>1740</v>
      </c>
      <c r="F1446" t="s">
        <v>1328</v>
      </c>
    </row>
    <row r="1447" spans="1:6">
      <c r="A1447" t="s">
        <v>1659</v>
      </c>
      <c r="B1447" t="s">
        <v>218</v>
      </c>
      <c r="C1447" t="s">
        <v>122</v>
      </c>
      <c r="D1447">
        <v>2005</v>
      </c>
      <c r="E1447" t="s">
        <v>1660</v>
      </c>
      <c r="F1447" t="s">
        <v>1328</v>
      </c>
    </row>
    <row r="1448" spans="1:6">
      <c r="A1448" t="s">
        <v>668</v>
      </c>
      <c r="B1448" t="s">
        <v>669</v>
      </c>
      <c r="C1448" t="s">
        <v>122</v>
      </c>
      <c r="D1448">
        <v>2005</v>
      </c>
      <c r="E1448" t="s">
        <v>670</v>
      </c>
      <c r="F1448" t="s">
        <v>4</v>
      </c>
    </row>
    <row r="1449" spans="1:6">
      <c r="A1449" t="s">
        <v>614</v>
      </c>
      <c r="B1449" t="s">
        <v>615</v>
      </c>
      <c r="C1449" t="s">
        <v>616</v>
      </c>
      <c r="D1449">
        <v>2005</v>
      </c>
      <c r="E1449" t="s">
        <v>617</v>
      </c>
      <c r="F1449" t="s">
        <v>4</v>
      </c>
    </row>
    <row r="1450" spans="1:6">
      <c r="A1450" t="s">
        <v>1828</v>
      </c>
      <c r="B1450" t="s">
        <v>1829</v>
      </c>
      <c r="C1450" t="s">
        <v>1830</v>
      </c>
      <c r="D1450">
        <v>2005</v>
      </c>
      <c r="E1450" t="s">
        <v>1831</v>
      </c>
      <c r="F1450" t="s">
        <v>1328</v>
      </c>
    </row>
    <row r="1451" spans="1:6">
      <c r="A1451" t="s">
        <v>300</v>
      </c>
      <c r="B1451" t="s">
        <v>301</v>
      </c>
      <c r="C1451" t="s">
        <v>118</v>
      </c>
      <c r="D1451">
        <v>2005</v>
      </c>
      <c r="E1451" t="s">
        <v>302</v>
      </c>
      <c r="F1451" t="s">
        <v>4</v>
      </c>
    </row>
    <row r="1452" spans="1:6">
      <c r="A1452" t="s">
        <v>209</v>
      </c>
      <c r="B1452" t="s">
        <v>210</v>
      </c>
      <c r="C1452" t="s">
        <v>211</v>
      </c>
      <c r="D1452">
        <v>2005</v>
      </c>
      <c r="E1452" t="s">
        <v>212</v>
      </c>
      <c r="F1452" t="s">
        <v>4</v>
      </c>
    </row>
    <row r="1453" spans="1:6">
      <c r="A1453" t="s">
        <v>462</v>
      </c>
      <c r="B1453" t="s">
        <v>463</v>
      </c>
      <c r="C1453" t="s">
        <v>31</v>
      </c>
      <c r="D1453">
        <v>2004</v>
      </c>
      <c r="E1453" t="s">
        <v>464</v>
      </c>
      <c r="F1453" t="s">
        <v>4</v>
      </c>
    </row>
    <row r="1454" spans="1:6">
      <c r="A1454" t="s">
        <v>881</v>
      </c>
      <c r="B1454" t="s">
        <v>882</v>
      </c>
      <c r="C1454" t="s">
        <v>725</v>
      </c>
      <c r="D1454">
        <v>2004</v>
      </c>
      <c r="E1454" t="s">
        <v>883</v>
      </c>
      <c r="F1454" t="s">
        <v>686</v>
      </c>
    </row>
    <row r="1455" spans="1:6">
      <c r="A1455" t="s">
        <v>1939</v>
      </c>
      <c r="B1455" t="s">
        <v>1940</v>
      </c>
      <c r="C1455" t="s">
        <v>1597</v>
      </c>
      <c r="D1455">
        <v>2004</v>
      </c>
      <c r="E1455" t="s">
        <v>1941</v>
      </c>
      <c r="F1455" t="s">
        <v>1917</v>
      </c>
    </row>
    <row r="1456" spans="1:6">
      <c r="A1456" t="s">
        <v>84</v>
      </c>
      <c r="B1456" t="s">
        <v>85</v>
      </c>
      <c r="C1456" t="s">
        <v>86</v>
      </c>
      <c r="D1456">
        <v>2004</v>
      </c>
      <c r="E1456" t="s">
        <v>87</v>
      </c>
      <c r="F1456" t="s">
        <v>4</v>
      </c>
    </row>
    <row r="1457" spans="1:6">
      <c r="A1457" t="s">
        <v>731</v>
      </c>
      <c r="B1457" t="s">
        <v>732</v>
      </c>
      <c r="C1457" t="s">
        <v>72</v>
      </c>
      <c r="D1457">
        <v>2004</v>
      </c>
      <c r="E1457" t="s">
        <v>733</v>
      </c>
      <c r="F1457" t="s">
        <v>686</v>
      </c>
    </row>
    <row r="1458" spans="1:6">
      <c r="A1458" t="s">
        <v>1039</v>
      </c>
      <c r="B1458" t="s">
        <v>1040</v>
      </c>
      <c r="C1458" t="s">
        <v>1041</v>
      </c>
      <c r="D1458">
        <v>2004</v>
      </c>
      <c r="E1458" t="s">
        <v>1042</v>
      </c>
      <c r="F1458" t="s">
        <v>686</v>
      </c>
    </row>
    <row r="1459" spans="1:6">
      <c r="A1459" t="s">
        <v>201</v>
      </c>
      <c r="B1459" t="s">
        <v>202</v>
      </c>
      <c r="C1459" t="s">
        <v>203</v>
      </c>
      <c r="D1459">
        <v>2004</v>
      </c>
      <c r="E1459" t="s">
        <v>204</v>
      </c>
      <c r="F1459" t="s">
        <v>4</v>
      </c>
    </row>
    <row r="1460" spans="1:6">
      <c r="A1460" t="s">
        <v>187</v>
      </c>
      <c r="B1460" t="s">
        <v>188</v>
      </c>
      <c r="C1460" t="s">
        <v>122</v>
      </c>
      <c r="D1460">
        <v>2004</v>
      </c>
      <c r="E1460" t="s">
        <v>189</v>
      </c>
      <c r="F1460" t="s">
        <v>4</v>
      </c>
    </row>
    <row r="1461" spans="1:6">
      <c r="A1461" t="s">
        <v>1792</v>
      </c>
      <c r="B1461" t="s">
        <v>1793</v>
      </c>
      <c r="C1461" t="s">
        <v>15</v>
      </c>
      <c r="D1461">
        <v>2004</v>
      </c>
      <c r="E1461" t="s">
        <v>1794</v>
      </c>
      <c r="F1461" t="s">
        <v>1328</v>
      </c>
    </row>
    <row r="1462" spans="1:6">
      <c r="A1462" t="s">
        <v>799</v>
      </c>
      <c r="B1462" t="s">
        <v>800</v>
      </c>
      <c r="C1462" t="s">
        <v>326</v>
      </c>
      <c r="D1462">
        <v>2004</v>
      </c>
      <c r="E1462" t="s">
        <v>801</v>
      </c>
      <c r="F1462" t="s">
        <v>686</v>
      </c>
    </row>
    <row r="1463" spans="1:6">
      <c r="A1463" t="s">
        <v>1293</v>
      </c>
      <c r="B1463" t="s">
        <v>1294</v>
      </c>
      <c r="C1463" t="s">
        <v>122</v>
      </c>
      <c r="D1463">
        <v>2004</v>
      </c>
      <c r="E1463" t="s">
        <v>1295</v>
      </c>
      <c r="F1463" t="s">
        <v>686</v>
      </c>
    </row>
    <row r="1464" spans="1:6">
      <c r="A1464" t="s">
        <v>675</v>
      </c>
      <c r="B1464" t="s">
        <v>676</v>
      </c>
      <c r="C1464" t="s">
        <v>677</v>
      </c>
      <c r="D1464">
        <v>2004</v>
      </c>
      <c r="E1464" t="s">
        <v>678</v>
      </c>
      <c r="F1464" t="s">
        <v>4</v>
      </c>
    </row>
    <row r="1465" spans="1:6">
      <c r="A1465" t="s">
        <v>1650</v>
      </c>
      <c r="B1465" t="s">
        <v>1651</v>
      </c>
      <c r="C1465" t="s">
        <v>19</v>
      </c>
      <c r="D1465">
        <v>2004</v>
      </c>
      <c r="E1465" t="s">
        <v>1652</v>
      </c>
      <c r="F1465" t="s">
        <v>1328</v>
      </c>
    </row>
    <row r="1466" spans="1:6">
      <c r="A1466" t="s">
        <v>1731</v>
      </c>
      <c r="B1466" t="s">
        <v>1732</v>
      </c>
      <c r="C1466" t="s">
        <v>72</v>
      </c>
      <c r="D1466">
        <v>2004</v>
      </c>
      <c r="E1466" t="s">
        <v>1733</v>
      </c>
      <c r="F1466" t="s">
        <v>1328</v>
      </c>
    </row>
    <row r="1467" spans="1:6">
      <c r="A1467" t="s">
        <v>2011</v>
      </c>
      <c r="B1467" t="s">
        <v>2012</v>
      </c>
      <c r="C1467" t="s">
        <v>126</v>
      </c>
      <c r="D1467">
        <v>2004</v>
      </c>
      <c r="E1467" t="s">
        <v>2013</v>
      </c>
      <c r="F1467" t="s">
        <v>1917</v>
      </c>
    </row>
    <row r="1468" spans="1:6">
      <c r="A1468" t="s">
        <v>1149</v>
      </c>
      <c r="B1468" t="s">
        <v>1150</v>
      </c>
      <c r="C1468" t="s">
        <v>939</v>
      </c>
      <c r="D1468">
        <v>2004</v>
      </c>
      <c r="E1468" t="s">
        <v>1151</v>
      </c>
      <c r="F1468" t="s">
        <v>686</v>
      </c>
    </row>
    <row r="1469" spans="1:6">
      <c r="A1469" t="s">
        <v>1062</v>
      </c>
      <c r="B1469" t="s">
        <v>1063</v>
      </c>
      <c r="C1469" t="s">
        <v>259</v>
      </c>
      <c r="D1469">
        <v>2003</v>
      </c>
      <c r="E1469" t="s">
        <v>1064</v>
      </c>
      <c r="F1469" t="s">
        <v>686</v>
      </c>
    </row>
    <row r="1470" spans="1:6">
      <c r="A1470" t="s">
        <v>1216</v>
      </c>
      <c r="B1470" t="s">
        <v>1217</v>
      </c>
      <c r="C1470" t="s">
        <v>1218</v>
      </c>
      <c r="D1470">
        <v>2003</v>
      </c>
      <c r="E1470" t="s">
        <v>1219</v>
      </c>
      <c r="F1470" t="s">
        <v>686</v>
      </c>
    </row>
    <row r="1471" spans="1:6">
      <c r="A1471" t="s">
        <v>1289</v>
      </c>
      <c r="B1471" t="s">
        <v>1290</v>
      </c>
      <c r="C1471" t="s">
        <v>1291</v>
      </c>
      <c r="D1471">
        <v>2003</v>
      </c>
      <c r="E1471" t="s">
        <v>1292</v>
      </c>
      <c r="F1471" t="s">
        <v>686</v>
      </c>
    </row>
    <row r="1472" spans="1:6">
      <c r="A1472" t="s">
        <v>1200</v>
      </c>
      <c r="B1472" t="s">
        <v>1201</v>
      </c>
      <c r="C1472" t="s">
        <v>150</v>
      </c>
      <c r="D1472">
        <v>2003</v>
      </c>
      <c r="E1472" t="s">
        <v>66</v>
      </c>
      <c r="F1472" t="s">
        <v>686</v>
      </c>
    </row>
    <row r="1473" spans="1:6">
      <c r="A1473" t="s">
        <v>261</v>
      </c>
      <c r="B1473" t="s">
        <v>262</v>
      </c>
      <c r="C1473" t="s">
        <v>263</v>
      </c>
      <c r="D1473">
        <v>2003</v>
      </c>
      <c r="E1473" t="s">
        <v>264</v>
      </c>
      <c r="F1473" t="s">
        <v>4</v>
      </c>
    </row>
    <row r="1474" spans="1:6">
      <c r="A1474" t="s">
        <v>1497</v>
      </c>
      <c r="B1474" t="s">
        <v>1498</v>
      </c>
      <c r="C1474" t="s">
        <v>72</v>
      </c>
      <c r="D1474">
        <v>2003</v>
      </c>
      <c r="E1474" t="s">
        <v>1499</v>
      </c>
      <c r="F1474" t="s">
        <v>1328</v>
      </c>
    </row>
    <row r="1475" spans="1:6">
      <c r="A1475" t="s">
        <v>1877</v>
      </c>
      <c r="B1475" t="s">
        <v>1878</v>
      </c>
      <c r="C1475" t="s">
        <v>19</v>
      </c>
      <c r="D1475">
        <v>2003</v>
      </c>
      <c r="E1475" t="s">
        <v>1879</v>
      </c>
      <c r="F1475" t="s">
        <v>1328</v>
      </c>
    </row>
    <row r="1476" spans="1:6">
      <c r="A1476" t="s">
        <v>1773</v>
      </c>
      <c r="B1476" t="s">
        <v>1774</v>
      </c>
      <c r="C1476" t="s">
        <v>921</v>
      </c>
      <c r="D1476">
        <v>2003</v>
      </c>
      <c r="E1476" t="s">
        <v>1775</v>
      </c>
      <c r="F1476" t="s">
        <v>1328</v>
      </c>
    </row>
    <row r="1477" spans="1:6">
      <c r="A1477" t="s">
        <v>279</v>
      </c>
      <c r="B1477" t="s">
        <v>280</v>
      </c>
      <c r="C1477" t="s">
        <v>259</v>
      </c>
      <c r="D1477">
        <v>2003</v>
      </c>
      <c r="E1477" t="s">
        <v>281</v>
      </c>
      <c r="F1477" t="s">
        <v>4</v>
      </c>
    </row>
    <row r="1478" spans="1:6">
      <c r="A1478" t="s">
        <v>362</v>
      </c>
      <c r="B1478" t="s">
        <v>363</v>
      </c>
      <c r="C1478" t="s">
        <v>364</v>
      </c>
      <c r="D1478">
        <v>2003</v>
      </c>
      <c r="E1478" t="s">
        <v>365</v>
      </c>
      <c r="F1478" t="s">
        <v>4</v>
      </c>
    </row>
    <row r="1479" spans="1:6">
      <c r="A1479" t="s">
        <v>178</v>
      </c>
      <c r="B1479" t="s">
        <v>179</v>
      </c>
      <c r="C1479" t="s">
        <v>103</v>
      </c>
      <c r="D1479">
        <v>2003</v>
      </c>
      <c r="E1479" t="s">
        <v>180</v>
      </c>
      <c r="F1479" t="s">
        <v>4</v>
      </c>
    </row>
    <row r="1480" spans="1:6">
      <c r="A1480" t="s">
        <v>981</v>
      </c>
      <c r="B1480" t="s">
        <v>982</v>
      </c>
      <c r="C1480" t="s">
        <v>983</v>
      </c>
      <c r="D1480">
        <v>2002</v>
      </c>
      <c r="E1480" t="s">
        <v>984</v>
      </c>
      <c r="F1480" t="s">
        <v>686</v>
      </c>
    </row>
    <row r="1481" spans="1:6">
      <c r="A1481" t="s">
        <v>1171</v>
      </c>
      <c r="B1481" t="s">
        <v>1172</v>
      </c>
      <c r="C1481" t="s">
        <v>23</v>
      </c>
      <c r="D1481">
        <v>2002</v>
      </c>
      <c r="E1481" t="s">
        <v>1173</v>
      </c>
      <c r="F1481" t="s">
        <v>686</v>
      </c>
    </row>
    <row r="1482" spans="1:6">
      <c r="A1482" t="s">
        <v>1983</v>
      </c>
      <c r="B1482" t="s">
        <v>1984</v>
      </c>
      <c r="C1482" t="s">
        <v>90</v>
      </c>
      <c r="D1482">
        <v>2001</v>
      </c>
      <c r="E1482" t="s">
        <v>1985</v>
      </c>
      <c r="F1482" t="s">
        <v>1917</v>
      </c>
    </row>
    <row r="1483" spans="1:6">
      <c r="A1483" t="s">
        <v>1405</v>
      </c>
      <c r="B1483" t="s">
        <v>1406</v>
      </c>
      <c r="C1483" t="s">
        <v>122</v>
      </c>
      <c r="D1483">
        <v>2001</v>
      </c>
      <c r="E1483" t="s">
        <v>1407</v>
      </c>
      <c r="F1483" t="s">
        <v>1328</v>
      </c>
    </row>
    <row r="1484" spans="1:6">
      <c r="A1484" t="s">
        <v>1975</v>
      </c>
      <c r="B1484" t="s">
        <v>1976</v>
      </c>
      <c r="C1484" t="s">
        <v>360</v>
      </c>
      <c r="D1484">
        <v>2001</v>
      </c>
      <c r="E1484" t="s">
        <v>1977</v>
      </c>
      <c r="F1484" t="s">
        <v>1917</v>
      </c>
    </row>
    <row r="1485" spans="1:6">
      <c r="A1485" t="s">
        <v>647</v>
      </c>
      <c r="B1485" t="s">
        <v>648</v>
      </c>
      <c r="C1485" t="s">
        <v>649</v>
      </c>
      <c r="D1485">
        <v>2001</v>
      </c>
      <c r="E1485" t="s">
        <v>650</v>
      </c>
      <c r="F1485" t="s">
        <v>4</v>
      </c>
    </row>
    <row r="1486" spans="1:6">
      <c r="A1486" t="s">
        <v>2049</v>
      </c>
      <c r="B1486" t="s">
        <v>2050</v>
      </c>
      <c r="C1486" t="s">
        <v>90</v>
      </c>
      <c r="D1486">
        <v>2001</v>
      </c>
      <c r="E1486" t="s">
        <v>2051</v>
      </c>
      <c r="F1486" t="s">
        <v>1917</v>
      </c>
    </row>
    <row r="1487" spans="1:6">
      <c r="A1487" t="s">
        <v>752</v>
      </c>
      <c r="B1487" t="s">
        <v>753</v>
      </c>
      <c r="C1487" t="s">
        <v>444</v>
      </c>
      <c r="D1487">
        <v>2000</v>
      </c>
      <c r="E1487" t="s">
        <v>754</v>
      </c>
      <c r="F1487" t="s">
        <v>686</v>
      </c>
    </row>
    <row r="1488" spans="1:6">
      <c r="A1488" t="s">
        <v>488</v>
      </c>
      <c r="B1488" t="s">
        <v>489</v>
      </c>
      <c r="C1488" t="s">
        <v>490</v>
      </c>
      <c r="D1488">
        <v>1999</v>
      </c>
      <c r="E1488" t="s">
        <v>491</v>
      </c>
      <c r="F1488" t="s">
        <v>4</v>
      </c>
    </row>
    <row r="1489" spans="1:6">
      <c r="A1489" t="s">
        <v>257</v>
      </c>
      <c r="B1489" t="s">
        <v>258</v>
      </c>
      <c r="C1489" t="s">
        <v>259</v>
      </c>
      <c r="D1489">
        <v>1999</v>
      </c>
      <c r="E1489" t="s">
        <v>260</v>
      </c>
      <c r="F1489" t="s">
        <v>4</v>
      </c>
    </row>
    <row r="1490" spans="1:6">
      <c r="A1490" t="s">
        <v>816</v>
      </c>
      <c r="B1490" t="s">
        <v>817</v>
      </c>
      <c r="C1490" t="s">
        <v>23</v>
      </c>
      <c r="D1490">
        <v>1998</v>
      </c>
      <c r="E1490" t="s">
        <v>818</v>
      </c>
      <c r="F1490" t="s">
        <v>686</v>
      </c>
    </row>
    <row r="1491" spans="1:6">
      <c r="A1491" t="s">
        <v>343</v>
      </c>
      <c r="B1491" t="s">
        <v>344</v>
      </c>
      <c r="C1491" t="s">
        <v>15</v>
      </c>
      <c r="D1491">
        <v>1997</v>
      </c>
      <c r="E1491" t="s">
        <v>345</v>
      </c>
      <c r="F1491" t="s">
        <v>4</v>
      </c>
    </row>
    <row r="1492" spans="1:6">
      <c r="A1492" t="s">
        <v>2025</v>
      </c>
      <c r="B1492" t="s">
        <v>2026</v>
      </c>
      <c r="C1492" t="s">
        <v>2027</v>
      </c>
      <c r="D1492">
        <v>1997</v>
      </c>
      <c r="E1492" t="s">
        <v>2028</v>
      </c>
      <c r="F1492" t="s">
        <v>1917</v>
      </c>
    </row>
    <row r="1493" spans="1:6">
      <c r="A1493" t="s">
        <v>1776</v>
      </c>
      <c r="B1493" t="s">
        <v>1777</v>
      </c>
      <c r="C1493" t="s">
        <v>1778</v>
      </c>
      <c r="D1493">
        <v>1997</v>
      </c>
      <c r="E1493" t="s">
        <v>1779</v>
      </c>
      <c r="F1493" t="s">
        <v>1328</v>
      </c>
    </row>
    <row r="1494" spans="1:6">
      <c r="A1494" t="s">
        <v>522</v>
      </c>
      <c r="B1494" t="s">
        <v>523</v>
      </c>
      <c r="C1494" t="s">
        <v>72</v>
      </c>
      <c r="D1494">
        <v>1997</v>
      </c>
      <c r="E1494" t="s">
        <v>524</v>
      </c>
      <c r="F1494" t="s">
        <v>4</v>
      </c>
    </row>
    <row r="1495" spans="1:6">
      <c r="A1495" t="s">
        <v>471</v>
      </c>
      <c r="B1495" t="s">
        <v>472</v>
      </c>
      <c r="C1495" t="s">
        <v>259</v>
      </c>
      <c r="D1495">
        <v>1996</v>
      </c>
      <c r="E1495" t="s">
        <v>473</v>
      </c>
      <c r="F1495" t="s">
        <v>4</v>
      </c>
    </row>
    <row r="1496" spans="1:6">
      <c r="A1496" t="s">
        <v>1959</v>
      </c>
      <c r="B1496" t="s">
        <v>321</v>
      </c>
      <c r="C1496" t="s">
        <v>259</v>
      </c>
      <c r="D1496">
        <v>1996</v>
      </c>
      <c r="E1496" t="s">
        <v>1960</v>
      </c>
      <c r="F1496" t="s">
        <v>1917</v>
      </c>
    </row>
    <row r="1497" spans="1:6">
      <c r="A1497" t="s">
        <v>810</v>
      </c>
      <c r="B1497" t="s">
        <v>811</v>
      </c>
      <c r="C1497" t="s">
        <v>287</v>
      </c>
      <c r="D1497">
        <v>1995</v>
      </c>
      <c r="E1497" t="s">
        <v>812</v>
      </c>
      <c r="F1497" t="s">
        <v>686</v>
      </c>
    </row>
    <row r="1498" spans="1:6">
      <c r="A1498" t="s">
        <v>289</v>
      </c>
      <c r="B1498" t="s">
        <v>290</v>
      </c>
      <c r="C1498" t="s">
        <v>291</v>
      </c>
      <c r="D1498">
        <v>1993</v>
      </c>
      <c r="E1498" t="s">
        <v>292</v>
      </c>
      <c r="F1498" t="s">
        <v>4</v>
      </c>
    </row>
    <row r="1499" spans="1:6">
      <c r="A1499" t="s">
        <v>776</v>
      </c>
      <c r="B1499" t="s">
        <v>777</v>
      </c>
      <c r="C1499" t="s">
        <v>15</v>
      </c>
      <c r="D1499">
        <v>1993</v>
      </c>
      <c r="E1499" t="s">
        <v>778</v>
      </c>
      <c r="F1499" t="s">
        <v>686</v>
      </c>
    </row>
    <row r="1500" spans="1:6">
      <c r="A1500" t="s">
        <v>1212</v>
      </c>
      <c r="B1500" t="s">
        <v>1213</v>
      </c>
      <c r="C1500" t="s">
        <v>1214</v>
      </c>
      <c r="D1500">
        <v>1990</v>
      </c>
      <c r="E1500" t="s">
        <v>1215</v>
      </c>
      <c r="F1500" t="s">
        <v>686</v>
      </c>
    </row>
    <row r="1501" spans="1:6">
      <c r="A1501" t="s">
        <v>790</v>
      </c>
      <c r="B1501" t="s">
        <v>791</v>
      </c>
      <c r="C1501" t="s">
        <v>72</v>
      </c>
      <c r="D1501">
        <v>1989</v>
      </c>
      <c r="E1501" t="s">
        <v>792</v>
      </c>
      <c r="F1501" t="s">
        <v>686</v>
      </c>
    </row>
    <row r="1502" spans="1:6">
      <c r="A1502" t="s">
        <v>2015</v>
      </c>
      <c r="B1502" t="s">
        <v>2016</v>
      </c>
      <c r="C1502" t="s">
        <v>54</v>
      </c>
      <c r="D1502">
        <v>1987</v>
      </c>
      <c r="E1502" t="s">
        <v>2017</v>
      </c>
      <c r="F1502" t="s">
        <v>1917</v>
      </c>
    </row>
    <row r="1503" spans="1:6">
      <c r="A1503" t="s">
        <v>285</v>
      </c>
      <c r="B1503" t="s">
        <v>286</v>
      </c>
      <c r="C1503" t="s">
        <v>287</v>
      </c>
      <c r="D1503">
        <v>1987</v>
      </c>
      <c r="E1503" t="s">
        <v>288</v>
      </c>
      <c r="F1503" t="s">
        <v>4</v>
      </c>
    </row>
    <row r="1504" spans="1:6">
      <c r="A1504" t="s">
        <v>250</v>
      </c>
      <c r="B1504" t="s">
        <v>251</v>
      </c>
      <c r="C1504" t="s">
        <v>54</v>
      </c>
      <c r="D1504">
        <v>1986</v>
      </c>
      <c r="E1504" t="s">
        <v>252</v>
      </c>
      <c r="F1504" t="s">
        <v>4</v>
      </c>
    </row>
    <row r="1505" spans="1:6">
      <c r="A1505" t="s">
        <v>265</v>
      </c>
      <c r="B1505" t="s">
        <v>266</v>
      </c>
      <c r="C1505" t="s">
        <v>54</v>
      </c>
      <c r="D1505">
        <v>1985</v>
      </c>
      <c r="E1505" t="s">
        <v>267</v>
      </c>
      <c r="F1505" t="s">
        <v>4</v>
      </c>
    </row>
    <row r="1506" spans="1:6">
      <c r="A1506" t="s">
        <v>720</v>
      </c>
      <c r="B1506" t="s">
        <v>721</v>
      </c>
      <c r="C1506" t="s">
        <v>722</v>
      </c>
      <c r="D1506">
        <v>1983</v>
      </c>
      <c r="E1506" t="s">
        <v>66</v>
      </c>
      <c r="F1506" t="s">
        <v>686</v>
      </c>
    </row>
    <row r="1507" spans="1:6">
      <c r="A1507" t="s">
        <v>1795</v>
      </c>
      <c r="B1507" t="s">
        <v>1796</v>
      </c>
      <c r="C1507" t="s">
        <v>1797</v>
      </c>
      <c r="D1507">
        <v>1983</v>
      </c>
      <c r="E1507" t="s">
        <v>1798</v>
      </c>
      <c r="F1507" t="s">
        <v>1328</v>
      </c>
    </row>
    <row r="1508" spans="1:6">
      <c r="A1508" t="s">
        <v>1801</v>
      </c>
      <c r="B1508" t="s">
        <v>1802</v>
      </c>
      <c r="C1508" t="s">
        <v>1803</v>
      </c>
      <c r="D1508">
        <v>1981</v>
      </c>
      <c r="E1508" t="s">
        <v>1804</v>
      </c>
      <c r="F1508" t="s">
        <v>1328</v>
      </c>
    </row>
  </sheetData>
  <sortState ref="A1:F1507">
    <sortCondition descending="1" ref="D1"/>
  </sortState>
  <pageMargins left="0.511811024" right="0.511811024" top="0.78740157499999996" bottom="0.78740157499999996" header="0.31496062000000002" footer="0.31496062000000002"/>
  <pageSetup paperSize="9" orientation="portrait" r:id="rId1"/>
  <customProperties>
    <customPr name="DVSECTIONID" r:id="rId2"/>
  </customProperties>
</worksheet>
</file>

<file path=xl/worksheets/sheet2.xml><?xml version="1.0" encoding="utf-8"?>
<worksheet xmlns="http://schemas.openxmlformats.org/spreadsheetml/2006/main" xmlns:r="http://schemas.openxmlformats.org/officeDocument/2006/relationships">
  <sheetPr codeName="Plan2"/>
  <dimension ref="A1"/>
  <sheetViews>
    <sheetView workbookViewId="0"/>
  </sheetViews>
  <sheetFormatPr defaultRowHeight="14.4"/>
  <sheetData/>
  <pageMargins left="0.511811024" right="0.511811024" top="0.78740157499999996" bottom="0.78740157499999996" header="0.31496062000000002" footer="0.31496062000000002"/>
  <customProperties>
    <customPr name="DVSECTIONID" r:id="rId1"/>
  </customProperties>
</worksheet>
</file>

<file path=xl/worksheets/sheet3.xml><?xml version="1.0" encoding="utf-8"?>
<worksheet xmlns="http://schemas.openxmlformats.org/spreadsheetml/2006/main" xmlns:r="http://schemas.openxmlformats.org/officeDocument/2006/relationships">
  <sheetPr codeName="Plan3"/>
  <dimension ref="A1"/>
  <sheetViews>
    <sheetView workbookViewId="0"/>
  </sheetViews>
  <sheetFormatPr defaultRowHeight="14.4"/>
  <sheetData/>
  <pageMargins left="0.511811024" right="0.511811024" top="0.78740157499999996" bottom="0.78740157499999996" header="0.31496062000000002" footer="0.31496062000000002"/>
  <customProperties>
    <customPr name="DVSECTIONID" r:id="rId1"/>
  </customProperties>
</worksheet>
</file>

<file path=xl/worksheets/sheet4.xml><?xml version="1.0" encoding="utf-8"?>
<worksheet xmlns="http://schemas.openxmlformats.org/spreadsheetml/2006/main" xmlns:r="http://schemas.openxmlformats.org/officeDocument/2006/relationships">
  <sheetPr codeName="Plan4"/>
  <dimension ref="A1:IV43"/>
  <sheetViews>
    <sheetView workbookViewId="0">
      <selection activeCell="BN42" sqref="BN42"/>
    </sheetView>
  </sheetViews>
  <sheetFormatPr defaultRowHeight="14.4"/>
  <sheetData>
    <row r="1" spans="1:256">
      <c r="A1" t="e">
        <f>IF(Plan1!2:2,"AAAAAE1uawA=",0)</f>
        <v>#VALUE!</v>
      </c>
      <c r="B1" t="e">
        <f>AND(Plan1!A2,"AAAAAE1uawE=")</f>
        <v>#VALUE!</v>
      </c>
      <c r="C1" t="e">
        <f>AND(Plan1!B2,"AAAAAE1uawI=")</f>
        <v>#VALUE!</v>
      </c>
      <c r="D1" t="e">
        <f>AND(Plan1!C2,"AAAAAE1uawM=")</f>
        <v>#VALUE!</v>
      </c>
      <c r="E1" t="e">
        <f>AND(Plan1!D2,"AAAAAE1uawQ=")</f>
        <v>#VALUE!</v>
      </c>
      <c r="F1" t="e">
        <f>AND(Plan1!E2,"AAAAAE1uawU=")</f>
        <v>#VALUE!</v>
      </c>
      <c r="G1" t="e">
        <f>AND(Plan1!F2,"AAAAAE1uawY=")</f>
        <v>#VALUE!</v>
      </c>
      <c r="H1">
        <f>IF(Plan1!3:3,"AAAAAE1uawc=",0)</f>
        <v>0</v>
      </c>
      <c r="I1" t="e">
        <f>AND(Plan1!A3,"AAAAAE1uawg=")</f>
        <v>#VALUE!</v>
      </c>
      <c r="J1" t="e">
        <f>AND(Plan1!B3,"AAAAAE1uawk=")</f>
        <v>#VALUE!</v>
      </c>
      <c r="K1" t="e">
        <f>AND(Plan1!C3,"AAAAAE1uawo=")</f>
        <v>#VALUE!</v>
      </c>
      <c r="L1" t="e">
        <f>AND(Plan1!D3,"AAAAAE1uaws=")</f>
        <v>#VALUE!</v>
      </c>
      <c r="M1" t="e">
        <f>AND(Plan1!E3,"AAAAAE1uaww=")</f>
        <v>#VALUE!</v>
      </c>
      <c r="N1" t="e">
        <f>AND(Plan1!F3,"AAAAAE1uaw0=")</f>
        <v>#VALUE!</v>
      </c>
      <c r="O1">
        <f>IF(Plan1!4:4,"AAAAAE1uaw4=",0)</f>
        <v>0</v>
      </c>
      <c r="P1" t="e">
        <f>AND(Plan1!A4,"AAAAAE1uaw8=")</f>
        <v>#VALUE!</v>
      </c>
      <c r="Q1" t="e">
        <f>AND(Plan1!B4,"AAAAAE1uaxA=")</f>
        <v>#VALUE!</v>
      </c>
      <c r="R1" t="e">
        <f>AND(Plan1!C4,"AAAAAE1uaxE=")</f>
        <v>#VALUE!</v>
      </c>
      <c r="S1" t="e">
        <f>AND(Plan1!D4,"AAAAAE1uaxI=")</f>
        <v>#VALUE!</v>
      </c>
      <c r="T1" t="e">
        <f>AND(Plan1!E4,"AAAAAE1uaxM=")</f>
        <v>#VALUE!</v>
      </c>
      <c r="U1" t="e">
        <f>AND(Plan1!F4,"AAAAAE1uaxQ=")</f>
        <v>#VALUE!</v>
      </c>
      <c r="V1">
        <f>IF(Plan1!5:5,"AAAAAE1uaxU=",0)</f>
        <v>0</v>
      </c>
      <c r="W1" t="e">
        <f>AND(Plan1!A5,"AAAAAE1uaxY=")</f>
        <v>#VALUE!</v>
      </c>
      <c r="X1" t="e">
        <f>AND(Plan1!B5,"AAAAAE1uaxc=")</f>
        <v>#VALUE!</v>
      </c>
      <c r="Y1" t="e">
        <f>AND(Plan1!C5,"AAAAAE1uaxg=")</f>
        <v>#VALUE!</v>
      </c>
      <c r="Z1" t="e">
        <f>AND(Plan1!D5,"AAAAAE1uaxk=")</f>
        <v>#VALUE!</v>
      </c>
      <c r="AA1" t="e">
        <f>AND(Plan1!E5,"AAAAAE1uaxo=")</f>
        <v>#VALUE!</v>
      </c>
      <c r="AB1" t="e">
        <f>AND(Plan1!F5,"AAAAAE1uaxs=")</f>
        <v>#VALUE!</v>
      </c>
      <c r="AC1">
        <f>IF(Plan1!6:6,"AAAAAE1uaxw=",0)</f>
        <v>0</v>
      </c>
      <c r="AD1" t="e">
        <f>AND(Plan1!A6,"AAAAAE1uax0=")</f>
        <v>#VALUE!</v>
      </c>
      <c r="AE1" t="e">
        <f>AND(Plan1!B6,"AAAAAE1uax4=")</f>
        <v>#VALUE!</v>
      </c>
      <c r="AF1" t="e">
        <f>AND(Plan1!C6,"AAAAAE1uax8=")</f>
        <v>#VALUE!</v>
      </c>
      <c r="AG1" t="e">
        <f>AND(Plan1!D6,"AAAAAE1uayA=")</f>
        <v>#VALUE!</v>
      </c>
      <c r="AH1" t="e">
        <f>AND(Plan1!E6,"AAAAAE1uayE=")</f>
        <v>#VALUE!</v>
      </c>
      <c r="AI1" t="e">
        <f>AND(Plan1!F6,"AAAAAE1uayI=")</f>
        <v>#VALUE!</v>
      </c>
      <c r="AJ1">
        <f>IF(Plan1!7:7,"AAAAAE1uayM=",0)</f>
        <v>0</v>
      </c>
      <c r="AK1" t="e">
        <f>AND(Plan1!A7,"AAAAAE1uayQ=")</f>
        <v>#VALUE!</v>
      </c>
      <c r="AL1" t="e">
        <f>AND(Plan1!B7,"AAAAAE1uayU=")</f>
        <v>#VALUE!</v>
      </c>
      <c r="AM1" t="e">
        <f>AND(Plan1!C7,"AAAAAE1uayY=")</f>
        <v>#VALUE!</v>
      </c>
      <c r="AN1" t="e">
        <f>AND(Plan1!D7,"AAAAAE1uayc=")</f>
        <v>#VALUE!</v>
      </c>
      <c r="AO1" t="e">
        <f>AND(Plan1!E7,"AAAAAE1uayg=")</f>
        <v>#VALUE!</v>
      </c>
      <c r="AP1" t="e">
        <f>AND(Plan1!F7,"AAAAAE1uayk=")</f>
        <v>#VALUE!</v>
      </c>
      <c r="AQ1">
        <f>IF(Plan1!8:8,"AAAAAE1uayo=",0)</f>
        <v>0</v>
      </c>
      <c r="AR1" t="e">
        <f>AND(Plan1!A8,"AAAAAE1uays=")</f>
        <v>#VALUE!</v>
      </c>
      <c r="AS1" t="e">
        <f>AND(Plan1!B8,"AAAAAE1uayw=")</f>
        <v>#VALUE!</v>
      </c>
      <c r="AT1" t="e">
        <f>AND(Plan1!C8,"AAAAAE1uay0=")</f>
        <v>#VALUE!</v>
      </c>
      <c r="AU1" t="e">
        <f>AND(Plan1!D8,"AAAAAE1uay4=")</f>
        <v>#VALUE!</v>
      </c>
      <c r="AV1" t="e">
        <f>AND(Plan1!E8,"AAAAAE1uay8=")</f>
        <v>#VALUE!</v>
      </c>
      <c r="AW1" t="e">
        <f>AND(Plan1!F8,"AAAAAE1uazA=")</f>
        <v>#VALUE!</v>
      </c>
      <c r="AX1">
        <f>IF(Plan1!9:9,"AAAAAE1uazE=",0)</f>
        <v>0</v>
      </c>
      <c r="AY1" t="e">
        <f>AND(Plan1!A9,"AAAAAE1uazI=")</f>
        <v>#VALUE!</v>
      </c>
      <c r="AZ1" t="e">
        <f>AND(Plan1!B9,"AAAAAE1uazM=")</f>
        <v>#VALUE!</v>
      </c>
      <c r="BA1" t="e">
        <f>AND(Plan1!C9,"AAAAAE1uazQ=")</f>
        <v>#VALUE!</v>
      </c>
      <c r="BB1" t="e">
        <f>AND(Plan1!D9,"AAAAAE1uazU=")</f>
        <v>#VALUE!</v>
      </c>
      <c r="BC1" t="e">
        <f>AND(Plan1!E9,"AAAAAE1uazY=")</f>
        <v>#VALUE!</v>
      </c>
      <c r="BD1" t="e">
        <f>AND(Plan1!F9,"AAAAAE1uazc=")</f>
        <v>#VALUE!</v>
      </c>
      <c r="BE1">
        <f>IF(Plan1!10:10,"AAAAAE1uazg=",0)</f>
        <v>0</v>
      </c>
      <c r="BF1" t="e">
        <f>AND(Plan1!A10,"AAAAAE1uazk=")</f>
        <v>#VALUE!</v>
      </c>
      <c r="BG1" t="e">
        <f>AND(Plan1!B10,"AAAAAE1uazo=")</f>
        <v>#VALUE!</v>
      </c>
      <c r="BH1" t="e">
        <f>AND(Plan1!C10,"AAAAAE1uazs=")</f>
        <v>#VALUE!</v>
      </c>
      <c r="BI1" t="e">
        <f>AND(Plan1!D10,"AAAAAE1uazw=")</f>
        <v>#VALUE!</v>
      </c>
      <c r="BJ1" t="e">
        <f>AND(Plan1!E10,"AAAAAE1uaz0=")</f>
        <v>#VALUE!</v>
      </c>
      <c r="BK1" t="e">
        <f>AND(Plan1!F10,"AAAAAE1uaz4=")</f>
        <v>#VALUE!</v>
      </c>
      <c r="BL1">
        <f>IF(Plan1!11:11,"AAAAAE1uaz8=",0)</f>
        <v>0</v>
      </c>
      <c r="BM1" t="e">
        <f>AND(Plan1!A11,"AAAAAE1ua0A=")</f>
        <v>#VALUE!</v>
      </c>
      <c r="BN1" t="e">
        <f>AND(Plan1!B11,"AAAAAE1ua0E=")</f>
        <v>#VALUE!</v>
      </c>
      <c r="BO1" t="e">
        <f>AND(Plan1!C11,"AAAAAE1ua0I=")</f>
        <v>#VALUE!</v>
      </c>
      <c r="BP1" t="e">
        <f>AND(Plan1!D11,"AAAAAE1ua0M=")</f>
        <v>#VALUE!</v>
      </c>
      <c r="BQ1" t="e">
        <f>AND(Plan1!E11,"AAAAAE1ua0Q=")</f>
        <v>#VALUE!</v>
      </c>
      <c r="BR1" t="e">
        <f>AND(Plan1!F11,"AAAAAE1ua0U=")</f>
        <v>#VALUE!</v>
      </c>
      <c r="BS1">
        <f>IF(Plan1!12:12,"AAAAAE1ua0Y=",0)</f>
        <v>0</v>
      </c>
      <c r="BT1" t="e">
        <f>AND(Plan1!A12,"AAAAAE1ua0c=")</f>
        <v>#VALUE!</v>
      </c>
      <c r="BU1" t="e">
        <f>AND(Plan1!B12,"AAAAAE1ua0g=")</f>
        <v>#VALUE!</v>
      </c>
      <c r="BV1" t="e">
        <f>AND(Plan1!C12,"AAAAAE1ua0k=")</f>
        <v>#VALUE!</v>
      </c>
      <c r="BW1" t="e">
        <f>AND(Plan1!D12,"AAAAAE1ua0o=")</f>
        <v>#VALUE!</v>
      </c>
      <c r="BX1" t="e">
        <f>AND(Plan1!E12,"AAAAAE1ua0s=")</f>
        <v>#VALUE!</v>
      </c>
      <c r="BY1" t="e">
        <f>AND(Plan1!F12,"AAAAAE1ua0w=")</f>
        <v>#VALUE!</v>
      </c>
      <c r="BZ1">
        <f>IF(Plan1!13:13,"AAAAAE1ua00=",0)</f>
        <v>0</v>
      </c>
      <c r="CA1" t="e">
        <f>AND(Plan1!A13,"AAAAAE1ua04=")</f>
        <v>#VALUE!</v>
      </c>
      <c r="CB1" t="e">
        <f>AND(Plan1!B13,"AAAAAE1ua08=")</f>
        <v>#VALUE!</v>
      </c>
      <c r="CC1" t="e">
        <f>AND(Plan1!C13,"AAAAAE1ua1A=")</f>
        <v>#VALUE!</v>
      </c>
      <c r="CD1" t="e">
        <f>AND(Plan1!D13,"AAAAAE1ua1E=")</f>
        <v>#VALUE!</v>
      </c>
      <c r="CE1" t="e">
        <f>AND(Plan1!E13,"AAAAAE1ua1I=")</f>
        <v>#VALUE!</v>
      </c>
      <c r="CF1" t="e">
        <f>AND(Plan1!F13,"AAAAAE1ua1M=")</f>
        <v>#VALUE!</v>
      </c>
      <c r="CG1">
        <f>IF(Plan1!14:14,"AAAAAE1ua1Q=",0)</f>
        <v>0</v>
      </c>
      <c r="CH1" t="e">
        <f>AND(Plan1!A14,"AAAAAE1ua1U=")</f>
        <v>#VALUE!</v>
      </c>
      <c r="CI1" t="e">
        <f>AND(Plan1!B14,"AAAAAE1ua1Y=")</f>
        <v>#VALUE!</v>
      </c>
      <c r="CJ1" t="e">
        <f>AND(Plan1!C14,"AAAAAE1ua1c=")</f>
        <v>#VALUE!</v>
      </c>
      <c r="CK1" t="e">
        <f>AND(Plan1!D14,"AAAAAE1ua1g=")</f>
        <v>#VALUE!</v>
      </c>
      <c r="CL1" t="e">
        <f>AND(Plan1!E14,"AAAAAE1ua1k=")</f>
        <v>#VALUE!</v>
      </c>
      <c r="CM1" t="e">
        <f>AND(Plan1!F14,"AAAAAE1ua1o=")</f>
        <v>#VALUE!</v>
      </c>
      <c r="CN1">
        <f>IF(Plan1!15:15,"AAAAAE1ua1s=",0)</f>
        <v>0</v>
      </c>
      <c r="CO1" t="e">
        <f>AND(Plan1!A15,"AAAAAE1ua1w=")</f>
        <v>#VALUE!</v>
      </c>
      <c r="CP1" t="e">
        <f>AND(Plan1!B15,"AAAAAE1ua10=")</f>
        <v>#VALUE!</v>
      </c>
      <c r="CQ1" t="e">
        <f>AND(Plan1!C15,"AAAAAE1ua14=")</f>
        <v>#VALUE!</v>
      </c>
      <c r="CR1" t="e">
        <f>AND(Plan1!D15,"AAAAAE1ua18=")</f>
        <v>#VALUE!</v>
      </c>
      <c r="CS1" t="e">
        <f>AND(Plan1!E15,"AAAAAE1ua2A=")</f>
        <v>#VALUE!</v>
      </c>
      <c r="CT1" t="e">
        <f>AND(Plan1!F15,"AAAAAE1ua2E=")</f>
        <v>#VALUE!</v>
      </c>
      <c r="CU1">
        <f>IF(Plan1!16:16,"AAAAAE1ua2I=",0)</f>
        <v>0</v>
      </c>
      <c r="CV1" t="e">
        <f>AND(Plan1!A16,"AAAAAE1ua2M=")</f>
        <v>#VALUE!</v>
      </c>
      <c r="CW1" t="e">
        <f>AND(Plan1!B16,"AAAAAE1ua2Q=")</f>
        <v>#VALUE!</v>
      </c>
      <c r="CX1" t="e">
        <f>AND(Plan1!C16,"AAAAAE1ua2U=")</f>
        <v>#VALUE!</v>
      </c>
      <c r="CY1" t="e">
        <f>AND(Plan1!D16,"AAAAAE1ua2Y=")</f>
        <v>#VALUE!</v>
      </c>
      <c r="CZ1" t="e">
        <f>AND(Plan1!E16,"AAAAAE1ua2c=")</f>
        <v>#VALUE!</v>
      </c>
      <c r="DA1" t="e">
        <f>AND(Plan1!F16,"AAAAAE1ua2g=")</f>
        <v>#VALUE!</v>
      </c>
      <c r="DB1">
        <f>IF(Plan1!17:17,"AAAAAE1ua2k=",0)</f>
        <v>0</v>
      </c>
      <c r="DC1" t="e">
        <f>AND(Plan1!A17,"AAAAAE1ua2o=")</f>
        <v>#VALUE!</v>
      </c>
      <c r="DD1" t="e">
        <f>AND(Plan1!B17,"AAAAAE1ua2s=")</f>
        <v>#VALUE!</v>
      </c>
      <c r="DE1" t="e">
        <f>AND(Plan1!C17,"AAAAAE1ua2w=")</f>
        <v>#VALUE!</v>
      </c>
      <c r="DF1" t="e">
        <f>AND(Plan1!D17,"AAAAAE1ua20=")</f>
        <v>#VALUE!</v>
      </c>
      <c r="DG1" t="e">
        <f>AND(Plan1!E17,"AAAAAE1ua24=")</f>
        <v>#VALUE!</v>
      </c>
      <c r="DH1" t="e">
        <f>AND(Plan1!F17,"AAAAAE1ua28=")</f>
        <v>#VALUE!</v>
      </c>
      <c r="DI1">
        <f>IF(Plan1!18:18,"AAAAAE1ua3A=",0)</f>
        <v>0</v>
      </c>
      <c r="DJ1" t="e">
        <f>AND(Plan1!A18,"AAAAAE1ua3E=")</f>
        <v>#VALUE!</v>
      </c>
      <c r="DK1" t="e">
        <f>AND(Plan1!B18,"AAAAAE1ua3I=")</f>
        <v>#VALUE!</v>
      </c>
      <c r="DL1" t="e">
        <f>AND(Plan1!C18,"AAAAAE1ua3M=")</f>
        <v>#VALUE!</v>
      </c>
      <c r="DM1" t="e">
        <f>AND(Plan1!D18,"AAAAAE1ua3Q=")</f>
        <v>#VALUE!</v>
      </c>
      <c r="DN1" t="e">
        <f>AND(Plan1!E18,"AAAAAE1ua3U=")</f>
        <v>#VALUE!</v>
      </c>
      <c r="DO1" t="e">
        <f>AND(Plan1!F18,"AAAAAE1ua3Y=")</f>
        <v>#VALUE!</v>
      </c>
      <c r="DP1">
        <f>IF(Plan1!19:19,"AAAAAE1ua3c=",0)</f>
        <v>0</v>
      </c>
      <c r="DQ1" t="e">
        <f>AND(Plan1!A19,"AAAAAE1ua3g=")</f>
        <v>#VALUE!</v>
      </c>
      <c r="DR1" t="e">
        <f>AND(Plan1!B19,"AAAAAE1ua3k=")</f>
        <v>#VALUE!</v>
      </c>
      <c r="DS1" t="e">
        <f>AND(Plan1!C19,"AAAAAE1ua3o=")</f>
        <v>#VALUE!</v>
      </c>
      <c r="DT1" t="e">
        <f>AND(Plan1!D19,"AAAAAE1ua3s=")</f>
        <v>#VALUE!</v>
      </c>
      <c r="DU1" t="e">
        <f>AND(Plan1!E19,"AAAAAE1ua3w=")</f>
        <v>#VALUE!</v>
      </c>
      <c r="DV1" t="e">
        <f>AND(Plan1!F19,"AAAAAE1ua30=")</f>
        <v>#VALUE!</v>
      </c>
      <c r="DW1">
        <f>IF(Plan1!20:20,"AAAAAE1ua34=",0)</f>
        <v>0</v>
      </c>
      <c r="DX1" t="e">
        <f>AND(Plan1!A20,"AAAAAE1ua38=")</f>
        <v>#VALUE!</v>
      </c>
      <c r="DY1" t="e">
        <f>AND(Plan1!B20,"AAAAAE1ua4A=")</f>
        <v>#VALUE!</v>
      </c>
      <c r="DZ1" t="e">
        <f>AND(Plan1!C20,"AAAAAE1ua4E=")</f>
        <v>#VALUE!</v>
      </c>
      <c r="EA1" t="e">
        <f>AND(Plan1!D20,"AAAAAE1ua4I=")</f>
        <v>#VALUE!</v>
      </c>
      <c r="EB1" t="e">
        <f>AND(Plan1!E20,"AAAAAE1ua4M=")</f>
        <v>#VALUE!</v>
      </c>
      <c r="EC1" t="e">
        <f>AND(Plan1!F20,"AAAAAE1ua4Q=")</f>
        <v>#VALUE!</v>
      </c>
      <c r="ED1">
        <f>IF(Plan1!21:21,"AAAAAE1ua4U=",0)</f>
        <v>0</v>
      </c>
      <c r="EE1" t="e">
        <f>AND(Plan1!A21,"AAAAAE1ua4Y=")</f>
        <v>#VALUE!</v>
      </c>
      <c r="EF1" t="e">
        <f>AND(Plan1!B21,"AAAAAE1ua4c=")</f>
        <v>#VALUE!</v>
      </c>
      <c r="EG1" t="e">
        <f>AND(Plan1!C21,"AAAAAE1ua4g=")</f>
        <v>#VALUE!</v>
      </c>
      <c r="EH1" t="e">
        <f>AND(Plan1!D21,"AAAAAE1ua4k=")</f>
        <v>#VALUE!</v>
      </c>
      <c r="EI1" t="e">
        <f>AND(Plan1!E21,"AAAAAE1ua4o=")</f>
        <v>#VALUE!</v>
      </c>
      <c r="EJ1" t="e">
        <f>AND(Plan1!F21,"AAAAAE1ua4s=")</f>
        <v>#VALUE!</v>
      </c>
      <c r="EK1">
        <f>IF(Plan1!22:22,"AAAAAE1ua4w=",0)</f>
        <v>0</v>
      </c>
      <c r="EL1" t="e">
        <f>AND(Plan1!A22,"AAAAAE1ua40=")</f>
        <v>#VALUE!</v>
      </c>
      <c r="EM1" t="e">
        <f>AND(Plan1!B22,"AAAAAE1ua44=")</f>
        <v>#VALUE!</v>
      </c>
      <c r="EN1" t="e">
        <f>AND(Plan1!C22,"AAAAAE1ua48=")</f>
        <v>#VALUE!</v>
      </c>
      <c r="EO1" t="e">
        <f>AND(Plan1!D22,"AAAAAE1ua5A=")</f>
        <v>#VALUE!</v>
      </c>
      <c r="EP1" t="e">
        <f>AND(Plan1!E22,"AAAAAE1ua5E=")</f>
        <v>#VALUE!</v>
      </c>
      <c r="EQ1" t="e">
        <f>AND(Plan1!F22,"AAAAAE1ua5I=")</f>
        <v>#VALUE!</v>
      </c>
      <c r="ER1">
        <f>IF(Plan1!23:23,"AAAAAE1ua5M=",0)</f>
        <v>0</v>
      </c>
      <c r="ES1" t="e">
        <f>AND(Plan1!A23,"AAAAAE1ua5Q=")</f>
        <v>#VALUE!</v>
      </c>
      <c r="ET1" t="e">
        <f>AND(Plan1!B23,"AAAAAE1ua5U=")</f>
        <v>#VALUE!</v>
      </c>
      <c r="EU1" t="e">
        <f>AND(Plan1!C23,"AAAAAE1ua5Y=")</f>
        <v>#VALUE!</v>
      </c>
      <c r="EV1" t="e">
        <f>AND(Plan1!D23,"AAAAAE1ua5c=")</f>
        <v>#VALUE!</v>
      </c>
      <c r="EW1" t="e">
        <f>AND(Plan1!E23,"AAAAAE1ua5g=")</f>
        <v>#VALUE!</v>
      </c>
      <c r="EX1" t="e">
        <f>AND(Plan1!F23,"AAAAAE1ua5k=")</f>
        <v>#VALUE!</v>
      </c>
      <c r="EY1">
        <f>IF(Plan1!24:24,"AAAAAE1ua5o=",0)</f>
        <v>0</v>
      </c>
      <c r="EZ1" t="e">
        <f>AND(Plan1!A24,"AAAAAE1ua5s=")</f>
        <v>#VALUE!</v>
      </c>
      <c r="FA1" t="e">
        <f>AND(Plan1!B24,"AAAAAE1ua5w=")</f>
        <v>#VALUE!</v>
      </c>
      <c r="FB1" t="e">
        <f>AND(Plan1!C24,"AAAAAE1ua50=")</f>
        <v>#VALUE!</v>
      </c>
      <c r="FC1" t="e">
        <f>AND(Plan1!D24,"AAAAAE1ua54=")</f>
        <v>#VALUE!</v>
      </c>
      <c r="FD1" t="e">
        <f>AND(Plan1!E24,"AAAAAE1ua58=")</f>
        <v>#VALUE!</v>
      </c>
      <c r="FE1" t="e">
        <f>AND(Plan1!F24,"AAAAAE1ua6A=")</f>
        <v>#VALUE!</v>
      </c>
      <c r="FF1">
        <f>IF(Plan1!25:25,"AAAAAE1ua6E=",0)</f>
        <v>0</v>
      </c>
      <c r="FG1" t="e">
        <f>AND(Plan1!A25,"AAAAAE1ua6I=")</f>
        <v>#VALUE!</v>
      </c>
      <c r="FH1" t="e">
        <f>AND(Plan1!B25,"AAAAAE1ua6M=")</f>
        <v>#VALUE!</v>
      </c>
      <c r="FI1" t="e">
        <f>AND(Plan1!C25,"AAAAAE1ua6Q=")</f>
        <v>#VALUE!</v>
      </c>
      <c r="FJ1" t="e">
        <f>AND(Plan1!D25,"AAAAAE1ua6U=")</f>
        <v>#VALUE!</v>
      </c>
      <c r="FK1" t="e">
        <f>AND(Plan1!E25,"AAAAAE1ua6Y=")</f>
        <v>#VALUE!</v>
      </c>
      <c r="FL1" t="e">
        <f>AND(Plan1!F25,"AAAAAE1ua6c=")</f>
        <v>#VALUE!</v>
      </c>
      <c r="FM1">
        <f>IF(Plan1!26:26,"AAAAAE1ua6g=",0)</f>
        <v>0</v>
      </c>
      <c r="FN1" t="e">
        <f>AND(Plan1!A26,"AAAAAE1ua6k=")</f>
        <v>#VALUE!</v>
      </c>
      <c r="FO1" t="e">
        <f>AND(Plan1!B26,"AAAAAE1ua6o=")</f>
        <v>#VALUE!</v>
      </c>
      <c r="FP1" t="e">
        <f>AND(Plan1!C26,"AAAAAE1ua6s=")</f>
        <v>#VALUE!</v>
      </c>
      <c r="FQ1" t="e">
        <f>AND(Plan1!D26,"AAAAAE1ua6w=")</f>
        <v>#VALUE!</v>
      </c>
      <c r="FR1" t="e">
        <f>AND(Plan1!E26,"AAAAAE1ua60=")</f>
        <v>#VALUE!</v>
      </c>
      <c r="FS1" t="e">
        <f>AND(Plan1!F26,"AAAAAE1ua64=")</f>
        <v>#VALUE!</v>
      </c>
      <c r="FT1">
        <f>IF(Plan1!27:27,"AAAAAE1ua68=",0)</f>
        <v>0</v>
      </c>
      <c r="FU1" t="e">
        <f>AND(Plan1!A27,"AAAAAE1ua7A=")</f>
        <v>#VALUE!</v>
      </c>
      <c r="FV1" t="e">
        <f>AND(Plan1!B27,"AAAAAE1ua7E=")</f>
        <v>#VALUE!</v>
      </c>
      <c r="FW1" t="e">
        <f>AND(Plan1!C27,"AAAAAE1ua7I=")</f>
        <v>#VALUE!</v>
      </c>
      <c r="FX1" t="e">
        <f>AND(Plan1!D27,"AAAAAE1ua7M=")</f>
        <v>#VALUE!</v>
      </c>
      <c r="FY1" t="e">
        <f>AND(Plan1!E27,"AAAAAE1ua7Q=")</f>
        <v>#VALUE!</v>
      </c>
      <c r="FZ1" t="e">
        <f>AND(Plan1!F27,"AAAAAE1ua7U=")</f>
        <v>#VALUE!</v>
      </c>
      <c r="GA1">
        <f>IF(Plan1!28:28,"AAAAAE1ua7Y=",0)</f>
        <v>0</v>
      </c>
      <c r="GB1" t="e">
        <f>AND(Plan1!A28,"AAAAAE1ua7c=")</f>
        <v>#VALUE!</v>
      </c>
      <c r="GC1" t="e">
        <f>AND(Plan1!B28,"AAAAAE1ua7g=")</f>
        <v>#VALUE!</v>
      </c>
      <c r="GD1" t="e">
        <f>AND(Plan1!C28,"AAAAAE1ua7k=")</f>
        <v>#VALUE!</v>
      </c>
      <c r="GE1" t="e">
        <f>AND(Plan1!D28,"AAAAAE1ua7o=")</f>
        <v>#VALUE!</v>
      </c>
      <c r="GF1" t="e">
        <f>AND(Plan1!E28,"AAAAAE1ua7s=")</f>
        <v>#VALUE!</v>
      </c>
      <c r="GG1" t="e">
        <f>AND(Plan1!F28,"AAAAAE1ua7w=")</f>
        <v>#VALUE!</v>
      </c>
      <c r="GH1">
        <f>IF(Plan1!29:29,"AAAAAE1ua70=",0)</f>
        <v>0</v>
      </c>
      <c r="GI1" t="e">
        <f>AND(Plan1!A29,"AAAAAE1ua74=")</f>
        <v>#VALUE!</v>
      </c>
      <c r="GJ1" t="e">
        <f>AND(Plan1!B29,"AAAAAE1ua78=")</f>
        <v>#VALUE!</v>
      </c>
      <c r="GK1" t="e">
        <f>AND(Plan1!C29,"AAAAAE1ua8A=")</f>
        <v>#VALUE!</v>
      </c>
      <c r="GL1" t="e">
        <f>AND(Plan1!D29,"AAAAAE1ua8E=")</f>
        <v>#VALUE!</v>
      </c>
      <c r="GM1" t="e">
        <f>AND(Plan1!E29,"AAAAAE1ua8I=")</f>
        <v>#VALUE!</v>
      </c>
      <c r="GN1" t="e">
        <f>AND(Plan1!F29,"AAAAAE1ua8M=")</f>
        <v>#VALUE!</v>
      </c>
      <c r="GO1">
        <f>IF(Plan1!30:30,"AAAAAE1ua8Q=",0)</f>
        <v>0</v>
      </c>
      <c r="GP1" t="e">
        <f>AND(Plan1!A30,"AAAAAE1ua8U=")</f>
        <v>#VALUE!</v>
      </c>
      <c r="GQ1" t="e">
        <f>AND(Plan1!B30,"AAAAAE1ua8Y=")</f>
        <v>#VALUE!</v>
      </c>
      <c r="GR1" t="e">
        <f>AND(Plan1!C30,"AAAAAE1ua8c=")</f>
        <v>#VALUE!</v>
      </c>
      <c r="GS1" t="e">
        <f>AND(Plan1!D30,"AAAAAE1ua8g=")</f>
        <v>#VALUE!</v>
      </c>
      <c r="GT1" t="e">
        <f>AND(Plan1!E30,"AAAAAE1ua8k=")</f>
        <v>#VALUE!</v>
      </c>
      <c r="GU1" t="e">
        <f>AND(Plan1!F30,"AAAAAE1ua8o=")</f>
        <v>#VALUE!</v>
      </c>
      <c r="GV1">
        <f>IF(Plan1!31:31,"AAAAAE1ua8s=",0)</f>
        <v>0</v>
      </c>
      <c r="GW1" t="e">
        <f>AND(Plan1!A31,"AAAAAE1ua8w=")</f>
        <v>#VALUE!</v>
      </c>
      <c r="GX1" t="e">
        <f>AND(Plan1!B31,"AAAAAE1ua80=")</f>
        <v>#VALUE!</v>
      </c>
      <c r="GY1" t="e">
        <f>AND(Plan1!C31,"AAAAAE1ua84=")</f>
        <v>#VALUE!</v>
      </c>
      <c r="GZ1" t="e">
        <f>AND(Plan1!D31,"AAAAAE1ua88=")</f>
        <v>#VALUE!</v>
      </c>
      <c r="HA1" t="e">
        <f>AND(Plan1!E31,"AAAAAE1ua9A=")</f>
        <v>#VALUE!</v>
      </c>
      <c r="HB1" t="e">
        <f>AND(Plan1!F31,"AAAAAE1ua9E=")</f>
        <v>#VALUE!</v>
      </c>
      <c r="HC1">
        <f>IF(Plan1!32:32,"AAAAAE1ua9I=",0)</f>
        <v>0</v>
      </c>
      <c r="HD1" t="e">
        <f>AND(Plan1!A32,"AAAAAE1ua9M=")</f>
        <v>#VALUE!</v>
      </c>
      <c r="HE1" t="e">
        <f>AND(Plan1!B32,"AAAAAE1ua9Q=")</f>
        <v>#VALUE!</v>
      </c>
      <c r="HF1" t="e">
        <f>AND(Plan1!C32,"AAAAAE1ua9U=")</f>
        <v>#VALUE!</v>
      </c>
      <c r="HG1" t="e">
        <f>AND(Plan1!D32,"AAAAAE1ua9Y=")</f>
        <v>#VALUE!</v>
      </c>
      <c r="HH1" t="e">
        <f>AND(Plan1!E32,"AAAAAE1ua9c=")</f>
        <v>#VALUE!</v>
      </c>
      <c r="HI1" t="e">
        <f>AND(Plan1!F32,"AAAAAE1ua9g=")</f>
        <v>#VALUE!</v>
      </c>
      <c r="HJ1">
        <f>IF(Plan1!33:33,"AAAAAE1ua9k=",0)</f>
        <v>0</v>
      </c>
      <c r="HK1" t="e">
        <f>AND(Plan1!A33,"AAAAAE1ua9o=")</f>
        <v>#VALUE!</v>
      </c>
      <c r="HL1" t="e">
        <f>AND(Plan1!B33,"AAAAAE1ua9s=")</f>
        <v>#VALUE!</v>
      </c>
      <c r="HM1" t="e">
        <f>AND(Plan1!C33,"AAAAAE1ua9w=")</f>
        <v>#VALUE!</v>
      </c>
      <c r="HN1" t="e">
        <f>AND(Plan1!D33,"AAAAAE1ua90=")</f>
        <v>#VALUE!</v>
      </c>
      <c r="HO1" t="e">
        <f>AND(Plan1!E33,"AAAAAE1ua94=")</f>
        <v>#VALUE!</v>
      </c>
      <c r="HP1" t="e">
        <f>AND(Plan1!F33,"AAAAAE1ua98=")</f>
        <v>#VALUE!</v>
      </c>
      <c r="HQ1">
        <f>IF(Plan1!34:34,"AAAAAE1ua+A=",0)</f>
        <v>0</v>
      </c>
      <c r="HR1" t="e">
        <f>AND(Plan1!A34,"AAAAAE1ua+E=")</f>
        <v>#VALUE!</v>
      </c>
      <c r="HS1" t="e">
        <f>AND(Plan1!B34,"AAAAAE1ua+I=")</f>
        <v>#VALUE!</v>
      </c>
      <c r="HT1" t="e">
        <f>AND(Plan1!C34,"AAAAAE1ua+M=")</f>
        <v>#VALUE!</v>
      </c>
      <c r="HU1" t="e">
        <f>AND(Plan1!D34,"AAAAAE1ua+Q=")</f>
        <v>#VALUE!</v>
      </c>
      <c r="HV1" t="e">
        <f>AND(Plan1!E34,"AAAAAE1ua+U=")</f>
        <v>#VALUE!</v>
      </c>
      <c r="HW1" t="e">
        <f>AND(Plan1!F34,"AAAAAE1ua+Y=")</f>
        <v>#VALUE!</v>
      </c>
      <c r="HX1">
        <f>IF(Plan1!35:35,"AAAAAE1ua+c=",0)</f>
        <v>0</v>
      </c>
      <c r="HY1" t="e">
        <f>AND(Plan1!A35,"AAAAAE1ua+g=")</f>
        <v>#VALUE!</v>
      </c>
      <c r="HZ1" t="e">
        <f>AND(Plan1!B35,"AAAAAE1ua+k=")</f>
        <v>#VALUE!</v>
      </c>
      <c r="IA1" t="e">
        <f>AND(Plan1!C35,"AAAAAE1ua+o=")</f>
        <v>#VALUE!</v>
      </c>
      <c r="IB1" t="e">
        <f>AND(Plan1!D35,"AAAAAE1ua+s=")</f>
        <v>#VALUE!</v>
      </c>
      <c r="IC1" t="e">
        <f>AND(Plan1!E35,"AAAAAE1ua+w=")</f>
        <v>#VALUE!</v>
      </c>
      <c r="ID1" t="e">
        <f>AND(Plan1!F35,"AAAAAE1ua+0=")</f>
        <v>#VALUE!</v>
      </c>
      <c r="IE1">
        <f>IF(Plan1!36:36,"AAAAAE1ua+4=",0)</f>
        <v>0</v>
      </c>
      <c r="IF1" t="e">
        <f>AND(Plan1!A36,"AAAAAE1ua+8=")</f>
        <v>#VALUE!</v>
      </c>
      <c r="IG1" t="e">
        <f>AND(Plan1!B36,"AAAAAE1ua/A=")</f>
        <v>#VALUE!</v>
      </c>
      <c r="IH1" t="e">
        <f>AND(Plan1!C36,"AAAAAE1ua/E=")</f>
        <v>#VALUE!</v>
      </c>
      <c r="II1" t="e">
        <f>AND(Plan1!D36,"AAAAAE1ua/I=")</f>
        <v>#VALUE!</v>
      </c>
      <c r="IJ1" t="e">
        <f>AND(Plan1!E36,"AAAAAE1ua/M=")</f>
        <v>#VALUE!</v>
      </c>
      <c r="IK1" t="e">
        <f>AND(Plan1!F36,"AAAAAE1ua/Q=")</f>
        <v>#VALUE!</v>
      </c>
      <c r="IL1">
        <f>IF(Plan1!37:37,"AAAAAE1ua/U=",0)</f>
        <v>0</v>
      </c>
      <c r="IM1" t="e">
        <f>AND(Plan1!A37,"AAAAAE1ua/Y=")</f>
        <v>#VALUE!</v>
      </c>
      <c r="IN1" t="e">
        <f>AND(Plan1!B37,"AAAAAE1ua/c=")</f>
        <v>#VALUE!</v>
      </c>
      <c r="IO1" t="e">
        <f>AND(Plan1!C37,"AAAAAE1ua/g=")</f>
        <v>#VALUE!</v>
      </c>
      <c r="IP1" t="e">
        <f>AND(Plan1!D37,"AAAAAE1ua/k=")</f>
        <v>#VALUE!</v>
      </c>
      <c r="IQ1" t="e">
        <f>AND(Plan1!E37,"AAAAAE1ua/o=")</f>
        <v>#VALUE!</v>
      </c>
      <c r="IR1" t="e">
        <f>AND(Plan1!F37,"AAAAAE1ua/s=")</f>
        <v>#VALUE!</v>
      </c>
      <c r="IS1">
        <f>IF(Plan1!38:38,"AAAAAE1ua/w=",0)</f>
        <v>0</v>
      </c>
      <c r="IT1" t="e">
        <f>AND(Plan1!A38,"AAAAAE1ua/0=")</f>
        <v>#VALUE!</v>
      </c>
      <c r="IU1" t="e">
        <f>AND(Plan1!B38,"AAAAAE1ua/4=")</f>
        <v>#VALUE!</v>
      </c>
      <c r="IV1" t="e">
        <f>AND(Plan1!C38,"AAAAAE1ua/8=")</f>
        <v>#VALUE!</v>
      </c>
    </row>
    <row r="2" spans="1:256">
      <c r="A2" t="e">
        <f>AND(Plan1!D38,"AAAAAH59/wA=")</f>
        <v>#VALUE!</v>
      </c>
      <c r="B2" t="e">
        <f>AND(Plan1!E38,"AAAAAH59/wE=")</f>
        <v>#VALUE!</v>
      </c>
      <c r="C2" t="e">
        <f>AND(Plan1!F38,"AAAAAH59/wI=")</f>
        <v>#VALUE!</v>
      </c>
      <c r="D2" t="str">
        <f>IF(Plan1!39:39,"AAAAAH59/wM=",0)</f>
        <v>AAAAAH59/wM=</v>
      </c>
      <c r="E2" t="e">
        <f>AND(Plan1!A39,"AAAAAH59/wQ=")</f>
        <v>#VALUE!</v>
      </c>
      <c r="F2" t="e">
        <f>AND(Plan1!B39,"AAAAAH59/wU=")</f>
        <v>#VALUE!</v>
      </c>
      <c r="G2" t="e">
        <f>AND(Plan1!C39,"AAAAAH59/wY=")</f>
        <v>#VALUE!</v>
      </c>
      <c r="H2" t="e">
        <f>AND(Plan1!D39,"AAAAAH59/wc=")</f>
        <v>#VALUE!</v>
      </c>
      <c r="I2" t="e">
        <f>AND(Plan1!E39,"AAAAAH59/wg=")</f>
        <v>#VALUE!</v>
      </c>
      <c r="J2" t="e">
        <f>AND(Plan1!F39,"AAAAAH59/wk=")</f>
        <v>#VALUE!</v>
      </c>
      <c r="K2">
        <f>IF(Plan1!40:40,"AAAAAH59/wo=",0)</f>
        <v>0</v>
      </c>
      <c r="L2" t="e">
        <f>AND(Plan1!A40,"AAAAAH59/ws=")</f>
        <v>#VALUE!</v>
      </c>
      <c r="M2" t="e">
        <f>AND(Plan1!B40,"AAAAAH59/ww=")</f>
        <v>#VALUE!</v>
      </c>
      <c r="N2" t="e">
        <f>AND(Plan1!C40,"AAAAAH59/w0=")</f>
        <v>#VALUE!</v>
      </c>
      <c r="O2" t="e">
        <f>AND(Plan1!D40,"AAAAAH59/w4=")</f>
        <v>#VALUE!</v>
      </c>
      <c r="P2" t="e">
        <f>AND(Plan1!E40,"AAAAAH59/w8=")</f>
        <v>#VALUE!</v>
      </c>
      <c r="Q2" t="e">
        <f>AND(Plan1!F40,"AAAAAH59/xA=")</f>
        <v>#VALUE!</v>
      </c>
      <c r="R2">
        <f>IF(Plan1!41:41,"AAAAAH59/xE=",0)</f>
        <v>0</v>
      </c>
      <c r="S2" t="e">
        <f>AND(Plan1!A41,"AAAAAH59/xI=")</f>
        <v>#VALUE!</v>
      </c>
      <c r="T2" t="e">
        <f>AND(Plan1!B41,"AAAAAH59/xM=")</f>
        <v>#VALUE!</v>
      </c>
      <c r="U2" t="e">
        <f>AND(Plan1!C41,"AAAAAH59/xQ=")</f>
        <v>#VALUE!</v>
      </c>
      <c r="V2" t="e">
        <f>AND(Plan1!D41,"AAAAAH59/xU=")</f>
        <v>#VALUE!</v>
      </c>
      <c r="W2" t="e">
        <f>AND(Plan1!E41,"AAAAAH59/xY=")</f>
        <v>#VALUE!</v>
      </c>
      <c r="X2" t="e">
        <f>AND(Plan1!F41,"AAAAAH59/xc=")</f>
        <v>#VALUE!</v>
      </c>
      <c r="Y2">
        <f>IF(Plan1!42:42,"AAAAAH59/xg=",0)</f>
        <v>0</v>
      </c>
      <c r="Z2" t="e">
        <f>AND(Plan1!A42,"AAAAAH59/xk=")</f>
        <v>#VALUE!</v>
      </c>
      <c r="AA2" t="e">
        <f>AND(Plan1!B42,"AAAAAH59/xo=")</f>
        <v>#VALUE!</v>
      </c>
      <c r="AB2" t="e">
        <f>AND(Plan1!C42,"AAAAAH59/xs=")</f>
        <v>#VALUE!</v>
      </c>
      <c r="AC2" t="e">
        <f>AND(Plan1!D42,"AAAAAH59/xw=")</f>
        <v>#VALUE!</v>
      </c>
      <c r="AD2" t="e">
        <f>AND(Plan1!E42,"AAAAAH59/x0=")</f>
        <v>#VALUE!</v>
      </c>
      <c r="AE2" t="e">
        <f>AND(Plan1!F42,"AAAAAH59/x4=")</f>
        <v>#VALUE!</v>
      </c>
      <c r="AF2">
        <f>IF(Plan1!43:43,"AAAAAH59/x8=",0)</f>
        <v>0</v>
      </c>
      <c r="AG2" t="e">
        <f>AND(Plan1!A43,"AAAAAH59/yA=")</f>
        <v>#VALUE!</v>
      </c>
      <c r="AH2" t="e">
        <f>AND(Plan1!B43,"AAAAAH59/yE=")</f>
        <v>#VALUE!</v>
      </c>
      <c r="AI2" t="e">
        <f>AND(Plan1!C43,"AAAAAH59/yI=")</f>
        <v>#VALUE!</v>
      </c>
      <c r="AJ2" t="e">
        <f>AND(Plan1!D43,"AAAAAH59/yM=")</f>
        <v>#VALUE!</v>
      </c>
      <c r="AK2" t="e">
        <f>AND(Plan1!E43,"AAAAAH59/yQ=")</f>
        <v>#VALUE!</v>
      </c>
      <c r="AL2" t="e">
        <f>AND(Plan1!F43,"AAAAAH59/yU=")</f>
        <v>#VALUE!</v>
      </c>
      <c r="AM2">
        <f>IF(Plan1!44:44,"AAAAAH59/yY=",0)</f>
        <v>0</v>
      </c>
      <c r="AN2" t="e">
        <f>AND(Plan1!A44,"AAAAAH59/yc=")</f>
        <v>#VALUE!</v>
      </c>
      <c r="AO2" t="e">
        <f>AND(Plan1!B44,"AAAAAH59/yg=")</f>
        <v>#VALUE!</v>
      </c>
      <c r="AP2" t="e">
        <f>AND(Plan1!C44,"AAAAAH59/yk=")</f>
        <v>#VALUE!</v>
      </c>
      <c r="AQ2" t="e">
        <f>AND(Plan1!D44,"AAAAAH59/yo=")</f>
        <v>#VALUE!</v>
      </c>
      <c r="AR2" t="e">
        <f>AND(Plan1!E44,"AAAAAH59/ys=")</f>
        <v>#VALUE!</v>
      </c>
      <c r="AS2" t="e">
        <f>AND(Plan1!F44,"AAAAAH59/yw=")</f>
        <v>#VALUE!</v>
      </c>
      <c r="AT2">
        <f>IF(Plan1!45:45,"AAAAAH59/y0=",0)</f>
        <v>0</v>
      </c>
      <c r="AU2" t="e">
        <f>AND(Plan1!A45,"AAAAAH59/y4=")</f>
        <v>#VALUE!</v>
      </c>
      <c r="AV2" t="e">
        <f>AND(Plan1!B45,"AAAAAH59/y8=")</f>
        <v>#VALUE!</v>
      </c>
      <c r="AW2" t="e">
        <f>AND(Plan1!C45,"AAAAAH59/zA=")</f>
        <v>#VALUE!</v>
      </c>
      <c r="AX2" t="e">
        <f>AND(Plan1!D45,"AAAAAH59/zE=")</f>
        <v>#VALUE!</v>
      </c>
      <c r="AY2" t="e">
        <f>AND(Plan1!E45,"AAAAAH59/zI=")</f>
        <v>#VALUE!</v>
      </c>
      <c r="AZ2" t="e">
        <f>AND(Plan1!F45,"AAAAAH59/zM=")</f>
        <v>#VALUE!</v>
      </c>
      <c r="BA2">
        <f>IF(Plan1!46:46,"AAAAAH59/zQ=",0)</f>
        <v>0</v>
      </c>
      <c r="BB2" t="e">
        <f>AND(Plan1!A46,"AAAAAH59/zU=")</f>
        <v>#VALUE!</v>
      </c>
      <c r="BC2" t="e">
        <f>AND(Plan1!B46,"AAAAAH59/zY=")</f>
        <v>#VALUE!</v>
      </c>
      <c r="BD2" t="e">
        <f>AND(Plan1!C46,"AAAAAH59/zc=")</f>
        <v>#VALUE!</v>
      </c>
      <c r="BE2" t="e">
        <f>AND(Plan1!D46,"AAAAAH59/zg=")</f>
        <v>#VALUE!</v>
      </c>
      <c r="BF2" t="e">
        <f>AND(Plan1!E46,"AAAAAH59/zk=")</f>
        <v>#VALUE!</v>
      </c>
      <c r="BG2" t="e">
        <f>AND(Plan1!F46,"AAAAAH59/zo=")</f>
        <v>#VALUE!</v>
      </c>
      <c r="BH2">
        <f>IF(Plan1!47:47,"AAAAAH59/zs=",0)</f>
        <v>0</v>
      </c>
      <c r="BI2" t="e">
        <f>AND(Plan1!A47,"AAAAAH59/zw=")</f>
        <v>#VALUE!</v>
      </c>
      <c r="BJ2" t="e">
        <f>AND(Plan1!B47,"AAAAAH59/z0=")</f>
        <v>#VALUE!</v>
      </c>
      <c r="BK2" t="e">
        <f>AND(Plan1!C47,"AAAAAH59/z4=")</f>
        <v>#VALUE!</v>
      </c>
      <c r="BL2" t="e">
        <f>AND(Plan1!D47,"AAAAAH59/z8=")</f>
        <v>#VALUE!</v>
      </c>
      <c r="BM2" t="e">
        <f>AND(Plan1!E47,"AAAAAH59/0A=")</f>
        <v>#VALUE!</v>
      </c>
      <c r="BN2" t="e">
        <f>AND(Plan1!F47,"AAAAAH59/0E=")</f>
        <v>#VALUE!</v>
      </c>
      <c r="BO2">
        <f>IF(Plan1!48:48,"AAAAAH59/0I=",0)</f>
        <v>0</v>
      </c>
      <c r="BP2" t="e">
        <f>AND(Plan1!A48,"AAAAAH59/0M=")</f>
        <v>#VALUE!</v>
      </c>
      <c r="BQ2" t="e">
        <f>AND(Plan1!B48,"AAAAAH59/0Q=")</f>
        <v>#VALUE!</v>
      </c>
      <c r="BR2" t="e">
        <f>AND(Plan1!C48,"AAAAAH59/0U=")</f>
        <v>#VALUE!</v>
      </c>
      <c r="BS2" t="e">
        <f>AND(Plan1!D48,"AAAAAH59/0Y=")</f>
        <v>#VALUE!</v>
      </c>
      <c r="BT2" t="e">
        <f>AND(Plan1!E48,"AAAAAH59/0c=")</f>
        <v>#VALUE!</v>
      </c>
      <c r="BU2" t="e">
        <f>AND(Plan1!F48,"AAAAAH59/0g=")</f>
        <v>#VALUE!</v>
      </c>
      <c r="BV2">
        <f>IF(Plan1!49:49,"AAAAAH59/0k=",0)</f>
        <v>0</v>
      </c>
      <c r="BW2" t="e">
        <f>AND(Plan1!A49,"AAAAAH59/0o=")</f>
        <v>#VALUE!</v>
      </c>
      <c r="BX2" t="e">
        <f>AND(Plan1!B49,"AAAAAH59/0s=")</f>
        <v>#VALUE!</v>
      </c>
      <c r="BY2" t="e">
        <f>AND(Plan1!C49,"AAAAAH59/0w=")</f>
        <v>#VALUE!</v>
      </c>
      <c r="BZ2" t="e">
        <f>AND(Plan1!D49,"AAAAAH59/00=")</f>
        <v>#VALUE!</v>
      </c>
      <c r="CA2" t="e">
        <f>AND(Plan1!E49,"AAAAAH59/04=")</f>
        <v>#VALUE!</v>
      </c>
      <c r="CB2" t="e">
        <f>AND(Plan1!F49,"AAAAAH59/08=")</f>
        <v>#VALUE!</v>
      </c>
      <c r="CC2">
        <f>IF(Plan1!50:50,"AAAAAH59/1A=",0)</f>
        <v>0</v>
      </c>
      <c r="CD2" t="e">
        <f>AND(Plan1!A50,"AAAAAH59/1E=")</f>
        <v>#VALUE!</v>
      </c>
      <c r="CE2" t="e">
        <f>AND(Plan1!B50,"AAAAAH59/1I=")</f>
        <v>#VALUE!</v>
      </c>
      <c r="CF2" t="e">
        <f>AND(Plan1!C50,"AAAAAH59/1M=")</f>
        <v>#VALUE!</v>
      </c>
      <c r="CG2" t="e">
        <f>AND(Plan1!D50,"AAAAAH59/1Q=")</f>
        <v>#VALUE!</v>
      </c>
      <c r="CH2" t="e">
        <f>AND(Plan1!E50,"AAAAAH59/1U=")</f>
        <v>#VALUE!</v>
      </c>
      <c r="CI2" t="e">
        <f>AND(Plan1!F50,"AAAAAH59/1Y=")</f>
        <v>#VALUE!</v>
      </c>
      <c r="CJ2">
        <f>IF(Plan1!51:51,"AAAAAH59/1c=",0)</f>
        <v>0</v>
      </c>
      <c r="CK2" t="e">
        <f>AND(Plan1!A51,"AAAAAH59/1g=")</f>
        <v>#VALUE!</v>
      </c>
      <c r="CL2" t="e">
        <f>AND(Plan1!B51,"AAAAAH59/1k=")</f>
        <v>#VALUE!</v>
      </c>
      <c r="CM2" t="e">
        <f>AND(Plan1!C51,"AAAAAH59/1o=")</f>
        <v>#VALUE!</v>
      </c>
      <c r="CN2" t="e">
        <f>AND(Plan1!D51,"AAAAAH59/1s=")</f>
        <v>#VALUE!</v>
      </c>
      <c r="CO2" t="e">
        <f>AND(Plan1!E51,"AAAAAH59/1w=")</f>
        <v>#VALUE!</v>
      </c>
      <c r="CP2" t="e">
        <f>AND(Plan1!F51,"AAAAAH59/10=")</f>
        <v>#VALUE!</v>
      </c>
      <c r="CQ2">
        <f>IF(Plan1!52:52,"AAAAAH59/14=",0)</f>
        <v>0</v>
      </c>
      <c r="CR2" t="e">
        <f>AND(Plan1!A52,"AAAAAH59/18=")</f>
        <v>#VALUE!</v>
      </c>
      <c r="CS2" t="e">
        <f>AND(Plan1!B52,"AAAAAH59/2A=")</f>
        <v>#VALUE!</v>
      </c>
      <c r="CT2" t="e">
        <f>AND(Plan1!C52,"AAAAAH59/2E=")</f>
        <v>#VALUE!</v>
      </c>
      <c r="CU2" t="e">
        <f>AND(Plan1!D52,"AAAAAH59/2I=")</f>
        <v>#VALUE!</v>
      </c>
      <c r="CV2" t="e">
        <f>AND(Plan1!E52,"AAAAAH59/2M=")</f>
        <v>#VALUE!</v>
      </c>
      <c r="CW2" t="e">
        <f>AND(Plan1!F52,"AAAAAH59/2Q=")</f>
        <v>#VALUE!</v>
      </c>
      <c r="CX2">
        <f>IF(Plan1!53:53,"AAAAAH59/2U=",0)</f>
        <v>0</v>
      </c>
      <c r="CY2" t="e">
        <f>AND(Plan1!A53,"AAAAAH59/2Y=")</f>
        <v>#VALUE!</v>
      </c>
      <c r="CZ2" t="e">
        <f>AND(Plan1!B53,"AAAAAH59/2c=")</f>
        <v>#VALUE!</v>
      </c>
      <c r="DA2" t="e">
        <f>AND(Plan1!C53,"AAAAAH59/2g=")</f>
        <v>#VALUE!</v>
      </c>
      <c r="DB2" t="e">
        <f>AND(Plan1!D53,"AAAAAH59/2k=")</f>
        <v>#VALUE!</v>
      </c>
      <c r="DC2" t="e">
        <f>AND(Plan1!E53,"AAAAAH59/2o=")</f>
        <v>#VALUE!</v>
      </c>
      <c r="DD2" t="e">
        <f>AND(Plan1!F53,"AAAAAH59/2s=")</f>
        <v>#VALUE!</v>
      </c>
      <c r="DE2">
        <f>IF(Plan1!54:54,"AAAAAH59/2w=",0)</f>
        <v>0</v>
      </c>
      <c r="DF2" t="e">
        <f>AND(Plan1!A54,"AAAAAH59/20=")</f>
        <v>#VALUE!</v>
      </c>
      <c r="DG2" t="e">
        <f>AND(Plan1!B54,"AAAAAH59/24=")</f>
        <v>#VALUE!</v>
      </c>
      <c r="DH2" t="e">
        <f>AND(Plan1!C54,"AAAAAH59/28=")</f>
        <v>#VALUE!</v>
      </c>
      <c r="DI2" t="e">
        <f>AND(Plan1!D54,"AAAAAH59/3A=")</f>
        <v>#VALUE!</v>
      </c>
      <c r="DJ2" t="e">
        <f>AND(Plan1!E54,"AAAAAH59/3E=")</f>
        <v>#VALUE!</v>
      </c>
      <c r="DK2" t="e">
        <f>AND(Plan1!F54,"AAAAAH59/3I=")</f>
        <v>#VALUE!</v>
      </c>
      <c r="DL2">
        <f>IF(Plan1!55:55,"AAAAAH59/3M=",0)</f>
        <v>0</v>
      </c>
      <c r="DM2" t="e">
        <f>AND(Plan1!A55,"AAAAAH59/3Q=")</f>
        <v>#VALUE!</v>
      </c>
      <c r="DN2" t="e">
        <f>AND(Plan1!B55,"AAAAAH59/3U=")</f>
        <v>#VALUE!</v>
      </c>
      <c r="DO2" t="e">
        <f>AND(Plan1!C55,"AAAAAH59/3Y=")</f>
        <v>#VALUE!</v>
      </c>
      <c r="DP2" t="e">
        <f>AND(Plan1!D55,"AAAAAH59/3c=")</f>
        <v>#VALUE!</v>
      </c>
      <c r="DQ2" t="e">
        <f>AND(Plan1!E55,"AAAAAH59/3g=")</f>
        <v>#VALUE!</v>
      </c>
      <c r="DR2" t="e">
        <f>AND(Plan1!F55,"AAAAAH59/3k=")</f>
        <v>#VALUE!</v>
      </c>
      <c r="DS2">
        <f>IF(Plan1!56:56,"AAAAAH59/3o=",0)</f>
        <v>0</v>
      </c>
      <c r="DT2" t="e">
        <f>AND(Plan1!A56,"AAAAAH59/3s=")</f>
        <v>#VALUE!</v>
      </c>
      <c r="DU2" t="e">
        <f>AND(Plan1!B56,"AAAAAH59/3w=")</f>
        <v>#VALUE!</v>
      </c>
      <c r="DV2" t="e">
        <f>AND(Plan1!C56,"AAAAAH59/30=")</f>
        <v>#VALUE!</v>
      </c>
      <c r="DW2" t="e">
        <f>AND(Plan1!D56,"AAAAAH59/34=")</f>
        <v>#VALUE!</v>
      </c>
      <c r="DX2" t="e">
        <f>AND(Plan1!E56,"AAAAAH59/38=")</f>
        <v>#VALUE!</v>
      </c>
      <c r="DY2" t="e">
        <f>AND(Plan1!F56,"AAAAAH59/4A=")</f>
        <v>#VALUE!</v>
      </c>
      <c r="DZ2">
        <f>IF(Plan1!57:57,"AAAAAH59/4E=",0)</f>
        <v>0</v>
      </c>
      <c r="EA2" t="e">
        <f>AND(Plan1!A57,"AAAAAH59/4I=")</f>
        <v>#VALUE!</v>
      </c>
      <c r="EB2" t="e">
        <f>AND(Plan1!B57,"AAAAAH59/4M=")</f>
        <v>#VALUE!</v>
      </c>
      <c r="EC2" t="e">
        <f>AND(Plan1!C57,"AAAAAH59/4Q=")</f>
        <v>#VALUE!</v>
      </c>
      <c r="ED2" t="e">
        <f>AND(Plan1!D57,"AAAAAH59/4U=")</f>
        <v>#VALUE!</v>
      </c>
      <c r="EE2" t="e">
        <f>AND(Plan1!E57,"AAAAAH59/4Y=")</f>
        <v>#VALUE!</v>
      </c>
      <c r="EF2" t="e">
        <f>AND(Plan1!F57,"AAAAAH59/4c=")</f>
        <v>#VALUE!</v>
      </c>
      <c r="EG2">
        <f>IF(Plan1!58:58,"AAAAAH59/4g=",0)</f>
        <v>0</v>
      </c>
      <c r="EH2" t="e">
        <f>AND(Plan1!A58,"AAAAAH59/4k=")</f>
        <v>#VALUE!</v>
      </c>
      <c r="EI2" t="e">
        <f>AND(Plan1!B58,"AAAAAH59/4o=")</f>
        <v>#VALUE!</v>
      </c>
      <c r="EJ2" t="e">
        <f>AND(Plan1!C58,"AAAAAH59/4s=")</f>
        <v>#VALUE!</v>
      </c>
      <c r="EK2" t="e">
        <f>AND(Plan1!D58,"AAAAAH59/4w=")</f>
        <v>#VALUE!</v>
      </c>
      <c r="EL2" t="e">
        <f>AND(Plan1!E58,"AAAAAH59/40=")</f>
        <v>#VALUE!</v>
      </c>
      <c r="EM2" t="e">
        <f>AND(Plan1!F58,"AAAAAH59/44=")</f>
        <v>#VALUE!</v>
      </c>
      <c r="EN2">
        <f>IF(Plan1!59:59,"AAAAAH59/48=",0)</f>
        <v>0</v>
      </c>
      <c r="EO2" t="e">
        <f>AND(Plan1!A59,"AAAAAH59/5A=")</f>
        <v>#VALUE!</v>
      </c>
      <c r="EP2" t="e">
        <f>AND(Plan1!B59,"AAAAAH59/5E=")</f>
        <v>#VALUE!</v>
      </c>
      <c r="EQ2" t="e">
        <f>AND(Plan1!C59,"AAAAAH59/5I=")</f>
        <v>#VALUE!</v>
      </c>
      <c r="ER2" t="e">
        <f>AND(Plan1!D59,"AAAAAH59/5M=")</f>
        <v>#VALUE!</v>
      </c>
      <c r="ES2" t="e">
        <f>AND(Plan1!E59,"AAAAAH59/5Q=")</f>
        <v>#VALUE!</v>
      </c>
      <c r="ET2" t="e">
        <f>AND(Plan1!F59,"AAAAAH59/5U=")</f>
        <v>#VALUE!</v>
      </c>
      <c r="EU2">
        <f>IF(Plan1!60:60,"AAAAAH59/5Y=",0)</f>
        <v>0</v>
      </c>
      <c r="EV2" t="e">
        <f>AND(Plan1!A60,"AAAAAH59/5c=")</f>
        <v>#VALUE!</v>
      </c>
      <c r="EW2" t="e">
        <f>AND(Plan1!B60,"AAAAAH59/5g=")</f>
        <v>#VALUE!</v>
      </c>
      <c r="EX2" t="e">
        <f>AND(Plan1!C60,"AAAAAH59/5k=")</f>
        <v>#VALUE!</v>
      </c>
      <c r="EY2" t="e">
        <f>AND(Plan1!D60,"AAAAAH59/5o=")</f>
        <v>#VALUE!</v>
      </c>
      <c r="EZ2" t="e">
        <f>AND(Plan1!E60,"AAAAAH59/5s=")</f>
        <v>#VALUE!</v>
      </c>
      <c r="FA2" t="e">
        <f>AND(Plan1!F60,"AAAAAH59/5w=")</f>
        <v>#VALUE!</v>
      </c>
      <c r="FB2">
        <f>IF(Plan1!61:61,"AAAAAH59/50=",0)</f>
        <v>0</v>
      </c>
      <c r="FC2" t="e">
        <f>AND(Plan1!A61,"AAAAAH59/54=")</f>
        <v>#VALUE!</v>
      </c>
      <c r="FD2" t="e">
        <f>AND(Plan1!B61,"AAAAAH59/58=")</f>
        <v>#VALUE!</v>
      </c>
      <c r="FE2" t="e">
        <f>AND(Plan1!C61,"AAAAAH59/6A=")</f>
        <v>#VALUE!</v>
      </c>
      <c r="FF2" t="e">
        <f>AND(Plan1!D61,"AAAAAH59/6E=")</f>
        <v>#VALUE!</v>
      </c>
      <c r="FG2" t="e">
        <f>AND(Plan1!E61,"AAAAAH59/6I=")</f>
        <v>#VALUE!</v>
      </c>
      <c r="FH2" t="e">
        <f>AND(Plan1!F61,"AAAAAH59/6M=")</f>
        <v>#VALUE!</v>
      </c>
      <c r="FI2">
        <f>IF(Plan1!62:62,"AAAAAH59/6Q=",0)</f>
        <v>0</v>
      </c>
      <c r="FJ2" t="e">
        <f>AND(Plan1!A62,"AAAAAH59/6U=")</f>
        <v>#VALUE!</v>
      </c>
      <c r="FK2" t="e">
        <f>AND(Plan1!B62,"AAAAAH59/6Y=")</f>
        <v>#VALUE!</v>
      </c>
      <c r="FL2" t="e">
        <f>AND(Plan1!C62,"AAAAAH59/6c=")</f>
        <v>#VALUE!</v>
      </c>
      <c r="FM2" t="e">
        <f>AND(Plan1!D62,"AAAAAH59/6g=")</f>
        <v>#VALUE!</v>
      </c>
      <c r="FN2" t="e">
        <f>AND(Plan1!E62,"AAAAAH59/6k=")</f>
        <v>#VALUE!</v>
      </c>
      <c r="FO2" t="e">
        <f>AND(Plan1!F62,"AAAAAH59/6o=")</f>
        <v>#VALUE!</v>
      </c>
      <c r="FP2">
        <f>IF(Plan1!63:63,"AAAAAH59/6s=",0)</f>
        <v>0</v>
      </c>
      <c r="FQ2" t="e">
        <f>AND(Plan1!A63,"AAAAAH59/6w=")</f>
        <v>#VALUE!</v>
      </c>
      <c r="FR2" t="e">
        <f>AND(Plan1!B63,"AAAAAH59/60=")</f>
        <v>#VALUE!</v>
      </c>
      <c r="FS2" t="e">
        <f>AND(Plan1!C63,"AAAAAH59/64=")</f>
        <v>#VALUE!</v>
      </c>
      <c r="FT2" t="e">
        <f>AND(Plan1!D63,"AAAAAH59/68=")</f>
        <v>#VALUE!</v>
      </c>
      <c r="FU2" t="e">
        <f>AND(Plan1!E63,"AAAAAH59/7A=")</f>
        <v>#VALUE!</v>
      </c>
      <c r="FV2" t="e">
        <f>AND(Plan1!F63,"AAAAAH59/7E=")</f>
        <v>#VALUE!</v>
      </c>
      <c r="FW2">
        <f>IF(Plan1!64:64,"AAAAAH59/7I=",0)</f>
        <v>0</v>
      </c>
      <c r="FX2" t="e">
        <f>AND(Plan1!A64,"AAAAAH59/7M=")</f>
        <v>#VALUE!</v>
      </c>
      <c r="FY2" t="e">
        <f>AND(Plan1!B64,"AAAAAH59/7Q=")</f>
        <v>#VALUE!</v>
      </c>
      <c r="FZ2" t="e">
        <f>AND(Plan1!C64,"AAAAAH59/7U=")</f>
        <v>#VALUE!</v>
      </c>
      <c r="GA2" t="e">
        <f>AND(Plan1!D64,"AAAAAH59/7Y=")</f>
        <v>#VALUE!</v>
      </c>
      <c r="GB2" t="e">
        <f>AND(Plan1!E64,"AAAAAH59/7c=")</f>
        <v>#VALUE!</v>
      </c>
      <c r="GC2" t="e">
        <f>AND(Plan1!F64,"AAAAAH59/7g=")</f>
        <v>#VALUE!</v>
      </c>
      <c r="GD2">
        <f>IF(Plan1!65:65,"AAAAAH59/7k=",0)</f>
        <v>0</v>
      </c>
      <c r="GE2" t="e">
        <f>AND(Plan1!A65,"AAAAAH59/7o=")</f>
        <v>#VALUE!</v>
      </c>
      <c r="GF2" t="e">
        <f>AND(Plan1!B65,"AAAAAH59/7s=")</f>
        <v>#VALUE!</v>
      </c>
      <c r="GG2" t="e">
        <f>AND(Plan1!C65,"AAAAAH59/7w=")</f>
        <v>#VALUE!</v>
      </c>
      <c r="GH2" t="e">
        <f>AND(Plan1!D65,"AAAAAH59/70=")</f>
        <v>#VALUE!</v>
      </c>
      <c r="GI2" t="e">
        <f>AND(Plan1!E65,"AAAAAH59/74=")</f>
        <v>#VALUE!</v>
      </c>
      <c r="GJ2" t="e">
        <f>AND(Plan1!F65,"AAAAAH59/78=")</f>
        <v>#VALUE!</v>
      </c>
      <c r="GK2">
        <f>IF(Plan1!66:66,"AAAAAH59/8A=",0)</f>
        <v>0</v>
      </c>
      <c r="GL2" t="e">
        <f>AND(Plan1!A66,"AAAAAH59/8E=")</f>
        <v>#VALUE!</v>
      </c>
      <c r="GM2" t="e">
        <f>AND(Plan1!B66,"AAAAAH59/8I=")</f>
        <v>#VALUE!</v>
      </c>
      <c r="GN2" t="e">
        <f>AND(Plan1!C66,"AAAAAH59/8M=")</f>
        <v>#VALUE!</v>
      </c>
      <c r="GO2" t="e">
        <f>AND(Plan1!D66,"AAAAAH59/8Q=")</f>
        <v>#VALUE!</v>
      </c>
      <c r="GP2" t="e">
        <f>AND(Plan1!E66,"AAAAAH59/8U=")</f>
        <v>#VALUE!</v>
      </c>
      <c r="GQ2" t="e">
        <f>AND(Plan1!F66,"AAAAAH59/8Y=")</f>
        <v>#VALUE!</v>
      </c>
      <c r="GR2">
        <f>IF(Plan1!67:67,"AAAAAH59/8c=",0)</f>
        <v>0</v>
      </c>
      <c r="GS2" t="e">
        <f>AND(Plan1!A67,"AAAAAH59/8g=")</f>
        <v>#VALUE!</v>
      </c>
      <c r="GT2" t="e">
        <f>AND(Plan1!B67,"AAAAAH59/8k=")</f>
        <v>#VALUE!</v>
      </c>
      <c r="GU2" t="e">
        <f>AND(Plan1!C67,"AAAAAH59/8o=")</f>
        <v>#VALUE!</v>
      </c>
      <c r="GV2" t="e">
        <f>AND(Plan1!D67,"AAAAAH59/8s=")</f>
        <v>#VALUE!</v>
      </c>
      <c r="GW2" t="e">
        <f>AND(Plan1!E67,"AAAAAH59/8w=")</f>
        <v>#VALUE!</v>
      </c>
      <c r="GX2" t="e">
        <f>AND(Plan1!F67,"AAAAAH59/80=")</f>
        <v>#VALUE!</v>
      </c>
      <c r="GY2">
        <f>IF(Plan1!68:68,"AAAAAH59/84=",0)</f>
        <v>0</v>
      </c>
      <c r="GZ2" t="e">
        <f>AND(Plan1!A68,"AAAAAH59/88=")</f>
        <v>#VALUE!</v>
      </c>
      <c r="HA2" t="e">
        <f>AND(Plan1!B68,"AAAAAH59/9A=")</f>
        <v>#VALUE!</v>
      </c>
      <c r="HB2" t="e">
        <f>AND(Plan1!C68,"AAAAAH59/9E=")</f>
        <v>#VALUE!</v>
      </c>
      <c r="HC2" t="e">
        <f>AND(Plan1!D68,"AAAAAH59/9I=")</f>
        <v>#VALUE!</v>
      </c>
      <c r="HD2" t="e">
        <f>AND(Plan1!E68,"AAAAAH59/9M=")</f>
        <v>#VALUE!</v>
      </c>
      <c r="HE2" t="e">
        <f>AND(Plan1!F68,"AAAAAH59/9Q=")</f>
        <v>#VALUE!</v>
      </c>
      <c r="HF2">
        <f>IF(Plan1!69:69,"AAAAAH59/9U=",0)</f>
        <v>0</v>
      </c>
      <c r="HG2" t="e">
        <f>AND(Plan1!A69,"AAAAAH59/9Y=")</f>
        <v>#VALUE!</v>
      </c>
      <c r="HH2" t="e">
        <f>AND(Plan1!B69,"AAAAAH59/9c=")</f>
        <v>#VALUE!</v>
      </c>
      <c r="HI2" t="e">
        <f>AND(Plan1!C69,"AAAAAH59/9g=")</f>
        <v>#VALUE!</v>
      </c>
      <c r="HJ2" t="e">
        <f>AND(Plan1!D69,"AAAAAH59/9k=")</f>
        <v>#VALUE!</v>
      </c>
      <c r="HK2" t="e">
        <f>AND(Plan1!E69,"AAAAAH59/9o=")</f>
        <v>#VALUE!</v>
      </c>
      <c r="HL2" t="e">
        <f>AND(Plan1!F69,"AAAAAH59/9s=")</f>
        <v>#VALUE!</v>
      </c>
      <c r="HM2">
        <f>IF(Plan1!70:70,"AAAAAH59/9w=",0)</f>
        <v>0</v>
      </c>
      <c r="HN2" t="e">
        <f>AND(Plan1!A70,"AAAAAH59/90=")</f>
        <v>#VALUE!</v>
      </c>
      <c r="HO2" t="e">
        <f>AND(Plan1!B70,"AAAAAH59/94=")</f>
        <v>#VALUE!</v>
      </c>
      <c r="HP2" t="e">
        <f>AND(Plan1!C70,"AAAAAH59/98=")</f>
        <v>#VALUE!</v>
      </c>
      <c r="HQ2" t="e">
        <f>AND(Plan1!D70,"AAAAAH59/+A=")</f>
        <v>#VALUE!</v>
      </c>
      <c r="HR2" t="e">
        <f>AND(Plan1!E70,"AAAAAH59/+E=")</f>
        <v>#VALUE!</v>
      </c>
      <c r="HS2" t="e">
        <f>AND(Plan1!F70,"AAAAAH59/+I=")</f>
        <v>#VALUE!</v>
      </c>
      <c r="HT2">
        <f>IF(Plan1!71:71,"AAAAAH59/+M=",0)</f>
        <v>0</v>
      </c>
      <c r="HU2" t="e">
        <f>AND(Plan1!A71,"AAAAAH59/+Q=")</f>
        <v>#VALUE!</v>
      </c>
      <c r="HV2" t="e">
        <f>AND(Plan1!B71,"AAAAAH59/+U=")</f>
        <v>#VALUE!</v>
      </c>
      <c r="HW2" t="e">
        <f>AND(Plan1!C71,"AAAAAH59/+Y=")</f>
        <v>#VALUE!</v>
      </c>
      <c r="HX2" t="e">
        <f>AND(Plan1!D71,"AAAAAH59/+c=")</f>
        <v>#VALUE!</v>
      </c>
      <c r="HY2" t="e">
        <f>AND(Plan1!E71,"AAAAAH59/+g=")</f>
        <v>#VALUE!</v>
      </c>
      <c r="HZ2" t="e">
        <f>AND(Plan1!F71,"AAAAAH59/+k=")</f>
        <v>#VALUE!</v>
      </c>
      <c r="IA2">
        <f>IF(Plan1!72:72,"AAAAAH59/+o=",0)</f>
        <v>0</v>
      </c>
      <c r="IB2" t="e">
        <f>AND(Plan1!A72,"AAAAAH59/+s=")</f>
        <v>#VALUE!</v>
      </c>
      <c r="IC2" t="e">
        <f>AND(Plan1!B72,"AAAAAH59/+w=")</f>
        <v>#VALUE!</v>
      </c>
      <c r="ID2" t="e">
        <f>AND(Plan1!C72,"AAAAAH59/+0=")</f>
        <v>#VALUE!</v>
      </c>
      <c r="IE2" t="e">
        <f>AND(Plan1!D72,"AAAAAH59/+4=")</f>
        <v>#VALUE!</v>
      </c>
      <c r="IF2" t="e">
        <f>AND(Plan1!E72,"AAAAAH59/+8=")</f>
        <v>#VALUE!</v>
      </c>
      <c r="IG2" t="e">
        <f>AND(Plan1!F72,"AAAAAH59//A=")</f>
        <v>#VALUE!</v>
      </c>
      <c r="IH2">
        <f>IF(Plan1!73:73,"AAAAAH59//E=",0)</f>
        <v>0</v>
      </c>
      <c r="II2" t="e">
        <f>AND(Plan1!A73,"AAAAAH59//I=")</f>
        <v>#VALUE!</v>
      </c>
      <c r="IJ2" t="e">
        <f>AND(Plan1!B73,"AAAAAH59//M=")</f>
        <v>#VALUE!</v>
      </c>
      <c r="IK2" t="e">
        <f>AND(Plan1!C73,"AAAAAH59//Q=")</f>
        <v>#VALUE!</v>
      </c>
      <c r="IL2" t="e">
        <f>AND(Plan1!D73,"AAAAAH59//U=")</f>
        <v>#VALUE!</v>
      </c>
      <c r="IM2" t="e">
        <f>AND(Plan1!E73,"AAAAAH59//Y=")</f>
        <v>#VALUE!</v>
      </c>
      <c r="IN2" t="e">
        <f>AND(Plan1!F73,"AAAAAH59//c=")</f>
        <v>#VALUE!</v>
      </c>
      <c r="IO2">
        <f>IF(Plan1!74:74,"AAAAAH59//g=",0)</f>
        <v>0</v>
      </c>
      <c r="IP2" t="e">
        <f>AND(Plan1!A74,"AAAAAH59//k=")</f>
        <v>#VALUE!</v>
      </c>
      <c r="IQ2" t="e">
        <f>AND(Plan1!B74,"AAAAAH59//o=")</f>
        <v>#VALUE!</v>
      </c>
      <c r="IR2" t="e">
        <f>AND(Plan1!C74,"AAAAAH59//s=")</f>
        <v>#VALUE!</v>
      </c>
      <c r="IS2" t="e">
        <f>AND(Plan1!D74,"AAAAAH59//w=")</f>
        <v>#VALUE!</v>
      </c>
      <c r="IT2" t="e">
        <f>AND(Plan1!E74,"AAAAAH59//0=")</f>
        <v>#VALUE!</v>
      </c>
      <c r="IU2" t="e">
        <f>AND(Plan1!F74,"AAAAAH59//4=")</f>
        <v>#VALUE!</v>
      </c>
      <c r="IV2">
        <f>IF(Plan1!75:75,"AAAAAH59//8=",0)</f>
        <v>0</v>
      </c>
    </row>
    <row r="3" spans="1:256">
      <c r="A3" t="e">
        <f>AND(Plan1!A75,"AAAAAF38jwA=")</f>
        <v>#VALUE!</v>
      </c>
      <c r="B3" t="e">
        <f>AND(Plan1!B75,"AAAAAF38jwE=")</f>
        <v>#VALUE!</v>
      </c>
      <c r="C3" t="e">
        <f>AND(Plan1!C75,"AAAAAF38jwI=")</f>
        <v>#VALUE!</v>
      </c>
      <c r="D3" t="e">
        <f>AND(Plan1!D75,"AAAAAF38jwM=")</f>
        <v>#VALUE!</v>
      </c>
      <c r="E3" t="e">
        <f>AND(Plan1!E75,"AAAAAF38jwQ=")</f>
        <v>#VALUE!</v>
      </c>
      <c r="F3" t="e">
        <f>AND(Plan1!F75,"AAAAAF38jwU=")</f>
        <v>#VALUE!</v>
      </c>
      <c r="G3">
        <f>IF(Plan1!76:76,"AAAAAF38jwY=",0)</f>
        <v>0</v>
      </c>
      <c r="H3" t="e">
        <f>AND(Plan1!A76,"AAAAAF38jwc=")</f>
        <v>#VALUE!</v>
      </c>
      <c r="I3" t="e">
        <f>AND(Plan1!B76,"AAAAAF38jwg=")</f>
        <v>#VALUE!</v>
      </c>
      <c r="J3" t="e">
        <f>AND(Plan1!C76,"AAAAAF38jwk=")</f>
        <v>#VALUE!</v>
      </c>
      <c r="K3" t="e">
        <f>AND(Plan1!D76,"AAAAAF38jwo=")</f>
        <v>#VALUE!</v>
      </c>
      <c r="L3" t="e">
        <f>AND(Plan1!E76,"AAAAAF38jws=")</f>
        <v>#VALUE!</v>
      </c>
      <c r="M3" t="e">
        <f>AND(Plan1!F76,"AAAAAF38jww=")</f>
        <v>#VALUE!</v>
      </c>
      <c r="N3">
        <f>IF(Plan1!77:77,"AAAAAF38jw0=",0)</f>
        <v>0</v>
      </c>
      <c r="O3" t="e">
        <f>AND(Plan1!A77,"AAAAAF38jw4=")</f>
        <v>#VALUE!</v>
      </c>
      <c r="P3" t="e">
        <f>AND(Plan1!B77,"AAAAAF38jw8=")</f>
        <v>#VALUE!</v>
      </c>
      <c r="Q3" t="e">
        <f>AND(Plan1!C77,"AAAAAF38jxA=")</f>
        <v>#VALUE!</v>
      </c>
      <c r="R3" t="e">
        <f>AND(Plan1!D77,"AAAAAF38jxE=")</f>
        <v>#VALUE!</v>
      </c>
      <c r="S3" t="e">
        <f>AND(Plan1!E77,"AAAAAF38jxI=")</f>
        <v>#VALUE!</v>
      </c>
      <c r="T3" t="e">
        <f>AND(Plan1!F77,"AAAAAF38jxM=")</f>
        <v>#VALUE!</v>
      </c>
      <c r="U3">
        <f>IF(Plan1!78:78,"AAAAAF38jxQ=",0)</f>
        <v>0</v>
      </c>
      <c r="V3" t="e">
        <f>AND(Plan1!A78,"AAAAAF38jxU=")</f>
        <v>#VALUE!</v>
      </c>
      <c r="W3" t="e">
        <f>AND(Plan1!B78,"AAAAAF38jxY=")</f>
        <v>#VALUE!</v>
      </c>
      <c r="X3" t="e">
        <f>AND(Plan1!C78,"AAAAAF38jxc=")</f>
        <v>#VALUE!</v>
      </c>
      <c r="Y3" t="e">
        <f>AND(Plan1!D78,"AAAAAF38jxg=")</f>
        <v>#VALUE!</v>
      </c>
      <c r="Z3" t="e">
        <f>AND(Plan1!E78,"AAAAAF38jxk=")</f>
        <v>#VALUE!</v>
      </c>
      <c r="AA3" t="e">
        <f>AND(Plan1!F78,"AAAAAF38jxo=")</f>
        <v>#VALUE!</v>
      </c>
      <c r="AB3">
        <f>IF(Plan1!79:79,"AAAAAF38jxs=",0)</f>
        <v>0</v>
      </c>
      <c r="AC3" t="e">
        <f>AND(Plan1!A79,"AAAAAF38jxw=")</f>
        <v>#VALUE!</v>
      </c>
      <c r="AD3" t="e">
        <f>AND(Plan1!B79,"AAAAAF38jx0=")</f>
        <v>#VALUE!</v>
      </c>
      <c r="AE3" t="e">
        <f>AND(Plan1!C79,"AAAAAF38jx4=")</f>
        <v>#VALUE!</v>
      </c>
      <c r="AF3" t="e">
        <f>AND(Plan1!D79,"AAAAAF38jx8=")</f>
        <v>#VALUE!</v>
      </c>
      <c r="AG3" t="e">
        <f>AND(Plan1!E79,"AAAAAF38jyA=")</f>
        <v>#VALUE!</v>
      </c>
      <c r="AH3" t="e">
        <f>AND(Plan1!F79,"AAAAAF38jyE=")</f>
        <v>#VALUE!</v>
      </c>
      <c r="AI3">
        <f>IF(Plan1!80:80,"AAAAAF38jyI=",0)</f>
        <v>0</v>
      </c>
      <c r="AJ3" t="e">
        <f>AND(Plan1!A80,"AAAAAF38jyM=")</f>
        <v>#VALUE!</v>
      </c>
      <c r="AK3" t="e">
        <f>AND(Plan1!B80,"AAAAAF38jyQ=")</f>
        <v>#VALUE!</v>
      </c>
      <c r="AL3" t="e">
        <f>AND(Plan1!C80,"AAAAAF38jyU=")</f>
        <v>#VALUE!</v>
      </c>
      <c r="AM3" t="e">
        <f>AND(Plan1!D80,"AAAAAF38jyY=")</f>
        <v>#VALUE!</v>
      </c>
      <c r="AN3" t="e">
        <f>AND(Plan1!E80,"AAAAAF38jyc=")</f>
        <v>#VALUE!</v>
      </c>
      <c r="AO3" t="e">
        <f>AND(Plan1!F80,"AAAAAF38jyg=")</f>
        <v>#VALUE!</v>
      </c>
      <c r="AP3">
        <f>IF(Plan1!81:81,"AAAAAF38jyk=",0)</f>
        <v>0</v>
      </c>
      <c r="AQ3" t="e">
        <f>AND(Plan1!A81,"AAAAAF38jyo=")</f>
        <v>#VALUE!</v>
      </c>
      <c r="AR3" t="e">
        <f>AND(Plan1!B81,"AAAAAF38jys=")</f>
        <v>#VALUE!</v>
      </c>
      <c r="AS3" t="e">
        <f>AND(Plan1!C81,"AAAAAF38jyw=")</f>
        <v>#VALUE!</v>
      </c>
      <c r="AT3" t="e">
        <f>AND(Plan1!D81,"AAAAAF38jy0=")</f>
        <v>#VALUE!</v>
      </c>
      <c r="AU3" t="e">
        <f>AND(Plan1!E81,"AAAAAF38jy4=")</f>
        <v>#VALUE!</v>
      </c>
      <c r="AV3" t="e">
        <f>AND(Plan1!F81,"AAAAAF38jy8=")</f>
        <v>#VALUE!</v>
      </c>
      <c r="AW3">
        <f>IF(Plan1!82:82,"AAAAAF38jzA=",0)</f>
        <v>0</v>
      </c>
      <c r="AX3" t="e">
        <f>AND(Plan1!A82,"AAAAAF38jzE=")</f>
        <v>#VALUE!</v>
      </c>
      <c r="AY3" t="e">
        <f>AND(Plan1!B82,"AAAAAF38jzI=")</f>
        <v>#VALUE!</v>
      </c>
      <c r="AZ3" t="e">
        <f>AND(Plan1!C82,"AAAAAF38jzM=")</f>
        <v>#VALUE!</v>
      </c>
      <c r="BA3" t="e">
        <f>AND(Plan1!D82,"AAAAAF38jzQ=")</f>
        <v>#VALUE!</v>
      </c>
      <c r="BB3" t="e">
        <f>AND(Plan1!E82,"AAAAAF38jzU=")</f>
        <v>#VALUE!</v>
      </c>
      <c r="BC3" t="e">
        <f>AND(Plan1!F82,"AAAAAF38jzY=")</f>
        <v>#VALUE!</v>
      </c>
      <c r="BD3">
        <f>IF(Plan1!83:83,"AAAAAF38jzc=",0)</f>
        <v>0</v>
      </c>
      <c r="BE3" t="e">
        <f>AND(Plan1!A83,"AAAAAF38jzg=")</f>
        <v>#VALUE!</v>
      </c>
      <c r="BF3" t="e">
        <f>AND(Plan1!B83,"AAAAAF38jzk=")</f>
        <v>#VALUE!</v>
      </c>
      <c r="BG3" t="e">
        <f>AND(Plan1!C83,"AAAAAF38jzo=")</f>
        <v>#VALUE!</v>
      </c>
      <c r="BH3" t="e">
        <f>AND(Plan1!D83,"AAAAAF38jzs=")</f>
        <v>#VALUE!</v>
      </c>
      <c r="BI3" t="e">
        <f>AND(Plan1!E83,"AAAAAF38jzw=")</f>
        <v>#VALUE!</v>
      </c>
      <c r="BJ3" t="e">
        <f>AND(Plan1!F83,"AAAAAF38jz0=")</f>
        <v>#VALUE!</v>
      </c>
      <c r="BK3">
        <f>IF(Plan1!84:84,"AAAAAF38jz4=",0)</f>
        <v>0</v>
      </c>
      <c r="BL3" t="e">
        <f>AND(Plan1!A84,"AAAAAF38jz8=")</f>
        <v>#VALUE!</v>
      </c>
      <c r="BM3" t="e">
        <f>AND(Plan1!B84,"AAAAAF38j0A=")</f>
        <v>#VALUE!</v>
      </c>
      <c r="BN3" t="e">
        <f>AND(Plan1!C84,"AAAAAF38j0E=")</f>
        <v>#VALUE!</v>
      </c>
      <c r="BO3" t="e">
        <f>AND(Plan1!D84,"AAAAAF38j0I=")</f>
        <v>#VALUE!</v>
      </c>
      <c r="BP3" t="e">
        <f>AND(Plan1!E84,"AAAAAF38j0M=")</f>
        <v>#VALUE!</v>
      </c>
      <c r="BQ3" t="e">
        <f>AND(Plan1!F84,"AAAAAF38j0Q=")</f>
        <v>#VALUE!</v>
      </c>
      <c r="BR3">
        <f>IF(Plan1!85:85,"AAAAAF38j0U=",0)</f>
        <v>0</v>
      </c>
      <c r="BS3" t="e">
        <f>AND(Plan1!A85,"AAAAAF38j0Y=")</f>
        <v>#VALUE!</v>
      </c>
      <c r="BT3" t="e">
        <f>AND(Plan1!B85,"AAAAAF38j0c=")</f>
        <v>#VALUE!</v>
      </c>
      <c r="BU3" t="e">
        <f>AND(Plan1!C85,"AAAAAF38j0g=")</f>
        <v>#VALUE!</v>
      </c>
      <c r="BV3" t="e">
        <f>AND(Plan1!D85,"AAAAAF38j0k=")</f>
        <v>#VALUE!</v>
      </c>
      <c r="BW3" t="e">
        <f>AND(Plan1!E85,"AAAAAF38j0o=")</f>
        <v>#VALUE!</v>
      </c>
      <c r="BX3" t="e">
        <f>AND(Plan1!F85,"AAAAAF38j0s=")</f>
        <v>#VALUE!</v>
      </c>
      <c r="BY3">
        <f>IF(Plan1!86:86,"AAAAAF38j0w=",0)</f>
        <v>0</v>
      </c>
      <c r="BZ3" t="e">
        <f>AND(Plan1!A86,"AAAAAF38j00=")</f>
        <v>#VALUE!</v>
      </c>
      <c r="CA3" t="e">
        <f>AND(Plan1!B86,"AAAAAF38j04=")</f>
        <v>#VALUE!</v>
      </c>
      <c r="CB3" t="e">
        <f>AND(Plan1!C86,"AAAAAF38j08=")</f>
        <v>#VALUE!</v>
      </c>
      <c r="CC3" t="e">
        <f>AND(Plan1!D86,"AAAAAF38j1A=")</f>
        <v>#VALUE!</v>
      </c>
      <c r="CD3" t="e">
        <f>AND(Plan1!E86,"AAAAAF38j1E=")</f>
        <v>#VALUE!</v>
      </c>
      <c r="CE3" t="e">
        <f>AND(Plan1!F86,"AAAAAF38j1I=")</f>
        <v>#VALUE!</v>
      </c>
      <c r="CF3">
        <f>IF(Plan1!87:87,"AAAAAF38j1M=",0)</f>
        <v>0</v>
      </c>
      <c r="CG3" t="e">
        <f>AND(Plan1!A87,"AAAAAF38j1Q=")</f>
        <v>#VALUE!</v>
      </c>
      <c r="CH3" t="e">
        <f>AND(Plan1!B87,"AAAAAF38j1U=")</f>
        <v>#VALUE!</v>
      </c>
      <c r="CI3" t="e">
        <f>AND(Plan1!C87,"AAAAAF38j1Y=")</f>
        <v>#VALUE!</v>
      </c>
      <c r="CJ3" t="e">
        <f>AND(Plan1!D87,"AAAAAF38j1c=")</f>
        <v>#VALUE!</v>
      </c>
      <c r="CK3" t="e">
        <f>AND(Plan1!E87,"AAAAAF38j1g=")</f>
        <v>#VALUE!</v>
      </c>
      <c r="CL3" t="e">
        <f>AND(Plan1!F87,"AAAAAF38j1k=")</f>
        <v>#VALUE!</v>
      </c>
      <c r="CM3">
        <f>IF(Plan1!88:88,"AAAAAF38j1o=",0)</f>
        <v>0</v>
      </c>
      <c r="CN3" t="e">
        <f>AND(Plan1!A88,"AAAAAF38j1s=")</f>
        <v>#VALUE!</v>
      </c>
      <c r="CO3" t="e">
        <f>AND(Plan1!B88,"AAAAAF38j1w=")</f>
        <v>#VALUE!</v>
      </c>
      <c r="CP3" t="e">
        <f>AND(Plan1!C88,"AAAAAF38j10=")</f>
        <v>#VALUE!</v>
      </c>
      <c r="CQ3" t="e">
        <f>AND(Plan1!D88,"AAAAAF38j14=")</f>
        <v>#VALUE!</v>
      </c>
      <c r="CR3" t="e">
        <f>AND(Plan1!E88,"AAAAAF38j18=")</f>
        <v>#VALUE!</v>
      </c>
      <c r="CS3" t="e">
        <f>AND(Plan1!F88,"AAAAAF38j2A=")</f>
        <v>#VALUE!</v>
      </c>
      <c r="CT3">
        <f>IF(Plan1!89:89,"AAAAAF38j2E=",0)</f>
        <v>0</v>
      </c>
      <c r="CU3" t="e">
        <f>AND(Plan1!A89,"AAAAAF38j2I=")</f>
        <v>#VALUE!</v>
      </c>
      <c r="CV3" t="e">
        <f>AND(Plan1!B89,"AAAAAF38j2M=")</f>
        <v>#VALUE!</v>
      </c>
      <c r="CW3" t="e">
        <f>AND(Plan1!C89,"AAAAAF38j2Q=")</f>
        <v>#VALUE!</v>
      </c>
      <c r="CX3" t="e">
        <f>AND(Plan1!D89,"AAAAAF38j2U=")</f>
        <v>#VALUE!</v>
      </c>
      <c r="CY3" t="e">
        <f>AND(Plan1!E89,"AAAAAF38j2Y=")</f>
        <v>#VALUE!</v>
      </c>
      <c r="CZ3" t="e">
        <f>AND(Plan1!F89,"AAAAAF38j2c=")</f>
        <v>#VALUE!</v>
      </c>
      <c r="DA3">
        <f>IF(Plan1!90:90,"AAAAAF38j2g=",0)</f>
        <v>0</v>
      </c>
      <c r="DB3" t="e">
        <f>AND(Plan1!A90,"AAAAAF38j2k=")</f>
        <v>#VALUE!</v>
      </c>
      <c r="DC3" t="e">
        <f>AND(Plan1!B90,"AAAAAF38j2o=")</f>
        <v>#VALUE!</v>
      </c>
      <c r="DD3" t="e">
        <f>AND(Plan1!C90,"AAAAAF38j2s=")</f>
        <v>#VALUE!</v>
      </c>
      <c r="DE3" t="e">
        <f>AND(Plan1!D90,"AAAAAF38j2w=")</f>
        <v>#VALUE!</v>
      </c>
      <c r="DF3" t="e">
        <f>AND(Plan1!E90,"AAAAAF38j20=")</f>
        <v>#VALUE!</v>
      </c>
      <c r="DG3" t="e">
        <f>AND(Plan1!F90,"AAAAAF38j24=")</f>
        <v>#VALUE!</v>
      </c>
      <c r="DH3">
        <f>IF(Plan1!91:91,"AAAAAF38j28=",0)</f>
        <v>0</v>
      </c>
      <c r="DI3" t="e">
        <f>AND(Plan1!A91,"AAAAAF38j3A=")</f>
        <v>#VALUE!</v>
      </c>
      <c r="DJ3" t="e">
        <f>AND(Plan1!B91,"AAAAAF38j3E=")</f>
        <v>#VALUE!</v>
      </c>
      <c r="DK3" t="e">
        <f>AND(Plan1!C91,"AAAAAF38j3I=")</f>
        <v>#VALUE!</v>
      </c>
      <c r="DL3" t="e">
        <f>AND(Plan1!D91,"AAAAAF38j3M=")</f>
        <v>#VALUE!</v>
      </c>
      <c r="DM3" t="e">
        <f>AND(Plan1!E91,"AAAAAF38j3Q=")</f>
        <v>#VALUE!</v>
      </c>
      <c r="DN3" t="e">
        <f>AND(Plan1!F91,"AAAAAF38j3U=")</f>
        <v>#VALUE!</v>
      </c>
      <c r="DO3">
        <f>IF(Plan1!92:92,"AAAAAF38j3Y=",0)</f>
        <v>0</v>
      </c>
      <c r="DP3" t="e">
        <f>AND(Plan1!A92,"AAAAAF38j3c=")</f>
        <v>#VALUE!</v>
      </c>
      <c r="DQ3" t="e">
        <f>AND(Plan1!B92,"AAAAAF38j3g=")</f>
        <v>#VALUE!</v>
      </c>
      <c r="DR3" t="e">
        <f>AND(Plan1!C92,"AAAAAF38j3k=")</f>
        <v>#VALUE!</v>
      </c>
      <c r="DS3" t="e">
        <f>AND(Plan1!D92,"AAAAAF38j3o=")</f>
        <v>#VALUE!</v>
      </c>
      <c r="DT3" t="e">
        <f>AND(Plan1!E92,"AAAAAF38j3s=")</f>
        <v>#VALUE!</v>
      </c>
      <c r="DU3" t="e">
        <f>AND(Plan1!F92,"AAAAAF38j3w=")</f>
        <v>#VALUE!</v>
      </c>
      <c r="DV3">
        <f>IF(Plan1!93:93,"AAAAAF38j30=",0)</f>
        <v>0</v>
      </c>
      <c r="DW3" t="e">
        <f>AND(Plan1!A93,"AAAAAF38j34=")</f>
        <v>#VALUE!</v>
      </c>
      <c r="DX3" t="e">
        <f>AND(Plan1!B93,"AAAAAF38j38=")</f>
        <v>#VALUE!</v>
      </c>
      <c r="DY3" t="e">
        <f>AND(Plan1!C93,"AAAAAF38j4A=")</f>
        <v>#VALUE!</v>
      </c>
      <c r="DZ3" t="e">
        <f>AND(Plan1!D93,"AAAAAF38j4E=")</f>
        <v>#VALUE!</v>
      </c>
      <c r="EA3" t="e">
        <f>AND(Plan1!E93,"AAAAAF38j4I=")</f>
        <v>#VALUE!</v>
      </c>
      <c r="EB3" t="e">
        <f>AND(Plan1!F93,"AAAAAF38j4M=")</f>
        <v>#VALUE!</v>
      </c>
      <c r="EC3">
        <f>IF(Plan1!94:94,"AAAAAF38j4Q=",0)</f>
        <v>0</v>
      </c>
      <c r="ED3" t="e">
        <f>AND(Plan1!A94,"AAAAAF38j4U=")</f>
        <v>#VALUE!</v>
      </c>
      <c r="EE3" t="e">
        <f>AND(Plan1!B94,"AAAAAF38j4Y=")</f>
        <v>#VALUE!</v>
      </c>
      <c r="EF3" t="e">
        <f>AND(Plan1!C94,"AAAAAF38j4c=")</f>
        <v>#VALUE!</v>
      </c>
      <c r="EG3" t="e">
        <f>AND(Plan1!D94,"AAAAAF38j4g=")</f>
        <v>#VALUE!</v>
      </c>
      <c r="EH3" t="e">
        <f>AND(Plan1!E94,"AAAAAF38j4k=")</f>
        <v>#VALUE!</v>
      </c>
      <c r="EI3" t="e">
        <f>AND(Plan1!F94,"AAAAAF38j4o=")</f>
        <v>#VALUE!</v>
      </c>
      <c r="EJ3">
        <f>IF(Plan1!95:95,"AAAAAF38j4s=",0)</f>
        <v>0</v>
      </c>
      <c r="EK3" t="e">
        <f>AND(Plan1!A95,"AAAAAF38j4w=")</f>
        <v>#VALUE!</v>
      </c>
      <c r="EL3" t="e">
        <f>AND(Plan1!B95,"AAAAAF38j40=")</f>
        <v>#VALUE!</v>
      </c>
      <c r="EM3" t="e">
        <f>AND(Plan1!C95,"AAAAAF38j44=")</f>
        <v>#VALUE!</v>
      </c>
      <c r="EN3" t="e">
        <f>AND(Plan1!D95,"AAAAAF38j48=")</f>
        <v>#VALUE!</v>
      </c>
      <c r="EO3" t="e">
        <f>AND(Plan1!E95,"AAAAAF38j5A=")</f>
        <v>#VALUE!</v>
      </c>
      <c r="EP3" t="e">
        <f>AND(Plan1!F95,"AAAAAF38j5E=")</f>
        <v>#VALUE!</v>
      </c>
      <c r="EQ3">
        <f>IF(Plan1!96:96,"AAAAAF38j5I=",0)</f>
        <v>0</v>
      </c>
      <c r="ER3" t="e">
        <f>AND(Plan1!A96,"AAAAAF38j5M=")</f>
        <v>#VALUE!</v>
      </c>
      <c r="ES3" t="e">
        <f>AND(Plan1!B96,"AAAAAF38j5Q=")</f>
        <v>#VALUE!</v>
      </c>
      <c r="ET3" t="e">
        <f>AND(Plan1!C96,"AAAAAF38j5U=")</f>
        <v>#VALUE!</v>
      </c>
      <c r="EU3" t="e">
        <f>AND(Plan1!D96,"AAAAAF38j5Y=")</f>
        <v>#VALUE!</v>
      </c>
      <c r="EV3" t="e">
        <f>AND(Plan1!E96,"AAAAAF38j5c=")</f>
        <v>#VALUE!</v>
      </c>
      <c r="EW3" t="e">
        <f>AND(Plan1!F96,"AAAAAF38j5g=")</f>
        <v>#VALUE!</v>
      </c>
      <c r="EX3">
        <f>IF(Plan1!97:97,"AAAAAF38j5k=",0)</f>
        <v>0</v>
      </c>
      <c r="EY3" t="e">
        <f>AND(Plan1!A97,"AAAAAF38j5o=")</f>
        <v>#VALUE!</v>
      </c>
      <c r="EZ3" t="e">
        <f>AND(Plan1!B97,"AAAAAF38j5s=")</f>
        <v>#VALUE!</v>
      </c>
      <c r="FA3" t="e">
        <f>AND(Plan1!C97,"AAAAAF38j5w=")</f>
        <v>#VALUE!</v>
      </c>
      <c r="FB3" t="e">
        <f>AND(Plan1!D97,"AAAAAF38j50=")</f>
        <v>#VALUE!</v>
      </c>
      <c r="FC3" t="e">
        <f>AND(Plan1!E97,"AAAAAF38j54=")</f>
        <v>#VALUE!</v>
      </c>
      <c r="FD3" t="e">
        <f>AND(Plan1!F97,"AAAAAF38j58=")</f>
        <v>#VALUE!</v>
      </c>
      <c r="FE3">
        <f>IF(Plan1!98:98,"AAAAAF38j6A=",0)</f>
        <v>0</v>
      </c>
      <c r="FF3" t="e">
        <f>AND(Plan1!A98,"AAAAAF38j6E=")</f>
        <v>#VALUE!</v>
      </c>
      <c r="FG3" t="e">
        <f>AND(Plan1!B98,"AAAAAF38j6I=")</f>
        <v>#VALUE!</v>
      </c>
      <c r="FH3" t="e">
        <f>AND(Plan1!C98,"AAAAAF38j6M=")</f>
        <v>#VALUE!</v>
      </c>
      <c r="FI3" t="e">
        <f>AND(Plan1!D98,"AAAAAF38j6Q=")</f>
        <v>#VALUE!</v>
      </c>
      <c r="FJ3" t="e">
        <f>AND(Plan1!E98,"AAAAAF38j6U=")</f>
        <v>#VALUE!</v>
      </c>
      <c r="FK3" t="e">
        <f>AND(Plan1!F98,"AAAAAF38j6Y=")</f>
        <v>#VALUE!</v>
      </c>
      <c r="FL3">
        <f>IF(Plan1!99:99,"AAAAAF38j6c=",0)</f>
        <v>0</v>
      </c>
      <c r="FM3" t="e">
        <f>AND(Plan1!A99,"AAAAAF38j6g=")</f>
        <v>#VALUE!</v>
      </c>
      <c r="FN3" t="e">
        <f>AND(Plan1!B99,"AAAAAF38j6k=")</f>
        <v>#VALUE!</v>
      </c>
      <c r="FO3" t="e">
        <f>AND(Plan1!C99,"AAAAAF38j6o=")</f>
        <v>#VALUE!</v>
      </c>
      <c r="FP3" t="e">
        <f>AND(Plan1!D99,"AAAAAF38j6s=")</f>
        <v>#VALUE!</v>
      </c>
      <c r="FQ3" t="e">
        <f>AND(Plan1!E99,"AAAAAF38j6w=")</f>
        <v>#VALUE!</v>
      </c>
      <c r="FR3" t="e">
        <f>AND(Plan1!F99,"AAAAAF38j60=")</f>
        <v>#VALUE!</v>
      </c>
      <c r="FS3">
        <f>IF(Plan1!100:100,"AAAAAF38j64=",0)</f>
        <v>0</v>
      </c>
      <c r="FT3" t="e">
        <f>AND(Plan1!A100,"AAAAAF38j68=")</f>
        <v>#VALUE!</v>
      </c>
      <c r="FU3" t="e">
        <f>AND(Plan1!B100,"AAAAAF38j7A=")</f>
        <v>#VALUE!</v>
      </c>
      <c r="FV3" t="e">
        <f>AND(Plan1!C100,"AAAAAF38j7E=")</f>
        <v>#VALUE!</v>
      </c>
      <c r="FW3" t="e">
        <f>AND(Plan1!D100,"AAAAAF38j7I=")</f>
        <v>#VALUE!</v>
      </c>
      <c r="FX3" t="e">
        <f>AND(Plan1!E100,"AAAAAF38j7M=")</f>
        <v>#VALUE!</v>
      </c>
      <c r="FY3" t="e">
        <f>AND(Plan1!F100,"AAAAAF38j7Q=")</f>
        <v>#VALUE!</v>
      </c>
      <c r="FZ3">
        <f>IF(Plan1!101:101,"AAAAAF38j7U=",0)</f>
        <v>0</v>
      </c>
      <c r="GA3" t="e">
        <f>AND(Plan1!A101,"AAAAAF38j7Y=")</f>
        <v>#VALUE!</v>
      </c>
      <c r="GB3" t="e">
        <f>AND(Plan1!B101,"AAAAAF38j7c=")</f>
        <v>#VALUE!</v>
      </c>
      <c r="GC3" t="e">
        <f>AND(Plan1!C101,"AAAAAF38j7g=")</f>
        <v>#VALUE!</v>
      </c>
      <c r="GD3" t="e">
        <f>AND(Plan1!D101,"AAAAAF38j7k=")</f>
        <v>#VALUE!</v>
      </c>
      <c r="GE3" t="e">
        <f>AND(Plan1!E101,"AAAAAF38j7o=")</f>
        <v>#VALUE!</v>
      </c>
      <c r="GF3" t="e">
        <f>AND(Plan1!F101,"AAAAAF38j7s=")</f>
        <v>#VALUE!</v>
      </c>
      <c r="GG3">
        <f>IF(Plan1!102:102,"AAAAAF38j7w=",0)</f>
        <v>0</v>
      </c>
      <c r="GH3" t="e">
        <f>AND(Plan1!A102,"AAAAAF38j70=")</f>
        <v>#VALUE!</v>
      </c>
      <c r="GI3" t="e">
        <f>AND(Plan1!B102,"AAAAAF38j74=")</f>
        <v>#VALUE!</v>
      </c>
      <c r="GJ3" t="e">
        <f>AND(Plan1!C102,"AAAAAF38j78=")</f>
        <v>#VALUE!</v>
      </c>
      <c r="GK3" t="e">
        <f>AND(Plan1!D102,"AAAAAF38j8A=")</f>
        <v>#VALUE!</v>
      </c>
      <c r="GL3" t="e">
        <f>AND(Plan1!E102,"AAAAAF38j8E=")</f>
        <v>#VALUE!</v>
      </c>
      <c r="GM3" t="e">
        <f>AND(Plan1!F102,"AAAAAF38j8I=")</f>
        <v>#VALUE!</v>
      </c>
      <c r="GN3">
        <f>IF(Plan1!103:103,"AAAAAF38j8M=",0)</f>
        <v>0</v>
      </c>
      <c r="GO3" t="e">
        <f>AND(Plan1!A103,"AAAAAF38j8Q=")</f>
        <v>#VALUE!</v>
      </c>
      <c r="GP3" t="e">
        <f>AND(Plan1!B103,"AAAAAF38j8U=")</f>
        <v>#VALUE!</v>
      </c>
      <c r="GQ3" t="e">
        <f>AND(Plan1!C103,"AAAAAF38j8Y=")</f>
        <v>#VALUE!</v>
      </c>
      <c r="GR3" t="e">
        <f>AND(Plan1!D103,"AAAAAF38j8c=")</f>
        <v>#VALUE!</v>
      </c>
      <c r="GS3" t="e">
        <f>AND(Plan1!E103,"AAAAAF38j8g=")</f>
        <v>#VALUE!</v>
      </c>
      <c r="GT3" t="e">
        <f>AND(Plan1!F103,"AAAAAF38j8k=")</f>
        <v>#VALUE!</v>
      </c>
      <c r="GU3">
        <f>IF(Plan1!104:104,"AAAAAF38j8o=",0)</f>
        <v>0</v>
      </c>
      <c r="GV3" t="e">
        <f>AND(Plan1!A104,"AAAAAF38j8s=")</f>
        <v>#VALUE!</v>
      </c>
      <c r="GW3" t="e">
        <f>AND(Plan1!B104,"AAAAAF38j8w=")</f>
        <v>#VALUE!</v>
      </c>
      <c r="GX3" t="e">
        <f>AND(Plan1!C104,"AAAAAF38j80=")</f>
        <v>#VALUE!</v>
      </c>
      <c r="GY3" t="e">
        <f>AND(Plan1!D104,"AAAAAF38j84=")</f>
        <v>#VALUE!</v>
      </c>
      <c r="GZ3" t="e">
        <f>AND(Plan1!E104,"AAAAAF38j88=")</f>
        <v>#VALUE!</v>
      </c>
      <c r="HA3" t="e">
        <f>AND(Plan1!F104,"AAAAAF38j9A=")</f>
        <v>#VALUE!</v>
      </c>
      <c r="HB3">
        <f>IF(Plan1!105:105,"AAAAAF38j9E=",0)</f>
        <v>0</v>
      </c>
      <c r="HC3" t="e">
        <f>AND(Plan1!A105,"AAAAAF38j9I=")</f>
        <v>#VALUE!</v>
      </c>
      <c r="HD3" t="e">
        <f>AND(Plan1!B105,"AAAAAF38j9M=")</f>
        <v>#VALUE!</v>
      </c>
      <c r="HE3" t="e">
        <f>AND(Plan1!C105,"AAAAAF38j9Q=")</f>
        <v>#VALUE!</v>
      </c>
      <c r="HF3" t="e">
        <f>AND(Plan1!D105,"AAAAAF38j9U=")</f>
        <v>#VALUE!</v>
      </c>
      <c r="HG3" t="e">
        <f>AND(Plan1!E105,"AAAAAF38j9Y=")</f>
        <v>#VALUE!</v>
      </c>
      <c r="HH3" t="e">
        <f>AND(Plan1!F105,"AAAAAF38j9c=")</f>
        <v>#VALUE!</v>
      </c>
      <c r="HI3">
        <f>IF(Plan1!106:106,"AAAAAF38j9g=",0)</f>
        <v>0</v>
      </c>
      <c r="HJ3" t="e">
        <f>AND(Plan1!A106,"AAAAAF38j9k=")</f>
        <v>#VALUE!</v>
      </c>
      <c r="HK3" t="e">
        <f>AND(Plan1!B106,"AAAAAF38j9o=")</f>
        <v>#VALUE!</v>
      </c>
      <c r="HL3" t="e">
        <f>AND(Plan1!C106,"AAAAAF38j9s=")</f>
        <v>#VALUE!</v>
      </c>
      <c r="HM3" t="e">
        <f>AND(Plan1!D106,"AAAAAF38j9w=")</f>
        <v>#VALUE!</v>
      </c>
      <c r="HN3" t="e">
        <f>AND(Plan1!E106,"AAAAAF38j90=")</f>
        <v>#VALUE!</v>
      </c>
      <c r="HO3" t="e">
        <f>AND(Plan1!F106,"AAAAAF38j94=")</f>
        <v>#VALUE!</v>
      </c>
      <c r="HP3">
        <f>IF(Plan1!107:107,"AAAAAF38j98=",0)</f>
        <v>0</v>
      </c>
      <c r="HQ3" t="e">
        <f>AND(Plan1!A107,"AAAAAF38j+A=")</f>
        <v>#VALUE!</v>
      </c>
      <c r="HR3" t="e">
        <f>AND(Plan1!B107,"AAAAAF38j+E=")</f>
        <v>#VALUE!</v>
      </c>
      <c r="HS3" t="e">
        <f>AND(Plan1!C107,"AAAAAF38j+I=")</f>
        <v>#VALUE!</v>
      </c>
      <c r="HT3" t="e">
        <f>AND(Plan1!D107,"AAAAAF38j+M=")</f>
        <v>#VALUE!</v>
      </c>
      <c r="HU3" t="e">
        <f>AND(Plan1!E107,"AAAAAF38j+Q=")</f>
        <v>#VALUE!</v>
      </c>
      <c r="HV3" t="e">
        <f>AND(Plan1!F107,"AAAAAF38j+U=")</f>
        <v>#VALUE!</v>
      </c>
      <c r="HW3">
        <f>IF(Plan1!108:108,"AAAAAF38j+Y=",0)</f>
        <v>0</v>
      </c>
      <c r="HX3" t="e">
        <f>AND(Plan1!A108,"AAAAAF38j+c=")</f>
        <v>#VALUE!</v>
      </c>
      <c r="HY3" t="e">
        <f>AND(Plan1!B108,"AAAAAF38j+g=")</f>
        <v>#VALUE!</v>
      </c>
      <c r="HZ3" t="e">
        <f>AND(Plan1!C108,"AAAAAF38j+k=")</f>
        <v>#VALUE!</v>
      </c>
      <c r="IA3" t="e">
        <f>AND(Plan1!D108,"AAAAAF38j+o=")</f>
        <v>#VALUE!</v>
      </c>
      <c r="IB3" t="e">
        <f>AND(Plan1!E108,"AAAAAF38j+s=")</f>
        <v>#VALUE!</v>
      </c>
      <c r="IC3" t="e">
        <f>AND(Plan1!F108,"AAAAAF38j+w=")</f>
        <v>#VALUE!</v>
      </c>
      <c r="ID3">
        <f>IF(Plan1!109:109,"AAAAAF38j+0=",0)</f>
        <v>0</v>
      </c>
      <c r="IE3" t="e">
        <f>AND(Plan1!A109,"AAAAAF38j+4=")</f>
        <v>#VALUE!</v>
      </c>
      <c r="IF3" t="e">
        <f>AND(Plan1!B109,"AAAAAF38j+8=")</f>
        <v>#VALUE!</v>
      </c>
      <c r="IG3" t="e">
        <f>AND(Plan1!C109,"AAAAAF38j/A=")</f>
        <v>#VALUE!</v>
      </c>
      <c r="IH3" t="e">
        <f>AND(Plan1!D109,"AAAAAF38j/E=")</f>
        <v>#VALUE!</v>
      </c>
      <c r="II3" t="e">
        <f>AND(Plan1!E109,"AAAAAF38j/I=")</f>
        <v>#VALUE!</v>
      </c>
      <c r="IJ3" t="e">
        <f>AND(Plan1!F109,"AAAAAF38j/M=")</f>
        <v>#VALUE!</v>
      </c>
      <c r="IK3">
        <f>IF(Plan1!110:110,"AAAAAF38j/Q=",0)</f>
        <v>0</v>
      </c>
      <c r="IL3" t="e">
        <f>AND(Plan1!A110,"AAAAAF38j/U=")</f>
        <v>#VALUE!</v>
      </c>
      <c r="IM3" t="e">
        <f>AND(Plan1!B110,"AAAAAF38j/Y=")</f>
        <v>#VALUE!</v>
      </c>
      <c r="IN3" t="e">
        <f>AND(Plan1!C110,"AAAAAF38j/c=")</f>
        <v>#VALUE!</v>
      </c>
      <c r="IO3" t="e">
        <f>AND(Plan1!D110,"AAAAAF38j/g=")</f>
        <v>#VALUE!</v>
      </c>
      <c r="IP3" t="e">
        <f>AND(Plan1!E110,"AAAAAF38j/k=")</f>
        <v>#VALUE!</v>
      </c>
      <c r="IQ3" t="e">
        <f>AND(Plan1!F110,"AAAAAF38j/o=")</f>
        <v>#VALUE!</v>
      </c>
      <c r="IR3">
        <f>IF(Plan1!111:111,"AAAAAF38j/s=",0)</f>
        <v>0</v>
      </c>
      <c r="IS3" t="e">
        <f>AND(Plan1!A111,"AAAAAF38j/w=")</f>
        <v>#VALUE!</v>
      </c>
      <c r="IT3" t="e">
        <f>AND(Plan1!B111,"AAAAAF38j/0=")</f>
        <v>#VALUE!</v>
      </c>
      <c r="IU3" t="e">
        <f>AND(Plan1!C111,"AAAAAF38j/4=")</f>
        <v>#VALUE!</v>
      </c>
      <c r="IV3" t="e">
        <f>AND(Plan1!D111,"AAAAAF38j/8=")</f>
        <v>#VALUE!</v>
      </c>
    </row>
    <row r="4" spans="1:256">
      <c r="A4" t="e">
        <f>AND(Plan1!E111,"AAAAAHf+zQA=")</f>
        <v>#VALUE!</v>
      </c>
      <c r="B4" t="e">
        <f>AND(Plan1!F111,"AAAAAHf+zQE=")</f>
        <v>#VALUE!</v>
      </c>
      <c r="C4" t="e">
        <f>IF(Plan1!112:112,"AAAAAHf+zQI=",0)</f>
        <v>#VALUE!</v>
      </c>
      <c r="D4" t="e">
        <f>AND(Plan1!A112,"AAAAAHf+zQM=")</f>
        <v>#VALUE!</v>
      </c>
      <c r="E4" t="e">
        <f>AND(Plan1!B112,"AAAAAHf+zQQ=")</f>
        <v>#VALUE!</v>
      </c>
      <c r="F4" t="e">
        <f>AND(Plan1!C112,"AAAAAHf+zQU=")</f>
        <v>#VALUE!</v>
      </c>
      <c r="G4" t="e">
        <f>AND(Plan1!D112,"AAAAAHf+zQY=")</f>
        <v>#VALUE!</v>
      </c>
      <c r="H4" t="e">
        <f>AND(Plan1!E112,"AAAAAHf+zQc=")</f>
        <v>#VALUE!</v>
      </c>
      <c r="I4" t="e">
        <f>AND(Plan1!F112,"AAAAAHf+zQg=")</f>
        <v>#VALUE!</v>
      </c>
      <c r="J4">
        <f>IF(Plan1!113:113,"AAAAAHf+zQk=",0)</f>
        <v>0</v>
      </c>
      <c r="K4" t="e">
        <f>AND(Plan1!A113,"AAAAAHf+zQo=")</f>
        <v>#VALUE!</v>
      </c>
      <c r="L4" t="e">
        <f>AND(Plan1!B113,"AAAAAHf+zQs=")</f>
        <v>#VALUE!</v>
      </c>
      <c r="M4" t="e">
        <f>AND(Plan1!C113,"AAAAAHf+zQw=")</f>
        <v>#VALUE!</v>
      </c>
      <c r="N4" t="e">
        <f>AND(Plan1!D113,"AAAAAHf+zQ0=")</f>
        <v>#VALUE!</v>
      </c>
      <c r="O4" t="e">
        <f>AND(Plan1!E113,"AAAAAHf+zQ4=")</f>
        <v>#VALUE!</v>
      </c>
      <c r="P4" t="e">
        <f>AND(Plan1!F113,"AAAAAHf+zQ8=")</f>
        <v>#VALUE!</v>
      </c>
      <c r="Q4">
        <f>IF(Plan1!114:114,"AAAAAHf+zRA=",0)</f>
        <v>0</v>
      </c>
      <c r="R4" t="e">
        <f>AND(Plan1!A114,"AAAAAHf+zRE=")</f>
        <v>#VALUE!</v>
      </c>
      <c r="S4" t="e">
        <f>AND(Plan1!B114,"AAAAAHf+zRI=")</f>
        <v>#VALUE!</v>
      </c>
      <c r="T4" t="e">
        <f>AND(Plan1!C114,"AAAAAHf+zRM=")</f>
        <v>#VALUE!</v>
      </c>
      <c r="U4" t="e">
        <f>AND(Plan1!D114,"AAAAAHf+zRQ=")</f>
        <v>#VALUE!</v>
      </c>
      <c r="V4" t="e">
        <f>AND(Plan1!E114,"AAAAAHf+zRU=")</f>
        <v>#VALUE!</v>
      </c>
      <c r="W4" t="e">
        <f>AND(Plan1!F114,"AAAAAHf+zRY=")</f>
        <v>#VALUE!</v>
      </c>
      <c r="X4">
        <f>IF(Plan1!115:115,"AAAAAHf+zRc=",0)</f>
        <v>0</v>
      </c>
      <c r="Y4" t="e">
        <f>AND(Plan1!A115,"AAAAAHf+zRg=")</f>
        <v>#VALUE!</v>
      </c>
      <c r="Z4" t="e">
        <f>AND(Plan1!B115,"AAAAAHf+zRk=")</f>
        <v>#VALUE!</v>
      </c>
      <c r="AA4" t="e">
        <f>AND(Plan1!C115,"AAAAAHf+zRo=")</f>
        <v>#VALUE!</v>
      </c>
      <c r="AB4" t="e">
        <f>AND(Plan1!D115,"AAAAAHf+zRs=")</f>
        <v>#VALUE!</v>
      </c>
      <c r="AC4" t="e">
        <f>AND(Plan1!E115,"AAAAAHf+zRw=")</f>
        <v>#VALUE!</v>
      </c>
      <c r="AD4" t="e">
        <f>AND(Plan1!F115,"AAAAAHf+zR0=")</f>
        <v>#VALUE!</v>
      </c>
      <c r="AE4">
        <f>IF(Plan1!116:116,"AAAAAHf+zR4=",0)</f>
        <v>0</v>
      </c>
      <c r="AF4" t="e">
        <f>AND(Plan1!A116,"AAAAAHf+zR8=")</f>
        <v>#VALUE!</v>
      </c>
      <c r="AG4" t="e">
        <f>AND(Plan1!B116,"AAAAAHf+zSA=")</f>
        <v>#VALUE!</v>
      </c>
      <c r="AH4" t="e">
        <f>AND(Plan1!C116,"AAAAAHf+zSE=")</f>
        <v>#VALUE!</v>
      </c>
      <c r="AI4" t="e">
        <f>AND(Plan1!D116,"AAAAAHf+zSI=")</f>
        <v>#VALUE!</v>
      </c>
      <c r="AJ4" t="e">
        <f>AND(Plan1!E116,"AAAAAHf+zSM=")</f>
        <v>#VALUE!</v>
      </c>
      <c r="AK4" t="e">
        <f>AND(Plan1!F116,"AAAAAHf+zSQ=")</f>
        <v>#VALUE!</v>
      </c>
      <c r="AL4">
        <f>IF(Plan1!117:117,"AAAAAHf+zSU=",0)</f>
        <v>0</v>
      </c>
      <c r="AM4" t="e">
        <f>AND(Plan1!A117,"AAAAAHf+zSY=")</f>
        <v>#VALUE!</v>
      </c>
      <c r="AN4" t="e">
        <f>AND(Plan1!B117,"AAAAAHf+zSc=")</f>
        <v>#VALUE!</v>
      </c>
      <c r="AO4" t="e">
        <f>AND(Plan1!C117,"AAAAAHf+zSg=")</f>
        <v>#VALUE!</v>
      </c>
      <c r="AP4" t="e">
        <f>AND(Plan1!D117,"AAAAAHf+zSk=")</f>
        <v>#VALUE!</v>
      </c>
      <c r="AQ4" t="e">
        <f>AND(Plan1!E117,"AAAAAHf+zSo=")</f>
        <v>#VALUE!</v>
      </c>
      <c r="AR4" t="e">
        <f>AND(Plan1!F117,"AAAAAHf+zSs=")</f>
        <v>#VALUE!</v>
      </c>
      <c r="AS4">
        <f>IF(Plan1!118:118,"AAAAAHf+zSw=",0)</f>
        <v>0</v>
      </c>
      <c r="AT4" t="e">
        <f>AND(Plan1!A118,"AAAAAHf+zS0=")</f>
        <v>#VALUE!</v>
      </c>
      <c r="AU4" t="e">
        <f>AND(Plan1!B118,"AAAAAHf+zS4=")</f>
        <v>#VALUE!</v>
      </c>
      <c r="AV4" t="e">
        <f>AND(Plan1!C118,"AAAAAHf+zS8=")</f>
        <v>#VALUE!</v>
      </c>
      <c r="AW4" t="e">
        <f>AND(Plan1!D118,"AAAAAHf+zTA=")</f>
        <v>#VALUE!</v>
      </c>
      <c r="AX4" t="e">
        <f>AND(Plan1!E118,"AAAAAHf+zTE=")</f>
        <v>#VALUE!</v>
      </c>
      <c r="AY4" t="e">
        <f>AND(Plan1!F118,"AAAAAHf+zTI=")</f>
        <v>#VALUE!</v>
      </c>
      <c r="AZ4">
        <f>IF(Plan1!119:119,"AAAAAHf+zTM=",0)</f>
        <v>0</v>
      </c>
      <c r="BA4" t="e">
        <f>AND(Plan1!A119,"AAAAAHf+zTQ=")</f>
        <v>#VALUE!</v>
      </c>
      <c r="BB4" t="e">
        <f>AND(Plan1!B119,"AAAAAHf+zTU=")</f>
        <v>#VALUE!</v>
      </c>
      <c r="BC4" t="e">
        <f>AND(Plan1!C119,"AAAAAHf+zTY=")</f>
        <v>#VALUE!</v>
      </c>
      <c r="BD4" t="e">
        <f>AND(Plan1!D119,"AAAAAHf+zTc=")</f>
        <v>#VALUE!</v>
      </c>
      <c r="BE4" t="e">
        <f>AND(Plan1!E119,"AAAAAHf+zTg=")</f>
        <v>#VALUE!</v>
      </c>
      <c r="BF4" t="e">
        <f>AND(Plan1!F119,"AAAAAHf+zTk=")</f>
        <v>#VALUE!</v>
      </c>
      <c r="BG4">
        <f>IF(Plan1!120:120,"AAAAAHf+zTo=",0)</f>
        <v>0</v>
      </c>
      <c r="BH4" t="e">
        <f>AND(Plan1!A120,"AAAAAHf+zTs=")</f>
        <v>#VALUE!</v>
      </c>
      <c r="BI4" t="e">
        <f>AND(Plan1!B120,"AAAAAHf+zTw=")</f>
        <v>#VALUE!</v>
      </c>
      <c r="BJ4" t="e">
        <f>AND(Plan1!C120,"AAAAAHf+zT0=")</f>
        <v>#VALUE!</v>
      </c>
      <c r="BK4" t="e">
        <f>AND(Plan1!D120,"AAAAAHf+zT4=")</f>
        <v>#VALUE!</v>
      </c>
      <c r="BL4" t="e">
        <f>AND(Plan1!E120,"AAAAAHf+zT8=")</f>
        <v>#VALUE!</v>
      </c>
      <c r="BM4" t="e">
        <f>AND(Plan1!F120,"AAAAAHf+zUA=")</f>
        <v>#VALUE!</v>
      </c>
      <c r="BN4">
        <f>IF(Plan1!121:121,"AAAAAHf+zUE=",0)</f>
        <v>0</v>
      </c>
      <c r="BO4" t="e">
        <f>AND(Plan1!A121,"AAAAAHf+zUI=")</f>
        <v>#VALUE!</v>
      </c>
      <c r="BP4" t="e">
        <f>AND(Plan1!B121,"AAAAAHf+zUM=")</f>
        <v>#VALUE!</v>
      </c>
      <c r="BQ4" t="e">
        <f>AND(Plan1!C121,"AAAAAHf+zUQ=")</f>
        <v>#VALUE!</v>
      </c>
      <c r="BR4" t="e">
        <f>AND(Plan1!D121,"AAAAAHf+zUU=")</f>
        <v>#VALUE!</v>
      </c>
      <c r="BS4" t="e">
        <f>AND(Plan1!E121,"AAAAAHf+zUY=")</f>
        <v>#VALUE!</v>
      </c>
      <c r="BT4" t="e">
        <f>AND(Plan1!F121,"AAAAAHf+zUc=")</f>
        <v>#VALUE!</v>
      </c>
      <c r="BU4">
        <f>IF(Plan1!122:122,"AAAAAHf+zUg=",0)</f>
        <v>0</v>
      </c>
      <c r="BV4" t="e">
        <f>AND(Plan1!A122,"AAAAAHf+zUk=")</f>
        <v>#VALUE!</v>
      </c>
      <c r="BW4" t="e">
        <f>AND(Plan1!B122,"AAAAAHf+zUo=")</f>
        <v>#VALUE!</v>
      </c>
      <c r="BX4" t="e">
        <f>AND(Plan1!C122,"AAAAAHf+zUs=")</f>
        <v>#VALUE!</v>
      </c>
      <c r="BY4" t="e">
        <f>AND(Plan1!D122,"AAAAAHf+zUw=")</f>
        <v>#VALUE!</v>
      </c>
      <c r="BZ4" t="e">
        <f>AND(Plan1!E122,"AAAAAHf+zU0=")</f>
        <v>#VALUE!</v>
      </c>
      <c r="CA4" t="e">
        <f>AND(Plan1!F122,"AAAAAHf+zU4=")</f>
        <v>#VALUE!</v>
      </c>
      <c r="CB4">
        <f>IF(Plan1!123:123,"AAAAAHf+zU8=",0)</f>
        <v>0</v>
      </c>
      <c r="CC4" t="e">
        <f>AND(Plan1!A123,"AAAAAHf+zVA=")</f>
        <v>#VALUE!</v>
      </c>
      <c r="CD4" t="e">
        <f>AND(Plan1!B123,"AAAAAHf+zVE=")</f>
        <v>#VALUE!</v>
      </c>
      <c r="CE4" t="e">
        <f>AND(Plan1!C123,"AAAAAHf+zVI=")</f>
        <v>#VALUE!</v>
      </c>
      <c r="CF4" t="e">
        <f>AND(Plan1!D123,"AAAAAHf+zVM=")</f>
        <v>#VALUE!</v>
      </c>
      <c r="CG4" t="e">
        <f>AND(Plan1!E123,"AAAAAHf+zVQ=")</f>
        <v>#VALUE!</v>
      </c>
      <c r="CH4" t="e">
        <f>AND(Plan1!F123,"AAAAAHf+zVU=")</f>
        <v>#VALUE!</v>
      </c>
      <c r="CI4">
        <f>IF(Plan1!124:124,"AAAAAHf+zVY=",0)</f>
        <v>0</v>
      </c>
      <c r="CJ4" t="e">
        <f>AND(Plan1!A124,"AAAAAHf+zVc=")</f>
        <v>#VALUE!</v>
      </c>
      <c r="CK4" t="e">
        <f>AND(Plan1!B124,"AAAAAHf+zVg=")</f>
        <v>#VALUE!</v>
      </c>
      <c r="CL4" t="e">
        <f>AND(Plan1!C124,"AAAAAHf+zVk=")</f>
        <v>#VALUE!</v>
      </c>
      <c r="CM4" t="e">
        <f>AND(Plan1!D124,"AAAAAHf+zVo=")</f>
        <v>#VALUE!</v>
      </c>
      <c r="CN4" t="e">
        <f>AND(Plan1!E124,"AAAAAHf+zVs=")</f>
        <v>#VALUE!</v>
      </c>
      <c r="CO4" t="e">
        <f>AND(Plan1!F124,"AAAAAHf+zVw=")</f>
        <v>#VALUE!</v>
      </c>
      <c r="CP4">
        <f>IF(Plan1!125:125,"AAAAAHf+zV0=",0)</f>
        <v>0</v>
      </c>
      <c r="CQ4" t="e">
        <f>AND(Plan1!A125,"AAAAAHf+zV4=")</f>
        <v>#VALUE!</v>
      </c>
      <c r="CR4" t="e">
        <f>AND(Plan1!B125,"AAAAAHf+zV8=")</f>
        <v>#VALUE!</v>
      </c>
      <c r="CS4" t="e">
        <f>AND(Plan1!C125,"AAAAAHf+zWA=")</f>
        <v>#VALUE!</v>
      </c>
      <c r="CT4" t="e">
        <f>AND(Plan1!D125,"AAAAAHf+zWE=")</f>
        <v>#VALUE!</v>
      </c>
      <c r="CU4" t="e">
        <f>AND(Plan1!E125,"AAAAAHf+zWI=")</f>
        <v>#VALUE!</v>
      </c>
      <c r="CV4" t="e">
        <f>AND(Plan1!F125,"AAAAAHf+zWM=")</f>
        <v>#VALUE!</v>
      </c>
      <c r="CW4">
        <f>IF(Plan1!126:126,"AAAAAHf+zWQ=",0)</f>
        <v>0</v>
      </c>
      <c r="CX4" t="e">
        <f>AND(Plan1!A126,"AAAAAHf+zWU=")</f>
        <v>#VALUE!</v>
      </c>
      <c r="CY4" t="e">
        <f>AND(Plan1!B126,"AAAAAHf+zWY=")</f>
        <v>#VALUE!</v>
      </c>
      <c r="CZ4" t="e">
        <f>AND(Plan1!C126,"AAAAAHf+zWc=")</f>
        <v>#VALUE!</v>
      </c>
      <c r="DA4" t="e">
        <f>AND(Plan1!D126,"AAAAAHf+zWg=")</f>
        <v>#VALUE!</v>
      </c>
      <c r="DB4" t="e">
        <f>AND(Plan1!E126,"AAAAAHf+zWk=")</f>
        <v>#VALUE!</v>
      </c>
      <c r="DC4" t="e">
        <f>AND(Plan1!F126,"AAAAAHf+zWo=")</f>
        <v>#VALUE!</v>
      </c>
      <c r="DD4">
        <f>IF(Plan1!127:127,"AAAAAHf+zWs=",0)</f>
        <v>0</v>
      </c>
      <c r="DE4" t="e">
        <f>AND(Plan1!A127,"AAAAAHf+zWw=")</f>
        <v>#VALUE!</v>
      </c>
      <c r="DF4" t="e">
        <f>AND(Plan1!B127,"AAAAAHf+zW0=")</f>
        <v>#VALUE!</v>
      </c>
      <c r="DG4" t="e">
        <f>AND(Plan1!C127,"AAAAAHf+zW4=")</f>
        <v>#VALUE!</v>
      </c>
      <c r="DH4" t="e">
        <f>AND(Plan1!D127,"AAAAAHf+zW8=")</f>
        <v>#VALUE!</v>
      </c>
      <c r="DI4" t="e">
        <f>AND(Plan1!E127,"AAAAAHf+zXA=")</f>
        <v>#VALUE!</v>
      </c>
      <c r="DJ4" t="e">
        <f>AND(Plan1!F127,"AAAAAHf+zXE=")</f>
        <v>#VALUE!</v>
      </c>
      <c r="DK4">
        <f>IF(Plan1!128:128,"AAAAAHf+zXI=",0)</f>
        <v>0</v>
      </c>
      <c r="DL4" t="e">
        <f>AND(Plan1!A128,"AAAAAHf+zXM=")</f>
        <v>#VALUE!</v>
      </c>
      <c r="DM4" t="e">
        <f>AND(Plan1!B128,"AAAAAHf+zXQ=")</f>
        <v>#VALUE!</v>
      </c>
      <c r="DN4" t="e">
        <f>AND(Plan1!C128,"AAAAAHf+zXU=")</f>
        <v>#VALUE!</v>
      </c>
      <c r="DO4" t="e">
        <f>AND(Plan1!D128,"AAAAAHf+zXY=")</f>
        <v>#VALUE!</v>
      </c>
      <c r="DP4" t="e">
        <f>AND(Plan1!E128,"AAAAAHf+zXc=")</f>
        <v>#VALUE!</v>
      </c>
      <c r="DQ4" t="e">
        <f>AND(Plan1!F128,"AAAAAHf+zXg=")</f>
        <v>#VALUE!</v>
      </c>
      <c r="DR4">
        <f>IF(Plan1!129:129,"AAAAAHf+zXk=",0)</f>
        <v>0</v>
      </c>
      <c r="DS4" t="e">
        <f>AND(Plan1!A129,"AAAAAHf+zXo=")</f>
        <v>#VALUE!</v>
      </c>
      <c r="DT4" t="e">
        <f>AND(Plan1!B129,"AAAAAHf+zXs=")</f>
        <v>#VALUE!</v>
      </c>
      <c r="DU4" t="e">
        <f>AND(Plan1!C129,"AAAAAHf+zXw=")</f>
        <v>#VALUE!</v>
      </c>
      <c r="DV4" t="e">
        <f>AND(Plan1!D129,"AAAAAHf+zX0=")</f>
        <v>#VALUE!</v>
      </c>
      <c r="DW4" t="e">
        <f>AND(Plan1!E129,"AAAAAHf+zX4=")</f>
        <v>#VALUE!</v>
      </c>
      <c r="DX4" t="e">
        <f>AND(Plan1!F129,"AAAAAHf+zX8=")</f>
        <v>#VALUE!</v>
      </c>
      <c r="DY4">
        <f>IF(Plan1!130:130,"AAAAAHf+zYA=",0)</f>
        <v>0</v>
      </c>
      <c r="DZ4" t="e">
        <f>AND(Plan1!A130,"AAAAAHf+zYE=")</f>
        <v>#VALUE!</v>
      </c>
      <c r="EA4" t="e">
        <f>AND(Plan1!B130,"AAAAAHf+zYI=")</f>
        <v>#VALUE!</v>
      </c>
      <c r="EB4" t="e">
        <f>AND(Plan1!C130,"AAAAAHf+zYM=")</f>
        <v>#VALUE!</v>
      </c>
      <c r="EC4" t="e">
        <f>AND(Plan1!D130,"AAAAAHf+zYQ=")</f>
        <v>#VALUE!</v>
      </c>
      <c r="ED4" t="e">
        <f>AND(Plan1!E130,"AAAAAHf+zYU=")</f>
        <v>#VALUE!</v>
      </c>
      <c r="EE4" t="e">
        <f>AND(Plan1!F130,"AAAAAHf+zYY=")</f>
        <v>#VALUE!</v>
      </c>
      <c r="EF4">
        <f>IF(Plan1!131:131,"AAAAAHf+zYc=",0)</f>
        <v>0</v>
      </c>
      <c r="EG4" t="e">
        <f>AND(Plan1!A131,"AAAAAHf+zYg=")</f>
        <v>#VALUE!</v>
      </c>
      <c r="EH4" t="e">
        <f>AND(Plan1!B131,"AAAAAHf+zYk=")</f>
        <v>#VALUE!</v>
      </c>
      <c r="EI4" t="e">
        <f>AND(Plan1!C131,"AAAAAHf+zYo=")</f>
        <v>#VALUE!</v>
      </c>
      <c r="EJ4" t="e">
        <f>AND(Plan1!D131,"AAAAAHf+zYs=")</f>
        <v>#VALUE!</v>
      </c>
      <c r="EK4" t="e">
        <f>AND(Plan1!E131,"AAAAAHf+zYw=")</f>
        <v>#VALUE!</v>
      </c>
      <c r="EL4" t="e">
        <f>AND(Plan1!F131,"AAAAAHf+zY0=")</f>
        <v>#VALUE!</v>
      </c>
      <c r="EM4">
        <f>IF(Plan1!132:132,"AAAAAHf+zY4=",0)</f>
        <v>0</v>
      </c>
      <c r="EN4" t="e">
        <f>AND(Plan1!A132,"AAAAAHf+zY8=")</f>
        <v>#VALUE!</v>
      </c>
      <c r="EO4" t="e">
        <f>AND(Plan1!B132,"AAAAAHf+zZA=")</f>
        <v>#VALUE!</v>
      </c>
      <c r="EP4" t="e">
        <f>AND(Plan1!C132,"AAAAAHf+zZE=")</f>
        <v>#VALUE!</v>
      </c>
      <c r="EQ4" t="e">
        <f>AND(Plan1!D132,"AAAAAHf+zZI=")</f>
        <v>#VALUE!</v>
      </c>
      <c r="ER4" t="e">
        <f>AND(Plan1!E132,"AAAAAHf+zZM=")</f>
        <v>#VALUE!</v>
      </c>
      <c r="ES4" t="e">
        <f>AND(Plan1!F132,"AAAAAHf+zZQ=")</f>
        <v>#VALUE!</v>
      </c>
      <c r="ET4">
        <f>IF(Plan1!133:133,"AAAAAHf+zZU=",0)</f>
        <v>0</v>
      </c>
      <c r="EU4" t="e">
        <f>AND(Plan1!A133,"AAAAAHf+zZY=")</f>
        <v>#VALUE!</v>
      </c>
      <c r="EV4" t="e">
        <f>AND(Plan1!B133,"AAAAAHf+zZc=")</f>
        <v>#VALUE!</v>
      </c>
      <c r="EW4" t="e">
        <f>AND(Plan1!C133,"AAAAAHf+zZg=")</f>
        <v>#VALUE!</v>
      </c>
      <c r="EX4" t="e">
        <f>AND(Plan1!D133,"AAAAAHf+zZk=")</f>
        <v>#VALUE!</v>
      </c>
      <c r="EY4" t="e">
        <f>AND(Plan1!E133,"AAAAAHf+zZo=")</f>
        <v>#VALUE!</v>
      </c>
      <c r="EZ4" t="e">
        <f>AND(Plan1!F133,"AAAAAHf+zZs=")</f>
        <v>#VALUE!</v>
      </c>
      <c r="FA4">
        <f>IF(Plan1!134:134,"AAAAAHf+zZw=",0)</f>
        <v>0</v>
      </c>
      <c r="FB4" t="e">
        <f>AND(Plan1!A134,"AAAAAHf+zZ0=")</f>
        <v>#VALUE!</v>
      </c>
      <c r="FC4" t="e">
        <f>AND(Plan1!B134,"AAAAAHf+zZ4=")</f>
        <v>#VALUE!</v>
      </c>
      <c r="FD4" t="e">
        <f>AND(Plan1!C134,"AAAAAHf+zZ8=")</f>
        <v>#VALUE!</v>
      </c>
      <c r="FE4" t="e">
        <f>AND(Plan1!D134,"AAAAAHf+zaA=")</f>
        <v>#VALUE!</v>
      </c>
      <c r="FF4" t="e">
        <f>AND(Plan1!E134,"AAAAAHf+zaE=")</f>
        <v>#VALUE!</v>
      </c>
      <c r="FG4" t="e">
        <f>AND(Plan1!F134,"AAAAAHf+zaI=")</f>
        <v>#VALUE!</v>
      </c>
      <c r="FH4">
        <f>IF(Plan1!135:135,"AAAAAHf+zaM=",0)</f>
        <v>0</v>
      </c>
      <c r="FI4" t="e">
        <f>AND(Plan1!A135,"AAAAAHf+zaQ=")</f>
        <v>#VALUE!</v>
      </c>
      <c r="FJ4" t="e">
        <f>AND(Plan1!B135,"AAAAAHf+zaU=")</f>
        <v>#VALUE!</v>
      </c>
      <c r="FK4" t="e">
        <f>AND(Plan1!C135,"AAAAAHf+zaY=")</f>
        <v>#VALUE!</v>
      </c>
      <c r="FL4" t="e">
        <f>AND(Plan1!D135,"AAAAAHf+zac=")</f>
        <v>#VALUE!</v>
      </c>
      <c r="FM4" t="e">
        <f>AND(Plan1!E135,"AAAAAHf+zag=")</f>
        <v>#VALUE!</v>
      </c>
      <c r="FN4" t="e">
        <f>AND(Plan1!F135,"AAAAAHf+zak=")</f>
        <v>#VALUE!</v>
      </c>
      <c r="FO4">
        <f>IF(Plan1!136:136,"AAAAAHf+zao=",0)</f>
        <v>0</v>
      </c>
      <c r="FP4" t="e">
        <f>AND(Plan1!A136,"AAAAAHf+zas=")</f>
        <v>#VALUE!</v>
      </c>
      <c r="FQ4" t="e">
        <f>AND(Plan1!B136,"AAAAAHf+zaw=")</f>
        <v>#VALUE!</v>
      </c>
      <c r="FR4" t="e">
        <f>AND(Plan1!C136,"AAAAAHf+za0=")</f>
        <v>#VALUE!</v>
      </c>
      <c r="FS4" t="e">
        <f>AND(Plan1!D136,"AAAAAHf+za4=")</f>
        <v>#VALUE!</v>
      </c>
      <c r="FT4" t="e">
        <f>AND(Plan1!E136,"AAAAAHf+za8=")</f>
        <v>#VALUE!</v>
      </c>
      <c r="FU4" t="e">
        <f>AND(Plan1!F136,"AAAAAHf+zbA=")</f>
        <v>#VALUE!</v>
      </c>
      <c r="FV4">
        <f>IF(Plan1!137:137,"AAAAAHf+zbE=",0)</f>
        <v>0</v>
      </c>
      <c r="FW4" t="e">
        <f>AND(Plan1!A137,"AAAAAHf+zbI=")</f>
        <v>#VALUE!</v>
      </c>
      <c r="FX4" t="e">
        <f>AND(Plan1!B137,"AAAAAHf+zbM=")</f>
        <v>#VALUE!</v>
      </c>
      <c r="FY4" t="e">
        <f>AND(Plan1!C137,"AAAAAHf+zbQ=")</f>
        <v>#VALUE!</v>
      </c>
      <c r="FZ4" t="e">
        <f>AND(Plan1!D137,"AAAAAHf+zbU=")</f>
        <v>#VALUE!</v>
      </c>
      <c r="GA4" t="e">
        <f>AND(Plan1!E137,"AAAAAHf+zbY=")</f>
        <v>#VALUE!</v>
      </c>
      <c r="GB4" t="e">
        <f>AND(Plan1!F137,"AAAAAHf+zbc=")</f>
        <v>#VALUE!</v>
      </c>
      <c r="GC4">
        <f>IF(Plan1!138:138,"AAAAAHf+zbg=",0)</f>
        <v>0</v>
      </c>
      <c r="GD4" t="e">
        <f>AND(Plan1!A138,"AAAAAHf+zbk=")</f>
        <v>#VALUE!</v>
      </c>
      <c r="GE4" t="e">
        <f>AND(Plan1!B138,"AAAAAHf+zbo=")</f>
        <v>#VALUE!</v>
      </c>
      <c r="GF4" t="e">
        <f>AND(Plan1!C138,"AAAAAHf+zbs=")</f>
        <v>#VALUE!</v>
      </c>
      <c r="GG4" t="e">
        <f>AND(Plan1!D138,"AAAAAHf+zbw=")</f>
        <v>#VALUE!</v>
      </c>
      <c r="GH4" t="e">
        <f>AND(Plan1!E138,"AAAAAHf+zb0=")</f>
        <v>#VALUE!</v>
      </c>
      <c r="GI4" t="e">
        <f>AND(Plan1!F138,"AAAAAHf+zb4=")</f>
        <v>#VALUE!</v>
      </c>
      <c r="GJ4">
        <f>IF(Plan1!139:139,"AAAAAHf+zb8=",0)</f>
        <v>0</v>
      </c>
      <c r="GK4" t="e">
        <f>AND(Plan1!A139,"AAAAAHf+zcA=")</f>
        <v>#VALUE!</v>
      </c>
      <c r="GL4" t="e">
        <f>AND(Plan1!B139,"AAAAAHf+zcE=")</f>
        <v>#VALUE!</v>
      </c>
      <c r="GM4" t="e">
        <f>AND(Plan1!C139,"AAAAAHf+zcI=")</f>
        <v>#VALUE!</v>
      </c>
      <c r="GN4" t="e">
        <f>AND(Plan1!D139,"AAAAAHf+zcM=")</f>
        <v>#VALUE!</v>
      </c>
      <c r="GO4" t="e">
        <f>AND(Plan1!E139,"AAAAAHf+zcQ=")</f>
        <v>#VALUE!</v>
      </c>
      <c r="GP4" t="e">
        <f>AND(Plan1!F139,"AAAAAHf+zcU=")</f>
        <v>#VALUE!</v>
      </c>
      <c r="GQ4">
        <f>IF(Plan1!140:140,"AAAAAHf+zcY=",0)</f>
        <v>0</v>
      </c>
      <c r="GR4" t="e">
        <f>AND(Plan1!A140,"AAAAAHf+zcc=")</f>
        <v>#VALUE!</v>
      </c>
      <c r="GS4" t="e">
        <f>AND(Plan1!B140,"AAAAAHf+zcg=")</f>
        <v>#VALUE!</v>
      </c>
      <c r="GT4" t="e">
        <f>AND(Plan1!C140,"AAAAAHf+zck=")</f>
        <v>#VALUE!</v>
      </c>
      <c r="GU4" t="e">
        <f>AND(Plan1!D140,"AAAAAHf+zco=")</f>
        <v>#VALUE!</v>
      </c>
      <c r="GV4" t="e">
        <f>AND(Plan1!E140,"AAAAAHf+zcs=")</f>
        <v>#VALUE!</v>
      </c>
      <c r="GW4" t="e">
        <f>AND(Plan1!F140,"AAAAAHf+zcw=")</f>
        <v>#VALUE!</v>
      </c>
      <c r="GX4">
        <f>IF(Plan1!141:141,"AAAAAHf+zc0=",0)</f>
        <v>0</v>
      </c>
      <c r="GY4" t="e">
        <f>AND(Plan1!A141,"AAAAAHf+zc4=")</f>
        <v>#VALUE!</v>
      </c>
      <c r="GZ4" t="e">
        <f>AND(Plan1!B141,"AAAAAHf+zc8=")</f>
        <v>#VALUE!</v>
      </c>
      <c r="HA4" t="e">
        <f>AND(Plan1!C141,"AAAAAHf+zdA=")</f>
        <v>#VALUE!</v>
      </c>
      <c r="HB4" t="e">
        <f>AND(Plan1!D141,"AAAAAHf+zdE=")</f>
        <v>#VALUE!</v>
      </c>
      <c r="HC4" t="e">
        <f>AND(Plan1!E141,"AAAAAHf+zdI=")</f>
        <v>#VALUE!</v>
      </c>
      <c r="HD4" t="e">
        <f>AND(Plan1!F141,"AAAAAHf+zdM=")</f>
        <v>#VALUE!</v>
      </c>
      <c r="HE4">
        <f>IF(Plan1!142:142,"AAAAAHf+zdQ=",0)</f>
        <v>0</v>
      </c>
      <c r="HF4" t="e">
        <f>AND(Plan1!A142,"AAAAAHf+zdU=")</f>
        <v>#VALUE!</v>
      </c>
      <c r="HG4" t="e">
        <f>AND(Plan1!B142,"AAAAAHf+zdY=")</f>
        <v>#VALUE!</v>
      </c>
      <c r="HH4" t="e">
        <f>AND(Plan1!C142,"AAAAAHf+zdc=")</f>
        <v>#VALUE!</v>
      </c>
      <c r="HI4" t="e">
        <f>AND(Plan1!D142,"AAAAAHf+zdg=")</f>
        <v>#VALUE!</v>
      </c>
      <c r="HJ4" t="e">
        <f>AND(Plan1!E142,"AAAAAHf+zdk=")</f>
        <v>#VALUE!</v>
      </c>
      <c r="HK4" t="e">
        <f>AND(Plan1!F142,"AAAAAHf+zdo=")</f>
        <v>#VALUE!</v>
      </c>
      <c r="HL4">
        <f>IF(Plan1!143:143,"AAAAAHf+zds=",0)</f>
        <v>0</v>
      </c>
      <c r="HM4" t="e">
        <f>AND(Plan1!A143,"AAAAAHf+zdw=")</f>
        <v>#VALUE!</v>
      </c>
      <c r="HN4" t="e">
        <f>AND(Plan1!B143,"AAAAAHf+zd0=")</f>
        <v>#VALUE!</v>
      </c>
      <c r="HO4" t="e">
        <f>AND(Plan1!C143,"AAAAAHf+zd4=")</f>
        <v>#VALUE!</v>
      </c>
      <c r="HP4" t="e">
        <f>AND(Plan1!D143,"AAAAAHf+zd8=")</f>
        <v>#VALUE!</v>
      </c>
      <c r="HQ4" t="e">
        <f>AND(Plan1!E143,"AAAAAHf+zeA=")</f>
        <v>#VALUE!</v>
      </c>
      <c r="HR4" t="e">
        <f>AND(Plan1!F143,"AAAAAHf+zeE=")</f>
        <v>#VALUE!</v>
      </c>
      <c r="HS4">
        <f>IF(Plan1!144:144,"AAAAAHf+zeI=",0)</f>
        <v>0</v>
      </c>
      <c r="HT4" t="e">
        <f>AND(Plan1!A144,"AAAAAHf+zeM=")</f>
        <v>#VALUE!</v>
      </c>
      <c r="HU4" t="e">
        <f>AND(Plan1!B144,"AAAAAHf+zeQ=")</f>
        <v>#VALUE!</v>
      </c>
      <c r="HV4" t="e">
        <f>AND(Plan1!C144,"AAAAAHf+zeU=")</f>
        <v>#VALUE!</v>
      </c>
      <c r="HW4" t="e">
        <f>AND(Plan1!D144,"AAAAAHf+zeY=")</f>
        <v>#VALUE!</v>
      </c>
      <c r="HX4" t="e">
        <f>AND(Plan1!E144,"AAAAAHf+zec=")</f>
        <v>#VALUE!</v>
      </c>
      <c r="HY4" t="e">
        <f>AND(Plan1!F144,"AAAAAHf+zeg=")</f>
        <v>#VALUE!</v>
      </c>
      <c r="HZ4">
        <f>IF(Plan1!145:145,"AAAAAHf+zek=",0)</f>
        <v>0</v>
      </c>
      <c r="IA4" t="e">
        <f>AND(Plan1!A145,"AAAAAHf+zeo=")</f>
        <v>#VALUE!</v>
      </c>
      <c r="IB4" t="e">
        <f>AND(Plan1!B145,"AAAAAHf+zes=")</f>
        <v>#VALUE!</v>
      </c>
      <c r="IC4" t="e">
        <f>AND(Plan1!C145,"AAAAAHf+zew=")</f>
        <v>#VALUE!</v>
      </c>
      <c r="ID4" t="e">
        <f>AND(Plan1!D145,"AAAAAHf+ze0=")</f>
        <v>#VALUE!</v>
      </c>
      <c r="IE4" t="e">
        <f>AND(Plan1!E145,"AAAAAHf+ze4=")</f>
        <v>#VALUE!</v>
      </c>
      <c r="IF4" t="e">
        <f>AND(Plan1!F145,"AAAAAHf+ze8=")</f>
        <v>#VALUE!</v>
      </c>
      <c r="IG4">
        <f>IF(Plan1!146:146,"AAAAAHf+zfA=",0)</f>
        <v>0</v>
      </c>
      <c r="IH4" t="e">
        <f>AND(Plan1!A146,"AAAAAHf+zfE=")</f>
        <v>#VALUE!</v>
      </c>
      <c r="II4" t="e">
        <f>AND(Plan1!B146,"AAAAAHf+zfI=")</f>
        <v>#VALUE!</v>
      </c>
      <c r="IJ4" t="e">
        <f>AND(Plan1!C146,"AAAAAHf+zfM=")</f>
        <v>#VALUE!</v>
      </c>
      <c r="IK4" t="e">
        <f>AND(Plan1!D146,"AAAAAHf+zfQ=")</f>
        <v>#VALUE!</v>
      </c>
      <c r="IL4" t="e">
        <f>AND(Plan1!E146,"AAAAAHf+zfU=")</f>
        <v>#VALUE!</v>
      </c>
      <c r="IM4" t="e">
        <f>AND(Plan1!F146,"AAAAAHf+zfY=")</f>
        <v>#VALUE!</v>
      </c>
      <c r="IN4">
        <f>IF(Plan1!147:147,"AAAAAHf+zfc=",0)</f>
        <v>0</v>
      </c>
      <c r="IO4" t="e">
        <f>AND(Plan1!A147,"AAAAAHf+zfg=")</f>
        <v>#VALUE!</v>
      </c>
      <c r="IP4" t="e">
        <f>AND(Plan1!B147,"AAAAAHf+zfk=")</f>
        <v>#VALUE!</v>
      </c>
      <c r="IQ4" t="e">
        <f>AND(Plan1!C147,"AAAAAHf+zfo=")</f>
        <v>#VALUE!</v>
      </c>
      <c r="IR4" t="e">
        <f>AND(Plan1!D147,"AAAAAHf+zfs=")</f>
        <v>#VALUE!</v>
      </c>
      <c r="IS4" t="e">
        <f>AND(Plan1!E147,"AAAAAHf+zfw=")</f>
        <v>#VALUE!</v>
      </c>
      <c r="IT4" t="e">
        <f>AND(Plan1!F147,"AAAAAHf+zf0=")</f>
        <v>#VALUE!</v>
      </c>
      <c r="IU4">
        <f>IF(Plan1!148:148,"AAAAAHf+zf4=",0)</f>
        <v>0</v>
      </c>
      <c r="IV4" t="e">
        <f>AND(Plan1!A148,"AAAAAHf+zf8=")</f>
        <v>#VALUE!</v>
      </c>
    </row>
    <row r="5" spans="1:256">
      <c r="A5" t="e">
        <f>AND(Plan1!B148,"AAAAAF+3bwA=")</f>
        <v>#VALUE!</v>
      </c>
      <c r="B5" t="e">
        <f>AND(Plan1!C148,"AAAAAF+3bwE=")</f>
        <v>#VALUE!</v>
      </c>
      <c r="C5" t="e">
        <f>AND(Plan1!D148,"AAAAAF+3bwI=")</f>
        <v>#VALUE!</v>
      </c>
      <c r="D5" t="e">
        <f>AND(Plan1!E148,"AAAAAF+3bwM=")</f>
        <v>#VALUE!</v>
      </c>
      <c r="E5" t="e">
        <f>AND(Plan1!F148,"AAAAAF+3bwQ=")</f>
        <v>#VALUE!</v>
      </c>
      <c r="F5" t="e">
        <f>IF(Plan1!149:149,"AAAAAF+3bwU=",0)</f>
        <v>#VALUE!</v>
      </c>
      <c r="G5" t="e">
        <f>AND(Plan1!A149,"AAAAAF+3bwY=")</f>
        <v>#VALUE!</v>
      </c>
      <c r="H5" t="e">
        <f>AND(Plan1!B149,"AAAAAF+3bwc=")</f>
        <v>#VALUE!</v>
      </c>
      <c r="I5" t="e">
        <f>AND(Plan1!C149,"AAAAAF+3bwg=")</f>
        <v>#VALUE!</v>
      </c>
      <c r="J5" t="e">
        <f>AND(Plan1!D149,"AAAAAF+3bwk=")</f>
        <v>#VALUE!</v>
      </c>
      <c r="K5" t="e">
        <f>AND(Plan1!E149,"AAAAAF+3bwo=")</f>
        <v>#VALUE!</v>
      </c>
      <c r="L5" t="e">
        <f>AND(Plan1!F149,"AAAAAF+3bws=")</f>
        <v>#VALUE!</v>
      </c>
      <c r="M5">
        <f>IF(Plan1!150:150,"AAAAAF+3bww=",0)</f>
        <v>0</v>
      </c>
      <c r="N5" t="e">
        <f>AND(Plan1!A150,"AAAAAF+3bw0=")</f>
        <v>#VALUE!</v>
      </c>
      <c r="O5" t="e">
        <f>AND(Plan1!B150,"AAAAAF+3bw4=")</f>
        <v>#VALUE!</v>
      </c>
      <c r="P5" t="e">
        <f>AND(Plan1!C150,"AAAAAF+3bw8=")</f>
        <v>#VALUE!</v>
      </c>
      <c r="Q5" t="e">
        <f>AND(Plan1!D150,"AAAAAF+3bxA=")</f>
        <v>#VALUE!</v>
      </c>
      <c r="R5" t="e">
        <f>AND(Plan1!E150,"AAAAAF+3bxE=")</f>
        <v>#VALUE!</v>
      </c>
      <c r="S5" t="e">
        <f>AND(Plan1!F150,"AAAAAF+3bxI=")</f>
        <v>#VALUE!</v>
      </c>
      <c r="T5">
        <f>IF(Plan1!151:151,"AAAAAF+3bxM=",0)</f>
        <v>0</v>
      </c>
      <c r="U5" t="e">
        <f>AND(Plan1!A151,"AAAAAF+3bxQ=")</f>
        <v>#VALUE!</v>
      </c>
      <c r="V5" t="e">
        <f>AND(Plan1!B151,"AAAAAF+3bxU=")</f>
        <v>#VALUE!</v>
      </c>
      <c r="W5" t="e">
        <f>AND(Plan1!C151,"AAAAAF+3bxY=")</f>
        <v>#VALUE!</v>
      </c>
      <c r="X5" t="e">
        <f>AND(Plan1!D151,"AAAAAF+3bxc=")</f>
        <v>#VALUE!</v>
      </c>
      <c r="Y5" t="e">
        <f>AND(Plan1!E151,"AAAAAF+3bxg=")</f>
        <v>#VALUE!</v>
      </c>
      <c r="Z5" t="e">
        <f>AND(Plan1!F151,"AAAAAF+3bxk=")</f>
        <v>#VALUE!</v>
      </c>
      <c r="AA5">
        <f>IF(Plan1!152:152,"AAAAAF+3bxo=",0)</f>
        <v>0</v>
      </c>
      <c r="AB5" t="e">
        <f>AND(Plan1!A152,"AAAAAF+3bxs=")</f>
        <v>#VALUE!</v>
      </c>
      <c r="AC5" t="e">
        <f>AND(Plan1!B152,"AAAAAF+3bxw=")</f>
        <v>#VALUE!</v>
      </c>
      <c r="AD5" t="e">
        <f>AND(Plan1!C152,"AAAAAF+3bx0=")</f>
        <v>#VALUE!</v>
      </c>
      <c r="AE5" t="e">
        <f>AND(Plan1!D152,"AAAAAF+3bx4=")</f>
        <v>#VALUE!</v>
      </c>
      <c r="AF5" t="e">
        <f>AND(Plan1!E152,"AAAAAF+3bx8=")</f>
        <v>#VALUE!</v>
      </c>
      <c r="AG5" t="e">
        <f>AND(Plan1!F152,"AAAAAF+3byA=")</f>
        <v>#VALUE!</v>
      </c>
      <c r="AH5">
        <f>IF(Plan1!153:153,"AAAAAF+3byE=",0)</f>
        <v>0</v>
      </c>
      <c r="AI5" t="e">
        <f>AND(Plan1!A153,"AAAAAF+3byI=")</f>
        <v>#VALUE!</v>
      </c>
      <c r="AJ5" t="e">
        <f>AND(Plan1!B153,"AAAAAF+3byM=")</f>
        <v>#VALUE!</v>
      </c>
      <c r="AK5" t="e">
        <f>AND(Plan1!C153,"AAAAAF+3byQ=")</f>
        <v>#VALUE!</v>
      </c>
      <c r="AL5" t="e">
        <f>AND(Plan1!D153,"AAAAAF+3byU=")</f>
        <v>#VALUE!</v>
      </c>
      <c r="AM5" t="e">
        <f>AND(Plan1!E153,"AAAAAF+3byY=")</f>
        <v>#VALUE!</v>
      </c>
      <c r="AN5" t="e">
        <f>AND(Plan1!F153,"AAAAAF+3byc=")</f>
        <v>#VALUE!</v>
      </c>
      <c r="AO5">
        <f>IF(Plan1!154:154,"AAAAAF+3byg=",0)</f>
        <v>0</v>
      </c>
      <c r="AP5" t="e">
        <f>AND(Plan1!A154,"AAAAAF+3byk=")</f>
        <v>#VALUE!</v>
      </c>
      <c r="AQ5" t="e">
        <f>AND(Plan1!B154,"AAAAAF+3byo=")</f>
        <v>#VALUE!</v>
      </c>
      <c r="AR5" t="e">
        <f>AND(Plan1!C154,"AAAAAF+3bys=")</f>
        <v>#VALUE!</v>
      </c>
      <c r="AS5" t="e">
        <f>AND(Plan1!D154,"AAAAAF+3byw=")</f>
        <v>#VALUE!</v>
      </c>
      <c r="AT5" t="e">
        <f>AND(Plan1!E154,"AAAAAF+3by0=")</f>
        <v>#VALUE!</v>
      </c>
      <c r="AU5" t="e">
        <f>AND(Plan1!F154,"AAAAAF+3by4=")</f>
        <v>#VALUE!</v>
      </c>
      <c r="AV5">
        <f>IF(Plan1!155:155,"AAAAAF+3by8=",0)</f>
        <v>0</v>
      </c>
      <c r="AW5" t="e">
        <f>AND(Plan1!A155,"AAAAAF+3bzA=")</f>
        <v>#VALUE!</v>
      </c>
      <c r="AX5" t="e">
        <f>AND(Plan1!B155,"AAAAAF+3bzE=")</f>
        <v>#VALUE!</v>
      </c>
      <c r="AY5" t="e">
        <f>AND(Plan1!C155,"AAAAAF+3bzI=")</f>
        <v>#VALUE!</v>
      </c>
      <c r="AZ5" t="e">
        <f>AND(Plan1!D155,"AAAAAF+3bzM=")</f>
        <v>#VALUE!</v>
      </c>
      <c r="BA5" t="e">
        <f>AND(Plan1!E155,"AAAAAF+3bzQ=")</f>
        <v>#VALUE!</v>
      </c>
      <c r="BB5" t="e">
        <f>AND(Plan1!F155,"AAAAAF+3bzU=")</f>
        <v>#VALUE!</v>
      </c>
      <c r="BC5">
        <f>IF(Plan1!156:156,"AAAAAF+3bzY=",0)</f>
        <v>0</v>
      </c>
      <c r="BD5" t="e">
        <f>AND(Plan1!A156,"AAAAAF+3bzc=")</f>
        <v>#VALUE!</v>
      </c>
      <c r="BE5" t="e">
        <f>AND(Plan1!B156,"AAAAAF+3bzg=")</f>
        <v>#VALUE!</v>
      </c>
      <c r="BF5" t="e">
        <f>AND(Plan1!C156,"AAAAAF+3bzk=")</f>
        <v>#VALUE!</v>
      </c>
      <c r="BG5" t="e">
        <f>AND(Plan1!D156,"AAAAAF+3bzo=")</f>
        <v>#VALUE!</v>
      </c>
      <c r="BH5" t="e">
        <f>AND(Plan1!E156,"AAAAAF+3bzs=")</f>
        <v>#VALUE!</v>
      </c>
      <c r="BI5" t="e">
        <f>AND(Plan1!F156,"AAAAAF+3bzw=")</f>
        <v>#VALUE!</v>
      </c>
      <c r="BJ5">
        <f>IF(Plan1!157:157,"AAAAAF+3bz0=",0)</f>
        <v>0</v>
      </c>
      <c r="BK5" t="e">
        <f>AND(Plan1!A157,"AAAAAF+3bz4=")</f>
        <v>#VALUE!</v>
      </c>
      <c r="BL5" t="e">
        <f>AND(Plan1!B157,"AAAAAF+3bz8=")</f>
        <v>#VALUE!</v>
      </c>
      <c r="BM5" t="e">
        <f>AND(Plan1!C157,"AAAAAF+3b0A=")</f>
        <v>#VALUE!</v>
      </c>
      <c r="BN5" t="e">
        <f>AND(Plan1!D157,"AAAAAF+3b0E=")</f>
        <v>#VALUE!</v>
      </c>
      <c r="BO5" t="e">
        <f>AND(Plan1!E157,"AAAAAF+3b0I=")</f>
        <v>#VALUE!</v>
      </c>
      <c r="BP5" t="e">
        <f>AND(Plan1!F157,"AAAAAF+3b0M=")</f>
        <v>#VALUE!</v>
      </c>
      <c r="BQ5">
        <f>IF(Plan1!158:158,"AAAAAF+3b0Q=",0)</f>
        <v>0</v>
      </c>
      <c r="BR5" t="e">
        <f>AND(Plan1!A158,"AAAAAF+3b0U=")</f>
        <v>#VALUE!</v>
      </c>
      <c r="BS5" t="e">
        <f>AND(Plan1!B158,"AAAAAF+3b0Y=")</f>
        <v>#VALUE!</v>
      </c>
      <c r="BT5" t="e">
        <f>AND(Plan1!C158,"AAAAAF+3b0c=")</f>
        <v>#VALUE!</v>
      </c>
      <c r="BU5" t="e">
        <f>AND(Plan1!D158,"AAAAAF+3b0g=")</f>
        <v>#VALUE!</v>
      </c>
      <c r="BV5" t="e">
        <f>AND(Plan1!E158,"AAAAAF+3b0k=")</f>
        <v>#VALUE!</v>
      </c>
      <c r="BW5" t="e">
        <f>AND(Plan1!F158,"AAAAAF+3b0o=")</f>
        <v>#VALUE!</v>
      </c>
      <c r="BX5">
        <f>IF(Plan1!159:159,"AAAAAF+3b0s=",0)</f>
        <v>0</v>
      </c>
      <c r="BY5" t="e">
        <f>AND(Plan1!A159,"AAAAAF+3b0w=")</f>
        <v>#VALUE!</v>
      </c>
      <c r="BZ5" t="e">
        <f>AND(Plan1!B159,"AAAAAF+3b00=")</f>
        <v>#VALUE!</v>
      </c>
      <c r="CA5" t="e">
        <f>AND(Plan1!C159,"AAAAAF+3b04=")</f>
        <v>#VALUE!</v>
      </c>
      <c r="CB5" t="e">
        <f>AND(Plan1!D159,"AAAAAF+3b08=")</f>
        <v>#VALUE!</v>
      </c>
      <c r="CC5" t="e">
        <f>AND(Plan1!E159,"AAAAAF+3b1A=")</f>
        <v>#VALUE!</v>
      </c>
      <c r="CD5" t="e">
        <f>AND(Plan1!F159,"AAAAAF+3b1E=")</f>
        <v>#VALUE!</v>
      </c>
      <c r="CE5">
        <f>IF(Plan1!160:160,"AAAAAF+3b1I=",0)</f>
        <v>0</v>
      </c>
      <c r="CF5" t="e">
        <f>AND(Plan1!A160,"AAAAAF+3b1M=")</f>
        <v>#VALUE!</v>
      </c>
      <c r="CG5" t="e">
        <f>AND(Plan1!B160,"AAAAAF+3b1Q=")</f>
        <v>#VALUE!</v>
      </c>
      <c r="CH5" t="e">
        <f>AND(Plan1!C160,"AAAAAF+3b1U=")</f>
        <v>#VALUE!</v>
      </c>
      <c r="CI5" t="e">
        <f>AND(Plan1!D160,"AAAAAF+3b1Y=")</f>
        <v>#VALUE!</v>
      </c>
      <c r="CJ5" t="e">
        <f>AND(Plan1!E160,"AAAAAF+3b1c=")</f>
        <v>#VALUE!</v>
      </c>
      <c r="CK5" t="e">
        <f>AND(Plan1!F160,"AAAAAF+3b1g=")</f>
        <v>#VALUE!</v>
      </c>
      <c r="CL5">
        <f>IF(Plan1!161:161,"AAAAAF+3b1k=",0)</f>
        <v>0</v>
      </c>
      <c r="CM5" t="e">
        <f>AND(Plan1!A161,"AAAAAF+3b1o=")</f>
        <v>#VALUE!</v>
      </c>
      <c r="CN5" t="e">
        <f>AND(Plan1!B161,"AAAAAF+3b1s=")</f>
        <v>#VALUE!</v>
      </c>
      <c r="CO5" t="e">
        <f>AND(Plan1!C161,"AAAAAF+3b1w=")</f>
        <v>#VALUE!</v>
      </c>
      <c r="CP5" t="e">
        <f>AND(Plan1!D161,"AAAAAF+3b10=")</f>
        <v>#VALUE!</v>
      </c>
      <c r="CQ5" t="e">
        <f>AND(Plan1!E161,"AAAAAF+3b14=")</f>
        <v>#VALUE!</v>
      </c>
      <c r="CR5" t="e">
        <f>AND(Plan1!F161,"AAAAAF+3b18=")</f>
        <v>#VALUE!</v>
      </c>
      <c r="CS5">
        <f>IF(Plan1!162:162,"AAAAAF+3b2A=",0)</f>
        <v>0</v>
      </c>
      <c r="CT5" t="e">
        <f>AND(Plan1!A162,"AAAAAF+3b2E=")</f>
        <v>#VALUE!</v>
      </c>
      <c r="CU5" t="e">
        <f>AND(Plan1!B162,"AAAAAF+3b2I=")</f>
        <v>#VALUE!</v>
      </c>
      <c r="CV5" t="e">
        <f>AND(Plan1!C162,"AAAAAF+3b2M=")</f>
        <v>#VALUE!</v>
      </c>
      <c r="CW5" t="e">
        <f>AND(Plan1!D162,"AAAAAF+3b2Q=")</f>
        <v>#VALUE!</v>
      </c>
      <c r="CX5" t="e">
        <f>AND(Plan1!E162,"AAAAAF+3b2U=")</f>
        <v>#VALUE!</v>
      </c>
      <c r="CY5" t="e">
        <f>AND(Plan1!F162,"AAAAAF+3b2Y=")</f>
        <v>#VALUE!</v>
      </c>
      <c r="CZ5">
        <f>IF(Plan1!163:163,"AAAAAF+3b2c=",0)</f>
        <v>0</v>
      </c>
      <c r="DA5" t="e">
        <f>AND(Plan1!A163,"AAAAAF+3b2g=")</f>
        <v>#VALUE!</v>
      </c>
      <c r="DB5" t="e">
        <f>AND(Plan1!B163,"AAAAAF+3b2k=")</f>
        <v>#VALUE!</v>
      </c>
      <c r="DC5" t="e">
        <f>AND(Plan1!C163,"AAAAAF+3b2o=")</f>
        <v>#VALUE!</v>
      </c>
      <c r="DD5" t="e">
        <f>AND(Plan1!D163,"AAAAAF+3b2s=")</f>
        <v>#VALUE!</v>
      </c>
      <c r="DE5" t="e">
        <f>AND(Plan1!E163,"AAAAAF+3b2w=")</f>
        <v>#VALUE!</v>
      </c>
      <c r="DF5" t="e">
        <f>AND(Plan1!F163,"AAAAAF+3b20=")</f>
        <v>#VALUE!</v>
      </c>
      <c r="DG5">
        <f>IF(Plan1!164:164,"AAAAAF+3b24=",0)</f>
        <v>0</v>
      </c>
      <c r="DH5" t="e">
        <f>AND(Plan1!A164,"AAAAAF+3b28=")</f>
        <v>#VALUE!</v>
      </c>
      <c r="DI5" t="e">
        <f>AND(Plan1!B164,"AAAAAF+3b3A=")</f>
        <v>#VALUE!</v>
      </c>
      <c r="DJ5" t="e">
        <f>AND(Plan1!C164,"AAAAAF+3b3E=")</f>
        <v>#VALUE!</v>
      </c>
      <c r="DK5" t="e">
        <f>AND(Plan1!D164,"AAAAAF+3b3I=")</f>
        <v>#VALUE!</v>
      </c>
      <c r="DL5" t="e">
        <f>AND(Plan1!E164,"AAAAAF+3b3M=")</f>
        <v>#VALUE!</v>
      </c>
      <c r="DM5" t="e">
        <f>AND(Plan1!F164,"AAAAAF+3b3Q=")</f>
        <v>#VALUE!</v>
      </c>
      <c r="DN5">
        <f>IF(Plan1!165:165,"AAAAAF+3b3U=",0)</f>
        <v>0</v>
      </c>
      <c r="DO5" t="e">
        <f>AND(Plan1!A165,"AAAAAF+3b3Y=")</f>
        <v>#VALUE!</v>
      </c>
      <c r="DP5" t="e">
        <f>AND(Plan1!B165,"AAAAAF+3b3c=")</f>
        <v>#VALUE!</v>
      </c>
      <c r="DQ5" t="e">
        <f>AND(Plan1!C165,"AAAAAF+3b3g=")</f>
        <v>#VALUE!</v>
      </c>
      <c r="DR5" t="e">
        <f>AND(Plan1!D165,"AAAAAF+3b3k=")</f>
        <v>#VALUE!</v>
      </c>
      <c r="DS5" t="e">
        <f>AND(Plan1!E165,"AAAAAF+3b3o=")</f>
        <v>#VALUE!</v>
      </c>
      <c r="DT5" t="e">
        <f>AND(Plan1!F165,"AAAAAF+3b3s=")</f>
        <v>#VALUE!</v>
      </c>
      <c r="DU5">
        <f>IF(Plan1!166:166,"AAAAAF+3b3w=",0)</f>
        <v>0</v>
      </c>
      <c r="DV5" t="e">
        <f>AND(Plan1!A166,"AAAAAF+3b30=")</f>
        <v>#VALUE!</v>
      </c>
      <c r="DW5" t="e">
        <f>AND(Plan1!B166,"AAAAAF+3b34=")</f>
        <v>#VALUE!</v>
      </c>
      <c r="DX5" t="e">
        <f>AND(Plan1!C166,"AAAAAF+3b38=")</f>
        <v>#VALUE!</v>
      </c>
      <c r="DY5" t="e">
        <f>AND(Plan1!D166,"AAAAAF+3b4A=")</f>
        <v>#VALUE!</v>
      </c>
      <c r="DZ5" t="e">
        <f>AND(Plan1!E166,"AAAAAF+3b4E=")</f>
        <v>#VALUE!</v>
      </c>
      <c r="EA5" t="e">
        <f>AND(Plan1!F166,"AAAAAF+3b4I=")</f>
        <v>#VALUE!</v>
      </c>
      <c r="EB5">
        <f>IF(Plan1!167:167,"AAAAAF+3b4M=",0)</f>
        <v>0</v>
      </c>
      <c r="EC5" t="e">
        <f>AND(Plan1!A167,"AAAAAF+3b4Q=")</f>
        <v>#VALUE!</v>
      </c>
      <c r="ED5" t="e">
        <f>AND(Plan1!B167,"AAAAAF+3b4U=")</f>
        <v>#VALUE!</v>
      </c>
      <c r="EE5" t="e">
        <f>AND(Plan1!C167,"AAAAAF+3b4Y=")</f>
        <v>#VALUE!</v>
      </c>
      <c r="EF5" t="e">
        <f>AND(Plan1!D167,"AAAAAF+3b4c=")</f>
        <v>#VALUE!</v>
      </c>
      <c r="EG5" t="e">
        <f>AND(Plan1!E167,"AAAAAF+3b4g=")</f>
        <v>#VALUE!</v>
      </c>
      <c r="EH5" t="e">
        <f>AND(Plan1!F167,"AAAAAF+3b4k=")</f>
        <v>#VALUE!</v>
      </c>
      <c r="EI5">
        <f>IF(Plan1!168:168,"AAAAAF+3b4o=",0)</f>
        <v>0</v>
      </c>
      <c r="EJ5" t="e">
        <f>AND(Plan1!A168,"AAAAAF+3b4s=")</f>
        <v>#VALUE!</v>
      </c>
      <c r="EK5" t="e">
        <f>AND(Plan1!B168,"AAAAAF+3b4w=")</f>
        <v>#VALUE!</v>
      </c>
      <c r="EL5" t="e">
        <f>AND(Plan1!C168,"AAAAAF+3b40=")</f>
        <v>#VALUE!</v>
      </c>
      <c r="EM5" t="e">
        <f>AND(Plan1!D168,"AAAAAF+3b44=")</f>
        <v>#VALUE!</v>
      </c>
      <c r="EN5" t="e">
        <f>AND(Plan1!E168,"AAAAAF+3b48=")</f>
        <v>#VALUE!</v>
      </c>
      <c r="EO5" t="e">
        <f>AND(Plan1!F168,"AAAAAF+3b5A=")</f>
        <v>#VALUE!</v>
      </c>
      <c r="EP5">
        <f>IF(Plan1!169:169,"AAAAAF+3b5E=",0)</f>
        <v>0</v>
      </c>
      <c r="EQ5" t="e">
        <f>AND(Plan1!A169,"AAAAAF+3b5I=")</f>
        <v>#VALUE!</v>
      </c>
      <c r="ER5" t="e">
        <f>AND(Plan1!B169,"AAAAAF+3b5M=")</f>
        <v>#VALUE!</v>
      </c>
      <c r="ES5" t="e">
        <f>AND(Plan1!C169,"AAAAAF+3b5Q=")</f>
        <v>#VALUE!</v>
      </c>
      <c r="ET5" t="e">
        <f>AND(Plan1!D169,"AAAAAF+3b5U=")</f>
        <v>#VALUE!</v>
      </c>
      <c r="EU5" t="e">
        <f>AND(Plan1!E169,"AAAAAF+3b5Y=")</f>
        <v>#VALUE!</v>
      </c>
      <c r="EV5" t="e">
        <f>AND(Plan1!F169,"AAAAAF+3b5c=")</f>
        <v>#VALUE!</v>
      </c>
      <c r="EW5">
        <f>IF(Plan1!170:170,"AAAAAF+3b5g=",0)</f>
        <v>0</v>
      </c>
      <c r="EX5" t="e">
        <f>AND(Plan1!A170,"AAAAAF+3b5k=")</f>
        <v>#VALUE!</v>
      </c>
      <c r="EY5" t="e">
        <f>AND(Plan1!B170,"AAAAAF+3b5o=")</f>
        <v>#VALUE!</v>
      </c>
      <c r="EZ5" t="e">
        <f>AND(Plan1!C170,"AAAAAF+3b5s=")</f>
        <v>#VALUE!</v>
      </c>
      <c r="FA5" t="e">
        <f>AND(Plan1!D170,"AAAAAF+3b5w=")</f>
        <v>#VALUE!</v>
      </c>
      <c r="FB5" t="e">
        <f>AND(Plan1!E170,"AAAAAF+3b50=")</f>
        <v>#VALUE!</v>
      </c>
      <c r="FC5" t="e">
        <f>AND(Plan1!F170,"AAAAAF+3b54=")</f>
        <v>#VALUE!</v>
      </c>
      <c r="FD5">
        <f>IF(Plan1!171:171,"AAAAAF+3b58=",0)</f>
        <v>0</v>
      </c>
      <c r="FE5" t="e">
        <f>AND(Plan1!A171,"AAAAAF+3b6A=")</f>
        <v>#VALUE!</v>
      </c>
      <c r="FF5" t="e">
        <f>AND(Plan1!B171,"AAAAAF+3b6E=")</f>
        <v>#VALUE!</v>
      </c>
      <c r="FG5" t="e">
        <f>AND(Plan1!C171,"AAAAAF+3b6I=")</f>
        <v>#VALUE!</v>
      </c>
      <c r="FH5" t="e">
        <f>AND(Plan1!D171,"AAAAAF+3b6M=")</f>
        <v>#VALUE!</v>
      </c>
      <c r="FI5" t="e">
        <f>AND(Plan1!E171,"AAAAAF+3b6Q=")</f>
        <v>#VALUE!</v>
      </c>
      <c r="FJ5" t="e">
        <f>AND(Plan1!F171,"AAAAAF+3b6U=")</f>
        <v>#VALUE!</v>
      </c>
      <c r="FK5">
        <f>IF(Plan1!172:172,"AAAAAF+3b6Y=",0)</f>
        <v>0</v>
      </c>
      <c r="FL5" t="e">
        <f>AND(Plan1!A172,"AAAAAF+3b6c=")</f>
        <v>#VALUE!</v>
      </c>
      <c r="FM5" t="e">
        <f>AND(Plan1!B172,"AAAAAF+3b6g=")</f>
        <v>#VALUE!</v>
      </c>
      <c r="FN5" t="e">
        <f>AND(Plan1!C172,"AAAAAF+3b6k=")</f>
        <v>#VALUE!</v>
      </c>
      <c r="FO5" t="e">
        <f>AND(Plan1!D172,"AAAAAF+3b6o=")</f>
        <v>#VALUE!</v>
      </c>
      <c r="FP5" t="e">
        <f>AND(Plan1!E172,"AAAAAF+3b6s=")</f>
        <v>#VALUE!</v>
      </c>
      <c r="FQ5" t="e">
        <f>AND(Plan1!F172,"AAAAAF+3b6w=")</f>
        <v>#VALUE!</v>
      </c>
      <c r="FR5">
        <f>IF(Plan1!173:173,"AAAAAF+3b60=",0)</f>
        <v>0</v>
      </c>
      <c r="FS5" t="e">
        <f>AND(Plan1!A173,"AAAAAF+3b64=")</f>
        <v>#VALUE!</v>
      </c>
      <c r="FT5" t="e">
        <f>AND(Plan1!B173,"AAAAAF+3b68=")</f>
        <v>#VALUE!</v>
      </c>
      <c r="FU5" t="e">
        <f>AND(Plan1!C173,"AAAAAF+3b7A=")</f>
        <v>#VALUE!</v>
      </c>
      <c r="FV5" t="e">
        <f>AND(Plan1!D173,"AAAAAF+3b7E=")</f>
        <v>#VALUE!</v>
      </c>
      <c r="FW5" t="e">
        <f>AND(Plan1!E173,"AAAAAF+3b7I=")</f>
        <v>#VALUE!</v>
      </c>
      <c r="FX5" t="e">
        <f>AND(Plan1!F173,"AAAAAF+3b7M=")</f>
        <v>#VALUE!</v>
      </c>
      <c r="FY5">
        <f>IF(Plan1!174:174,"AAAAAF+3b7Q=",0)</f>
        <v>0</v>
      </c>
      <c r="FZ5" t="e">
        <f>AND(Plan1!A174,"AAAAAF+3b7U=")</f>
        <v>#VALUE!</v>
      </c>
      <c r="GA5" t="e">
        <f>AND(Plan1!B174,"AAAAAF+3b7Y=")</f>
        <v>#VALUE!</v>
      </c>
      <c r="GB5" t="e">
        <f>AND(Plan1!C174,"AAAAAF+3b7c=")</f>
        <v>#VALUE!</v>
      </c>
      <c r="GC5" t="e">
        <f>AND(Plan1!D174,"AAAAAF+3b7g=")</f>
        <v>#VALUE!</v>
      </c>
      <c r="GD5" t="e">
        <f>AND(Plan1!E174,"AAAAAF+3b7k=")</f>
        <v>#VALUE!</v>
      </c>
      <c r="GE5" t="e">
        <f>AND(Plan1!F174,"AAAAAF+3b7o=")</f>
        <v>#VALUE!</v>
      </c>
      <c r="GF5">
        <f>IF(Plan1!175:175,"AAAAAF+3b7s=",0)</f>
        <v>0</v>
      </c>
      <c r="GG5" t="e">
        <f>AND(Plan1!A175,"AAAAAF+3b7w=")</f>
        <v>#VALUE!</v>
      </c>
      <c r="GH5" t="e">
        <f>AND(Plan1!B175,"AAAAAF+3b70=")</f>
        <v>#VALUE!</v>
      </c>
      <c r="GI5" t="e">
        <f>AND(Plan1!C175,"AAAAAF+3b74=")</f>
        <v>#VALUE!</v>
      </c>
      <c r="GJ5" t="e">
        <f>AND(Plan1!D175,"AAAAAF+3b78=")</f>
        <v>#VALUE!</v>
      </c>
      <c r="GK5" t="e">
        <f>AND(Plan1!E175,"AAAAAF+3b8A=")</f>
        <v>#VALUE!</v>
      </c>
      <c r="GL5" t="e">
        <f>AND(Plan1!F175,"AAAAAF+3b8E=")</f>
        <v>#VALUE!</v>
      </c>
      <c r="GM5">
        <f>IF(Plan1!176:176,"AAAAAF+3b8I=",0)</f>
        <v>0</v>
      </c>
      <c r="GN5" t="e">
        <f>AND(Plan1!A176,"AAAAAF+3b8M=")</f>
        <v>#VALUE!</v>
      </c>
      <c r="GO5" t="e">
        <f>AND(Plan1!B176,"AAAAAF+3b8Q=")</f>
        <v>#VALUE!</v>
      </c>
      <c r="GP5" t="e">
        <f>AND(Plan1!C176,"AAAAAF+3b8U=")</f>
        <v>#VALUE!</v>
      </c>
      <c r="GQ5" t="e">
        <f>AND(Plan1!D176,"AAAAAF+3b8Y=")</f>
        <v>#VALUE!</v>
      </c>
      <c r="GR5" t="e">
        <f>AND(Plan1!E176,"AAAAAF+3b8c=")</f>
        <v>#VALUE!</v>
      </c>
      <c r="GS5" t="e">
        <f>AND(Plan1!F176,"AAAAAF+3b8g=")</f>
        <v>#VALUE!</v>
      </c>
      <c r="GT5">
        <f>IF(Plan1!177:177,"AAAAAF+3b8k=",0)</f>
        <v>0</v>
      </c>
      <c r="GU5" t="e">
        <f>AND(Plan1!A177,"AAAAAF+3b8o=")</f>
        <v>#VALUE!</v>
      </c>
      <c r="GV5" t="e">
        <f>AND(Plan1!B177,"AAAAAF+3b8s=")</f>
        <v>#VALUE!</v>
      </c>
      <c r="GW5" t="e">
        <f>AND(Plan1!C177,"AAAAAF+3b8w=")</f>
        <v>#VALUE!</v>
      </c>
      <c r="GX5" t="e">
        <f>AND(Plan1!D177,"AAAAAF+3b80=")</f>
        <v>#VALUE!</v>
      </c>
      <c r="GY5" t="e">
        <f>AND(Plan1!E177,"AAAAAF+3b84=")</f>
        <v>#VALUE!</v>
      </c>
      <c r="GZ5" t="e">
        <f>AND(Plan1!F177,"AAAAAF+3b88=")</f>
        <v>#VALUE!</v>
      </c>
      <c r="HA5">
        <f>IF(Plan1!178:178,"AAAAAF+3b9A=",0)</f>
        <v>0</v>
      </c>
      <c r="HB5" t="e">
        <f>AND(Plan1!A178,"AAAAAF+3b9E=")</f>
        <v>#VALUE!</v>
      </c>
      <c r="HC5" t="e">
        <f>AND(Plan1!B178,"AAAAAF+3b9I=")</f>
        <v>#VALUE!</v>
      </c>
      <c r="HD5" t="e">
        <f>AND(Plan1!C178,"AAAAAF+3b9M=")</f>
        <v>#VALUE!</v>
      </c>
      <c r="HE5" t="e">
        <f>AND(Plan1!D178,"AAAAAF+3b9Q=")</f>
        <v>#VALUE!</v>
      </c>
      <c r="HF5" t="e">
        <f>AND(Plan1!E178,"AAAAAF+3b9U=")</f>
        <v>#VALUE!</v>
      </c>
      <c r="HG5" t="e">
        <f>AND(Plan1!F178,"AAAAAF+3b9Y=")</f>
        <v>#VALUE!</v>
      </c>
      <c r="HH5">
        <f>IF(Plan1!179:179,"AAAAAF+3b9c=",0)</f>
        <v>0</v>
      </c>
      <c r="HI5" t="e">
        <f>AND(Plan1!A179,"AAAAAF+3b9g=")</f>
        <v>#VALUE!</v>
      </c>
      <c r="HJ5" t="e">
        <f>AND(Plan1!B179,"AAAAAF+3b9k=")</f>
        <v>#VALUE!</v>
      </c>
      <c r="HK5" t="e">
        <f>AND(Plan1!C179,"AAAAAF+3b9o=")</f>
        <v>#VALUE!</v>
      </c>
      <c r="HL5" t="e">
        <f>AND(Plan1!D179,"AAAAAF+3b9s=")</f>
        <v>#VALUE!</v>
      </c>
      <c r="HM5" t="e">
        <f>AND(Plan1!E179,"AAAAAF+3b9w=")</f>
        <v>#VALUE!</v>
      </c>
      <c r="HN5" t="e">
        <f>AND(Plan1!F179,"AAAAAF+3b90=")</f>
        <v>#VALUE!</v>
      </c>
      <c r="HO5">
        <f>IF(Plan1!180:180,"AAAAAF+3b94=",0)</f>
        <v>0</v>
      </c>
      <c r="HP5" t="e">
        <f>AND(Plan1!A180,"AAAAAF+3b98=")</f>
        <v>#VALUE!</v>
      </c>
      <c r="HQ5" t="e">
        <f>AND(Plan1!B180,"AAAAAF+3b+A=")</f>
        <v>#VALUE!</v>
      </c>
      <c r="HR5" t="e">
        <f>AND(Plan1!C180,"AAAAAF+3b+E=")</f>
        <v>#VALUE!</v>
      </c>
      <c r="HS5" t="e">
        <f>AND(Plan1!D180,"AAAAAF+3b+I=")</f>
        <v>#VALUE!</v>
      </c>
      <c r="HT5" t="e">
        <f>AND(Plan1!E180,"AAAAAF+3b+M=")</f>
        <v>#VALUE!</v>
      </c>
      <c r="HU5" t="e">
        <f>AND(Plan1!F180,"AAAAAF+3b+Q=")</f>
        <v>#VALUE!</v>
      </c>
      <c r="HV5">
        <f>IF(Plan1!181:181,"AAAAAF+3b+U=",0)</f>
        <v>0</v>
      </c>
      <c r="HW5" t="e">
        <f>AND(Plan1!A181,"AAAAAF+3b+Y=")</f>
        <v>#VALUE!</v>
      </c>
      <c r="HX5" t="e">
        <f>AND(Plan1!B181,"AAAAAF+3b+c=")</f>
        <v>#VALUE!</v>
      </c>
      <c r="HY5" t="e">
        <f>AND(Plan1!C181,"AAAAAF+3b+g=")</f>
        <v>#VALUE!</v>
      </c>
      <c r="HZ5" t="e">
        <f>AND(Plan1!D181,"AAAAAF+3b+k=")</f>
        <v>#VALUE!</v>
      </c>
      <c r="IA5" t="e">
        <f>AND(Plan1!E181,"AAAAAF+3b+o=")</f>
        <v>#VALUE!</v>
      </c>
      <c r="IB5" t="e">
        <f>AND(Plan1!F181,"AAAAAF+3b+s=")</f>
        <v>#VALUE!</v>
      </c>
      <c r="IC5">
        <f>IF(Plan1!182:182,"AAAAAF+3b+w=",0)</f>
        <v>0</v>
      </c>
      <c r="ID5" t="e">
        <f>AND(Plan1!A182,"AAAAAF+3b+0=")</f>
        <v>#VALUE!</v>
      </c>
      <c r="IE5" t="e">
        <f>AND(Plan1!B182,"AAAAAF+3b+4=")</f>
        <v>#VALUE!</v>
      </c>
      <c r="IF5" t="e">
        <f>AND(Plan1!C182,"AAAAAF+3b+8=")</f>
        <v>#VALUE!</v>
      </c>
      <c r="IG5" t="e">
        <f>AND(Plan1!D182,"AAAAAF+3b/A=")</f>
        <v>#VALUE!</v>
      </c>
      <c r="IH5" t="e">
        <f>AND(Plan1!E182,"AAAAAF+3b/E=")</f>
        <v>#VALUE!</v>
      </c>
      <c r="II5" t="e">
        <f>AND(Plan1!F182,"AAAAAF+3b/I=")</f>
        <v>#VALUE!</v>
      </c>
      <c r="IJ5">
        <f>IF(Plan1!183:183,"AAAAAF+3b/M=",0)</f>
        <v>0</v>
      </c>
      <c r="IK5" t="e">
        <f>AND(Plan1!A183,"AAAAAF+3b/Q=")</f>
        <v>#VALUE!</v>
      </c>
      <c r="IL5" t="e">
        <f>AND(Plan1!B183,"AAAAAF+3b/U=")</f>
        <v>#VALUE!</v>
      </c>
      <c r="IM5" t="e">
        <f>AND(Plan1!C183,"AAAAAF+3b/Y=")</f>
        <v>#VALUE!</v>
      </c>
      <c r="IN5" t="e">
        <f>AND(Plan1!D183,"AAAAAF+3b/c=")</f>
        <v>#VALUE!</v>
      </c>
      <c r="IO5" t="e">
        <f>AND(Plan1!E183,"AAAAAF+3b/g=")</f>
        <v>#VALUE!</v>
      </c>
      <c r="IP5" t="e">
        <f>AND(Plan1!F183,"AAAAAF+3b/k=")</f>
        <v>#VALUE!</v>
      </c>
      <c r="IQ5">
        <f>IF(Plan1!184:184,"AAAAAF+3b/o=",0)</f>
        <v>0</v>
      </c>
      <c r="IR5" t="e">
        <f>AND(Plan1!A184,"AAAAAF+3b/s=")</f>
        <v>#VALUE!</v>
      </c>
      <c r="IS5" t="e">
        <f>AND(Plan1!B184,"AAAAAF+3b/w=")</f>
        <v>#VALUE!</v>
      </c>
      <c r="IT5" t="e">
        <f>AND(Plan1!C184,"AAAAAF+3b/0=")</f>
        <v>#VALUE!</v>
      </c>
      <c r="IU5" t="e">
        <f>AND(Plan1!D184,"AAAAAF+3b/4=")</f>
        <v>#VALUE!</v>
      </c>
      <c r="IV5" t="e">
        <f>AND(Plan1!E184,"AAAAAF+3b/8=")</f>
        <v>#VALUE!</v>
      </c>
    </row>
    <row r="6" spans="1:256">
      <c r="A6" t="e">
        <f>AND(Plan1!F184,"AAAAAFVu/gA=")</f>
        <v>#VALUE!</v>
      </c>
      <c r="B6" t="e">
        <f>IF(Plan1!185:185,"AAAAAFVu/gE=",0)</f>
        <v>#VALUE!</v>
      </c>
      <c r="C6" t="e">
        <f>AND(Plan1!A185,"AAAAAFVu/gI=")</f>
        <v>#VALUE!</v>
      </c>
      <c r="D6" t="e">
        <f>AND(Plan1!B185,"AAAAAFVu/gM=")</f>
        <v>#VALUE!</v>
      </c>
      <c r="E6" t="e">
        <f>AND(Plan1!C185,"AAAAAFVu/gQ=")</f>
        <v>#VALUE!</v>
      </c>
      <c r="F6" t="e">
        <f>AND(Plan1!D185,"AAAAAFVu/gU=")</f>
        <v>#VALUE!</v>
      </c>
      <c r="G6" t="e">
        <f>AND(Plan1!E185,"AAAAAFVu/gY=")</f>
        <v>#VALUE!</v>
      </c>
      <c r="H6" t="e">
        <f>AND(Plan1!F185,"AAAAAFVu/gc=")</f>
        <v>#VALUE!</v>
      </c>
      <c r="I6">
        <f>IF(Plan1!186:186,"AAAAAFVu/gg=",0)</f>
        <v>0</v>
      </c>
      <c r="J6" t="e">
        <f>AND(Plan1!A186,"AAAAAFVu/gk=")</f>
        <v>#VALUE!</v>
      </c>
      <c r="K6" t="e">
        <f>AND(Plan1!B186,"AAAAAFVu/go=")</f>
        <v>#VALUE!</v>
      </c>
      <c r="L6" t="e">
        <f>AND(Plan1!C186,"AAAAAFVu/gs=")</f>
        <v>#VALUE!</v>
      </c>
      <c r="M6" t="e">
        <f>AND(Plan1!D186,"AAAAAFVu/gw=")</f>
        <v>#VALUE!</v>
      </c>
      <c r="N6" t="e">
        <f>AND(Plan1!E186,"AAAAAFVu/g0=")</f>
        <v>#VALUE!</v>
      </c>
      <c r="O6" t="e">
        <f>AND(Plan1!F186,"AAAAAFVu/g4=")</f>
        <v>#VALUE!</v>
      </c>
      <c r="P6">
        <f>IF(Plan1!187:187,"AAAAAFVu/g8=",0)</f>
        <v>0</v>
      </c>
      <c r="Q6" t="e">
        <f>AND(Plan1!A187,"AAAAAFVu/hA=")</f>
        <v>#VALUE!</v>
      </c>
      <c r="R6" t="e">
        <f>AND(Plan1!B187,"AAAAAFVu/hE=")</f>
        <v>#VALUE!</v>
      </c>
      <c r="S6" t="e">
        <f>AND(Plan1!C187,"AAAAAFVu/hI=")</f>
        <v>#VALUE!</v>
      </c>
      <c r="T6" t="e">
        <f>AND(Plan1!D187,"AAAAAFVu/hM=")</f>
        <v>#VALUE!</v>
      </c>
      <c r="U6" t="e">
        <f>AND(Plan1!E187,"AAAAAFVu/hQ=")</f>
        <v>#VALUE!</v>
      </c>
      <c r="V6" t="e">
        <f>AND(Plan1!F187,"AAAAAFVu/hU=")</f>
        <v>#VALUE!</v>
      </c>
      <c r="W6">
        <f>IF(Plan1!188:188,"AAAAAFVu/hY=",0)</f>
        <v>0</v>
      </c>
      <c r="X6" t="e">
        <f>AND(Plan1!A188,"AAAAAFVu/hc=")</f>
        <v>#VALUE!</v>
      </c>
      <c r="Y6" t="e">
        <f>AND(Plan1!B188,"AAAAAFVu/hg=")</f>
        <v>#VALUE!</v>
      </c>
      <c r="Z6" t="e">
        <f>AND(Plan1!C188,"AAAAAFVu/hk=")</f>
        <v>#VALUE!</v>
      </c>
      <c r="AA6" t="e">
        <f>AND(Plan1!D188,"AAAAAFVu/ho=")</f>
        <v>#VALUE!</v>
      </c>
      <c r="AB6" t="e">
        <f>AND(Plan1!E188,"AAAAAFVu/hs=")</f>
        <v>#VALUE!</v>
      </c>
      <c r="AC6" t="e">
        <f>AND(Plan1!F188,"AAAAAFVu/hw=")</f>
        <v>#VALUE!</v>
      </c>
      <c r="AD6">
        <f>IF(Plan1!189:189,"AAAAAFVu/h0=",0)</f>
        <v>0</v>
      </c>
      <c r="AE6" t="e">
        <f>AND(Plan1!A189,"AAAAAFVu/h4=")</f>
        <v>#VALUE!</v>
      </c>
      <c r="AF6" t="e">
        <f>AND(Plan1!B189,"AAAAAFVu/h8=")</f>
        <v>#VALUE!</v>
      </c>
      <c r="AG6" t="e">
        <f>AND(Plan1!C189,"AAAAAFVu/iA=")</f>
        <v>#VALUE!</v>
      </c>
      <c r="AH6" t="e">
        <f>AND(Plan1!D189,"AAAAAFVu/iE=")</f>
        <v>#VALUE!</v>
      </c>
      <c r="AI6" t="e">
        <f>AND(Plan1!E189,"AAAAAFVu/iI=")</f>
        <v>#VALUE!</v>
      </c>
      <c r="AJ6" t="e">
        <f>AND(Plan1!F189,"AAAAAFVu/iM=")</f>
        <v>#VALUE!</v>
      </c>
      <c r="AK6">
        <f>IF(Plan1!190:190,"AAAAAFVu/iQ=",0)</f>
        <v>0</v>
      </c>
      <c r="AL6" t="e">
        <f>AND(Plan1!A190,"AAAAAFVu/iU=")</f>
        <v>#VALUE!</v>
      </c>
      <c r="AM6" t="e">
        <f>AND(Plan1!B190,"AAAAAFVu/iY=")</f>
        <v>#VALUE!</v>
      </c>
      <c r="AN6" t="e">
        <f>AND(Plan1!C190,"AAAAAFVu/ic=")</f>
        <v>#VALUE!</v>
      </c>
      <c r="AO6" t="e">
        <f>AND(Plan1!D190,"AAAAAFVu/ig=")</f>
        <v>#VALUE!</v>
      </c>
      <c r="AP6" t="e">
        <f>AND(Plan1!E190,"AAAAAFVu/ik=")</f>
        <v>#VALUE!</v>
      </c>
      <c r="AQ6" t="e">
        <f>AND(Plan1!F190,"AAAAAFVu/io=")</f>
        <v>#VALUE!</v>
      </c>
      <c r="AR6">
        <f>IF(Plan1!191:191,"AAAAAFVu/is=",0)</f>
        <v>0</v>
      </c>
      <c r="AS6" t="e">
        <f>AND(Plan1!A191,"AAAAAFVu/iw=")</f>
        <v>#VALUE!</v>
      </c>
      <c r="AT6" t="e">
        <f>AND(Plan1!B191,"AAAAAFVu/i0=")</f>
        <v>#VALUE!</v>
      </c>
      <c r="AU6" t="e">
        <f>AND(Plan1!C191,"AAAAAFVu/i4=")</f>
        <v>#VALUE!</v>
      </c>
      <c r="AV6" t="e">
        <f>AND(Plan1!D191,"AAAAAFVu/i8=")</f>
        <v>#VALUE!</v>
      </c>
      <c r="AW6" t="e">
        <f>AND(Plan1!E191,"AAAAAFVu/jA=")</f>
        <v>#VALUE!</v>
      </c>
      <c r="AX6" t="e">
        <f>AND(Plan1!F191,"AAAAAFVu/jE=")</f>
        <v>#VALUE!</v>
      </c>
      <c r="AY6">
        <f>IF(Plan1!192:192,"AAAAAFVu/jI=",0)</f>
        <v>0</v>
      </c>
      <c r="AZ6" t="e">
        <f>AND(Plan1!A192,"AAAAAFVu/jM=")</f>
        <v>#VALUE!</v>
      </c>
      <c r="BA6" t="e">
        <f>AND(Plan1!B192,"AAAAAFVu/jQ=")</f>
        <v>#VALUE!</v>
      </c>
      <c r="BB6" t="e">
        <f>AND(Plan1!C192,"AAAAAFVu/jU=")</f>
        <v>#VALUE!</v>
      </c>
      <c r="BC6" t="e">
        <f>AND(Plan1!D192,"AAAAAFVu/jY=")</f>
        <v>#VALUE!</v>
      </c>
      <c r="BD6" t="e">
        <f>AND(Plan1!E192,"AAAAAFVu/jc=")</f>
        <v>#VALUE!</v>
      </c>
      <c r="BE6" t="e">
        <f>AND(Plan1!F192,"AAAAAFVu/jg=")</f>
        <v>#VALUE!</v>
      </c>
      <c r="BF6">
        <f>IF(Plan1!193:193,"AAAAAFVu/jk=",0)</f>
        <v>0</v>
      </c>
      <c r="BG6" t="e">
        <f>AND(Plan1!A193,"AAAAAFVu/jo=")</f>
        <v>#VALUE!</v>
      </c>
      <c r="BH6" t="e">
        <f>AND(Plan1!B193,"AAAAAFVu/js=")</f>
        <v>#VALUE!</v>
      </c>
      <c r="BI6" t="e">
        <f>AND(Plan1!C193,"AAAAAFVu/jw=")</f>
        <v>#VALUE!</v>
      </c>
      <c r="BJ6" t="e">
        <f>AND(Plan1!D193,"AAAAAFVu/j0=")</f>
        <v>#VALUE!</v>
      </c>
      <c r="BK6" t="e">
        <f>AND(Plan1!E193,"AAAAAFVu/j4=")</f>
        <v>#VALUE!</v>
      </c>
      <c r="BL6" t="e">
        <f>AND(Plan1!F193,"AAAAAFVu/j8=")</f>
        <v>#VALUE!</v>
      </c>
      <c r="BM6">
        <f>IF(Plan1!194:194,"AAAAAFVu/kA=",0)</f>
        <v>0</v>
      </c>
      <c r="BN6" t="e">
        <f>AND(Plan1!A194,"AAAAAFVu/kE=")</f>
        <v>#VALUE!</v>
      </c>
      <c r="BO6" t="e">
        <f>AND(Plan1!B194,"AAAAAFVu/kI=")</f>
        <v>#VALUE!</v>
      </c>
      <c r="BP6" t="e">
        <f>AND(Plan1!C194,"AAAAAFVu/kM=")</f>
        <v>#VALUE!</v>
      </c>
      <c r="BQ6" t="e">
        <f>AND(Plan1!D194,"AAAAAFVu/kQ=")</f>
        <v>#VALUE!</v>
      </c>
      <c r="BR6" t="e">
        <f>AND(Plan1!E194,"AAAAAFVu/kU=")</f>
        <v>#VALUE!</v>
      </c>
      <c r="BS6" t="e">
        <f>AND(Plan1!F194,"AAAAAFVu/kY=")</f>
        <v>#VALUE!</v>
      </c>
      <c r="BT6">
        <f>IF(Plan1!195:195,"AAAAAFVu/kc=",0)</f>
        <v>0</v>
      </c>
      <c r="BU6" t="e">
        <f>AND(Plan1!A195,"AAAAAFVu/kg=")</f>
        <v>#VALUE!</v>
      </c>
      <c r="BV6" t="e">
        <f>AND(Plan1!B195,"AAAAAFVu/kk=")</f>
        <v>#VALUE!</v>
      </c>
      <c r="BW6" t="e">
        <f>AND(Plan1!C195,"AAAAAFVu/ko=")</f>
        <v>#VALUE!</v>
      </c>
      <c r="BX6" t="e">
        <f>AND(Plan1!D195,"AAAAAFVu/ks=")</f>
        <v>#VALUE!</v>
      </c>
      <c r="BY6" t="e">
        <f>AND(Plan1!E195,"AAAAAFVu/kw=")</f>
        <v>#VALUE!</v>
      </c>
      <c r="BZ6" t="e">
        <f>AND(Plan1!F195,"AAAAAFVu/k0=")</f>
        <v>#VALUE!</v>
      </c>
      <c r="CA6">
        <f>IF(Plan1!196:196,"AAAAAFVu/k4=",0)</f>
        <v>0</v>
      </c>
      <c r="CB6" t="e">
        <f>AND(Plan1!A196,"AAAAAFVu/k8=")</f>
        <v>#VALUE!</v>
      </c>
      <c r="CC6" t="e">
        <f>AND(Plan1!B196,"AAAAAFVu/lA=")</f>
        <v>#VALUE!</v>
      </c>
      <c r="CD6" t="e">
        <f>AND(Plan1!C196,"AAAAAFVu/lE=")</f>
        <v>#VALUE!</v>
      </c>
      <c r="CE6" t="e">
        <f>AND(Plan1!D196,"AAAAAFVu/lI=")</f>
        <v>#VALUE!</v>
      </c>
      <c r="CF6" t="e">
        <f>AND(Plan1!E196,"AAAAAFVu/lM=")</f>
        <v>#VALUE!</v>
      </c>
      <c r="CG6" t="e">
        <f>AND(Plan1!F196,"AAAAAFVu/lQ=")</f>
        <v>#VALUE!</v>
      </c>
      <c r="CH6">
        <f>IF(Plan1!197:197,"AAAAAFVu/lU=",0)</f>
        <v>0</v>
      </c>
      <c r="CI6" t="e">
        <f>AND(Plan1!A197,"AAAAAFVu/lY=")</f>
        <v>#VALUE!</v>
      </c>
      <c r="CJ6" t="e">
        <f>AND(Plan1!B197,"AAAAAFVu/lc=")</f>
        <v>#VALUE!</v>
      </c>
      <c r="CK6" t="e">
        <f>AND(Plan1!C197,"AAAAAFVu/lg=")</f>
        <v>#VALUE!</v>
      </c>
      <c r="CL6" t="e">
        <f>AND(Plan1!D197,"AAAAAFVu/lk=")</f>
        <v>#VALUE!</v>
      </c>
      <c r="CM6" t="e">
        <f>AND(Plan1!E197,"AAAAAFVu/lo=")</f>
        <v>#VALUE!</v>
      </c>
      <c r="CN6" t="e">
        <f>AND(Plan1!F197,"AAAAAFVu/ls=")</f>
        <v>#VALUE!</v>
      </c>
      <c r="CO6">
        <f>IF(Plan1!198:198,"AAAAAFVu/lw=",0)</f>
        <v>0</v>
      </c>
      <c r="CP6" t="e">
        <f>AND(Plan1!A198,"AAAAAFVu/l0=")</f>
        <v>#VALUE!</v>
      </c>
      <c r="CQ6" t="e">
        <f>AND(Plan1!B198,"AAAAAFVu/l4=")</f>
        <v>#VALUE!</v>
      </c>
      <c r="CR6" t="e">
        <f>AND(Plan1!C198,"AAAAAFVu/l8=")</f>
        <v>#VALUE!</v>
      </c>
      <c r="CS6" t="e">
        <f>AND(Plan1!D198,"AAAAAFVu/mA=")</f>
        <v>#VALUE!</v>
      </c>
      <c r="CT6" t="e">
        <f>AND(Plan1!E198,"AAAAAFVu/mE=")</f>
        <v>#VALUE!</v>
      </c>
      <c r="CU6" t="e">
        <f>AND(Plan1!F198,"AAAAAFVu/mI=")</f>
        <v>#VALUE!</v>
      </c>
      <c r="CV6">
        <f>IF(Plan1!199:199,"AAAAAFVu/mM=",0)</f>
        <v>0</v>
      </c>
      <c r="CW6" t="e">
        <f>AND(Plan1!A199,"AAAAAFVu/mQ=")</f>
        <v>#VALUE!</v>
      </c>
      <c r="CX6" t="e">
        <f>AND(Plan1!B199,"AAAAAFVu/mU=")</f>
        <v>#VALUE!</v>
      </c>
      <c r="CY6" t="e">
        <f>AND(Plan1!C199,"AAAAAFVu/mY=")</f>
        <v>#VALUE!</v>
      </c>
      <c r="CZ6" t="e">
        <f>AND(Plan1!D199,"AAAAAFVu/mc=")</f>
        <v>#VALUE!</v>
      </c>
      <c r="DA6" t="e">
        <f>AND(Plan1!E199,"AAAAAFVu/mg=")</f>
        <v>#VALUE!</v>
      </c>
      <c r="DB6" t="e">
        <f>AND(Plan1!F199,"AAAAAFVu/mk=")</f>
        <v>#VALUE!</v>
      </c>
      <c r="DC6">
        <f>IF(Plan1!200:200,"AAAAAFVu/mo=",0)</f>
        <v>0</v>
      </c>
      <c r="DD6" t="e">
        <f>AND(Plan1!A200,"AAAAAFVu/ms=")</f>
        <v>#VALUE!</v>
      </c>
      <c r="DE6" t="e">
        <f>AND(Plan1!B200,"AAAAAFVu/mw=")</f>
        <v>#VALUE!</v>
      </c>
      <c r="DF6" t="e">
        <f>AND(Plan1!C200,"AAAAAFVu/m0=")</f>
        <v>#VALUE!</v>
      </c>
      <c r="DG6" t="e">
        <f>AND(Plan1!D200,"AAAAAFVu/m4=")</f>
        <v>#VALUE!</v>
      </c>
      <c r="DH6" t="e">
        <f>AND(Plan1!E200,"AAAAAFVu/m8=")</f>
        <v>#VALUE!</v>
      </c>
      <c r="DI6" t="e">
        <f>AND(Plan1!F200,"AAAAAFVu/nA=")</f>
        <v>#VALUE!</v>
      </c>
      <c r="DJ6">
        <f>IF(Plan1!201:201,"AAAAAFVu/nE=",0)</f>
        <v>0</v>
      </c>
      <c r="DK6" t="e">
        <f>AND(Plan1!A201,"AAAAAFVu/nI=")</f>
        <v>#VALUE!</v>
      </c>
      <c r="DL6" t="e">
        <f>AND(Plan1!B201,"AAAAAFVu/nM=")</f>
        <v>#VALUE!</v>
      </c>
      <c r="DM6" t="e">
        <f>AND(Plan1!C201,"AAAAAFVu/nQ=")</f>
        <v>#VALUE!</v>
      </c>
      <c r="DN6" t="e">
        <f>AND(Plan1!D201,"AAAAAFVu/nU=")</f>
        <v>#VALUE!</v>
      </c>
      <c r="DO6" t="e">
        <f>AND(Plan1!E201,"AAAAAFVu/nY=")</f>
        <v>#VALUE!</v>
      </c>
      <c r="DP6" t="e">
        <f>AND(Plan1!F201,"AAAAAFVu/nc=")</f>
        <v>#VALUE!</v>
      </c>
      <c r="DQ6">
        <f>IF(Plan1!202:202,"AAAAAFVu/ng=",0)</f>
        <v>0</v>
      </c>
      <c r="DR6" t="e">
        <f>AND(Plan1!A202,"AAAAAFVu/nk=")</f>
        <v>#VALUE!</v>
      </c>
      <c r="DS6" t="e">
        <f>AND(Plan1!B202,"AAAAAFVu/no=")</f>
        <v>#VALUE!</v>
      </c>
      <c r="DT6" t="e">
        <f>AND(Plan1!C202,"AAAAAFVu/ns=")</f>
        <v>#VALUE!</v>
      </c>
      <c r="DU6" t="e">
        <f>AND(Plan1!D202,"AAAAAFVu/nw=")</f>
        <v>#VALUE!</v>
      </c>
      <c r="DV6" t="e">
        <f>AND(Plan1!E202,"AAAAAFVu/n0=")</f>
        <v>#VALUE!</v>
      </c>
      <c r="DW6" t="e">
        <f>AND(Plan1!F202,"AAAAAFVu/n4=")</f>
        <v>#VALUE!</v>
      </c>
      <c r="DX6">
        <f>IF(Plan1!203:203,"AAAAAFVu/n8=",0)</f>
        <v>0</v>
      </c>
      <c r="DY6" t="e">
        <f>AND(Plan1!A203,"AAAAAFVu/oA=")</f>
        <v>#VALUE!</v>
      </c>
      <c r="DZ6" t="e">
        <f>AND(Plan1!B203,"AAAAAFVu/oE=")</f>
        <v>#VALUE!</v>
      </c>
      <c r="EA6" t="e">
        <f>AND(Plan1!C203,"AAAAAFVu/oI=")</f>
        <v>#VALUE!</v>
      </c>
      <c r="EB6" t="e">
        <f>AND(Plan1!D203,"AAAAAFVu/oM=")</f>
        <v>#VALUE!</v>
      </c>
      <c r="EC6" t="e">
        <f>AND(Plan1!E203,"AAAAAFVu/oQ=")</f>
        <v>#VALUE!</v>
      </c>
      <c r="ED6" t="e">
        <f>AND(Plan1!F203,"AAAAAFVu/oU=")</f>
        <v>#VALUE!</v>
      </c>
      <c r="EE6">
        <f>IF(Plan1!204:204,"AAAAAFVu/oY=",0)</f>
        <v>0</v>
      </c>
      <c r="EF6" t="e">
        <f>AND(Plan1!A204,"AAAAAFVu/oc=")</f>
        <v>#VALUE!</v>
      </c>
      <c r="EG6" t="e">
        <f>AND(Plan1!B204,"AAAAAFVu/og=")</f>
        <v>#VALUE!</v>
      </c>
      <c r="EH6" t="e">
        <f>AND(Plan1!C204,"AAAAAFVu/ok=")</f>
        <v>#VALUE!</v>
      </c>
      <c r="EI6" t="e">
        <f>AND(Plan1!D204,"AAAAAFVu/oo=")</f>
        <v>#VALUE!</v>
      </c>
      <c r="EJ6" t="e">
        <f>AND(Plan1!E204,"AAAAAFVu/os=")</f>
        <v>#VALUE!</v>
      </c>
      <c r="EK6" t="e">
        <f>AND(Plan1!F204,"AAAAAFVu/ow=")</f>
        <v>#VALUE!</v>
      </c>
      <c r="EL6">
        <f>IF(Plan1!205:205,"AAAAAFVu/o0=",0)</f>
        <v>0</v>
      </c>
      <c r="EM6" t="e">
        <f>AND(Plan1!A205,"AAAAAFVu/o4=")</f>
        <v>#VALUE!</v>
      </c>
      <c r="EN6" t="e">
        <f>AND(Plan1!B205,"AAAAAFVu/o8=")</f>
        <v>#VALUE!</v>
      </c>
      <c r="EO6" t="e">
        <f>AND(Plan1!C205,"AAAAAFVu/pA=")</f>
        <v>#VALUE!</v>
      </c>
      <c r="EP6" t="e">
        <f>AND(Plan1!D205,"AAAAAFVu/pE=")</f>
        <v>#VALUE!</v>
      </c>
      <c r="EQ6" t="e">
        <f>AND(Plan1!E205,"AAAAAFVu/pI=")</f>
        <v>#VALUE!</v>
      </c>
      <c r="ER6" t="e">
        <f>AND(Plan1!F205,"AAAAAFVu/pM=")</f>
        <v>#VALUE!</v>
      </c>
      <c r="ES6">
        <f>IF(Plan1!206:206,"AAAAAFVu/pQ=",0)</f>
        <v>0</v>
      </c>
      <c r="ET6" t="e">
        <f>AND(Plan1!A206,"AAAAAFVu/pU=")</f>
        <v>#VALUE!</v>
      </c>
      <c r="EU6" t="e">
        <f>AND(Plan1!B206,"AAAAAFVu/pY=")</f>
        <v>#VALUE!</v>
      </c>
      <c r="EV6" t="e">
        <f>AND(Plan1!C206,"AAAAAFVu/pc=")</f>
        <v>#VALUE!</v>
      </c>
      <c r="EW6" t="e">
        <f>AND(Plan1!D206,"AAAAAFVu/pg=")</f>
        <v>#VALUE!</v>
      </c>
      <c r="EX6" t="e">
        <f>AND(Plan1!E206,"AAAAAFVu/pk=")</f>
        <v>#VALUE!</v>
      </c>
      <c r="EY6" t="e">
        <f>AND(Plan1!F206,"AAAAAFVu/po=")</f>
        <v>#VALUE!</v>
      </c>
      <c r="EZ6">
        <f>IF(Plan1!207:207,"AAAAAFVu/ps=",0)</f>
        <v>0</v>
      </c>
      <c r="FA6" t="e">
        <f>AND(Plan1!A207,"AAAAAFVu/pw=")</f>
        <v>#VALUE!</v>
      </c>
      <c r="FB6" t="e">
        <f>AND(Plan1!B207,"AAAAAFVu/p0=")</f>
        <v>#VALUE!</v>
      </c>
      <c r="FC6" t="e">
        <f>AND(Plan1!C207,"AAAAAFVu/p4=")</f>
        <v>#VALUE!</v>
      </c>
      <c r="FD6" t="e">
        <f>AND(Plan1!D207,"AAAAAFVu/p8=")</f>
        <v>#VALUE!</v>
      </c>
      <c r="FE6" t="e">
        <f>AND(Plan1!E207,"AAAAAFVu/qA=")</f>
        <v>#VALUE!</v>
      </c>
      <c r="FF6" t="e">
        <f>AND(Plan1!F207,"AAAAAFVu/qE=")</f>
        <v>#VALUE!</v>
      </c>
      <c r="FG6">
        <f>IF(Plan1!208:208,"AAAAAFVu/qI=",0)</f>
        <v>0</v>
      </c>
      <c r="FH6" t="e">
        <f>AND(Plan1!A208,"AAAAAFVu/qM=")</f>
        <v>#VALUE!</v>
      </c>
      <c r="FI6" t="e">
        <f>AND(Plan1!B208,"AAAAAFVu/qQ=")</f>
        <v>#VALUE!</v>
      </c>
      <c r="FJ6" t="e">
        <f>AND(Plan1!C208,"AAAAAFVu/qU=")</f>
        <v>#VALUE!</v>
      </c>
      <c r="FK6" t="e">
        <f>AND(Plan1!D208,"AAAAAFVu/qY=")</f>
        <v>#VALUE!</v>
      </c>
      <c r="FL6" t="e">
        <f>AND(Plan1!E208,"AAAAAFVu/qc=")</f>
        <v>#VALUE!</v>
      </c>
      <c r="FM6" t="e">
        <f>AND(Plan1!F208,"AAAAAFVu/qg=")</f>
        <v>#VALUE!</v>
      </c>
      <c r="FN6">
        <f>IF(Plan1!209:209,"AAAAAFVu/qk=",0)</f>
        <v>0</v>
      </c>
      <c r="FO6" t="e">
        <f>AND(Plan1!A209,"AAAAAFVu/qo=")</f>
        <v>#VALUE!</v>
      </c>
      <c r="FP6" t="e">
        <f>AND(Plan1!B209,"AAAAAFVu/qs=")</f>
        <v>#VALUE!</v>
      </c>
      <c r="FQ6" t="e">
        <f>AND(Plan1!C209,"AAAAAFVu/qw=")</f>
        <v>#VALUE!</v>
      </c>
      <c r="FR6" t="e">
        <f>AND(Plan1!D209,"AAAAAFVu/q0=")</f>
        <v>#VALUE!</v>
      </c>
      <c r="FS6" t="e">
        <f>AND(Plan1!E209,"AAAAAFVu/q4=")</f>
        <v>#VALUE!</v>
      </c>
      <c r="FT6" t="e">
        <f>AND(Plan1!F209,"AAAAAFVu/q8=")</f>
        <v>#VALUE!</v>
      </c>
      <c r="FU6">
        <f>IF(Plan1!210:210,"AAAAAFVu/rA=",0)</f>
        <v>0</v>
      </c>
      <c r="FV6" t="e">
        <f>AND(Plan1!A210,"AAAAAFVu/rE=")</f>
        <v>#VALUE!</v>
      </c>
      <c r="FW6" t="e">
        <f>AND(Plan1!B210,"AAAAAFVu/rI=")</f>
        <v>#VALUE!</v>
      </c>
      <c r="FX6" t="e">
        <f>AND(Plan1!C210,"AAAAAFVu/rM=")</f>
        <v>#VALUE!</v>
      </c>
      <c r="FY6" t="e">
        <f>AND(Plan1!D210,"AAAAAFVu/rQ=")</f>
        <v>#VALUE!</v>
      </c>
      <c r="FZ6" t="e">
        <f>AND(Plan1!E210,"AAAAAFVu/rU=")</f>
        <v>#VALUE!</v>
      </c>
      <c r="GA6" t="e">
        <f>AND(Plan1!F210,"AAAAAFVu/rY=")</f>
        <v>#VALUE!</v>
      </c>
      <c r="GB6">
        <f>IF(Plan1!211:211,"AAAAAFVu/rc=",0)</f>
        <v>0</v>
      </c>
      <c r="GC6" t="e">
        <f>AND(Plan1!A211,"AAAAAFVu/rg=")</f>
        <v>#VALUE!</v>
      </c>
      <c r="GD6" t="e">
        <f>AND(Plan1!B211,"AAAAAFVu/rk=")</f>
        <v>#VALUE!</v>
      </c>
      <c r="GE6" t="e">
        <f>AND(Plan1!C211,"AAAAAFVu/ro=")</f>
        <v>#VALUE!</v>
      </c>
      <c r="GF6" t="e">
        <f>AND(Plan1!D211,"AAAAAFVu/rs=")</f>
        <v>#VALUE!</v>
      </c>
      <c r="GG6" t="e">
        <f>AND(Plan1!E211,"AAAAAFVu/rw=")</f>
        <v>#VALUE!</v>
      </c>
      <c r="GH6" t="e">
        <f>AND(Plan1!F211,"AAAAAFVu/r0=")</f>
        <v>#VALUE!</v>
      </c>
      <c r="GI6">
        <f>IF(Plan1!212:212,"AAAAAFVu/r4=",0)</f>
        <v>0</v>
      </c>
      <c r="GJ6" t="e">
        <f>AND(Plan1!A212,"AAAAAFVu/r8=")</f>
        <v>#VALUE!</v>
      </c>
      <c r="GK6" t="e">
        <f>AND(Plan1!B212,"AAAAAFVu/sA=")</f>
        <v>#VALUE!</v>
      </c>
      <c r="GL6" t="e">
        <f>AND(Plan1!C212,"AAAAAFVu/sE=")</f>
        <v>#VALUE!</v>
      </c>
      <c r="GM6" t="e">
        <f>AND(Plan1!D212,"AAAAAFVu/sI=")</f>
        <v>#VALUE!</v>
      </c>
      <c r="GN6" t="e">
        <f>AND(Plan1!E212,"AAAAAFVu/sM=")</f>
        <v>#VALUE!</v>
      </c>
      <c r="GO6" t="e">
        <f>AND(Plan1!F212,"AAAAAFVu/sQ=")</f>
        <v>#VALUE!</v>
      </c>
      <c r="GP6">
        <f>IF(Plan1!213:213,"AAAAAFVu/sU=",0)</f>
        <v>0</v>
      </c>
      <c r="GQ6" t="e">
        <f>AND(Plan1!A213,"AAAAAFVu/sY=")</f>
        <v>#VALUE!</v>
      </c>
      <c r="GR6" t="e">
        <f>AND(Plan1!B213,"AAAAAFVu/sc=")</f>
        <v>#VALUE!</v>
      </c>
      <c r="GS6" t="e">
        <f>AND(Plan1!C213,"AAAAAFVu/sg=")</f>
        <v>#VALUE!</v>
      </c>
      <c r="GT6" t="e">
        <f>AND(Plan1!D213,"AAAAAFVu/sk=")</f>
        <v>#VALUE!</v>
      </c>
      <c r="GU6" t="e">
        <f>AND(Plan1!E213,"AAAAAFVu/so=")</f>
        <v>#VALUE!</v>
      </c>
      <c r="GV6" t="e">
        <f>AND(Plan1!F213,"AAAAAFVu/ss=")</f>
        <v>#VALUE!</v>
      </c>
      <c r="GW6">
        <f>IF(Plan1!214:214,"AAAAAFVu/sw=",0)</f>
        <v>0</v>
      </c>
      <c r="GX6" t="e">
        <f>AND(Plan1!A214,"AAAAAFVu/s0=")</f>
        <v>#VALUE!</v>
      </c>
      <c r="GY6" t="e">
        <f>AND(Plan1!B214,"AAAAAFVu/s4=")</f>
        <v>#VALUE!</v>
      </c>
      <c r="GZ6" t="e">
        <f>AND(Plan1!C214,"AAAAAFVu/s8=")</f>
        <v>#VALUE!</v>
      </c>
      <c r="HA6" t="e">
        <f>AND(Plan1!D214,"AAAAAFVu/tA=")</f>
        <v>#VALUE!</v>
      </c>
      <c r="HB6" t="e">
        <f>AND(Plan1!E214,"AAAAAFVu/tE=")</f>
        <v>#VALUE!</v>
      </c>
      <c r="HC6" t="e">
        <f>AND(Plan1!F214,"AAAAAFVu/tI=")</f>
        <v>#VALUE!</v>
      </c>
      <c r="HD6">
        <f>IF(Plan1!215:215,"AAAAAFVu/tM=",0)</f>
        <v>0</v>
      </c>
      <c r="HE6" t="e">
        <f>AND(Plan1!A215,"AAAAAFVu/tQ=")</f>
        <v>#VALUE!</v>
      </c>
      <c r="HF6" t="e">
        <f>AND(Plan1!B215,"AAAAAFVu/tU=")</f>
        <v>#VALUE!</v>
      </c>
      <c r="HG6" t="e">
        <f>AND(Plan1!C215,"AAAAAFVu/tY=")</f>
        <v>#VALUE!</v>
      </c>
      <c r="HH6" t="e">
        <f>AND(Plan1!D215,"AAAAAFVu/tc=")</f>
        <v>#VALUE!</v>
      </c>
      <c r="HI6" t="e">
        <f>AND(Plan1!E215,"AAAAAFVu/tg=")</f>
        <v>#VALUE!</v>
      </c>
      <c r="HJ6" t="e">
        <f>AND(Plan1!F215,"AAAAAFVu/tk=")</f>
        <v>#VALUE!</v>
      </c>
      <c r="HK6">
        <f>IF(Plan1!216:216,"AAAAAFVu/to=",0)</f>
        <v>0</v>
      </c>
      <c r="HL6" t="e">
        <f>AND(Plan1!A216,"AAAAAFVu/ts=")</f>
        <v>#VALUE!</v>
      </c>
      <c r="HM6" t="e">
        <f>AND(Plan1!B216,"AAAAAFVu/tw=")</f>
        <v>#VALUE!</v>
      </c>
      <c r="HN6" t="e">
        <f>AND(Plan1!C216,"AAAAAFVu/t0=")</f>
        <v>#VALUE!</v>
      </c>
      <c r="HO6" t="e">
        <f>AND(Plan1!D216,"AAAAAFVu/t4=")</f>
        <v>#VALUE!</v>
      </c>
      <c r="HP6" t="e">
        <f>AND(Plan1!E216,"AAAAAFVu/t8=")</f>
        <v>#VALUE!</v>
      </c>
      <c r="HQ6" t="e">
        <f>AND(Plan1!F216,"AAAAAFVu/uA=")</f>
        <v>#VALUE!</v>
      </c>
      <c r="HR6">
        <f>IF(Plan1!217:217,"AAAAAFVu/uE=",0)</f>
        <v>0</v>
      </c>
      <c r="HS6" t="e">
        <f>AND(Plan1!A217,"AAAAAFVu/uI=")</f>
        <v>#VALUE!</v>
      </c>
      <c r="HT6" t="e">
        <f>AND(Plan1!B217,"AAAAAFVu/uM=")</f>
        <v>#VALUE!</v>
      </c>
      <c r="HU6" t="e">
        <f>AND(Plan1!C217,"AAAAAFVu/uQ=")</f>
        <v>#VALUE!</v>
      </c>
      <c r="HV6" t="e">
        <f>AND(Plan1!D217,"AAAAAFVu/uU=")</f>
        <v>#VALUE!</v>
      </c>
      <c r="HW6" t="e">
        <f>AND(Plan1!E217,"AAAAAFVu/uY=")</f>
        <v>#VALUE!</v>
      </c>
      <c r="HX6" t="e">
        <f>AND(Plan1!F217,"AAAAAFVu/uc=")</f>
        <v>#VALUE!</v>
      </c>
      <c r="HY6">
        <f>IF(Plan1!218:218,"AAAAAFVu/ug=",0)</f>
        <v>0</v>
      </c>
      <c r="HZ6" t="e">
        <f>AND(Plan1!A218,"AAAAAFVu/uk=")</f>
        <v>#VALUE!</v>
      </c>
      <c r="IA6" t="e">
        <f>AND(Plan1!B218,"AAAAAFVu/uo=")</f>
        <v>#VALUE!</v>
      </c>
      <c r="IB6" t="e">
        <f>AND(Plan1!C218,"AAAAAFVu/us=")</f>
        <v>#VALUE!</v>
      </c>
      <c r="IC6" t="e">
        <f>AND(Plan1!D218,"AAAAAFVu/uw=")</f>
        <v>#VALUE!</v>
      </c>
      <c r="ID6" t="e">
        <f>AND(Plan1!E218,"AAAAAFVu/u0=")</f>
        <v>#VALUE!</v>
      </c>
      <c r="IE6" t="e">
        <f>AND(Plan1!F218,"AAAAAFVu/u4=")</f>
        <v>#VALUE!</v>
      </c>
      <c r="IF6">
        <f>IF(Plan1!219:219,"AAAAAFVu/u8=",0)</f>
        <v>0</v>
      </c>
      <c r="IG6" t="e">
        <f>AND(Plan1!A219,"AAAAAFVu/vA=")</f>
        <v>#VALUE!</v>
      </c>
      <c r="IH6" t="e">
        <f>AND(Plan1!B219,"AAAAAFVu/vE=")</f>
        <v>#VALUE!</v>
      </c>
      <c r="II6" t="e">
        <f>AND(Plan1!C219,"AAAAAFVu/vI=")</f>
        <v>#VALUE!</v>
      </c>
      <c r="IJ6" t="e">
        <f>AND(Plan1!D219,"AAAAAFVu/vM=")</f>
        <v>#VALUE!</v>
      </c>
      <c r="IK6" t="e">
        <f>AND(Plan1!E219,"AAAAAFVu/vQ=")</f>
        <v>#VALUE!</v>
      </c>
      <c r="IL6" t="e">
        <f>AND(Plan1!F219,"AAAAAFVu/vU=")</f>
        <v>#VALUE!</v>
      </c>
      <c r="IM6">
        <f>IF(Plan1!220:220,"AAAAAFVu/vY=",0)</f>
        <v>0</v>
      </c>
      <c r="IN6" t="e">
        <f>AND(Plan1!A220,"AAAAAFVu/vc=")</f>
        <v>#VALUE!</v>
      </c>
      <c r="IO6" t="e">
        <f>AND(Plan1!B220,"AAAAAFVu/vg=")</f>
        <v>#VALUE!</v>
      </c>
      <c r="IP6" t="e">
        <f>AND(Plan1!C220,"AAAAAFVu/vk=")</f>
        <v>#VALUE!</v>
      </c>
      <c r="IQ6" t="e">
        <f>AND(Plan1!D220,"AAAAAFVu/vo=")</f>
        <v>#VALUE!</v>
      </c>
      <c r="IR6" t="e">
        <f>AND(Plan1!E220,"AAAAAFVu/vs=")</f>
        <v>#VALUE!</v>
      </c>
      <c r="IS6" t="e">
        <f>AND(Plan1!F220,"AAAAAFVu/vw=")</f>
        <v>#VALUE!</v>
      </c>
      <c r="IT6">
        <f>IF(Plan1!221:221,"AAAAAFVu/v0=",0)</f>
        <v>0</v>
      </c>
      <c r="IU6" t="e">
        <f>AND(Plan1!A221,"AAAAAFVu/v4=")</f>
        <v>#VALUE!</v>
      </c>
      <c r="IV6" t="e">
        <f>AND(Plan1!B221,"AAAAAFVu/v8=")</f>
        <v>#VALUE!</v>
      </c>
    </row>
    <row r="7" spans="1:256">
      <c r="A7" t="e">
        <f>AND(Plan1!C221,"AAAAAF//7wA=")</f>
        <v>#VALUE!</v>
      </c>
      <c r="B7" t="e">
        <f>AND(Plan1!D221,"AAAAAF//7wE=")</f>
        <v>#VALUE!</v>
      </c>
      <c r="C7" t="e">
        <f>AND(Plan1!E221,"AAAAAF//7wI=")</f>
        <v>#VALUE!</v>
      </c>
      <c r="D7" t="e">
        <f>AND(Plan1!F221,"AAAAAF//7wM=")</f>
        <v>#VALUE!</v>
      </c>
      <c r="E7" t="e">
        <f>IF(Plan1!222:222,"AAAAAF//7wQ=",0)</f>
        <v>#VALUE!</v>
      </c>
      <c r="F7" t="e">
        <f>AND(Plan1!A222,"AAAAAF//7wU=")</f>
        <v>#VALUE!</v>
      </c>
      <c r="G7" t="e">
        <f>AND(Plan1!B222,"AAAAAF//7wY=")</f>
        <v>#VALUE!</v>
      </c>
      <c r="H7" t="e">
        <f>AND(Plan1!C222,"AAAAAF//7wc=")</f>
        <v>#VALUE!</v>
      </c>
      <c r="I7" t="e">
        <f>AND(Plan1!D222,"AAAAAF//7wg=")</f>
        <v>#VALUE!</v>
      </c>
      <c r="J7" t="e">
        <f>AND(Plan1!E222,"AAAAAF//7wk=")</f>
        <v>#VALUE!</v>
      </c>
      <c r="K7" t="e">
        <f>AND(Plan1!F222,"AAAAAF//7wo=")</f>
        <v>#VALUE!</v>
      </c>
      <c r="L7">
        <f>IF(Plan1!223:223,"AAAAAF//7ws=",0)</f>
        <v>0</v>
      </c>
      <c r="M7" t="e">
        <f>AND(Plan1!A223,"AAAAAF//7ww=")</f>
        <v>#VALUE!</v>
      </c>
      <c r="N7" t="e">
        <f>AND(Plan1!B223,"AAAAAF//7w0=")</f>
        <v>#VALUE!</v>
      </c>
      <c r="O7" t="e">
        <f>AND(Plan1!C223,"AAAAAF//7w4=")</f>
        <v>#VALUE!</v>
      </c>
      <c r="P7" t="e">
        <f>AND(Plan1!D223,"AAAAAF//7w8=")</f>
        <v>#VALUE!</v>
      </c>
      <c r="Q7" t="e">
        <f>AND(Plan1!E223,"AAAAAF//7xA=")</f>
        <v>#VALUE!</v>
      </c>
      <c r="R7" t="e">
        <f>AND(Plan1!F223,"AAAAAF//7xE=")</f>
        <v>#VALUE!</v>
      </c>
      <c r="S7">
        <f>IF(Plan1!224:224,"AAAAAF//7xI=",0)</f>
        <v>0</v>
      </c>
      <c r="T7" t="e">
        <f>AND(Plan1!A224,"AAAAAF//7xM=")</f>
        <v>#VALUE!</v>
      </c>
      <c r="U7" t="e">
        <f>AND(Plan1!B224,"AAAAAF//7xQ=")</f>
        <v>#VALUE!</v>
      </c>
      <c r="V7" t="e">
        <f>AND(Plan1!C224,"AAAAAF//7xU=")</f>
        <v>#VALUE!</v>
      </c>
      <c r="W7" t="e">
        <f>AND(Plan1!D224,"AAAAAF//7xY=")</f>
        <v>#VALUE!</v>
      </c>
      <c r="X7" t="e">
        <f>AND(Plan1!E224,"AAAAAF//7xc=")</f>
        <v>#VALUE!</v>
      </c>
      <c r="Y7" t="e">
        <f>AND(Plan1!F224,"AAAAAF//7xg=")</f>
        <v>#VALUE!</v>
      </c>
      <c r="Z7">
        <f>IF(Plan1!225:225,"AAAAAF//7xk=",0)</f>
        <v>0</v>
      </c>
      <c r="AA7" t="e">
        <f>AND(Plan1!A225,"AAAAAF//7xo=")</f>
        <v>#VALUE!</v>
      </c>
      <c r="AB7" t="e">
        <f>AND(Plan1!B225,"AAAAAF//7xs=")</f>
        <v>#VALUE!</v>
      </c>
      <c r="AC7" t="e">
        <f>AND(Plan1!C225,"AAAAAF//7xw=")</f>
        <v>#VALUE!</v>
      </c>
      <c r="AD7" t="e">
        <f>AND(Plan1!D225,"AAAAAF//7x0=")</f>
        <v>#VALUE!</v>
      </c>
      <c r="AE7" t="e">
        <f>AND(Plan1!E225,"AAAAAF//7x4=")</f>
        <v>#VALUE!</v>
      </c>
      <c r="AF7" t="e">
        <f>AND(Plan1!F225,"AAAAAF//7x8=")</f>
        <v>#VALUE!</v>
      </c>
      <c r="AG7">
        <f>IF(Plan1!226:226,"AAAAAF//7yA=",0)</f>
        <v>0</v>
      </c>
      <c r="AH7" t="e">
        <f>AND(Plan1!A226,"AAAAAF//7yE=")</f>
        <v>#VALUE!</v>
      </c>
      <c r="AI7" t="e">
        <f>AND(Plan1!B226,"AAAAAF//7yI=")</f>
        <v>#VALUE!</v>
      </c>
      <c r="AJ7" t="e">
        <f>AND(Plan1!C226,"AAAAAF//7yM=")</f>
        <v>#VALUE!</v>
      </c>
      <c r="AK7" t="e">
        <f>AND(Plan1!D226,"AAAAAF//7yQ=")</f>
        <v>#VALUE!</v>
      </c>
      <c r="AL7" t="e">
        <f>AND(Plan1!E226,"AAAAAF//7yU=")</f>
        <v>#VALUE!</v>
      </c>
      <c r="AM7" t="e">
        <f>AND(Plan1!F226,"AAAAAF//7yY=")</f>
        <v>#VALUE!</v>
      </c>
      <c r="AN7">
        <f>IF(Plan1!227:227,"AAAAAF//7yc=",0)</f>
        <v>0</v>
      </c>
      <c r="AO7" t="e">
        <f>AND(Plan1!A227,"AAAAAF//7yg=")</f>
        <v>#VALUE!</v>
      </c>
      <c r="AP7" t="e">
        <f>AND(Plan1!B227,"AAAAAF//7yk=")</f>
        <v>#VALUE!</v>
      </c>
      <c r="AQ7" t="e">
        <f>AND(Plan1!C227,"AAAAAF//7yo=")</f>
        <v>#VALUE!</v>
      </c>
      <c r="AR7" t="e">
        <f>AND(Plan1!D227,"AAAAAF//7ys=")</f>
        <v>#VALUE!</v>
      </c>
      <c r="AS7" t="e">
        <f>AND(Plan1!E227,"AAAAAF//7yw=")</f>
        <v>#VALUE!</v>
      </c>
      <c r="AT7" t="e">
        <f>AND(Plan1!F227,"AAAAAF//7y0=")</f>
        <v>#VALUE!</v>
      </c>
      <c r="AU7">
        <f>IF(Plan1!228:228,"AAAAAF//7y4=",0)</f>
        <v>0</v>
      </c>
      <c r="AV7" t="e">
        <f>AND(Plan1!A228,"AAAAAF//7y8=")</f>
        <v>#VALUE!</v>
      </c>
      <c r="AW7" t="e">
        <f>AND(Plan1!B228,"AAAAAF//7zA=")</f>
        <v>#VALUE!</v>
      </c>
      <c r="AX7" t="e">
        <f>AND(Plan1!C228,"AAAAAF//7zE=")</f>
        <v>#VALUE!</v>
      </c>
      <c r="AY7" t="e">
        <f>AND(Plan1!D228,"AAAAAF//7zI=")</f>
        <v>#VALUE!</v>
      </c>
      <c r="AZ7" t="e">
        <f>AND(Plan1!E228,"AAAAAF//7zM=")</f>
        <v>#VALUE!</v>
      </c>
      <c r="BA7" t="e">
        <f>AND(Plan1!F228,"AAAAAF//7zQ=")</f>
        <v>#VALUE!</v>
      </c>
      <c r="BB7">
        <f>IF(Plan1!229:229,"AAAAAF//7zU=",0)</f>
        <v>0</v>
      </c>
      <c r="BC7" t="e">
        <f>AND(Plan1!A229,"AAAAAF//7zY=")</f>
        <v>#VALUE!</v>
      </c>
      <c r="BD7" t="e">
        <f>AND(Plan1!B229,"AAAAAF//7zc=")</f>
        <v>#VALUE!</v>
      </c>
      <c r="BE7" t="e">
        <f>AND(Plan1!C229,"AAAAAF//7zg=")</f>
        <v>#VALUE!</v>
      </c>
      <c r="BF7" t="e">
        <f>AND(Plan1!D229,"AAAAAF//7zk=")</f>
        <v>#VALUE!</v>
      </c>
      <c r="BG7" t="e">
        <f>AND(Plan1!E229,"AAAAAF//7zo=")</f>
        <v>#VALUE!</v>
      </c>
      <c r="BH7" t="e">
        <f>AND(Plan1!F229,"AAAAAF//7zs=")</f>
        <v>#VALUE!</v>
      </c>
      <c r="BI7">
        <f>IF(Plan1!230:230,"AAAAAF//7zw=",0)</f>
        <v>0</v>
      </c>
      <c r="BJ7" t="e">
        <f>AND(Plan1!A230,"AAAAAF//7z0=")</f>
        <v>#VALUE!</v>
      </c>
      <c r="BK7" t="e">
        <f>AND(Plan1!B230,"AAAAAF//7z4=")</f>
        <v>#VALUE!</v>
      </c>
      <c r="BL7" t="e">
        <f>AND(Plan1!C230,"AAAAAF//7z8=")</f>
        <v>#VALUE!</v>
      </c>
      <c r="BM7" t="e">
        <f>AND(Plan1!D230,"AAAAAF//70A=")</f>
        <v>#VALUE!</v>
      </c>
      <c r="BN7" t="e">
        <f>AND(Plan1!E230,"AAAAAF//70E=")</f>
        <v>#VALUE!</v>
      </c>
      <c r="BO7" t="e">
        <f>AND(Plan1!F230,"AAAAAF//70I=")</f>
        <v>#VALUE!</v>
      </c>
      <c r="BP7">
        <f>IF(Plan1!231:231,"AAAAAF//70M=",0)</f>
        <v>0</v>
      </c>
      <c r="BQ7" t="e">
        <f>AND(Plan1!A231,"AAAAAF//70Q=")</f>
        <v>#VALUE!</v>
      </c>
      <c r="BR7" t="e">
        <f>AND(Plan1!B231,"AAAAAF//70U=")</f>
        <v>#VALUE!</v>
      </c>
      <c r="BS7" t="e">
        <f>AND(Plan1!C231,"AAAAAF//70Y=")</f>
        <v>#VALUE!</v>
      </c>
      <c r="BT7" t="e">
        <f>AND(Plan1!D231,"AAAAAF//70c=")</f>
        <v>#VALUE!</v>
      </c>
      <c r="BU7" t="e">
        <f>AND(Plan1!E231,"AAAAAF//70g=")</f>
        <v>#VALUE!</v>
      </c>
      <c r="BV7" t="e">
        <f>AND(Plan1!F231,"AAAAAF//70k=")</f>
        <v>#VALUE!</v>
      </c>
      <c r="BW7">
        <f>IF(Plan1!232:232,"AAAAAF//70o=",0)</f>
        <v>0</v>
      </c>
      <c r="BX7" t="e">
        <f>AND(Plan1!A232,"AAAAAF//70s=")</f>
        <v>#VALUE!</v>
      </c>
      <c r="BY7" t="e">
        <f>AND(Plan1!B232,"AAAAAF//70w=")</f>
        <v>#VALUE!</v>
      </c>
      <c r="BZ7" t="e">
        <f>AND(Plan1!C232,"AAAAAF//700=")</f>
        <v>#VALUE!</v>
      </c>
      <c r="CA7" t="e">
        <f>AND(Plan1!D232,"AAAAAF//704=")</f>
        <v>#VALUE!</v>
      </c>
      <c r="CB7" t="e">
        <f>AND(Plan1!E232,"AAAAAF//708=")</f>
        <v>#VALUE!</v>
      </c>
      <c r="CC7" t="e">
        <f>AND(Plan1!F232,"AAAAAF//71A=")</f>
        <v>#VALUE!</v>
      </c>
      <c r="CD7">
        <f>IF(Plan1!233:233,"AAAAAF//71E=",0)</f>
        <v>0</v>
      </c>
      <c r="CE7" t="e">
        <f>AND(Plan1!A233,"AAAAAF//71I=")</f>
        <v>#VALUE!</v>
      </c>
      <c r="CF7" t="e">
        <f>AND(Plan1!B233,"AAAAAF//71M=")</f>
        <v>#VALUE!</v>
      </c>
      <c r="CG7" t="e">
        <f>AND(Plan1!C233,"AAAAAF//71Q=")</f>
        <v>#VALUE!</v>
      </c>
      <c r="CH7" t="e">
        <f>AND(Plan1!D233,"AAAAAF//71U=")</f>
        <v>#VALUE!</v>
      </c>
      <c r="CI7" t="e">
        <f>AND(Plan1!E233,"AAAAAF//71Y=")</f>
        <v>#VALUE!</v>
      </c>
      <c r="CJ7" t="e">
        <f>AND(Plan1!F233,"AAAAAF//71c=")</f>
        <v>#VALUE!</v>
      </c>
      <c r="CK7">
        <f>IF(Plan1!234:234,"AAAAAF//71g=",0)</f>
        <v>0</v>
      </c>
      <c r="CL7" t="e">
        <f>AND(Plan1!A234,"AAAAAF//71k=")</f>
        <v>#VALUE!</v>
      </c>
      <c r="CM7" t="e">
        <f>AND(Plan1!B234,"AAAAAF//71o=")</f>
        <v>#VALUE!</v>
      </c>
      <c r="CN7" t="e">
        <f>AND(Plan1!C234,"AAAAAF//71s=")</f>
        <v>#VALUE!</v>
      </c>
      <c r="CO7" t="e">
        <f>AND(Plan1!D234,"AAAAAF//71w=")</f>
        <v>#VALUE!</v>
      </c>
      <c r="CP7" t="e">
        <f>AND(Plan1!E234,"AAAAAF//710=")</f>
        <v>#VALUE!</v>
      </c>
      <c r="CQ7" t="e">
        <f>AND(Plan1!F234,"AAAAAF//714=")</f>
        <v>#VALUE!</v>
      </c>
      <c r="CR7">
        <f>IF(Plan1!235:235,"AAAAAF//718=",0)</f>
        <v>0</v>
      </c>
      <c r="CS7" t="e">
        <f>AND(Plan1!A235,"AAAAAF//72A=")</f>
        <v>#VALUE!</v>
      </c>
      <c r="CT7" t="e">
        <f>AND(Plan1!B235,"AAAAAF//72E=")</f>
        <v>#VALUE!</v>
      </c>
      <c r="CU7" t="e">
        <f>AND(Plan1!C235,"AAAAAF//72I=")</f>
        <v>#VALUE!</v>
      </c>
      <c r="CV7" t="e">
        <f>AND(Plan1!D235,"AAAAAF//72M=")</f>
        <v>#VALUE!</v>
      </c>
      <c r="CW7" t="e">
        <f>AND(Plan1!E235,"AAAAAF//72Q=")</f>
        <v>#VALUE!</v>
      </c>
      <c r="CX7" t="e">
        <f>AND(Plan1!F235,"AAAAAF//72U=")</f>
        <v>#VALUE!</v>
      </c>
      <c r="CY7">
        <f>IF(Plan1!236:236,"AAAAAF//72Y=",0)</f>
        <v>0</v>
      </c>
      <c r="CZ7" t="e">
        <f>AND(Plan1!A236,"AAAAAF//72c=")</f>
        <v>#VALUE!</v>
      </c>
      <c r="DA7" t="e">
        <f>AND(Plan1!B236,"AAAAAF//72g=")</f>
        <v>#VALUE!</v>
      </c>
      <c r="DB7" t="e">
        <f>AND(Plan1!C236,"AAAAAF//72k=")</f>
        <v>#VALUE!</v>
      </c>
      <c r="DC7" t="e">
        <f>AND(Plan1!D236,"AAAAAF//72o=")</f>
        <v>#VALUE!</v>
      </c>
      <c r="DD7" t="e">
        <f>AND(Plan1!E236,"AAAAAF//72s=")</f>
        <v>#VALUE!</v>
      </c>
      <c r="DE7" t="e">
        <f>AND(Plan1!F236,"AAAAAF//72w=")</f>
        <v>#VALUE!</v>
      </c>
      <c r="DF7">
        <f>IF(Plan1!237:237,"AAAAAF//720=",0)</f>
        <v>0</v>
      </c>
      <c r="DG7" t="e">
        <f>AND(Plan1!A237,"AAAAAF//724=")</f>
        <v>#VALUE!</v>
      </c>
      <c r="DH7" t="e">
        <f>AND(Plan1!B237,"AAAAAF//728=")</f>
        <v>#VALUE!</v>
      </c>
      <c r="DI7" t="e">
        <f>AND(Plan1!C237,"AAAAAF//73A=")</f>
        <v>#VALUE!</v>
      </c>
      <c r="DJ7" t="e">
        <f>AND(Plan1!D237,"AAAAAF//73E=")</f>
        <v>#VALUE!</v>
      </c>
      <c r="DK7" t="e">
        <f>AND(Plan1!E237,"AAAAAF//73I=")</f>
        <v>#VALUE!</v>
      </c>
      <c r="DL7" t="e">
        <f>AND(Plan1!F237,"AAAAAF//73M=")</f>
        <v>#VALUE!</v>
      </c>
      <c r="DM7">
        <f>IF(Plan1!238:238,"AAAAAF//73Q=",0)</f>
        <v>0</v>
      </c>
      <c r="DN7" t="e">
        <f>AND(Plan1!A238,"AAAAAF//73U=")</f>
        <v>#VALUE!</v>
      </c>
      <c r="DO7" t="e">
        <f>AND(Plan1!B238,"AAAAAF//73Y=")</f>
        <v>#VALUE!</v>
      </c>
      <c r="DP7" t="e">
        <f>AND(Plan1!C238,"AAAAAF//73c=")</f>
        <v>#VALUE!</v>
      </c>
      <c r="DQ7" t="e">
        <f>AND(Plan1!D238,"AAAAAF//73g=")</f>
        <v>#VALUE!</v>
      </c>
      <c r="DR7" t="e">
        <f>AND(Plan1!E238,"AAAAAF//73k=")</f>
        <v>#VALUE!</v>
      </c>
      <c r="DS7" t="e">
        <f>AND(Plan1!F238,"AAAAAF//73o=")</f>
        <v>#VALUE!</v>
      </c>
      <c r="DT7">
        <f>IF(Plan1!239:239,"AAAAAF//73s=",0)</f>
        <v>0</v>
      </c>
      <c r="DU7" t="e">
        <f>AND(Plan1!A239,"AAAAAF//73w=")</f>
        <v>#VALUE!</v>
      </c>
      <c r="DV7" t="e">
        <f>AND(Plan1!B239,"AAAAAF//730=")</f>
        <v>#VALUE!</v>
      </c>
      <c r="DW7" t="e">
        <f>AND(Plan1!C239,"AAAAAF//734=")</f>
        <v>#VALUE!</v>
      </c>
      <c r="DX7" t="e">
        <f>AND(Plan1!D239,"AAAAAF//738=")</f>
        <v>#VALUE!</v>
      </c>
      <c r="DY7" t="e">
        <f>AND(Plan1!E239,"AAAAAF//74A=")</f>
        <v>#VALUE!</v>
      </c>
      <c r="DZ7" t="e">
        <f>AND(Plan1!F239,"AAAAAF//74E=")</f>
        <v>#VALUE!</v>
      </c>
      <c r="EA7">
        <f>IF(Plan1!240:240,"AAAAAF//74I=",0)</f>
        <v>0</v>
      </c>
      <c r="EB7" t="e">
        <f>AND(Plan1!A240,"AAAAAF//74M=")</f>
        <v>#VALUE!</v>
      </c>
      <c r="EC7" t="e">
        <f>AND(Plan1!B240,"AAAAAF//74Q=")</f>
        <v>#VALUE!</v>
      </c>
      <c r="ED7" t="e">
        <f>AND(Plan1!C240,"AAAAAF//74U=")</f>
        <v>#VALUE!</v>
      </c>
      <c r="EE7" t="e">
        <f>AND(Plan1!D240,"AAAAAF//74Y=")</f>
        <v>#VALUE!</v>
      </c>
      <c r="EF7" t="e">
        <f>AND(Plan1!E240,"AAAAAF//74c=")</f>
        <v>#VALUE!</v>
      </c>
      <c r="EG7" t="e">
        <f>AND(Plan1!F240,"AAAAAF//74g=")</f>
        <v>#VALUE!</v>
      </c>
      <c r="EH7">
        <f>IF(Plan1!241:241,"AAAAAF//74k=",0)</f>
        <v>0</v>
      </c>
      <c r="EI7" t="e">
        <f>AND(Plan1!A241,"AAAAAF//74o=")</f>
        <v>#VALUE!</v>
      </c>
      <c r="EJ7" t="e">
        <f>AND(Plan1!B241,"AAAAAF//74s=")</f>
        <v>#VALUE!</v>
      </c>
      <c r="EK7" t="e">
        <f>AND(Plan1!C241,"AAAAAF//74w=")</f>
        <v>#VALUE!</v>
      </c>
      <c r="EL7" t="e">
        <f>AND(Plan1!D241,"AAAAAF//740=")</f>
        <v>#VALUE!</v>
      </c>
      <c r="EM7" t="e">
        <f>AND(Plan1!E241,"AAAAAF//744=")</f>
        <v>#VALUE!</v>
      </c>
      <c r="EN7" t="e">
        <f>AND(Plan1!F241,"AAAAAF//748=")</f>
        <v>#VALUE!</v>
      </c>
      <c r="EO7">
        <f>IF(Plan1!242:242,"AAAAAF//75A=",0)</f>
        <v>0</v>
      </c>
      <c r="EP7" t="e">
        <f>AND(Plan1!A242,"AAAAAF//75E=")</f>
        <v>#VALUE!</v>
      </c>
      <c r="EQ7" t="e">
        <f>AND(Plan1!B242,"AAAAAF//75I=")</f>
        <v>#VALUE!</v>
      </c>
      <c r="ER7" t="e">
        <f>AND(Plan1!C242,"AAAAAF//75M=")</f>
        <v>#VALUE!</v>
      </c>
      <c r="ES7" t="e">
        <f>AND(Plan1!D242,"AAAAAF//75Q=")</f>
        <v>#VALUE!</v>
      </c>
      <c r="ET7" t="e">
        <f>AND(Plan1!E242,"AAAAAF//75U=")</f>
        <v>#VALUE!</v>
      </c>
      <c r="EU7" t="e">
        <f>AND(Plan1!F242,"AAAAAF//75Y=")</f>
        <v>#VALUE!</v>
      </c>
      <c r="EV7">
        <f>IF(Plan1!243:243,"AAAAAF//75c=",0)</f>
        <v>0</v>
      </c>
      <c r="EW7" t="e">
        <f>AND(Plan1!A243,"AAAAAF//75g=")</f>
        <v>#VALUE!</v>
      </c>
      <c r="EX7" t="e">
        <f>AND(Plan1!B243,"AAAAAF//75k=")</f>
        <v>#VALUE!</v>
      </c>
      <c r="EY7" t="e">
        <f>AND(Plan1!C243,"AAAAAF//75o=")</f>
        <v>#VALUE!</v>
      </c>
      <c r="EZ7" t="e">
        <f>AND(Plan1!D243,"AAAAAF//75s=")</f>
        <v>#VALUE!</v>
      </c>
      <c r="FA7" t="e">
        <f>AND(Plan1!E243,"AAAAAF//75w=")</f>
        <v>#VALUE!</v>
      </c>
      <c r="FB7" t="e">
        <f>AND(Plan1!F243,"AAAAAF//750=")</f>
        <v>#VALUE!</v>
      </c>
      <c r="FC7">
        <f>IF(Plan1!244:244,"AAAAAF//754=",0)</f>
        <v>0</v>
      </c>
      <c r="FD7" t="e">
        <f>AND(Plan1!A244,"AAAAAF//758=")</f>
        <v>#VALUE!</v>
      </c>
      <c r="FE7" t="e">
        <f>AND(Plan1!B244,"AAAAAF//76A=")</f>
        <v>#VALUE!</v>
      </c>
      <c r="FF7" t="e">
        <f>AND(Plan1!C244,"AAAAAF//76E=")</f>
        <v>#VALUE!</v>
      </c>
      <c r="FG7" t="e">
        <f>AND(Plan1!D244,"AAAAAF//76I=")</f>
        <v>#VALUE!</v>
      </c>
      <c r="FH7" t="e">
        <f>AND(Plan1!E244,"AAAAAF//76M=")</f>
        <v>#VALUE!</v>
      </c>
      <c r="FI7" t="e">
        <f>AND(Plan1!F244,"AAAAAF//76Q=")</f>
        <v>#VALUE!</v>
      </c>
      <c r="FJ7">
        <f>IF(Plan1!245:245,"AAAAAF//76U=",0)</f>
        <v>0</v>
      </c>
      <c r="FK7" t="e">
        <f>AND(Plan1!A245,"AAAAAF//76Y=")</f>
        <v>#VALUE!</v>
      </c>
      <c r="FL7" t="e">
        <f>AND(Plan1!B245,"AAAAAF//76c=")</f>
        <v>#VALUE!</v>
      </c>
      <c r="FM7" t="e">
        <f>AND(Plan1!C245,"AAAAAF//76g=")</f>
        <v>#VALUE!</v>
      </c>
      <c r="FN7" t="e">
        <f>AND(Plan1!D245,"AAAAAF//76k=")</f>
        <v>#VALUE!</v>
      </c>
      <c r="FO7" t="e">
        <f>AND(Plan1!E245,"AAAAAF//76o=")</f>
        <v>#VALUE!</v>
      </c>
      <c r="FP7" t="e">
        <f>AND(Plan1!F245,"AAAAAF//76s=")</f>
        <v>#VALUE!</v>
      </c>
      <c r="FQ7">
        <f>IF(Plan1!246:246,"AAAAAF//76w=",0)</f>
        <v>0</v>
      </c>
      <c r="FR7" t="e">
        <f>AND(Plan1!A246,"AAAAAF//760=")</f>
        <v>#VALUE!</v>
      </c>
      <c r="FS7" t="e">
        <f>AND(Plan1!B246,"AAAAAF//764=")</f>
        <v>#VALUE!</v>
      </c>
      <c r="FT7" t="e">
        <f>AND(Plan1!C246,"AAAAAF//768=")</f>
        <v>#VALUE!</v>
      </c>
      <c r="FU7" t="e">
        <f>AND(Plan1!D246,"AAAAAF//77A=")</f>
        <v>#VALUE!</v>
      </c>
      <c r="FV7" t="e">
        <f>AND(Plan1!E246,"AAAAAF//77E=")</f>
        <v>#VALUE!</v>
      </c>
      <c r="FW7" t="e">
        <f>AND(Plan1!F246,"AAAAAF//77I=")</f>
        <v>#VALUE!</v>
      </c>
      <c r="FX7">
        <f>IF(Plan1!247:247,"AAAAAF//77M=",0)</f>
        <v>0</v>
      </c>
      <c r="FY7" t="e">
        <f>AND(Plan1!A247,"AAAAAF//77Q=")</f>
        <v>#VALUE!</v>
      </c>
      <c r="FZ7" t="e">
        <f>AND(Plan1!B247,"AAAAAF//77U=")</f>
        <v>#VALUE!</v>
      </c>
      <c r="GA7" t="e">
        <f>AND(Plan1!C247,"AAAAAF//77Y=")</f>
        <v>#VALUE!</v>
      </c>
      <c r="GB7" t="e">
        <f>AND(Plan1!D247,"AAAAAF//77c=")</f>
        <v>#VALUE!</v>
      </c>
      <c r="GC7" t="e">
        <f>AND(Plan1!E247,"AAAAAF//77g=")</f>
        <v>#VALUE!</v>
      </c>
      <c r="GD7" t="e">
        <f>AND(Plan1!F247,"AAAAAF//77k=")</f>
        <v>#VALUE!</v>
      </c>
      <c r="GE7">
        <f>IF(Plan1!248:248,"AAAAAF//77o=",0)</f>
        <v>0</v>
      </c>
      <c r="GF7" t="e">
        <f>AND(Plan1!A248,"AAAAAF//77s=")</f>
        <v>#VALUE!</v>
      </c>
      <c r="GG7" t="e">
        <f>AND(Plan1!B248,"AAAAAF//77w=")</f>
        <v>#VALUE!</v>
      </c>
      <c r="GH7" t="e">
        <f>AND(Plan1!C248,"AAAAAF//770=")</f>
        <v>#VALUE!</v>
      </c>
      <c r="GI7" t="e">
        <f>AND(Plan1!D248,"AAAAAF//774=")</f>
        <v>#VALUE!</v>
      </c>
      <c r="GJ7" t="e">
        <f>AND(Plan1!E248,"AAAAAF//778=")</f>
        <v>#VALUE!</v>
      </c>
      <c r="GK7" t="e">
        <f>AND(Plan1!F248,"AAAAAF//78A=")</f>
        <v>#VALUE!</v>
      </c>
      <c r="GL7">
        <f>IF(Plan1!249:249,"AAAAAF//78E=",0)</f>
        <v>0</v>
      </c>
      <c r="GM7" t="e">
        <f>AND(Plan1!A249,"AAAAAF//78I=")</f>
        <v>#VALUE!</v>
      </c>
      <c r="GN7" t="e">
        <f>AND(Plan1!B249,"AAAAAF//78M=")</f>
        <v>#VALUE!</v>
      </c>
      <c r="GO7" t="e">
        <f>AND(Plan1!C249,"AAAAAF//78Q=")</f>
        <v>#VALUE!</v>
      </c>
      <c r="GP7" t="e">
        <f>AND(Plan1!D249,"AAAAAF//78U=")</f>
        <v>#VALUE!</v>
      </c>
      <c r="GQ7" t="e">
        <f>AND(Plan1!E249,"AAAAAF//78Y=")</f>
        <v>#VALUE!</v>
      </c>
      <c r="GR7" t="e">
        <f>AND(Plan1!F249,"AAAAAF//78c=")</f>
        <v>#VALUE!</v>
      </c>
      <c r="GS7">
        <f>IF(Plan1!250:250,"AAAAAF//78g=",0)</f>
        <v>0</v>
      </c>
      <c r="GT7" t="e">
        <f>AND(Plan1!A250,"AAAAAF//78k=")</f>
        <v>#VALUE!</v>
      </c>
      <c r="GU7" t="e">
        <f>AND(Plan1!B250,"AAAAAF//78o=")</f>
        <v>#VALUE!</v>
      </c>
      <c r="GV7" t="e">
        <f>AND(Plan1!C250,"AAAAAF//78s=")</f>
        <v>#VALUE!</v>
      </c>
      <c r="GW7" t="e">
        <f>AND(Plan1!D250,"AAAAAF//78w=")</f>
        <v>#VALUE!</v>
      </c>
      <c r="GX7" t="e">
        <f>AND(Plan1!E250,"AAAAAF//780=")</f>
        <v>#VALUE!</v>
      </c>
      <c r="GY7" t="e">
        <f>AND(Plan1!F250,"AAAAAF//784=")</f>
        <v>#VALUE!</v>
      </c>
      <c r="GZ7">
        <f>IF(Plan1!251:251,"AAAAAF//788=",0)</f>
        <v>0</v>
      </c>
      <c r="HA7" t="e">
        <f>AND(Plan1!A251,"AAAAAF//79A=")</f>
        <v>#VALUE!</v>
      </c>
      <c r="HB7" t="e">
        <f>AND(Plan1!B251,"AAAAAF//79E=")</f>
        <v>#VALUE!</v>
      </c>
      <c r="HC7" t="e">
        <f>AND(Plan1!C251,"AAAAAF//79I=")</f>
        <v>#VALUE!</v>
      </c>
      <c r="HD7" t="e">
        <f>AND(Plan1!D251,"AAAAAF//79M=")</f>
        <v>#VALUE!</v>
      </c>
      <c r="HE7" t="e">
        <f>AND(Plan1!E251,"AAAAAF//79Q=")</f>
        <v>#VALUE!</v>
      </c>
      <c r="HF7" t="e">
        <f>AND(Plan1!F251,"AAAAAF//79U=")</f>
        <v>#VALUE!</v>
      </c>
      <c r="HG7">
        <f>IF(Plan1!252:252,"AAAAAF//79Y=",0)</f>
        <v>0</v>
      </c>
      <c r="HH7" t="e">
        <f>AND(Plan1!A252,"AAAAAF//79c=")</f>
        <v>#VALUE!</v>
      </c>
      <c r="HI7" t="e">
        <f>AND(Plan1!B252,"AAAAAF//79g=")</f>
        <v>#VALUE!</v>
      </c>
      <c r="HJ7" t="e">
        <f>AND(Plan1!C252,"AAAAAF//79k=")</f>
        <v>#VALUE!</v>
      </c>
      <c r="HK7" t="e">
        <f>AND(Plan1!D252,"AAAAAF//79o=")</f>
        <v>#VALUE!</v>
      </c>
      <c r="HL7" t="e">
        <f>AND(Plan1!E252,"AAAAAF//79s=")</f>
        <v>#VALUE!</v>
      </c>
      <c r="HM7" t="e">
        <f>AND(Plan1!F252,"AAAAAF//79w=")</f>
        <v>#VALUE!</v>
      </c>
      <c r="HN7">
        <f>IF(Plan1!253:253,"AAAAAF//790=",0)</f>
        <v>0</v>
      </c>
      <c r="HO7" t="e">
        <f>AND(Plan1!A253,"AAAAAF//794=")</f>
        <v>#VALUE!</v>
      </c>
      <c r="HP7" t="e">
        <f>AND(Plan1!B253,"AAAAAF//798=")</f>
        <v>#VALUE!</v>
      </c>
      <c r="HQ7" t="e">
        <f>AND(Plan1!C253,"AAAAAF//7+A=")</f>
        <v>#VALUE!</v>
      </c>
      <c r="HR7" t="e">
        <f>AND(Plan1!D253,"AAAAAF//7+E=")</f>
        <v>#VALUE!</v>
      </c>
      <c r="HS7" t="e">
        <f>AND(Plan1!E253,"AAAAAF//7+I=")</f>
        <v>#VALUE!</v>
      </c>
      <c r="HT7" t="e">
        <f>AND(Plan1!F253,"AAAAAF//7+M=")</f>
        <v>#VALUE!</v>
      </c>
      <c r="HU7">
        <f>IF(Plan1!254:254,"AAAAAF//7+Q=",0)</f>
        <v>0</v>
      </c>
      <c r="HV7" t="e">
        <f>AND(Plan1!A254,"AAAAAF//7+U=")</f>
        <v>#VALUE!</v>
      </c>
      <c r="HW7" t="e">
        <f>AND(Plan1!B254,"AAAAAF//7+Y=")</f>
        <v>#VALUE!</v>
      </c>
      <c r="HX7" t="e">
        <f>AND(Plan1!C254,"AAAAAF//7+c=")</f>
        <v>#VALUE!</v>
      </c>
      <c r="HY7" t="e">
        <f>AND(Plan1!D254,"AAAAAF//7+g=")</f>
        <v>#VALUE!</v>
      </c>
      <c r="HZ7" t="e">
        <f>AND(Plan1!E254,"AAAAAF//7+k=")</f>
        <v>#VALUE!</v>
      </c>
      <c r="IA7" t="e">
        <f>AND(Plan1!F254,"AAAAAF//7+o=")</f>
        <v>#VALUE!</v>
      </c>
      <c r="IB7">
        <f>IF(Plan1!255:255,"AAAAAF//7+s=",0)</f>
        <v>0</v>
      </c>
      <c r="IC7" t="e">
        <f>AND(Plan1!A255,"AAAAAF//7+w=")</f>
        <v>#VALUE!</v>
      </c>
      <c r="ID7" t="e">
        <f>AND(Plan1!B255,"AAAAAF//7+0=")</f>
        <v>#VALUE!</v>
      </c>
      <c r="IE7" t="e">
        <f>AND(Plan1!C255,"AAAAAF//7+4=")</f>
        <v>#VALUE!</v>
      </c>
      <c r="IF7" t="e">
        <f>AND(Plan1!D255,"AAAAAF//7+8=")</f>
        <v>#VALUE!</v>
      </c>
      <c r="IG7" t="e">
        <f>AND(Plan1!E255,"AAAAAF//7/A=")</f>
        <v>#VALUE!</v>
      </c>
      <c r="IH7" t="e">
        <f>AND(Plan1!F255,"AAAAAF//7/E=")</f>
        <v>#VALUE!</v>
      </c>
      <c r="II7">
        <f>IF(Plan1!256:256,"AAAAAF//7/I=",0)</f>
        <v>0</v>
      </c>
      <c r="IJ7" t="e">
        <f>AND(Plan1!A256,"AAAAAF//7/M=")</f>
        <v>#VALUE!</v>
      </c>
      <c r="IK7" t="e">
        <f>AND(Plan1!B256,"AAAAAF//7/Q=")</f>
        <v>#VALUE!</v>
      </c>
      <c r="IL7" t="e">
        <f>AND(Plan1!C256,"AAAAAF//7/U=")</f>
        <v>#VALUE!</v>
      </c>
      <c r="IM7" t="e">
        <f>AND(Plan1!D256,"AAAAAF//7/Y=")</f>
        <v>#VALUE!</v>
      </c>
      <c r="IN7" t="e">
        <f>AND(Plan1!E256,"AAAAAF//7/c=")</f>
        <v>#VALUE!</v>
      </c>
      <c r="IO7" t="e">
        <f>AND(Plan1!F256,"AAAAAF//7/g=")</f>
        <v>#VALUE!</v>
      </c>
      <c r="IP7">
        <f>IF(Plan1!257:257,"AAAAAF//7/k=",0)</f>
        <v>0</v>
      </c>
      <c r="IQ7" t="e">
        <f>AND(Plan1!A257,"AAAAAF//7/o=")</f>
        <v>#VALUE!</v>
      </c>
      <c r="IR7" t="e">
        <f>AND(Plan1!B257,"AAAAAF//7/s=")</f>
        <v>#VALUE!</v>
      </c>
      <c r="IS7" t="e">
        <f>AND(Plan1!C257,"AAAAAF//7/w=")</f>
        <v>#VALUE!</v>
      </c>
      <c r="IT7" t="e">
        <f>AND(Plan1!D257,"AAAAAF//7/0=")</f>
        <v>#VALUE!</v>
      </c>
      <c r="IU7" t="e">
        <f>AND(Plan1!E257,"AAAAAF//7/4=")</f>
        <v>#VALUE!</v>
      </c>
      <c r="IV7" t="e">
        <f>AND(Plan1!F257,"AAAAAF//7/8=")</f>
        <v>#VALUE!</v>
      </c>
    </row>
    <row r="8" spans="1:256">
      <c r="A8" t="e">
        <f>IF(Plan1!258:258,"AAAAAEzVeQA=",0)</f>
        <v>#VALUE!</v>
      </c>
      <c r="B8" t="e">
        <f>AND(Plan1!A258,"AAAAAEzVeQE=")</f>
        <v>#VALUE!</v>
      </c>
      <c r="C8" t="e">
        <f>AND(Plan1!B258,"AAAAAEzVeQI=")</f>
        <v>#VALUE!</v>
      </c>
      <c r="D8" t="e">
        <f>AND(Plan1!C258,"AAAAAEzVeQM=")</f>
        <v>#VALUE!</v>
      </c>
      <c r="E8" t="e">
        <f>AND(Plan1!D258,"AAAAAEzVeQQ=")</f>
        <v>#VALUE!</v>
      </c>
      <c r="F8" t="e">
        <f>AND(Plan1!E258,"AAAAAEzVeQU=")</f>
        <v>#VALUE!</v>
      </c>
      <c r="G8" t="e">
        <f>AND(Plan1!F258,"AAAAAEzVeQY=")</f>
        <v>#VALUE!</v>
      </c>
      <c r="H8">
        <f>IF(Plan1!259:259,"AAAAAEzVeQc=",0)</f>
        <v>0</v>
      </c>
      <c r="I8" t="e">
        <f>AND(Plan1!A259,"AAAAAEzVeQg=")</f>
        <v>#VALUE!</v>
      </c>
      <c r="J8" t="e">
        <f>AND(Plan1!B259,"AAAAAEzVeQk=")</f>
        <v>#VALUE!</v>
      </c>
      <c r="K8" t="e">
        <f>AND(Plan1!C259,"AAAAAEzVeQo=")</f>
        <v>#VALUE!</v>
      </c>
      <c r="L8" t="e">
        <f>AND(Plan1!D259,"AAAAAEzVeQs=")</f>
        <v>#VALUE!</v>
      </c>
      <c r="M8" t="e">
        <f>AND(Plan1!E259,"AAAAAEzVeQw=")</f>
        <v>#VALUE!</v>
      </c>
      <c r="N8" t="e">
        <f>AND(Plan1!F259,"AAAAAEzVeQ0=")</f>
        <v>#VALUE!</v>
      </c>
      <c r="O8">
        <f>IF(Plan1!260:260,"AAAAAEzVeQ4=",0)</f>
        <v>0</v>
      </c>
      <c r="P8" t="e">
        <f>AND(Plan1!A260,"AAAAAEzVeQ8=")</f>
        <v>#VALUE!</v>
      </c>
      <c r="Q8" t="e">
        <f>AND(Plan1!B260,"AAAAAEzVeRA=")</f>
        <v>#VALUE!</v>
      </c>
      <c r="R8" t="e">
        <f>AND(Plan1!C260,"AAAAAEzVeRE=")</f>
        <v>#VALUE!</v>
      </c>
      <c r="S8" t="e">
        <f>AND(Plan1!D260,"AAAAAEzVeRI=")</f>
        <v>#VALUE!</v>
      </c>
      <c r="T8" t="e">
        <f>AND(Plan1!E260,"AAAAAEzVeRM=")</f>
        <v>#VALUE!</v>
      </c>
      <c r="U8" t="e">
        <f>AND(Plan1!F260,"AAAAAEzVeRQ=")</f>
        <v>#VALUE!</v>
      </c>
      <c r="V8">
        <f>IF(Plan1!261:261,"AAAAAEzVeRU=",0)</f>
        <v>0</v>
      </c>
      <c r="W8" t="e">
        <f>AND(Plan1!A261,"AAAAAEzVeRY=")</f>
        <v>#VALUE!</v>
      </c>
      <c r="X8" t="e">
        <f>AND(Plan1!B261,"AAAAAEzVeRc=")</f>
        <v>#VALUE!</v>
      </c>
      <c r="Y8" t="e">
        <f>AND(Plan1!C261,"AAAAAEzVeRg=")</f>
        <v>#VALUE!</v>
      </c>
      <c r="Z8" t="e">
        <f>AND(Plan1!D261,"AAAAAEzVeRk=")</f>
        <v>#VALUE!</v>
      </c>
      <c r="AA8" t="e">
        <f>AND(Plan1!E261,"AAAAAEzVeRo=")</f>
        <v>#VALUE!</v>
      </c>
      <c r="AB8" t="e">
        <f>AND(Plan1!F261,"AAAAAEzVeRs=")</f>
        <v>#VALUE!</v>
      </c>
      <c r="AC8">
        <f>IF(Plan1!262:262,"AAAAAEzVeRw=",0)</f>
        <v>0</v>
      </c>
      <c r="AD8" t="e">
        <f>AND(Plan1!A262,"AAAAAEzVeR0=")</f>
        <v>#VALUE!</v>
      </c>
      <c r="AE8" t="e">
        <f>AND(Plan1!B262,"AAAAAEzVeR4=")</f>
        <v>#VALUE!</v>
      </c>
      <c r="AF8" t="e">
        <f>AND(Plan1!C262,"AAAAAEzVeR8=")</f>
        <v>#VALUE!</v>
      </c>
      <c r="AG8" t="e">
        <f>AND(Plan1!D262,"AAAAAEzVeSA=")</f>
        <v>#VALUE!</v>
      </c>
      <c r="AH8" t="e">
        <f>AND(Plan1!E262,"AAAAAEzVeSE=")</f>
        <v>#VALUE!</v>
      </c>
      <c r="AI8" t="e">
        <f>AND(Plan1!F262,"AAAAAEzVeSI=")</f>
        <v>#VALUE!</v>
      </c>
      <c r="AJ8">
        <f>IF(Plan1!263:263,"AAAAAEzVeSM=",0)</f>
        <v>0</v>
      </c>
      <c r="AK8" t="e">
        <f>AND(Plan1!A263,"AAAAAEzVeSQ=")</f>
        <v>#VALUE!</v>
      </c>
      <c r="AL8" t="e">
        <f>AND(Plan1!B263,"AAAAAEzVeSU=")</f>
        <v>#VALUE!</v>
      </c>
      <c r="AM8" t="e">
        <f>AND(Plan1!C263,"AAAAAEzVeSY=")</f>
        <v>#VALUE!</v>
      </c>
      <c r="AN8" t="e">
        <f>AND(Plan1!D263,"AAAAAEzVeSc=")</f>
        <v>#VALUE!</v>
      </c>
      <c r="AO8" t="e">
        <f>AND(Plan1!E263,"AAAAAEzVeSg=")</f>
        <v>#VALUE!</v>
      </c>
      <c r="AP8" t="e">
        <f>AND(Plan1!F263,"AAAAAEzVeSk=")</f>
        <v>#VALUE!</v>
      </c>
      <c r="AQ8">
        <f>IF(Plan1!264:264,"AAAAAEzVeSo=",0)</f>
        <v>0</v>
      </c>
      <c r="AR8" t="e">
        <f>AND(Plan1!A264,"AAAAAEzVeSs=")</f>
        <v>#VALUE!</v>
      </c>
      <c r="AS8" t="e">
        <f>AND(Plan1!B264,"AAAAAEzVeSw=")</f>
        <v>#VALUE!</v>
      </c>
      <c r="AT8" t="e">
        <f>AND(Plan1!C264,"AAAAAEzVeS0=")</f>
        <v>#VALUE!</v>
      </c>
      <c r="AU8" t="e">
        <f>AND(Plan1!D264,"AAAAAEzVeS4=")</f>
        <v>#VALUE!</v>
      </c>
      <c r="AV8" t="e">
        <f>AND(Plan1!E264,"AAAAAEzVeS8=")</f>
        <v>#VALUE!</v>
      </c>
      <c r="AW8" t="e">
        <f>AND(Plan1!F264,"AAAAAEzVeTA=")</f>
        <v>#VALUE!</v>
      </c>
      <c r="AX8">
        <f>IF(Plan1!265:265,"AAAAAEzVeTE=",0)</f>
        <v>0</v>
      </c>
      <c r="AY8" t="e">
        <f>AND(Plan1!A265,"AAAAAEzVeTI=")</f>
        <v>#VALUE!</v>
      </c>
      <c r="AZ8" t="e">
        <f>AND(Plan1!B265,"AAAAAEzVeTM=")</f>
        <v>#VALUE!</v>
      </c>
      <c r="BA8" t="e">
        <f>AND(Plan1!C265,"AAAAAEzVeTQ=")</f>
        <v>#VALUE!</v>
      </c>
      <c r="BB8" t="e">
        <f>AND(Plan1!D265,"AAAAAEzVeTU=")</f>
        <v>#VALUE!</v>
      </c>
      <c r="BC8" t="e">
        <f>AND(Plan1!E265,"AAAAAEzVeTY=")</f>
        <v>#VALUE!</v>
      </c>
      <c r="BD8" t="e">
        <f>AND(Plan1!F265,"AAAAAEzVeTc=")</f>
        <v>#VALUE!</v>
      </c>
      <c r="BE8">
        <f>IF(Plan1!266:266,"AAAAAEzVeTg=",0)</f>
        <v>0</v>
      </c>
      <c r="BF8" t="e">
        <f>AND(Plan1!A266,"AAAAAEzVeTk=")</f>
        <v>#VALUE!</v>
      </c>
      <c r="BG8" t="e">
        <f>AND(Plan1!B266,"AAAAAEzVeTo=")</f>
        <v>#VALUE!</v>
      </c>
      <c r="BH8" t="e">
        <f>AND(Plan1!C266,"AAAAAEzVeTs=")</f>
        <v>#VALUE!</v>
      </c>
      <c r="BI8" t="e">
        <f>AND(Plan1!D266,"AAAAAEzVeTw=")</f>
        <v>#VALUE!</v>
      </c>
      <c r="BJ8" t="e">
        <f>AND(Plan1!E266,"AAAAAEzVeT0=")</f>
        <v>#VALUE!</v>
      </c>
      <c r="BK8" t="e">
        <f>AND(Plan1!F266,"AAAAAEzVeT4=")</f>
        <v>#VALUE!</v>
      </c>
      <c r="BL8">
        <f>IF(Plan1!267:267,"AAAAAEzVeT8=",0)</f>
        <v>0</v>
      </c>
      <c r="BM8" t="e">
        <f>AND(Plan1!A267,"AAAAAEzVeUA=")</f>
        <v>#VALUE!</v>
      </c>
      <c r="BN8" t="e">
        <f>AND(Plan1!B267,"AAAAAEzVeUE=")</f>
        <v>#VALUE!</v>
      </c>
      <c r="BO8" t="e">
        <f>AND(Plan1!C267,"AAAAAEzVeUI=")</f>
        <v>#VALUE!</v>
      </c>
      <c r="BP8" t="e">
        <f>AND(Plan1!D267,"AAAAAEzVeUM=")</f>
        <v>#VALUE!</v>
      </c>
      <c r="BQ8" t="e">
        <f>AND(Plan1!E267,"AAAAAEzVeUQ=")</f>
        <v>#VALUE!</v>
      </c>
      <c r="BR8" t="e">
        <f>AND(Plan1!F267,"AAAAAEzVeUU=")</f>
        <v>#VALUE!</v>
      </c>
      <c r="BS8">
        <f>IF(Plan1!268:268,"AAAAAEzVeUY=",0)</f>
        <v>0</v>
      </c>
      <c r="BT8" t="e">
        <f>AND(Plan1!A268,"AAAAAEzVeUc=")</f>
        <v>#VALUE!</v>
      </c>
      <c r="BU8" t="e">
        <f>AND(Plan1!B268,"AAAAAEzVeUg=")</f>
        <v>#VALUE!</v>
      </c>
      <c r="BV8" t="e">
        <f>AND(Plan1!C268,"AAAAAEzVeUk=")</f>
        <v>#VALUE!</v>
      </c>
      <c r="BW8" t="e">
        <f>AND(Plan1!D268,"AAAAAEzVeUo=")</f>
        <v>#VALUE!</v>
      </c>
      <c r="BX8" t="e">
        <f>AND(Plan1!E268,"AAAAAEzVeUs=")</f>
        <v>#VALUE!</v>
      </c>
      <c r="BY8" t="e">
        <f>AND(Plan1!F268,"AAAAAEzVeUw=")</f>
        <v>#VALUE!</v>
      </c>
      <c r="BZ8">
        <f>IF(Plan1!269:269,"AAAAAEzVeU0=",0)</f>
        <v>0</v>
      </c>
      <c r="CA8" t="e">
        <f>AND(Plan1!A269,"AAAAAEzVeU4=")</f>
        <v>#VALUE!</v>
      </c>
      <c r="CB8" t="e">
        <f>AND(Plan1!B269,"AAAAAEzVeU8=")</f>
        <v>#VALUE!</v>
      </c>
      <c r="CC8" t="e">
        <f>AND(Plan1!C269,"AAAAAEzVeVA=")</f>
        <v>#VALUE!</v>
      </c>
      <c r="CD8" t="e">
        <f>AND(Plan1!D269,"AAAAAEzVeVE=")</f>
        <v>#VALUE!</v>
      </c>
      <c r="CE8" t="e">
        <f>AND(Plan1!E269,"AAAAAEzVeVI=")</f>
        <v>#VALUE!</v>
      </c>
      <c r="CF8" t="e">
        <f>AND(Plan1!F269,"AAAAAEzVeVM=")</f>
        <v>#VALUE!</v>
      </c>
      <c r="CG8">
        <f>IF(Plan1!270:270,"AAAAAEzVeVQ=",0)</f>
        <v>0</v>
      </c>
      <c r="CH8" t="e">
        <f>AND(Plan1!A270,"AAAAAEzVeVU=")</f>
        <v>#VALUE!</v>
      </c>
      <c r="CI8" t="e">
        <f>AND(Plan1!B270,"AAAAAEzVeVY=")</f>
        <v>#VALUE!</v>
      </c>
      <c r="CJ8" t="e">
        <f>AND(Plan1!C270,"AAAAAEzVeVc=")</f>
        <v>#VALUE!</v>
      </c>
      <c r="CK8" t="e">
        <f>AND(Plan1!D270,"AAAAAEzVeVg=")</f>
        <v>#VALUE!</v>
      </c>
      <c r="CL8" t="e">
        <f>AND(Plan1!E270,"AAAAAEzVeVk=")</f>
        <v>#VALUE!</v>
      </c>
      <c r="CM8" t="e">
        <f>AND(Plan1!F270,"AAAAAEzVeVo=")</f>
        <v>#VALUE!</v>
      </c>
      <c r="CN8">
        <f>IF(Plan1!271:271,"AAAAAEzVeVs=",0)</f>
        <v>0</v>
      </c>
      <c r="CO8" t="e">
        <f>AND(Plan1!A271,"AAAAAEzVeVw=")</f>
        <v>#VALUE!</v>
      </c>
      <c r="CP8" t="e">
        <f>AND(Plan1!B271,"AAAAAEzVeV0=")</f>
        <v>#VALUE!</v>
      </c>
      <c r="CQ8" t="e">
        <f>AND(Plan1!C271,"AAAAAEzVeV4=")</f>
        <v>#VALUE!</v>
      </c>
      <c r="CR8" t="e">
        <f>AND(Plan1!D271,"AAAAAEzVeV8=")</f>
        <v>#VALUE!</v>
      </c>
      <c r="CS8" t="e">
        <f>AND(Plan1!E271,"AAAAAEzVeWA=")</f>
        <v>#VALUE!</v>
      </c>
      <c r="CT8" t="e">
        <f>AND(Plan1!F271,"AAAAAEzVeWE=")</f>
        <v>#VALUE!</v>
      </c>
      <c r="CU8">
        <f>IF(Plan1!272:272,"AAAAAEzVeWI=",0)</f>
        <v>0</v>
      </c>
      <c r="CV8" t="e">
        <f>AND(Plan1!A272,"AAAAAEzVeWM=")</f>
        <v>#VALUE!</v>
      </c>
      <c r="CW8" t="e">
        <f>AND(Plan1!B272,"AAAAAEzVeWQ=")</f>
        <v>#VALUE!</v>
      </c>
      <c r="CX8" t="e">
        <f>AND(Plan1!C272,"AAAAAEzVeWU=")</f>
        <v>#VALUE!</v>
      </c>
      <c r="CY8" t="e">
        <f>AND(Plan1!D272,"AAAAAEzVeWY=")</f>
        <v>#VALUE!</v>
      </c>
      <c r="CZ8" t="e">
        <f>AND(Plan1!E272,"AAAAAEzVeWc=")</f>
        <v>#VALUE!</v>
      </c>
      <c r="DA8" t="e">
        <f>AND(Plan1!F272,"AAAAAEzVeWg=")</f>
        <v>#VALUE!</v>
      </c>
      <c r="DB8">
        <f>IF(Plan1!273:273,"AAAAAEzVeWk=",0)</f>
        <v>0</v>
      </c>
      <c r="DC8" t="e">
        <f>AND(Plan1!A273,"AAAAAEzVeWo=")</f>
        <v>#VALUE!</v>
      </c>
      <c r="DD8" t="e">
        <f>AND(Plan1!B273,"AAAAAEzVeWs=")</f>
        <v>#VALUE!</v>
      </c>
      <c r="DE8" t="e">
        <f>AND(Plan1!C273,"AAAAAEzVeWw=")</f>
        <v>#VALUE!</v>
      </c>
      <c r="DF8" t="e">
        <f>AND(Plan1!D273,"AAAAAEzVeW0=")</f>
        <v>#VALUE!</v>
      </c>
      <c r="DG8" t="e">
        <f>AND(Plan1!E273,"AAAAAEzVeW4=")</f>
        <v>#VALUE!</v>
      </c>
      <c r="DH8" t="e">
        <f>AND(Plan1!F273,"AAAAAEzVeW8=")</f>
        <v>#VALUE!</v>
      </c>
      <c r="DI8">
        <f>IF(Plan1!274:274,"AAAAAEzVeXA=",0)</f>
        <v>0</v>
      </c>
      <c r="DJ8" t="e">
        <f>AND(Plan1!A274,"AAAAAEzVeXE=")</f>
        <v>#VALUE!</v>
      </c>
      <c r="DK8" t="e">
        <f>AND(Plan1!B274,"AAAAAEzVeXI=")</f>
        <v>#VALUE!</v>
      </c>
      <c r="DL8" t="e">
        <f>AND(Plan1!C274,"AAAAAEzVeXM=")</f>
        <v>#VALUE!</v>
      </c>
      <c r="DM8" t="e">
        <f>AND(Plan1!D274,"AAAAAEzVeXQ=")</f>
        <v>#VALUE!</v>
      </c>
      <c r="DN8" t="e">
        <f>AND(Plan1!E274,"AAAAAEzVeXU=")</f>
        <v>#VALUE!</v>
      </c>
      <c r="DO8" t="e">
        <f>AND(Plan1!F274,"AAAAAEzVeXY=")</f>
        <v>#VALUE!</v>
      </c>
      <c r="DP8">
        <f>IF(Plan1!275:275,"AAAAAEzVeXc=",0)</f>
        <v>0</v>
      </c>
      <c r="DQ8" t="e">
        <f>AND(Plan1!A275,"AAAAAEzVeXg=")</f>
        <v>#VALUE!</v>
      </c>
      <c r="DR8" t="e">
        <f>AND(Plan1!B275,"AAAAAEzVeXk=")</f>
        <v>#VALUE!</v>
      </c>
      <c r="DS8" t="e">
        <f>AND(Plan1!C275,"AAAAAEzVeXo=")</f>
        <v>#VALUE!</v>
      </c>
      <c r="DT8" t="e">
        <f>AND(Plan1!D275,"AAAAAEzVeXs=")</f>
        <v>#VALUE!</v>
      </c>
      <c r="DU8" t="e">
        <f>AND(Plan1!E275,"AAAAAEzVeXw=")</f>
        <v>#VALUE!</v>
      </c>
      <c r="DV8" t="e">
        <f>AND(Plan1!F275,"AAAAAEzVeX0=")</f>
        <v>#VALUE!</v>
      </c>
      <c r="DW8">
        <f>IF(Plan1!276:276,"AAAAAEzVeX4=",0)</f>
        <v>0</v>
      </c>
      <c r="DX8" t="e">
        <f>AND(Plan1!A276,"AAAAAEzVeX8=")</f>
        <v>#VALUE!</v>
      </c>
      <c r="DY8" t="e">
        <f>AND(Plan1!B276,"AAAAAEzVeYA=")</f>
        <v>#VALUE!</v>
      </c>
      <c r="DZ8" t="e">
        <f>AND(Plan1!C276,"AAAAAEzVeYE=")</f>
        <v>#VALUE!</v>
      </c>
      <c r="EA8" t="e">
        <f>AND(Plan1!D276,"AAAAAEzVeYI=")</f>
        <v>#VALUE!</v>
      </c>
      <c r="EB8" t="e">
        <f>AND(Plan1!E276,"AAAAAEzVeYM=")</f>
        <v>#VALUE!</v>
      </c>
      <c r="EC8" t="e">
        <f>AND(Plan1!F276,"AAAAAEzVeYQ=")</f>
        <v>#VALUE!</v>
      </c>
      <c r="ED8">
        <f>IF(Plan1!277:277,"AAAAAEzVeYU=",0)</f>
        <v>0</v>
      </c>
      <c r="EE8" t="e">
        <f>AND(Plan1!A277,"AAAAAEzVeYY=")</f>
        <v>#VALUE!</v>
      </c>
      <c r="EF8" t="e">
        <f>AND(Plan1!B277,"AAAAAEzVeYc=")</f>
        <v>#VALUE!</v>
      </c>
      <c r="EG8" t="e">
        <f>AND(Plan1!C277,"AAAAAEzVeYg=")</f>
        <v>#VALUE!</v>
      </c>
      <c r="EH8" t="e">
        <f>AND(Plan1!D277,"AAAAAEzVeYk=")</f>
        <v>#VALUE!</v>
      </c>
      <c r="EI8" t="e">
        <f>AND(Plan1!E277,"AAAAAEzVeYo=")</f>
        <v>#VALUE!</v>
      </c>
      <c r="EJ8" t="e">
        <f>AND(Plan1!F277,"AAAAAEzVeYs=")</f>
        <v>#VALUE!</v>
      </c>
      <c r="EK8">
        <f>IF(Plan1!278:278,"AAAAAEzVeYw=",0)</f>
        <v>0</v>
      </c>
      <c r="EL8" t="e">
        <f>AND(Plan1!A278,"AAAAAEzVeY0=")</f>
        <v>#VALUE!</v>
      </c>
      <c r="EM8" t="e">
        <f>AND(Plan1!B278,"AAAAAEzVeY4=")</f>
        <v>#VALUE!</v>
      </c>
      <c r="EN8" t="e">
        <f>AND(Plan1!C278,"AAAAAEzVeY8=")</f>
        <v>#VALUE!</v>
      </c>
      <c r="EO8" t="e">
        <f>AND(Plan1!D278,"AAAAAEzVeZA=")</f>
        <v>#VALUE!</v>
      </c>
      <c r="EP8" t="e">
        <f>AND(Plan1!E278,"AAAAAEzVeZE=")</f>
        <v>#VALUE!</v>
      </c>
      <c r="EQ8" t="e">
        <f>AND(Plan1!F278,"AAAAAEzVeZI=")</f>
        <v>#VALUE!</v>
      </c>
      <c r="ER8">
        <f>IF(Plan1!279:279,"AAAAAEzVeZM=",0)</f>
        <v>0</v>
      </c>
      <c r="ES8" t="e">
        <f>AND(Plan1!A279,"AAAAAEzVeZQ=")</f>
        <v>#VALUE!</v>
      </c>
      <c r="ET8" t="e">
        <f>AND(Plan1!B279,"AAAAAEzVeZU=")</f>
        <v>#VALUE!</v>
      </c>
      <c r="EU8" t="e">
        <f>AND(Plan1!C279,"AAAAAEzVeZY=")</f>
        <v>#VALUE!</v>
      </c>
      <c r="EV8" t="e">
        <f>AND(Plan1!D279,"AAAAAEzVeZc=")</f>
        <v>#VALUE!</v>
      </c>
      <c r="EW8" t="e">
        <f>AND(Plan1!E279,"AAAAAEzVeZg=")</f>
        <v>#VALUE!</v>
      </c>
      <c r="EX8" t="e">
        <f>AND(Plan1!F279,"AAAAAEzVeZk=")</f>
        <v>#VALUE!</v>
      </c>
      <c r="EY8">
        <f>IF(Plan1!280:280,"AAAAAEzVeZo=",0)</f>
        <v>0</v>
      </c>
      <c r="EZ8" t="e">
        <f>AND(Plan1!A280,"AAAAAEzVeZs=")</f>
        <v>#VALUE!</v>
      </c>
      <c r="FA8" t="e">
        <f>AND(Plan1!B280,"AAAAAEzVeZw=")</f>
        <v>#VALUE!</v>
      </c>
      <c r="FB8" t="e">
        <f>AND(Plan1!C280,"AAAAAEzVeZ0=")</f>
        <v>#VALUE!</v>
      </c>
      <c r="FC8" t="e">
        <f>AND(Plan1!D280,"AAAAAEzVeZ4=")</f>
        <v>#VALUE!</v>
      </c>
      <c r="FD8" t="e">
        <f>AND(Plan1!E280,"AAAAAEzVeZ8=")</f>
        <v>#VALUE!</v>
      </c>
      <c r="FE8" t="e">
        <f>AND(Plan1!F280,"AAAAAEzVeaA=")</f>
        <v>#VALUE!</v>
      </c>
      <c r="FF8">
        <f>IF(Plan1!281:281,"AAAAAEzVeaE=",0)</f>
        <v>0</v>
      </c>
      <c r="FG8" t="e">
        <f>AND(Plan1!A281,"AAAAAEzVeaI=")</f>
        <v>#VALUE!</v>
      </c>
      <c r="FH8" t="e">
        <f>AND(Plan1!B281,"AAAAAEzVeaM=")</f>
        <v>#VALUE!</v>
      </c>
      <c r="FI8" t="e">
        <f>AND(Plan1!C281,"AAAAAEzVeaQ=")</f>
        <v>#VALUE!</v>
      </c>
      <c r="FJ8" t="e">
        <f>AND(Plan1!D281,"AAAAAEzVeaU=")</f>
        <v>#VALUE!</v>
      </c>
      <c r="FK8" t="e">
        <f>AND(Plan1!E281,"AAAAAEzVeaY=")</f>
        <v>#VALUE!</v>
      </c>
      <c r="FL8" t="e">
        <f>AND(Plan1!F281,"AAAAAEzVeac=")</f>
        <v>#VALUE!</v>
      </c>
      <c r="FM8">
        <f>IF(Plan1!282:282,"AAAAAEzVeag=",0)</f>
        <v>0</v>
      </c>
      <c r="FN8" t="e">
        <f>AND(Plan1!A282,"AAAAAEzVeak=")</f>
        <v>#VALUE!</v>
      </c>
      <c r="FO8" t="e">
        <f>AND(Plan1!B282,"AAAAAEzVeao=")</f>
        <v>#VALUE!</v>
      </c>
      <c r="FP8" t="e">
        <f>AND(Plan1!C282,"AAAAAEzVeas=")</f>
        <v>#VALUE!</v>
      </c>
      <c r="FQ8" t="e">
        <f>AND(Plan1!D282,"AAAAAEzVeaw=")</f>
        <v>#VALUE!</v>
      </c>
      <c r="FR8" t="e">
        <f>AND(Plan1!E282,"AAAAAEzVea0=")</f>
        <v>#VALUE!</v>
      </c>
      <c r="FS8" t="e">
        <f>AND(Plan1!F282,"AAAAAEzVea4=")</f>
        <v>#VALUE!</v>
      </c>
      <c r="FT8">
        <f>IF(Plan1!283:283,"AAAAAEzVea8=",0)</f>
        <v>0</v>
      </c>
      <c r="FU8" t="e">
        <f>AND(Plan1!A283,"AAAAAEzVebA=")</f>
        <v>#VALUE!</v>
      </c>
      <c r="FV8" t="e">
        <f>AND(Plan1!B283,"AAAAAEzVebE=")</f>
        <v>#VALUE!</v>
      </c>
      <c r="FW8" t="e">
        <f>AND(Plan1!C283,"AAAAAEzVebI=")</f>
        <v>#VALUE!</v>
      </c>
      <c r="FX8" t="e">
        <f>AND(Plan1!D283,"AAAAAEzVebM=")</f>
        <v>#VALUE!</v>
      </c>
      <c r="FY8" t="e">
        <f>AND(Plan1!E283,"AAAAAEzVebQ=")</f>
        <v>#VALUE!</v>
      </c>
      <c r="FZ8" t="e">
        <f>AND(Plan1!F283,"AAAAAEzVebU=")</f>
        <v>#VALUE!</v>
      </c>
      <c r="GA8">
        <f>IF(Plan1!284:284,"AAAAAEzVebY=",0)</f>
        <v>0</v>
      </c>
      <c r="GB8" t="e">
        <f>AND(Plan1!A284,"AAAAAEzVebc=")</f>
        <v>#VALUE!</v>
      </c>
      <c r="GC8" t="e">
        <f>AND(Plan1!B284,"AAAAAEzVebg=")</f>
        <v>#VALUE!</v>
      </c>
      <c r="GD8" t="e">
        <f>AND(Plan1!C284,"AAAAAEzVebk=")</f>
        <v>#VALUE!</v>
      </c>
      <c r="GE8" t="e">
        <f>AND(Plan1!D284,"AAAAAEzVebo=")</f>
        <v>#VALUE!</v>
      </c>
      <c r="GF8" t="e">
        <f>AND(Plan1!E284,"AAAAAEzVebs=")</f>
        <v>#VALUE!</v>
      </c>
      <c r="GG8" t="e">
        <f>AND(Plan1!F284,"AAAAAEzVebw=")</f>
        <v>#VALUE!</v>
      </c>
      <c r="GH8">
        <f>IF(Plan1!285:285,"AAAAAEzVeb0=",0)</f>
        <v>0</v>
      </c>
      <c r="GI8" t="e">
        <f>AND(Plan1!A285,"AAAAAEzVeb4=")</f>
        <v>#VALUE!</v>
      </c>
      <c r="GJ8" t="e">
        <f>AND(Plan1!B285,"AAAAAEzVeb8=")</f>
        <v>#VALUE!</v>
      </c>
      <c r="GK8" t="e">
        <f>AND(Plan1!C285,"AAAAAEzVecA=")</f>
        <v>#VALUE!</v>
      </c>
      <c r="GL8" t="e">
        <f>AND(Plan1!D285,"AAAAAEzVecE=")</f>
        <v>#VALUE!</v>
      </c>
      <c r="GM8" t="e">
        <f>AND(Plan1!E285,"AAAAAEzVecI=")</f>
        <v>#VALUE!</v>
      </c>
      <c r="GN8" t="e">
        <f>AND(Plan1!F285,"AAAAAEzVecM=")</f>
        <v>#VALUE!</v>
      </c>
      <c r="GO8">
        <f>IF(Plan1!286:286,"AAAAAEzVecQ=",0)</f>
        <v>0</v>
      </c>
      <c r="GP8" t="e">
        <f>AND(Plan1!A286,"AAAAAEzVecU=")</f>
        <v>#VALUE!</v>
      </c>
      <c r="GQ8" t="e">
        <f>AND(Plan1!B286,"AAAAAEzVecY=")</f>
        <v>#VALUE!</v>
      </c>
      <c r="GR8" t="e">
        <f>AND(Plan1!C286,"AAAAAEzVecc=")</f>
        <v>#VALUE!</v>
      </c>
      <c r="GS8" t="e">
        <f>AND(Plan1!D286,"AAAAAEzVecg=")</f>
        <v>#VALUE!</v>
      </c>
      <c r="GT8" t="e">
        <f>AND(Plan1!E286,"AAAAAEzVeck=")</f>
        <v>#VALUE!</v>
      </c>
      <c r="GU8" t="e">
        <f>AND(Plan1!F286,"AAAAAEzVeco=")</f>
        <v>#VALUE!</v>
      </c>
      <c r="GV8">
        <f>IF(Plan1!287:287,"AAAAAEzVecs=",0)</f>
        <v>0</v>
      </c>
      <c r="GW8" t="e">
        <f>AND(Plan1!A287,"AAAAAEzVecw=")</f>
        <v>#VALUE!</v>
      </c>
      <c r="GX8" t="e">
        <f>AND(Plan1!B287,"AAAAAEzVec0=")</f>
        <v>#VALUE!</v>
      </c>
      <c r="GY8" t="e">
        <f>AND(Plan1!C287,"AAAAAEzVec4=")</f>
        <v>#VALUE!</v>
      </c>
      <c r="GZ8" t="e">
        <f>AND(Plan1!D287,"AAAAAEzVec8=")</f>
        <v>#VALUE!</v>
      </c>
      <c r="HA8" t="e">
        <f>AND(Plan1!E287,"AAAAAEzVedA=")</f>
        <v>#VALUE!</v>
      </c>
      <c r="HB8" t="e">
        <f>AND(Plan1!F287,"AAAAAEzVedE=")</f>
        <v>#VALUE!</v>
      </c>
      <c r="HC8">
        <f>IF(Plan1!288:288,"AAAAAEzVedI=",0)</f>
        <v>0</v>
      </c>
      <c r="HD8" t="e">
        <f>AND(Plan1!A288,"AAAAAEzVedM=")</f>
        <v>#VALUE!</v>
      </c>
      <c r="HE8" t="e">
        <f>AND(Plan1!B288,"AAAAAEzVedQ=")</f>
        <v>#VALUE!</v>
      </c>
      <c r="HF8" t="e">
        <f>AND(Plan1!C288,"AAAAAEzVedU=")</f>
        <v>#VALUE!</v>
      </c>
      <c r="HG8" t="e">
        <f>AND(Plan1!D288,"AAAAAEzVedY=")</f>
        <v>#VALUE!</v>
      </c>
      <c r="HH8" t="e">
        <f>AND(Plan1!E288,"AAAAAEzVedc=")</f>
        <v>#VALUE!</v>
      </c>
      <c r="HI8" t="e">
        <f>AND(Plan1!F288,"AAAAAEzVedg=")</f>
        <v>#VALUE!</v>
      </c>
      <c r="HJ8">
        <f>IF(Plan1!289:289,"AAAAAEzVedk=",0)</f>
        <v>0</v>
      </c>
      <c r="HK8" t="e">
        <f>AND(Plan1!A289,"AAAAAEzVedo=")</f>
        <v>#VALUE!</v>
      </c>
      <c r="HL8" t="e">
        <f>AND(Plan1!B289,"AAAAAEzVeds=")</f>
        <v>#VALUE!</v>
      </c>
      <c r="HM8" t="e">
        <f>AND(Plan1!C289,"AAAAAEzVedw=")</f>
        <v>#VALUE!</v>
      </c>
      <c r="HN8" t="e">
        <f>AND(Plan1!D289,"AAAAAEzVed0=")</f>
        <v>#VALUE!</v>
      </c>
      <c r="HO8" t="e">
        <f>AND(Plan1!E289,"AAAAAEzVed4=")</f>
        <v>#VALUE!</v>
      </c>
      <c r="HP8" t="e">
        <f>AND(Plan1!F289,"AAAAAEzVed8=")</f>
        <v>#VALUE!</v>
      </c>
      <c r="HQ8">
        <f>IF(Plan1!290:290,"AAAAAEzVeeA=",0)</f>
        <v>0</v>
      </c>
      <c r="HR8" t="e">
        <f>AND(Plan1!A290,"AAAAAEzVeeE=")</f>
        <v>#VALUE!</v>
      </c>
      <c r="HS8" t="e">
        <f>AND(Plan1!B290,"AAAAAEzVeeI=")</f>
        <v>#VALUE!</v>
      </c>
      <c r="HT8" t="e">
        <f>AND(Plan1!C290,"AAAAAEzVeeM=")</f>
        <v>#VALUE!</v>
      </c>
      <c r="HU8" t="e">
        <f>AND(Plan1!D290,"AAAAAEzVeeQ=")</f>
        <v>#VALUE!</v>
      </c>
      <c r="HV8" t="e">
        <f>AND(Plan1!E290,"AAAAAEzVeeU=")</f>
        <v>#VALUE!</v>
      </c>
      <c r="HW8" t="e">
        <f>AND(Plan1!F290,"AAAAAEzVeeY=")</f>
        <v>#VALUE!</v>
      </c>
      <c r="HX8">
        <f>IF(Plan1!291:291,"AAAAAEzVeec=",0)</f>
        <v>0</v>
      </c>
      <c r="HY8" t="e">
        <f>AND(Plan1!A291,"AAAAAEzVeeg=")</f>
        <v>#VALUE!</v>
      </c>
      <c r="HZ8" t="e">
        <f>AND(Plan1!B291,"AAAAAEzVeek=")</f>
        <v>#VALUE!</v>
      </c>
      <c r="IA8" t="e">
        <f>AND(Plan1!C291,"AAAAAEzVeeo=")</f>
        <v>#VALUE!</v>
      </c>
      <c r="IB8" t="e">
        <f>AND(Plan1!D291,"AAAAAEzVees=")</f>
        <v>#VALUE!</v>
      </c>
      <c r="IC8" t="e">
        <f>AND(Plan1!E291,"AAAAAEzVeew=")</f>
        <v>#VALUE!</v>
      </c>
      <c r="ID8" t="e">
        <f>AND(Plan1!F291,"AAAAAEzVee0=")</f>
        <v>#VALUE!</v>
      </c>
      <c r="IE8">
        <f>IF(Plan1!292:292,"AAAAAEzVee4=",0)</f>
        <v>0</v>
      </c>
      <c r="IF8" t="e">
        <f>AND(Plan1!A292,"AAAAAEzVee8=")</f>
        <v>#VALUE!</v>
      </c>
      <c r="IG8" t="e">
        <f>AND(Plan1!B292,"AAAAAEzVefA=")</f>
        <v>#VALUE!</v>
      </c>
      <c r="IH8" t="e">
        <f>AND(Plan1!C292,"AAAAAEzVefE=")</f>
        <v>#VALUE!</v>
      </c>
      <c r="II8" t="e">
        <f>AND(Plan1!D292,"AAAAAEzVefI=")</f>
        <v>#VALUE!</v>
      </c>
      <c r="IJ8" t="e">
        <f>AND(Plan1!E292,"AAAAAEzVefM=")</f>
        <v>#VALUE!</v>
      </c>
      <c r="IK8" t="e">
        <f>AND(Plan1!F292,"AAAAAEzVefQ=")</f>
        <v>#VALUE!</v>
      </c>
      <c r="IL8">
        <f>IF(Plan1!293:293,"AAAAAEzVefU=",0)</f>
        <v>0</v>
      </c>
      <c r="IM8" t="e">
        <f>AND(Plan1!A293,"AAAAAEzVefY=")</f>
        <v>#VALUE!</v>
      </c>
      <c r="IN8" t="e">
        <f>AND(Plan1!B293,"AAAAAEzVefc=")</f>
        <v>#VALUE!</v>
      </c>
      <c r="IO8" t="e">
        <f>AND(Plan1!C293,"AAAAAEzVefg=")</f>
        <v>#VALUE!</v>
      </c>
      <c r="IP8" t="e">
        <f>AND(Plan1!D293,"AAAAAEzVefk=")</f>
        <v>#VALUE!</v>
      </c>
      <c r="IQ8" t="e">
        <f>AND(Plan1!E293,"AAAAAEzVefo=")</f>
        <v>#VALUE!</v>
      </c>
      <c r="IR8" t="e">
        <f>AND(Plan1!F293,"AAAAAEzVefs=")</f>
        <v>#VALUE!</v>
      </c>
      <c r="IS8">
        <f>IF(Plan1!294:294,"AAAAAEzVefw=",0)</f>
        <v>0</v>
      </c>
      <c r="IT8" t="e">
        <f>AND(Plan1!A294,"AAAAAEzVef0=")</f>
        <v>#VALUE!</v>
      </c>
      <c r="IU8" t="e">
        <f>AND(Plan1!B294,"AAAAAEzVef4=")</f>
        <v>#VALUE!</v>
      </c>
      <c r="IV8" t="e">
        <f>AND(Plan1!C294,"AAAAAEzVef8=")</f>
        <v>#VALUE!</v>
      </c>
    </row>
    <row r="9" spans="1:256">
      <c r="A9" t="e">
        <f>AND(Plan1!D294,"AAAAAH2fOQA=")</f>
        <v>#VALUE!</v>
      </c>
      <c r="B9" t="e">
        <f>AND(Plan1!E294,"AAAAAH2fOQE=")</f>
        <v>#VALUE!</v>
      </c>
      <c r="C9" t="e">
        <f>AND(Plan1!F294,"AAAAAH2fOQI=")</f>
        <v>#VALUE!</v>
      </c>
      <c r="D9" t="str">
        <f>IF(Plan1!295:295,"AAAAAH2fOQM=",0)</f>
        <v>AAAAAH2fOQM=</v>
      </c>
      <c r="E9" t="e">
        <f>AND(Plan1!A295,"AAAAAH2fOQQ=")</f>
        <v>#VALUE!</v>
      </c>
      <c r="F9" t="e">
        <f>AND(Plan1!B295,"AAAAAH2fOQU=")</f>
        <v>#VALUE!</v>
      </c>
      <c r="G9" t="e">
        <f>AND(Plan1!C295,"AAAAAH2fOQY=")</f>
        <v>#VALUE!</v>
      </c>
      <c r="H9" t="e">
        <f>AND(Plan1!D295,"AAAAAH2fOQc=")</f>
        <v>#VALUE!</v>
      </c>
      <c r="I9" t="e">
        <f>AND(Plan1!E295,"AAAAAH2fOQg=")</f>
        <v>#VALUE!</v>
      </c>
      <c r="J9" t="e">
        <f>AND(Plan1!F295,"AAAAAH2fOQk=")</f>
        <v>#VALUE!</v>
      </c>
      <c r="K9">
        <f>IF(Plan1!296:296,"AAAAAH2fOQo=",0)</f>
        <v>0</v>
      </c>
      <c r="L9" t="e">
        <f>AND(Plan1!A296,"AAAAAH2fOQs=")</f>
        <v>#VALUE!</v>
      </c>
      <c r="M9" t="e">
        <f>AND(Plan1!B296,"AAAAAH2fOQw=")</f>
        <v>#VALUE!</v>
      </c>
      <c r="N9" t="e">
        <f>AND(Plan1!C296,"AAAAAH2fOQ0=")</f>
        <v>#VALUE!</v>
      </c>
      <c r="O9" t="e">
        <f>AND(Plan1!D296,"AAAAAH2fOQ4=")</f>
        <v>#VALUE!</v>
      </c>
      <c r="P9" t="e">
        <f>AND(Plan1!E296,"AAAAAH2fOQ8=")</f>
        <v>#VALUE!</v>
      </c>
      <c r="Q9" t="e">
        <f>AND(Plan1!F296,"AAAAAH2fORA=")</f>
        <v>#VALUE!</v>
      </c>
      <c r="R9">
        <f>IF(Plan1!297:297,"AAAAAH2fORE=",0)</f>
        <v>0</v>
      </c>
      <c r="S9" t="e">
        <f>AND(Plan1!A297,"AAAAAH2fORI=")</f>
        <v>#VALUE!</v>
      </c>
      <c r="T9" t="e">
        <f>AND(Plan1!B297,"AAAAAH2fORM=")</f>
        <v>#VALUE!</v>
      </c>
      <c r="U9" t="e">
        <f>AND(Plan1!C297,"AAAAAH2fORQ=")</f>
        <v>#VALUE!</v>
      </c>
      <c r="V9" t="e">
        <f>AND(Plan1!D297,"AAAAAH2fORU=")</f>
        <v>#VALUE!</v>
      </c>
      <c r="W9" t="e">
        <f>AND(Plan1!E297,"AAAAAH2fORY=")</f>
        <v>#VALUE!</v>
      </c>
      <c r="X9" t="e">
        <f>AND(Plan1!F297,"AAAAAH2fORc=")</f>
        <v>#VALUE!</v>
      </c>
      <c r="Y9">
        <f>IF(Plan1!298:298,"AAAAAH2fORg=",0)</f>
        <v>0</v>
      </c>
      <c r="Z9" t="e">
        <f>AND(Plan1!A298,"AAAAAH2fORk=")</f>
        <v>#VALUE!</v>
      </c>
      <c r="AA9" t="e">
        <f>AND(Plan1!B298,"AAAAAH2fORo=")</f>
        <v>#VALUE!</v>
      </c>
      <c r="AB9" t="e">
        <f>AND(Plan1!C298,"AAAAAH2fORs=")</f>
        <v>#VALUE!</v>
      </c>
      <c r="AC9" t="e">
        <f>AND(Plan1!D298,"AAAAAH2fORw=")</f>
        <v>#VALUE!</v>
      </c>
      <c r="AD9" t="e">
        <f>AND(Plan1!E298,"AAAAAH2fOR0=")</f>
        <v>#VALUE!</v>
      </c>
      <c r="AE9" t="e">
        <f>AND(Plan1!F298,"AAAAAH2fOR4=")</f>
        <v>#VALUE!</v>
      </c>
      <c r="AF9">
        <f>IF(Plan1!299:299,"AAAAAH2fOR8=",0)</f>
        <v>0</v>
      </c>
      <c r="AG9" t="e">
        <f>AND(Plan1!A299,"AAAAAH2fOSA=")</f>
        <v>#VALUE!</v>
      </c>
      <c r="AH9" t="e">
        <f>AND(Plan1!B299,"AAAAAH2fOSE=")</f>
        <v>#VALUE!</v>
      </c>
      <c r="AI9" t="e">
        <f>AND(Plan1!C299,"AAAAAH2fOSI=")</f>
        <v>#VALUE!</v>
      </c>
      <c r="AJ9" t="e">
        <f>AND(Plan1!D299,"AAAAAH2fOSM=")</f>
        <v>#VALUE!</v>
      </c>
      <c r="AK9" t="e">
        <f>AND(Plan1!E299,"AAAAAH2fOSQ=")</f>
        <v>#VALUE!</v>
      </c>
      <c r="AL9" t="e">
        <f>AND(Plan1!F299,"AAAAAH2fOSU=")</f>
        <v>#VALUE!</v>
      </c>
      <c r="AM9">
        <f>IF(Plan1!300:300,"AAAAAH2fOSY=",0)</f>
        <v>0</v>
      </c>
      <c r="AN9" t="e">
        <f>AND(Plan1!A300,"AAAAAH2fOSc=")</f>
        <v>#VALUE!</v>
      </c>
      <c r="AO9" t="e">
        <f>AND(Plan1!B300,"AAAAAH2fOSg=")</f>
        <v>#VALUE!</v>
      </c>
      <c r="AP9" t="e">
        <f>AND(Plan1!C300,"AAAAAH2fOSk=")</f>
        <v>#VALUE!</v>
      </c>
      <c r="AQ9" t="e">
        <f>AND(Plan1!D300,"AAAAAH2fOSo=")</f>
        <v>#VALUE!</v>
      </c>
      <c r="AR9" t="e">
        <f>AND(Plan1!E300,"AAAAAH2fOSs=")</f>
        <v>#VALUE!</v>
      </c>
      <c r="AS9" t="e">
        <f>AND(Plan1!F300,"AAAAAH2fOSw=")</f>
        <v>#VALUE!</v>
      </c>
      <c r="AT9">
        <f>IF(Plan1!301:301,"AAAAAH2fOS0=",0)</f>
        <v>0</v>
      </c>
      <c r="AU9" t="e">
        <f>AND(Plan1!A301,"AAAAAH2fOS4=")</f>
        <v>#VALUE!</v>
      </c>
      <c r="AV9" t="e">
        <f>AND(Plan1!B301,"AAAAAH2fOS8=")</f>
        <v>#VALUE!</v>
      </c>
      <c r="AW9" t="e">
        <f>AND(Plan1!C301,"AAAAAH2fOTA=")</f>
        <v>#VALUE!</v>
      </c>
      <c r="AX9" t="e">
        <f>AND(Plan1!D301,"AAAAAH2fOTE=")</f>
        <v>#VALUE!</v>
      </c>
      <c r="AY9" t="e">
        <f>AND(Plan1!E301,"AAAAAH2fOTI=")</f>
        <v>#VALUE!</v>
      </c>
      <c r="AZ9" t="e">
        <f>AND(Plan1!F301,"AAAAAH2fOTM=")</f>
        <v>#VALUE!</v>
      </c>
      <c r="BA9">
        <f>IF(Plan1!302:302,"AAAAAH2fOTQ=",0)</f>
        <v>0</v>
      </c>
      <c r="BB9" t="e">
        <f>AND(Plan1!A302,"AAAAAH2fOTU=")</f>
        <v>#VALUE!</v>
      </c>
      <c r="BC9" t="e">
        <f>AND(Plan1!B302,"AAAAAH2fOTY=")</f>
        <v>#VALUE!</v>
      </c>
      <c r="BD9" t="e">
        <f>AND(Plan1!C302,"AAAAAH2fOTc=")</f>
        <v>#VALUE!</v>
      </c>
      <c r="BE9" t="e">
        <f>AND(Plan1!D302,"AAAAAH2fOTg=")</f>
        <v>#VALUE!</v>
      </c>
      <c r="BF9" t="e">
        <f>AND(Plan1!E302,"AAAAAH2fOTk=")</f>
        <v>#VALUE!</v>
      </c>
      <c r="BG9" t="e">
        <f>AND(Plan1!F302,"AAAAAH2fOTo=")</f>
        <v>#VALUE!</v>
      </c>
      <c r="BH9">
        <f>IF(Plan1!303:303,"AAAAAH2fOTs=",0)</f>
        <v>0</v>
      </c>
      <c r="BI9" t="e">
        <f>AND(Plan1!A303,"AAAAAH2fOTw=")</f>
        <v>#VALUE!</v>
      </c>
      <c r="BJ9" t="e">
        <f>AND(Plan1!B303,"AAAAAH2fOT0=")</f>
        <v>#VALUE!</v>
      </c>
      <c r="BK9" t="e">
        <f>AND(Plan1!C303,"AAAAAH2fOT4=")</f>
        <v>#VALUE!</v>
      </c>
      <c r="BL9" t="e">
        <f>AND(Plan1!D303,"AAAAAH2fOT8=")</f>
        <v>#VALUE!</v>
      </c>
      <c r="BM9" t="e">
        <f>AND(Plan1!E303,"AAAAAH2fOUA=")</f>
        <v>#VALUE!</v>
      </c>
      <c r="BN9" t="e">
        <f>AND(Plan1!F303,"AAAAAH2fOUE=")</f>
        <v>#VALUE!</v>
      </c>
      <c r="BO9">
        <f>IF(Plan1!304:304,"AAAAAH2fOUI=",0)</f>
        <v>0</v>
      </c>
      <c r="BP9" t="e">
        <f>AND(Plan1!A304,"AAAAAH2fOUM=")</f>
        <v>#VALUE!</v>
      </c>
      <c r="BQ9" t="e">
        <f>AND(Plan1!B304,"AAAAAH2fOUQ=")</f>
        <v>#VALUE!</v>
      </c>
      <c r="BR9" t="e">
        <f>AND(Plan1!C304,"AAAAAH2fOUU=")</f>
        <v>#VALUE!</v>
      </c>
      <c r="BS9" t="e">
        <f>AND(Plan1!D304,"AAAAAH2fOUY=")</f>
        <v>#VALUE!</v>
      </c>
      <c r="BT9" t="e">
        <f>AND(Plan1!E304,"AAAAAH2fOUc=")</f>
        <v>#VALUE!</v>
      </c>
      <c r="BU9" t="e">
        <f>AND(Plan1!F304,"AAAAAH2fOUg=")</f>
        <v>#VALUE!</v>
      </c>
      <c r="BV9">
        <f>IF(Plan1!305:305,"AAAAAH2fOUk=",0)</f>
        <v>0</v>
      </c>
      <c r="BW9" t="e">
        <f>AND(Plan1!A305,"AAAAAH2fOUo=")</f>
        <v>#VALUE!</v>
      </c>
      <c r="BX9" t="e">
        <f>AND(Plan1!B305,"AAAAAH2fOUs=")</f>
        <v>#VALUE!</v>
      </c>
      <c r="BY9" t="e">
        <f>AND(Plan1!C305,"AAAAAH2fOUw=")</f>
        <v>#VALUE!</v>
      </c>
      <c r="BZ9" t="e">
        <f>AND(Plan1!D305,"AAAAAH2fOU0=")</f>
        <v>#VALUE!</v>
      </c>
      <c r="CA9" t="e">
        <f>AND(Plan1!E305,"AAAAAH2fOU4=")</f>
        <v>#VALUE!</v>
      </c>
      <c r="CB9" t="e">
        <f>AND(Plan1!F305,"AAAAAH2fOU8=")</f>
        <v>#VALUE!</v>
      </c>
      <c r="CC9">
        <f>IF(Plan1!306:306,"AAAAAH2fOVA=",0)</f>
        <v>0</v>
      </c>
      <c r="CD9" t="e">
        <f>AND(Plan1!A306,"AAAAAH2fOVE=")</f>
        <v>#VALUE!</v>
      </c>
      <c r="CE9" t="e">
        <f>AND(Plan1!B306,"AAAAAH2fOVI=")</f>
        <v>#VALUE!</v>
      </c>
      <c r="CF9" t="e">
        <f>AND(Plan1!C306,"AAAAAH2fOVM=")</f>
        <v>#VALUE!</v>
      </c>
      <c r="CG9" t="e">
        <f>AND(Plan1!D306,"AAAAAH2fOVQ=")</f>
        <v>#VALUE!</v>
      </c>
      <c r="CH9" t="e">
        <f>AND(Plan1!E306,"AAAAAH2fOVU=")</f>
        <v>#VALUE!</v>
      </c>
      <c r="CI9" t="e">
        <f>AND(Plan1!F306,"AAAAAH2fOVY=")</f>
        <v>#VALUE!</v>
      </c>
      <c r="CJ9">
        <f>IF(Plan1!307:307,"AAAAAH2fOVc=",0)</f>
        <v>0</v>
      </c>
      <c r="CK9" t="e">
        <f>AND(Plan1!A307,"AAAAAH2fOVg=")</f>
        <v>#VALUE!</v>
      </c>
      <c r="CL9" t="e">
        <f>AND(Plan1!B307,"AAAAAH2fOVk=")</f>
        <v>#VALUE!</v>
      </c>
      <c r="CM9" t="e">
        <f>AND(Plan1!C307,"AAAAAH2fOVo=")</f>
        <v>#VALUE!</v>
      </c>
      <c r="CN9" t="e">
        <f>AND(Plan1!D307,"AAAAAH2fOVs=")</f>
        <v>#VALUE!</v>
      </c>
      <c r="CO9" t="e">
        <f>AND(Plan1!E307,"AAAAAH2fOVw=")</f>
        <v>#VALUE!</v>
      </c>
      <c r="CP9" t="e">
        <f>AND(Plan1!F307,"AAAAAH2fOV0=")</f>
        <v>#VALUE!</v>
      </c>
      <c r="CQ9">
        <f>IF(Plan1!308:308,"AAAAAH2fOV4=",0)</f>
        <v>0</v>
      </c>
      <c r="CR9" t="e">
        <f>AND(Plan1!A308,"AAAAAH2fOV8=")</f>
        <v>#VALUE!</v>
      </c>
      <c r="CS9" t="e">
        <f>AND(Plan1!B308,"AAAAAH2fOWA=")</f>
        <v>#VALUE!</v>
      </c>
      <c r="CT9" t="e">
        <f>AND(Plan1!C308,"AAAAAH2fOWE=")</f>
        <v>#VALUE!</v>
      </c>
      <c r="CU9" t="e">
        <f>AND(Plan1!D308,"AAAAAH2fOWI=")</f>
        <v>#VALUE!</v>
      </c>
      <c r="CV9" t="e">
        <f>AND(Plan1!E308,"AAAAAH2fOWM=")</f>
        <v>#VALUE!</v>
      </c>
      <c r="CW9" t="e">
        <f>AND(Plan1!F308,"AAAAAH2fOWQ=")</f>
        <v>#VALUE!</v>
      </c>
      <c r="CX9">
        <f>IF(Plan1!309:309,"AAAAAH2fOWU=",0)</f>
        <v>0</v>
      </c>
      <c r="CY9" t="e">
        <f>AND(Plan1!A309,"AAAAAH2fOWY=")</f>
        <v>#VALUE!</v>
      </c>
      <c r="CZ9" t="e">
        <f>AND(Plan1!B309,"AAAAAH2fOWc=")</f>
        <v>#VALUE!</v>
      </c>
      <c r="DA9" t="e">
        <f>AND(Plan1!C309,"AAAAAH2fOWg=")</f>
        <v>#VALUE!</v>
      </c>
      <c r="DB9" t="e">
        <f>AND(Plan1!D309,"AAAAAH2fOWk=")</f>
        <v>#VALUE!</v>
      </c>
      <c r="DC9" t="e">
        <f>AND(Plan1!E309,"AAAAAH2fOWo=")</f>
        <v>#VALUE!</v>
      </c>
      <c r="DD9" t="e">
        <f>AND(Plan1!F309,"AAAAAH2fOWs=")</f>
        <v>#VALUE!</v>
      </c>
      <c r="DE9">
        <f>IF(Plan1!310:310,"AAAAAH2fOWw=",0)</f>
        <v>0</v>
      </c>
      <c r="DF9" t="e">
        <f>AND(Plan1!A310,"AAAAAH2fOW0=")</f>
        <v>#VALUE!</v>
      </c>
      <c r="DG9" t="e">
        <f>AND(Plan1!B310,"AAAAAH2fOW4=")</f>
        <v>#VALUE!</v>
      </c>
      <c r="DH9" t="e">
        <f>AND(Plan1!C310,"AAAAAH2fOW8=")</f>
        <v>#VALUE!</v>
      </c>
      <c r="DI9" t="e">
        <f>AND(Plan1!D310,"AAAAAH2fOXA=")</f>
        <v>#VALUE!</v>
      </c>
      <c r="DJ9" t="e">
        <f>AND(Plan1!E310,"AAAAAH2fOXE=")</f>
        <v>#VALUE!</v>
      </c>
      <c r="DK9" t="e">
        <f>AND(Plan1!F310,"AAAAAH2fOXI=")</f>
        <v>#VALUE!</v>
      </c>
      <c r="DL9">
        <f>IF(Plan1!311:311,"AAAAAH2fOXM=",0)</f>
        <v>0</v>
      </c>
      <c r="DM9" t="e">
        <f>AND(Plan1!A311,"AAAAAH2fOXQ=")</f>
        <v>#VALUE!</v>
      </c>
      <c r="DN9" t="e">
        <f>AND(Plan1!B311,"AAAAAH2fOXU=")</f>
        <v>#VALUE!</v>
      </c>
      <c r="DO9" t="e">
        <f>AND(Plan1!C311,"AAAAAH2fOXY=")</f>
        <v>#VALUE!</v>
      </c>
      <c r="DP9" t="e">
        <f>AND(Plan1!D311,"AAAAAH2fOXc=")</f>
        <v>#VALUE!</v>
      </c>
      <c r="DQ9" t="e">
        <f>AND(Plan1!E311,"AAAAAH2fOXg=")</f>
        <v>#VALUE!</v>
      </c>
      <c r="DR9" t="e">
        <f>AND(Plan1!F311,"AAAAAH2fOXk=")</f>
        <v>#VALUE!</v>
      </c>
      <c r="DS9">
        <f>IF(Plan1!312:312,"AAAAAH2fOXo=",0)</f>
        <v>0</v>
      </c>
      <c r="DT9" t="e">
        <f>AND(Plan1!A312,"AAAAAH2fOXs=")</f>
        <v>#VALUE!</v>
      </c>
      <c r="DU9" t="e">
        <f>AND(Plan1!B312,"AAAAAH2fOXw=")</f>
        <v>#VALUE!</v>
      </c>
      <c r="DV9" t="e">
        <f>AND(Plan1!C312,"AAAAAH2fOX0=")</f>
        <v>#VALUE!</v>
      </c>
      <c r="DW9" t="e">
        <f>AND(Plan1!D312,"AAAAAH2fOX4=")</f>
        <v>#VALUE!</v>
      </c>
      <c r="DX9" t="e">
        <f>AND(Plan1!E312,"AAAAAH2fOX8=")</f>
        <v>#VALUE!</v>
      </c>
      <c r="DY9" t="e">
        <f>AND(Plan1!F312,"AAAAAH2fOYA=")</f>
        <v>#VALUE!</v>
      </c>
      <c r="DZ9">
        <f>IF(Plan1!313:313,"AAAAAH2fOYE=",0)</f>
        <v>0</v>
      </c>
      <c r="EA9" t="e">
        <f>AND(Plan1!A313,"AAAAAH2fOYI=")</f>
        <v>#VALUE!</v>
      </c>
      <c r="EB9" t="e">
        <f>AND(Plan1!B313,"AAAAAH2fOYM=")</f>
        <v>#VALUE!</v>
      </c>
      <c r="EC9" t="e">
        <f>AND(Plan1!C313,"AAAAAH2fOYQ=")</f>
        <v>#VALUE!</v>
      </c>
      <c r="ED9" t="e">
        <f>AND(Plan1!D313,"AAAAAH2fOYU=")</f>
        <v>#VALUE!</v>
      </c>
      <c r="EE9" t="e">
        <f>AND(Plan1!E313,"AAAAAH2fOYY=")</f>
        <v>#VALUE!</v>
      </c>
      <c r="EF9" t="e">
        <f>AND(Plan1!F313,"AAAAAH2fOYc=")</f>
        <v>#VALUE!</v>
      </c>
      <c r="EG9">
        <f>IF(Plan1!314:314,"AAAAAH2fOYg=",0)</f>
        <v>0</v>
      </c>
      <c r="EH9" t="e">
        <f>AND(Plan1!A314,"AAAAAH2fOYk=")</f>
        <v>#VALUE!</v>
      </c>
      <c r="EI9" t="e">
        <f>AND(Plan1!B314,"AAAAAH2fOYo=")</f>
        <v>#VALUE!</v>
      </c>
      <c r="EJ9" t="e">
        <f>AND(Plan1!C314,"AAAAAH2fOYs=")</f>
        <v>#VALUE!</v>
      </c>
      <c r="EK9" t="e">
        <f>AND(Plan1!D314,"AAAAAH2fOYw=")</f>
        <v>#VALUE!</v>
      </c>
      <c r="EL9" t="e">
        <f>AND(Plan1!E314,"AAAAAH2fOY0=")</f>
        <v>#VALUE!</v>
      </c>
      <c r="EM9" t="e">
        <f>AND(Plan1!F314,"AAAAAH2fOY4=")</f>
        <v>#VALUE!</v>
      </c>
      <c r="EN9">
        <f>IF(Plan1!315:315,"AAAAAH2fOY8=",0)</f>
        <v>0</v>
      </c>
      <c r="EO9" t="e">
        <f>AND(Plan1!A315,"AAAAAH2fOZA=")</f>
        <v>#VALUE!</v>
      </c>
      <c r="EP9" t="e">
        <f>AND(Plan1!B315,"AAAAAH2fOZE=")</f>
        <v>#VALUE!</v>
      </c>
      <c r="EQ9" t="e">
        <f>AND(Plan1!C315,"AAAAAH2fOZI=")</f>
        <v>#VALUE!</v>
      </c>
      <c r="ER9" t="e">
        <f>AND(Plan1!D315,"AAAAAH2fOZM=")</f>
        <v>#VALUE!</v>
      </c>
      <c r="ES9" t="e">
        <f>AND(Plan1!E315,"AAAAAH2fOZQ=")</f>
        <v>#VALUE!</v>
      </c>
      <c r="ET9" t="e">
        <f>AND(Plan1!F315,"AAAAAH2fOZU=")</f>
        <v>#VALUE!</v>
      </c>
      <c r="EU9">
        <f>IF(Plan1!316:316,"AAAAAH2fOZY=",0)</f>
        <v>0</v>
      </c>
      <c r="EV9" t="e">
        <f>AND(Plan1!A316,"AAAAAH2fOZc=")</f>
        <v>#VALUE!</v>
      </c>
      <c r="EW9" t="e">
        <f>AND(Plan1!B316,"AAAAAH2fOZg=")</f>
        <v>#VALUE!</v>
      </c>
      <c r="EX9" t="e">
        <f>AND(Plan1!C316,"AAAAAH2fOZk=")</f>
        <v>#VALUE!</v>
      </c>
      <c r="EY9" t="e">
        <f>AND(Plan1!D316,"AAAAAH2fOZo=")</f>
        <v>#VALUE!</v>
      </c>
      <c r="EZ9" t="e">
        <f>AND(Plan1!E316,"AAAAAH2fOZs=")</f>
        <v>#VALUE!</v>
      </c>
      <c r="FA9" t="e">
        <f>AND(Plan1!F316,"AAAAAH2fOZw=")</f>
        <v>#VALUE!</v>
      </c>
      <c r="FB9">
        <f>IF(Plan1!317:317,"AAAAAH2fOZ0=",0)</f>
        <v>0</v>
      </c>
      <c r="FC9" t="e">
        <f>AND(Plan1!A317,"AAAAAH2fOZ4=")</f>
        <v>#VALUE!</v>
      </c>
      <c r="FD9" t="e">
        <f>AND(Plan1!B317,"AAAAAH2fOZ8=")</f>
        <v>#VALUE!</v>
      </c>
      <c r="FE9" t="e">
        <f>AND(Plan1!C317,"AAAAAH2fOaA=")</f>
        <v>#VALUE!</v>
      </c>
      <c r="FF9" t="e">
        <f>AND(Plan1!D317,"AAAAAH2fOaE=")</f>
        <v>#VALUE!</v>
      </c>
      <c r="FG9" t="e">
        <f>AND(Plan1!E317,"AAAAAH2fOaI=")</f>
        <v>#VALUE!</v>
      </c>
      <c r="FH9" t="e">
        <f>AND(Plan1!F317,"AAAAAH2fOaM=")</f>
        <v>#VALUE!</v>
      </c>
      <c r="FI9">
        <f>IF(Plan1!318:318,"AAAAAH2fOaQ=",0)</f>
        <v>0</v>
      </c>
      <c r="FJ9" t="e">
        <f>AND(Plan1!A318,"AAAAAH2fOaU=")</f>
        <v>#VALUE!</v>
      </c>
      <c r="FK9" t="e">
        <f>AND(Plan1!B318,"AAAAAH2fOaY=")</f>
        <v>#VALUE!</v>
      </c>
      <c r="FL9" t="e">
        <f>AND(Plan1!C318,"AAAAAH2fOac=")</f>
        <v>#VALUE!</v>
      </c>
      <c r="FM9" t="e">
        <f>AND(Plan1!D318,"AAAAAH2fOag=")</f>
        <v>#VALUE!</v>
      </c>
      <c r="FN9" t="e">
        <f>AND(Plan1!E318,"AAAAAH2fOak=")</f>
        <v>#VALUE!</v>
      </c>
      <c r="FO9" t="e">
        <f>AND(Plan1!F318,"AAAAAH2fOao=")</f>
        <v>#VALUE!</v>
      </c>
      <c r="FP9">
        <f>IF(Plan1!319:319,"AAAAAH2fOas=",0)</f>
        <v>0</v>
      </c>
      <c r="FQ9" t="e">
        <f>AND(Plan1!A319,"AAAAAH2fOaw=")</f>
        <v>#VALUE!</v>
      </c>
      <c r="FR9" t="e">
        <f>AND(Plan1!B319,"AAAAAH2fOa0=")</f>
        <v>#VALUE!</v>
      </c>
      <c r="FS9" t="e">
        <f>AND(Plan1!C319,"AAAAAH2fOa4=")</f>
        <v>#VALUE!</v>
      </c>
      <c r="FT9" t="e">
        <f>AND(Plan1!D319,"AAAAAH2fOa8=")</f>
        <v>#VALUE!</v>
      </c>
      <c r="FU9" t="e">
        <f>AND(Plan1!E319,"AAAAAH2fObA=")</f>
        <v>#VALUE!</v>
      </c>
      <c r="FV9" t="e">
        <f>AND(Plan1!F319,"AAAAAH2fObE=")</f>
        <v>#VALUE!</v>
      </c>
      <c r="FW9">
        <f>IF(Plan1!320:320,"AAAAAH2fObI=",0)</f>
        <v>0</v>
      </c>
      <c r="FX9" t="e">
        <f>AND(Plan1!A320,"AAAAAH2fObM=")</f>
        <v>#VALUE!</v>
      </c>
      <c r="FY9" t="e">
        <f>AND(Plan1!B320,"AAAAAH2fObQ=")</f>
        <v>#VALUE!</v>
      </c>
      <c r="FZ9" t="e">
        <f>AND(Plan1!C320,"AAAAAH2fObU=")</f>
        <v>#VALUE!</v>
      </c>
      <c r="GA9" t="e">
        <f>AND(Plan1!D320,"AAAAAH2fObY=")</f>
        <v>#VALUE!</v>
      </c>
      <c r="GB9" t="e">
        <f>AND(Plan1!E320,"AAAAAH2fObc=")</f>
        <v>#VALUE!</v>
      </c>
      <c r="GC9" t="e">
        <f>AND(Plan1!F320,"AAAAAH2fObg=")</f>
        <v>#VALUE!</v>
      </c>
      <c r="GD9">
        <f>IF(Plan1!321:321,"AAAAAH2fObk=",0)</f>
        <v>0</v>
      </c>
      <c r="GE9" t="e">
        <f>AND(Plan1!A321,"AAAAAH2fObo=")</f>
        <v>#VALUE!</v>
      </c>
      <c r="GF9" t="e">
        <f>AND(Plan1!B321,"AAAAAH2fObs=")</f>
        <v>#VALUE!</v>
      </c>
      <c r="GG9" t="e">
        <f>AND(Plan1!C321,"AAAAAH2fObw=")</f>
        <v>#VALUE!</v>
      </c>
      <c r="GH9" t="e">
        <f>AND(Plan1!D321,"AAAAAH2fOb0=")</f>
        <v>#VALUE!</v>
      </c>
      <c r="GI9" t="e">
        <f>AND(Plan1!E321,"AAAAAH2fOb4=")</f>
        <v>#VALUE!</v>
      </c>
      <c r="GJ9" t="e">
        <f>AND(Plan1!F321,"AAAAAH2fOb8=")</f>
        <v>#VALUE!</v>
      </c>
      <c r="GK9">
        <f>IF(Plan1!322:322,"AAAAAH2fOcA=",0)</f>
        <v>0</v>
      </c>
      <c r="GL9" t="e">
        <f>AND(Plan1!A322,"AAAAAH2fOcE=")</f>
        <v>#VALUE!</v>
      </c>
      <c r="GM9" t="e">
        <f>AND(Plan1!B322,"AAAAAH2fOcI=")</f>
        <v>#VALUE!</v>
      </c>
      <c r="GN9" t="e">
        <f>AND(Plan1!C322,"AAAAAH2fOcM=")</f>
        <v>#VALUE!</v>
      </c>
      <c r="GO9" t="e">
        <f>AND(Plan1!D322,"AAAAAH2fOcQ=")</f>
        <v>#VALUE!</v>
      </c>
      <c r="GP9" t="e">
        <f>AND(Plan1!E322,"AAAAAH2fOcU=")</f>
        <v>#VALUE!</v>
      </c>
      <c r="GQ9" t="e">
        <f>AND(Plan1!F322,"AAAAAH2fOcY=")</f>
        <v>#VALUE!</v>
      </c>
      <c r="GR9">
        <f>IF(Plan1!323:323,"AAAAAH2fOcc=",0)</f>
        <v>0</v>
      </c>
      <c r="GS9" t="e">
        <f>AND(Plan1!A323,"AAAAAH2fOcg=")</f>
        <v>#VALUE!</v>
      </c>
      <c r="GT9" t="e">
        <f>AND(Plan1!B323,"AAAAAH2fOck=")</f>
        <v>#VALUE!</v>
      </c>
      <c r="GU9" t="e">
        <f>AND(Plan1!C323,"AAAAAH2fOco=")</f>
        <v>#VALUE!</v>
      </c>
      <c r="GV9" t="e">
        <f>AND(Plan1!D323,"AAAAAH2fOcs=")</f>
        <v>#VALUE!</v>
      </c>
      <c r="GW9" t="e">
        <f>AND(Plan1!E323,"AAAAAH2fOcw=")</f>
        <v>#VALUE!</v>
      </c>
      <c r="GX9" t="e">
        <f>AND(Plan1!F323,"AAAAAH2fOc0=")</f>
        <v>#VALUE!</v>
      </c>
      <c r="GY9">
        <f>IF(Plan1!324:324,"AAAAAH2fOc4=",0)</f>
        <v>0</v>
      </c>
      <c r="GZ9" t="e">
        <f>AND(Plan1!A324,"AAAAAH2fOc8=")</f>
        <v>#VALUE!</v>
      </c>
      <c r="HA9" t="e">
        <f>AND(Plan1!B324,"AAAAAH2fOdA=")</f>
        <v>#VALUE!</v>
      </c>
      <c r="HB9" t="e">
        <f>AND(Plan1!C324,"AAAAAH2fOdE=")</f>
        <v>#VALUE!</v>
      </c>
      <c r="HC9" t="e">
        <f>AND(Plan1!D324,"AAAAAH2fOdI=")</f>
        <v>#VALUE!</v>
      </c>
      <c r="HD9" t="e">
        <f>AND(Plan1!E324,"AAAAAH2fOdM=")</f>
        <v>#VALUE!</v>
      </c>
      <c r="HE9" t="e">
        <f>AND(Plan1!F324,"AAAAAH2fOdQ=")</f>
        <v>#VALUE!</v>
      </c>
      <c r="HF9">
        <f>IF(Plan1!325:325,"AAAAAH2fOdU=",0)</f>
        <v>0</v>
      </c>
      <c r="HG9" t="e">
        <f>AND(Plan1!A325,"AAAAAH2fOdY=")</f>
        <v>#VALUE!</v>
      </c>
      <c r="HH9" t="e">
        <f>AND(Plan1!B325,"AAAAAH2fOdc=")</f>
        <v>#VALUE!</v>
      </c>
      <c r="HI9" t="e">
        <f>AND(Plan1!C325,"AAAAAH2fOdg=")</f>
        <v>#VALUE!</v>
      </c>
      <c r="HJ9" t="e">
        <f>AND(Plan1!D325,"AAAAAH2fOdk=")</f>
        <v>#VALUE!</v>
      </c>
      <c r="HK9" t="e">
        <f>AND(Plan1!E325,"AAAAAH2fOdo=")</f>
        <v>#VALUE!</v>
      </c>
      <c r="HL9" t="e">
        <f>AND(Plan1!F325,"AAAAAH2fOds=")</f>
        <v>#VALUE!</v>
      </c>
      <c r="HM9">
        <f>IF(Plan1!326:326,"AAAAAH2fOdw=",0)</f>
        <v>0</v>
      </c>
      <c r="HN9" t="e">
        <f>AND(Plan1!A326,"AAAAAH2fOd0=")</f>
        <v>#VALUE!</v>
      </c>
      <c r="HO9" t="e">
        <f>AND(Plan1!B326,"AAAAAH2fOd4=")</f>
        <v>#VALUE!</v>
      </c>
      <c r="HP9" t="e">
        <f>AND(Plan1!C326,"AAAAAH2fOd8=")</f>
        <v>#VALUE!</v>
      </c>
      <c r="HQ9" t="e">
        <f>AND(Plan1!D326,"AAAAAH2fOeA=")</f>
        <v>#VALUE!</v>
      </c>
      <c r="HR9" t="e">
        <f>AND(Plan1!E326,"AAAAAH2fOeE=")</f>
        <v>#VALUE!</v>
      </c>
      <c r="HS9" t="e">
        <f>AND(Plan1!F326,"AAAAAH2fOeI=")</f>
        <v>#VALUE!</v>
      </c>
      <c r="HT9">
        <f>IF(Plan1!327:327,"AAAAAH2fOeM=",0)</f>
        <v>0</v>
      </c>
      <c r="HU9" t="e">
        <f>AND(Plan1!A327,"AAAAAH2fOeQ=")</f>
        <v>#VALUE!</v>
      </c>
      <c r="HV9" t="e">
        <f>AND(Plan1!B327,"AAAAAH2fOeU=")</f>
        <v>#VALUE!</v>
      </c>
      <c r="HW9" t="e">
        <f>AND(Plan1!C327,"AAAAAH2fOeY=")</f>
        <v>#VALUE!</v>
      </c>
      <c r="HX9" t="e">
        <f>AND(Plan1!D327,"AAAAAH2fOec=")</f>
        <v>#VALUE!</v>
      </c>
      <c r="HY9" t="e">
        <f>AND(Plan1!E327,"AAAAAH2fOeg=")</f>
        <v>#VALUE!</v>
      </c>
      <c r="HZ9" t="e">
        <f>AND(Plan1!F327,"AAAAAH2fOek=")</f>
        <v>#VALUE!</v>
      </c>
      <c r="IA9">
        <f>IF(Plan1!328:328,"AAAAAH2fOeo=",0)</f>
        <v>0</v>
      </c>
      <c r="IB9" t="e">
        <f>AND(Plan1!A328,"AAAAAH2fOes=")</f>
        <v>#VALUE!</v>
      </c>
      <c r="IC9" t="e">
        <f>AND(Plan1!B328,"AAAAAH2fOew=")</f>
        <v>#VALUE!</v>
      </c>
      <c r="ID9" t="e">
        <f>AND(Plan1!C328,"AAAAAH2fOe0=")</f>
        <v>#VALUE!</v>
      </c>
      <c r="IE9" t="e">
        <f>AND(Plan1!D328,"AAAAAH2fOe4=")</f>
        <v>#VALUE!</v>
      </c>
      <c r="IF9" t="e">
        <f>AND(Plan1!E328,"AAAAAH2fOe8=")</f>
        <v>#VALUE!</v>
      </c>
      <c r="IG9" t="e">
        <f>AND(Plan1!F328,"AAAAAH2fOfA=")</f>
        <v>#VALUE!</v>
      </c>
      <c r="IH9">
        <f>IF(Plan1!329:329,"AAAAAH2fOfE=",0)</f>
        <v>0</v>
      </c>
      <c r="II9" t="e">
        <f>AND(Plan1!A329,"AAAAAH2fOfI=")</f>
        <v>#VALUE!</v>
      </c>
      <c r="IJ9" t="e">
        <f>AND(Plan1!B329,"AAAAAH2fOfM=")</f>
        <v>#VALUE!</v>
      </c>
      <c r="IK9" t="e">
        <f>AND(Plan1!C329,"AAAAAH2fOfQ=")</f>
        <v>#VALUE!</v>
      </c>
      <c r="IL9" t="e">
        <f>AND(Plan1!D329,"AAAAAH2fOfU=")</f>
        <v>#VALUE!</v>
      </c>
      <c r="IM9" t="e">
        <f>AND(Plan1!E329,"AAAAAH2fOfY=")</f>
        <v>#VALUE!</v>
      </c>
      <c r="IN9" t="e">
        <f>AND(Plan1!F329,"AAAAAH2fOfc=")</f>
        <v>#VALUE!</v>
      </c>
      <c r="IO9">
        <f>IF(Plan1!330:330,"AAAAAH2fOfg=",0)</f>
        <v>0</v>
      </c>
      <c r="IP9" t="e">
        <f>AND(Plan1!A330,"AAAAAH2fOfk=")</f>
        <v>#VALUE!</v>
      </c>
      <c r="IQ9" t="e">
        <f>AND(Plan1!B330,"AAAAAH2fOfo=")</f>
        <v>#VALUE!</v>
      </c>
      <c r="IR9" t="e">
        <f>AND(Plan1!C330,"AAAAAH2fOfs=")</f>
        <v>#VALUE!</v>
      </c>
      <c r="IS9" t="e">
        <f>AND(Plan1!D330,"AAAAAH2fOfw=")</f>
        <v>#VALUE!</v>
      </c>
      <c r="IT9" t="e">
        <f>AND(Plan1!E330,"AAAAAH2fOf0=")</f>
        <v>#VALUE!</v>
      </c>
      <c r="IU9" t="e">
        <f>AND(Plan1!F330,"AAAAAH2fOf4=")</f>
        <v>#VALUE!</v>
      </c>
      <c r="IV9">
        <f>IF(Plan1!331:331,"AAAAAH2fOf8=",0)</f>
        <v>0</v>
      </c>
    </row>
    <row r="10" spans="1:256">
      <c r="A10" t="e">
        <f>AND(Plan1!A331,"AAAAAHe73wA=")</f>
        <v>#VALUE!</v>
      </c>
      <c r="B10" t="e">
        <f>AND(Plan1!B331,"AAAAAHe73wE=")</f>
        <v>#VALUE!</v>
      </c>
      <c r="C10" t="e">
        <f>AND(Plan1!C331,"AAAAAHe73wI=")</f>
        <v>#VALUE!</v>
      </c>
      <c r="D10" t="e">
        <f>AND(Plan1!D331,"AAAAAHe73wM=")</f>
        <v>#VALUE!</v>
      </c>
      <c r="E10" t="e">
        <f>AND(Plan1!E331,"AAAAAHe73wQ=")</f>
        <v>#VALUE!</v>
      </c>
      <c r="F10" t="e">
        <f>AND(Plan1!F331,"AAAAAHe73wU=")</f>
        <v>#VALUE!</v>
      </c>
      <c r="G10">
        <f>IF(Plan1!332:332,"AAAAAHe73wY=",0)</f>
        <v>0</v>
      </c>
      <c r="H10" t="e">
        <f>AND(Plan1!A332,"AAAAAHe73wc=")</f>
        <v>#VALUE!</v>
      </c>
      <c r="I10" t="e">
        <f>AND(Plan1!B332,"AAAAAHe73wg=")</f>
        <v>#VALUE!</v>
      </c>
      <c r="J10" t="e">
        <f>AND(Plan1!C332,"AAAAAHe73wk=")</f>
        <v>#VALUE!</v>
      </c>
      <c r="K10" t="e">
        <f>AND(Plan1!D332,"AAAAAHe73wo=")</f>
        <v>#VALUE!</v>
      </c>
      <c r="L10" t="e">
        <f>AND(Plan1!E332,"AAAAAHe73ws=")</f>
        <v>#VALUE!</v>
      </c>
      <c r="M10" t="e">
        <f>AND(Plan1!F332,"AAAAAHe73ww=")</f>
        <v>#VALUE!</v>
      </c>
      <c r="N10">
        <f>IF(Plan1!333:333,"AAAAAHe73w0=",0)</f>
        <v>0</v>
      </c>
      <c r="O10" t="e">
        <f>AND(Plan1!A333,"AAAAAHe73w4=")</f>
        <v>#VALUE!</v>
      </c>
      <c r="P10" t="e">
        <f>AND(Plan1!B333,"AAAAAHe73w8=")</f>
        <v>#VALUE!</v>
      </c>
      <c r="Q10" t="e">
        <f>AND(Plan1!C333,"AAAAAHe73xA=")</f>
        <v>#VALUE!</v>
      </c>
      <c r="R10" t="e">
        <f>AND(Plan1!D333,"AAAAAHe73xE=")</f>
        <v>#VALUE!</v>
      </c>
      <c r="S10" t="e">
        <f>AND(Plan1!E333,"AAAAAHe73xI=")</f>
        <v>#VALUE!</v>
      </c>
      <c r="T10" t="e">
        <f>AND(Plan1!F333,"AAAAAHe73xM=")</f>
        <v>#VALUE!</v>
      </c>
      <c r="U10">
        <f>IF(Plan1!334:334,"AAAAAHe73xQ=",0)</f>
        <v>0</v>
      </c>
      <c r="V10" t="e">
        <f>AND(Plan1!A334,"AAAAAHe73xU=")</f>
        <v>#VALUE!</v>
      </c>
      <c r="W10" t="e">
        <f>AND(Plan1!B334,"AAAAAHe73xY=")</f>
        <v>#VALUE!</v>
      </c>
      <c r="X10" t="e">
        <f>AND(Plan1!C334,"AAAAAHe73xc=")</f>
        <v>#VALUE!</v>
      </c>
      <c r="Y10" t="e">
        <f>AND(Plan1!D334,"AAAAAHe73xg=")</f>
        <v>#VALUE!</v>
      </c>
      <c r="Z10" t="e">
        <f>AND(Plan1!E334,"AAAAAHe73xk=")</f>
        <v>#VALUE!</v>
      </c>
      <c r="AA10" t="e">
        <f>AND(Plan1!F334,"AAAAAHe73xo=")</f>
        <v>#VALUE!</v>
      </c>
      <c r="AB10">
        <f>IF(Plan1!335:335,"AAAAAHe73xs=",0)</f>
        <v>0</v>
      </c>
      <c r="AC10" t="e">
        <f>AND(Plan1!A335,"AAAAAHe73xw=")</f>
        <v>#VALUE!</v>
      </c>
      <c r="AD10" t="e">
        <f>AND(Plan1!B335,"AAAAAHe73x0=")</f>
        <v>#VALUE!</v>
      </c>
      <c r="AE10" t="e">
        <f>AND(Plan1!C335,"AAAAAHe73x4=")</f>
        <v>#VALUE!</v>
      </c>
      <c r="AF10" t="e">
        <f>AND(Plan1!D335,"AAAAAHe73x8=")</f>
        <v>#VALUE!</v>
      </c>
      <c r="AG10" t="e">
        <f>AND(Plan1!E335,"AAAAAHe73yA=")</f>
        <v>#VALUE!</v>
      </c>
      <c r="AH10" t="e">
        <f>AND(Plan1!F335,"AAAAAHe73yE=")</f>
        <v>#VALUE!</v>
      </c>
      <c r="AI10">
        <f>IF(Plan1!336:336,"AAAAAHe73yI=",0)</f>
        <v>0</v>
      </c>
      <c r="AJ10" t="e">
        <f>AND(Plan1!A336,"AAAAAHe73yM=")</f>
        <v>#VALUE!</v>
      </c>
      <c r="AK10" t="e">
        <f>AND(Plan1!B336,"AAAAAHe73yQ=")</f>
        <v>#VALUE!</v>
      </c>
      <c r="AL10" t="e">
        <f>AND(Plan1!C336,"AAAAAHe73yU=")</f>
        <v>#VALUE!</v>
      </c>
      <c r="AM10" t="e">
        <f>AND(Plan1!D336,"AAAAAHe73yY=")</f>
        <v>#VALUE!</v>
      </c>
      <c r="AN10" t="e">
        <f>AND(Plan1!E336,"AAAAAHe73yc=")</f>
        <v>#VALUE!</v>
      </c>
      <c r="AO10" t="e">
        <f>AND(Plan1!F336,"AAAAAHe73yg=")</f>
        <v>#VALUE!</v>
      </c>
      <c r="AP10">
        <f>IF(Plan1!337:337,"AAAAAHe73yk=",0)</f>
        <v>0</v>
      </c>
      <c r="AQ10" t="e">
        <f>AND(Plan1!A337,"AAAAAHe73yo=")</f>
        <v>#VALUE!</v>
      </c>
      <c r="AR10" t="e">
        <f>AND(Plan1!B337,"AAAAAHe73ys=")</f>
        <v>#VALUE!</v>
      </c>
      <c r="AS10" t="e">
        <f>AND(Plan1!C337,"AAAAAHe73yw=")</f>
        <v>#VALUE!</v>
      </c>
      <c r="AT10" t="e">
        <f>AND(Plan1!D337,"AAAAAHe73y0=")</f>
        <v>#VALUE!</v>
      </c>
      <c r="AU10" t="e">
        <f>AND(Plan1!E337,"AAAAAHe73y4=")</f>
        <v>#VALUE!</v>
      </c>
      <c r="AV10" t="e">
        <f>AND(Plan1!F337,"AAAAAHe73y8=")</f>
        <v>#VALUE!</v>
      </c>
      <c r="AW10">
        <f>IF(Plan1!338:338,"AAAAAHe73zA=",0)</f>
        <v>0</v>
      </c>
      <c r="AX10" t="e">
        <f>AND(Plan1!A338,"AAAAAHe73zE=")</f>
        <v>#VALUE!</v>
      </c>
      <c r="AY10" t="e">
        <f>AND(Plan1!B338,"AAAAAHe73zI=")</f>
        <v>#VALUE!</v>
      </c>
      <c r="AZ10" t="e">
        <f>AND(Plan1!C338,"AAAAAHe73zM=")</f>
        <v>#VALUE!</v>
      </c>
      <c r="BA10" t="e">
        <f>AND(Plan1!D338,"AAAAAHe73zQ=")</f>
        <v>#VALUE!</v>
      </c>
      <c r="BB10" t="e">
        <f>AND(Plan1!E338,"AAAAAHe73zU=")</f>
        <v>#VALUE!</v>
      </c>
      <c r="BC10" t="e">
        <f>AND(Plan1!F338,"AAAAAHe73zY=")</f>
        <v>#VALUE!</v>
      </c>
      <c r="BD10">
        <f>IF(Plan1!339:339,"AAAAAHe73zc=",0)</f>
        <v>0</v>
      </c>
      <c r="BE10" t="e">
        <f>AND(Plan1!A339,"AAAAAHe73zg=")</f>
        <v>#VALUE!</v>
      </c>
      <c r="BF10" t="e">
        <f>AND(Plan1!B339,"AAAAAHe73zk=")</f>
        <v>#VALUE!</v>
      </c>
      <c r="BG10" t="e">
        <f>AND(Plan1!C339,"AAAAAHe73zo=")</f>
        <v>#VALUE!</v>
      </c>
      <c r="BH10" t="e">
        <f>AND(Plan1!D339,"AAAAAHe73zs=")</f>
        <v>#VALUE!</v>
      </c>
      <c r="BI10" t="e">
        <f>AND(Plan1!E339,"AAAAAHe73zw=")</f>
        <v>#VALUE!</v>
      </c>
      <c r="BJ10" t="e">
        <f>AND(Plan1!F339,"AAAAAHe73z0=")</f>
        <v>#VALUE!</v>
      </c>
      <c r="BK10">
        <f>IF(Plan1!340:340,"AAAAAHe73z4=",0)</f>
        <v>0</v>
      </c>
      <c r="BL10" t="e">
        <f>AND(Plan1!A340,"AAAAAHe73z8=")</f>
        <v>#VALUE!</v>
      </c>
      <c r="BM10" t="e">
        <f>AND(Plan1!B340,"AAAAAHe730A=")</f>
        <v>#VALUE!</v>
      </c>
      <c r="BN10" t="e">
        <f>AND(Plan1!C340,"AAAAAHe730E=")</f>
        <v>#VALUE!</v>
      </c>
      <c r="BO10" t="e">
        <f>AND(Plan1!D340,"AAAAAHe730I=")</f>
        <v>#VALUE!</v>
      </c>
      <c r="BP10" t="e">
        <f>AND(Plan1!E340,"AAAAAHe730M=")</f>
        <v>#VALUE!</v>
      </c>
      <c r="BQ10" t="e">
        <f>AND(Plan1!F340,"AAAAAHe730Q=")</f>
        <v>#VALUE!</v>
      </c>
      <c r="BR10">
        <f>IF(Plan1!341:341,"AAAAAHe730U=",0)</f>
        <v>0</v>
      </c>
      <c r="BS10" t="e">
        <f>AND(Plan1!A341,"AAAAAHe730Y=")</f>
        <v>#VALUE!</v>
      </c>
      <c r="BT10" t="e">
        <f>AND(Plan1!B341,"AAAAAHe730c=")</f>
        <v>#VALUE!</v>
      </c>
      <c r="BU10" t="e">
        <f>AND(Plan1!C341,"AAAAAHe730g=")</f>
        <v>#VALUE!</v>
      </c>
      <c r="BV10" t="e">
        <f>AND(Plan1!D341,"AAAAAHe730k=")</f>
        <v>#VALUE!</v>
      </c>
      <c r="BW10" t="e">
        <f>AND(Plan1!E341,"AAAAAHe730o=")</f>
        <v>#VALUE!</v>
      </c>
      <c r="BX10" t="e">
        <f>AND(Plan1!F341,"AAAAAHe730s=")</f>
        <v>#VALUE!</v>
      </c>
      <c r="BY10">
        <f>IF(Plan1!342:342,"AAAAAHe730w=",0)</f>
        <v>0</v>
      </c>
      <c r="BZ10" t="e">
        <f>AND(Plan1!A342,"AAAAAHe7300=")</f>
        <v>#VALUE!</v>
      </c>
      <c r="CA10" t="e">
        <f>AND(Plan1!B342,"AAAAAHe7304=")</f>
        <v>#VALUE!</v>
      </c>
      <c r="CB10" t="e">
        <f>AND(Plan1!C342,"AAAAAHe7308=")</f>
        <v>#VALUE!</v>
      </c>
      <c r="CC10" t="e">
        <f>AND(Plan1!D342,"AAAAAHe731A=")</f>
        <v>#VALUE!</v>
      </c>
      <c r="CD10" t="e">
        <f>AND(Plan1!E342,"AAAAAHe731E=")</f>
        <v>#VALUE!</v>
      </c>
      <c r="CE10" t="e">
        <f>AND(Plan1!F342,"AAAAAHe731I=")</f>
        <v>#VALUE!</v>
      </c>
      <c r="CF10">
        <f>IF(Plan1!343:343,"AAAAAHe731M=",0)</f>
        <v>0</v>
      </c>
      <c r="CG10" t="e">
        <f>AND(Plan1!A343,"AAAAAHe731Q=")</f>
        <v>#VALUE!</v>
      </c>
      <c r="CH10" t="e">
        <f>AND(Plan1!B343,"AAAAAHe731U=")</f>
        <v>#VALUE!</v>
      </c>
      <c r="CI10" t="e">
        <f>AND(Plan1!C343,"AAAAAHe731Y=")</f>
        <v>#VALUE!</v>
      </c>
      <c r="CJ10" t="e">
        <f>AND(Plan1!D343,"AAAAAHe731c=")</f>
        <v>#VALUE!</v>
      </c>
      <c r="CK10" t="e">
        <f>AND(Plan1!E343,"AAAAAHe731g=")</f>
        <v>#VALUE!</v>
      </c>
      <c r="CL10" t="e">
        <f>AND(Plan1!F343,"AAAAAHe731k=")</f>
        <v>#VALUE!</v>
      </c>
      <c r="CM10">
        <f>IF(Plan1!344:344,"AAAAAHe731o=",0)</f>
        <v>0</v>
      </c>
      <c r="CN10" t="e">
        <f>AND(Plan1!A344,"AAAAAHe731s=")</f>
        <v>#VALUE!</v>
      </c>
      <c r="CO10" t="e">
        <f>AND(Plan1!B344,"AAAAAHe731w=")</f>
        <v>#VALUE!</v>
      </c>
      <c r="CP10" t="e">
        <f>AND(Plan1!C344,"AAAAAHe7310=")</f>
        <v>#VALUE!</v>
      </c>
      <c r="CQ10" t="e">
        <f>AND(Plan1!D344,"AAAAAHe7314=")</f>
        <v>#VALUE!</v>
      </c>
      <c r="CR10" t="e">
        <f>AND(Plan1!E344,"AAAAAHe7318=")</f>
        <v>#VALUE!</v>
      </c>
      <c r="CS10" t="e">
        <f>AND(Plan1!F344,"AAAAAHe732A=")</f>
        <v>#VALUE!</v>
      </c>
      <c r="CT10">
        <f>IF(Plan1!345:345,"AAAAAHe732E=",0)</f>
        <v>0</v>
      </c>
      <c r="CU10" t="e">
        <f>AND(Plan1!A345,"AAAAAHe732I=")</f>
        <v>#VALUE!</v>
      </c>
      <c r="CV10" t="e">
        <f>AND(Plan1!B345,"AAAAAHe732M=")</f>
        <v>#VALUE!</v>
      </c>
      <c r="CW10" t="e">
        <f>AND(Plan1!C345,"AAAAAHe732Q=")</f>
        <v>#VALUE!</v>
      </c>
      <c r="CX10" t="e">
        <f>AND(Plan1!D345,"AAAAAHe732U=")</f>
        <v>#VALUE!</v>
      </c>
      <c r="CY10" t="e">
        <f>AND(Plan1!E345,"AAAAAHe732Y=")</f>
        <v>#VALUE!</v>
      </c>
      <c r="CZ10" t="e">
        <f>AND(Plan1!F345,"AAAAAHe732c=")</f>
        <v>#VALUE!</v>
      </c>
      <c r="DA10">
        <f>IF(Plan1!346:346,"AAAAAHe732g=",0)</f>
        <v>0</v>
      </c>
      <c r="DB10" t="e">
        <f>AND(Plan1!A346,"AAAAAHe732k=")</f>
        <v>#VALUE!</v>
      </c>
      <c r="DC10" t="e">
        <f>AND(Plan1!B346,"AAAAAHe732o=")</f>
        <v>#VALUE!</v>
      </c>
      <c r="DD10" t="e">
        <f>AND(Plan1!C346,"AAAAAHe732s=")</f>
        <v>#VALUE!</v>
      </c>
      <c r="DE10" t="e">
        <f>AND(Plan1!D346,"AAAAAHe732w=")</f>
        <v>#VALUE!</v>
      </c>
      <c r="DF10" t="e">
        <f>AND(Plan1!E346,"AAAAAHe7320=")</f>
        <v>#VALUE!</v>
      </c>
      <c r="DG10" t="e">
        <f>AND(Plan1!F346,"AAAAAHe7324=")</f>
        <v>#VALUE!</v>
      </c>
      <c r="DH10">
        <f>IF(Plan1!347:347,"AAAAAHe7328=",0)</f>
        <v>0</v>
      </c>
      <c r="DI10" t="e">
        <f>AND(Plan1!A347,"AAAAAHe733A=")</f>
        <v>#VALUE!</v>
      </c>
      <c r="DJ10" t="e">
        <f>AND(Plan1!B347,"AAAAAHe733E=")</f>
        <v>#VALUE!</v>
      </c>
      <c r="DK10" t="e">
        <f>AND(Plan1!C347,"AAAAAHe733I=")</f>
        <v>#VALUE!</v>
      </c>
      <c r="DL10" t="e">
        <f>AND(Plan1!D347,"AAAAAHe733M=")</f>
        <v>#VALUE!</v>
      </c>
      <c r="DM10" t="e">
        <f>AND(Plan1!E347,"AAAAAHe733Q=")</f>
        <v>#VALUE!</v>
      </c>
      <c r="DN10" t="e">
        <f>AND(Plan1!F347,"AAAAAHe733U=")</f>
        <v>#VALUE!</v>
      </c>
      <c r="DO10">
        <f>IF(Plan1!348:348,"AAAAAHe733Y=",0)</f>
        <v>0</v>
      </c>
      <c r="DP10" t="e">
        <f>AND(Plan1!A348,"AAAAAHe733c=")</f>
        <v>#VALUE!</v>
      </c>
      <c r="DQ10" t="e">
        <f>AND(Plan1!B348,"AAAAAHe733g=")</f>
        <v>#VALUE!</v>
      </c>
      <c r="DR10" t="e">
        <f>AND(Plan1!C348,"AAAAAHe733k=")</f>
        <v>#VALUE!</v>
      </c>
      <c r="DS10" t="e">
        <f>AND(Plan1!D348,"AAAAAHe733o=")</f>
        <v>#VALUE!</v>
      </c>
      <c r="DT10" t="e">
        <f>AND(Plan1!E348,"AAAAAHe733s=")</f>
        <v>#VALUE!</v>
      </c>
      <c r="DU10" t="e">
        <f>AND(Plan1!F348,"AAAAAHe733w=")</f>
        <v>#VALUE!</v>
      </c>
      <c r="DV10">
        <f>IF(Plan1!349:349,"AAAAAHe7330=",0)</f>
        <v>0</v>
      </c>
      <c r="DW10" t="e">
        <f>AND(Plan1!A349,"AAAAAHe7334=")</f>
        <v>#VALUE!</v>
      </c>
      <c r="DX10" t="e">
        <f>AND(Plan1!B349,"AAAAAHe7338=")</f>
        <v>#VALUE!</v>
      </c>
      <c r="DY10" t="e">
        <f>AND(Plan1!C349,"AAAAAHe734A=")</f>
        <v>#VALUE!</v>
      </c>
      <c r="DZ10" t="e">
        <f>AND(Plan1!D349,"AAAAAHe734E=")</f>
        <v>#VALUE!</v>
      </c>
      <c r="EA10" t="e">
        <f>AND(Plan1!E349,"AAAAAHe734I=")</f>
        <v>#VALUE!</v>
      </c>
      <c r="EB10" t="e">
        <f>AND(Plan1!F349,"AAAAAHe734M=")</f>
        <v>#VALUE!</v>
      </c>
      <c r="EC10">
        <f>IF(Plan1!350:350,"AAAAAHe734Q=",0)</f>
        <v>0</v>
      </c>
      <c r="ED10" t="e">
        <f>AND(Plan1!A350,"AAAAAHe734U=")</f>
        <v>#VALUE!</v>
      </c>
      <c r="EE10" t="e">
        <f>AND(Plan1!B350,"AAAAAHe734Y=")</f>
        <v>#VALUE!</v>
      </c>
      <c r="EF10" t="e">
        <f>AND(Plan1!C350,"AAAAAHe734c=")</f>
        <v>#VALUE!</v>
      </c>
      <c r="EG10" t="e">
        <f>AND(Plan1!D350,"AAAAAHe734g=")</f>
        <v>#VALUE!</v>
      </c>
      <c r="EH10" t="e">
        <f>AND(Plan1!E350,"AAAAAHe734k=")</f>
        <v>#VALUE!</v>
      </c>
      <c r="EI10" t="e">
        <f>AND(Plan1!F350,"AAAAAHe734o=")</f>
        <v>#VALUE!</v>
      </c>
      <c r="EJ10">
        <f>IF(Plan1!351:351,"AAAAAHe734s=",0)</f>
        <v>0</v>
      </c>
      <c r="EK10" t="e">
        <f>AND(Plan1!A351,"AAAAAHe734w=")</f>
        <v>#VALUE!</v>
      </c>
      <c r="EL10" t="e">
        <f>AND(Plan1!B351,"AAAAAHe7340=")</f>
        <v>#VALUE!</v>
      </c>
      <c r="EM10" t="e">
        <f>AND(Plan1!C351,"AAAAAHe7344=")</f>
        <v>#VALUE!</v>
      </c>
      <c r="EN10" t="e">
        <f>AND(Plan1!D351,"AAAAAHe7348=")</f>
        <v>#VALUE!</v>
      </c>
      <c r="EO10" t="e">
        <f>AND(Plan1!E351,"AAAAAHe735A=")</f>
        <v>#VALUE!</v>
      </c>
      <c r="EP10" t="e">
        <f>AND(Plan1!F351,"AAAAAHe735E=")</f>
        <v>#VALUE!</v>
      </c>
      <c r="EQ10">
        <f>IF(Plan1!352:352,"AAAAAHe735I=",0)</f>
        <v>0</v>
      </c>
      <c r="ER10" t="e">
        <f>AND(Plan1!A352,"AAAAAHe735M=")</f>
        <v>#VALUE!</v>
      </c>
      <c r="ES10" t="e">
        <f>AND(Plan1!B352,"AAAAAHe735Q=")</f>
        <v>#VALUE!</v>
      </c>
      <c r="ET10" t="e">
        <f>AND(Plan1!C352,"AAAAAHe735U=")</f>
        <v>#VALUE!</v>
      </c>
      <c r="EU10" t="e">
        <f>AND(Plan1!D352,"AAAAAHe735Y=")</f>
        <v>#VALUE!</v>
      </c>
      <c r="EV10" t="e">
        <f>AND(Plan1!E352,"AAAAAHe735c=")</f>
        <v>#VALUE!</v>
      </c>
      <c r="EW10" t="e">
        <f>AND(Plan1!F352,"AAAAAHe735g=")</f>
        <v>#VALUE!</v>
      </c>
      <c r="EX10">
        <f>IF(Plan1!353:353,"AAAAAHe735k=",0)</f>
        <v>0</v>
      </c>
      <c r="EY10" t="e">
        <f>AND(Plan1!A353,"AAAAAHe735o=")</f>
        <v>#VALUE!</v>
      </c>
      <c r="EZ10" t="e">
        <f>AND(Plan1!B353,"AAAAAHe735s=")</f>
        <v>#VALUE!</v>
      </c>
      <c r="FA10" t="e">
        <f>AND(Plan1!C353,"AAAAAHe735w=")</f>
        <v>#VALUE!</v>
      </c>
      <c r="FB10" t="e">
        <f>AND(Plan1!D353,"AAAAAHe7350=")</f>
        <v>#VALUE!</v>
      </c>
      <c r="FC10" t="e">
        <f>AND(Plan1!E353,"AAAAAHe7354=")</f>
        <v>#VALUE!</v>
      </c>
      <c r="FD10" t="e">
        <f>AND(Plan1!F353,"AAAAAHe7358=")</f>
        <v>#VALUE!</v>
      </c>
      <c r="FE10">
        <f>IF(Plan1!354:354,"AAAAAHe736A=",0)</f>
        <v>0</v>
      </c>
      <c r="FF10" t="e">
        <f>AND(Plan1!A354,"AAAAAHe736E=")</f>
        <v>#VALUE!</v>
      </c>
      <c r="FG10" t="e">
        <f>AND(Plan1!B354,"AAAAAHe736I=")</f>
        <v>#VALUE!</v>
      </c>
      <c r="FH10" t="e">
        <f>AND(Plan1!C354,"AAAAAHe736M=")</f>
        <v>#VALUE!</v>
      </c>
      <c r="FI10" t="e">
        <f>AND(Plan1!D354,"AAAAAHe736Q=")</f>
        <v>#VALUE!</v>
      </c>
      <c r="FJ10" t="e">
        <f>AND(Plan1!E354,"AAAAAHe736U=")</f>
        <v>#VALUE!</v>
      </c>
      <c r="FK10" t="e">
        <f>AND(Plan1!F354,"AAAAAHe736Y=")</f>
        <v>#VALUE!</v>
      </c>
      <c r="FL10">
        <f>IF(Plan1!355:355,"AAAAAHe736c=",0)</f>
        <v>0</v>
      </c>
      <c r="FM10" t="e">
        <f>AND(Plan1!A355,"AAAAAHe736g=")</f>
        <v>#VALUE!</v>
      </c>
      <c r="FN10" t="e">
        <f>AND(Plan1!B355,"AAAAAHe736k=")</f>
        <v>#VALUE!</v>
      </c>
      <c r="FO10" t="e">
        <f>AND(Plan1!C355,"AAAAAHe736o=")</f>
        <v>#VALUE!</v>
      </c>
      <c r="FP10" t="e">
        <f>AND(Plan1!D355,"AAAAAHe736s=")</f>
        <v>#VALUE!</v>
      </c>
      <c r="FQ10" t="e">
        <f>AND(Plan1!E355,"AAAAAHe736w=")</f>
        <v>#VALUE!</v>
      </c>
      <c r="FR10" t="e">
        <f>AND(Plan1!F355,"AAAAAHe7360=")</f>
        <v>#VALUE!</v>
      </c>
      <c r="FS10">
        <f>IF(Plan1!356:356,"AAAAAHe7364=",0)</f>
        <v>0</v>
      </c>
      <c r="FT10" t="e">
        <f>AND(Plan1!A356,"AAAAAHe7368=")</f>
        <v>#VALUE!</v>
      </c>
      <c r="FU10" t="e">
        <f>AND(Plan1!B356,"AAAAAHe737A=")</f>
        <v>#VALUE!</v>
      </c>
      <c r="FV10" t="e">
        <f>AND(Plan1!C356,"AAAAAHe737E=")</f>
        <v>#VALUE!</v>
      </c>
      <c r="FW10" t="e">
        <f>AND(Plan1!D356,"AAAAAHe737I=")</f>
        <v>#VALUE!</v>
      </c>
      <c r="FX10" t="e">
        <f>AND(Plan1!E356,"AAAAAHe737M=")</f>
        <v>#VALUE!</v>
      </c>
      <c r="FY10" t="e">
        <f>AND(Plan1!F356,"AAAAAHe737Q=")</f>
        <v>#VALUE!</v>
      </c>
      <c r="FZ10">
        <f>IF(Plan1!357:357,"AAAAAHe737U=",0)</f>
        <v>0</v>
      </c>
      <c r="GA10" t="e">
        <f>AND(Plan1!A357,"AAAAAHe737Y=")</f>
        <v>#VALUE!</v>
      </c>
      <c r="GB10" t="e">
        <f>AND(Plan1!B357,"AAAAAHe737c=")</f>
        <v>#VALUE!</v>
      </c>
      <c r="GC10" t="e">
        <f>AND(Plan1!C357,"AAAAAHe737g=")</f>
        <v>#VALUE!</v>
      </c>
      <c r="GD10" t="e">
        <f>AND(Plan1!D357,"AAAAAHe737k=")</f>
        <v>#VALUE!</v>
      </c>
      <c r="GE10" t="e">
        <f>AND(Plan1!E357,"AAAAAHe737o=")</f>
        <v>#VALUE!</v>
      </c>
      <c r="GF10" t="e">
        <f>AND(Plan1!F357,"AAAAAHe737s=")</f>
        <v>#VALUE!</v>
      </c>
      <c r="GG10">
        <f>IF(Plan1!358:358,"AAAAAHe737w=",0)</f>
        <v>0</v>
      </c>
      <c r="GH10" t="e">
        <f>AND(Plan1!A358,"AAAAAHe7370=")</f>
        <v>#VALUE!</v>
      </c>
      <c r="GI10" t="e">
        <f>AND(Plan1!B358,"AAAAAHe7374=")</f>
        <v>#VALUE!</v>
      </c>
      <c r="GJ10" t="e">
        <f>AND(Plan1!C358,"AAAAAHe7378=")</f>
        <v>#VALUE!</v>
      </c>
      <c r="GK10" t="e">
        <f>AND(Plan1!D358,"AAAAAHe738A=")</f>
        <v>#VALUE!</v>
      </c>
      <c r="GL10" t="e">
        <f>AND(Plan1!E358,"AAAAAHe738E=")</f>
        <v>#VALUE!</v>
      </c>
      <c r="GM10" t="e">
        <f>AND(Plan1!F358,"AAAAAHe738I=")</f>
        <v>#VALUE!</v>
      </c>
      <c r="GN10">
        <f>IF(Plan1!359:359,"AAAAAHe738M=",0)</f>
        <v>0</v>
      </c>
      <c r="GO10" t="e">
        <f>AND(Plan1!A359,"AAAAAHe738Q=")</f>
        <v>#VALUE!</v>
      </c>
      <c r="GP10" t="e">
        <f>AND(Plan1!B359,"AAAAAHe738U=")</f>
        <v>#VALUE!</v>
      </c>
      <c r="GQ10" t="e">
        <f>AND(Plan1!C359,"AAAAAHe738Y=")</f>
        <v>#VALUE!</v>
      </c>
      <c r="GR10" t="e">
        <f>AND(Plan1!D359,"AAAAAHe738c=")</f>
        <v>#VALUE!</v>
      </c>
      <c r="GS10" t="e">
        <f>AND(Plan1!E359,"AAAAAHe738g=")</f>
        <v>#VALUE!</v>
      </c>
      <c r="GT10" t="e">
        <f>AND(Plan1!F359,"AAAAAHe738k=")</f>
        <v>#VALUE!</v>
      </c>
      <c r="GU10">
        <f>IF(Plan1!360:360,"AAAAAHe738o=",0)</f>
        <v>0</v>
      </c>
      <c r="GV10" t="e">
        <f>AND(Plan1!A360,"AAAAAHe738s=")</f>
        <v>#VALUE!</v>
      </c>
      <c r="GW10" t="e">
        <f>AND(Plan1!B360,"AAAAAHe738w=")</f>
        <v>#VALUE!</v>
      </c>
      <c r="GX10" t="e">
        <f>AND(Plan1!C360,"AAAAAHe7380=")</f>
        <v>#VALUE!</v>
      </c>
      <c r="GY10" t="e">
        <f>AND(Plan1!D360,"AAAAAHe7384=")</f>
        <v>#VALUE!</v>
      </c>
      <c r="GZ10" t="e">
        <f>AND(Plan1!E360,"AAAAAHe7388=")</f>
        <v>#VALUE!</v>
      </c>
      <c r="HA10" t="e">
        <f>AND(Plan1!F360,"AAAAAHe739A=")</f>
        <v>#VALUE!</v>
      </c>
      <c r="HB10">
        <f>IF(Plan1!361:361,"AAAAAHe739E=",0)</f>
        <v>0</v>
      </c>
      <c r="HC10" t="e">
        <f>AND(Plan1!A361,"AAAAAHe739I=")</f>
        <v>#VALUE!</v>
      </c>
      <c r="HD10" t="e">
        <f>AND(Plan1!B361,"AAAAAHe739M=")</f>
        <v>#VALUE!</v>
      </c>
      <c r="HE10" t="e">
        <f>AND(Plan1!C361,"AAAAAHe739Q=")</f>
        <v>#VALUE!</v>
      </c>
      <c r="HF10" t="e">
        <f>AND(Plan1!D361,"AAAAAHe739U=")</f>
        <v>#VALUE!</v>
      </c>
      <c r="HG10" t="e">
        <f>AND(Plan1!E361,"AAAAAHe739Y=")</f>
        <v>#VALUE!</v>
      </c>
      <c r="HH10" t="e">
        <f>AND(Plan1!F361,"AAAAAHe739c=")</f>
        <v>#VALUE!</v>
      </c>
      <c r="HI10">
        <f>IF(Plan1!362:362,"AAAAAHe739g=",0)</f>
        <v>0</v>
      </c>
      <c r="HJ10" t="e">
        <f>AND(Plan1!A362,"AAAAAHe739k=")</f>
        <v>#VALUE!</v>
      </c>
      <c r="HK10" t="e">
        <f>AND(Plan1!B362,"AAAAAHe739o=")</f>
        <v>#VALUE!</v>
      </c>
      <c r="HL10" t="e">
        <f>AND(Plan1!C362,"AAAAAHe739s=")</f>
        <v>#VALUE!</v>
      </c>
      <c r="HM10" t="e">
        <f>AND(Plan1!D362,"AAAAAHe739w=")</f>
        <v>#VALUE!</v>
      </c>
      <c r="HN10" t="e">
        <f>AND(Plan1!E362,"AAAAAHe7390=")</f>
        <v>#VALUE!</v>
      </c>
      <c r="HO10" t="e">
        <f>AND(Plan1!F362,"AAAAAHe7394=")</f>
        <v>#VALUE!</v>
      </c>
      <c r="HP10">
        <f>IF(Plan1!363:363,"AAAAAHe7398=",0)</f>
        <v>0</v>
      </c>
      <c r="HQ10" t="e">
        <f>AND(Plan1!A363,"AAAAAHe73+A=")</f>
        <v>#VALUE!</v>
      </c>
      <c r="HR10" t="e">
        <f>AND(Plan1!B363,"AAAAAHe73+E=")</f>
        <v>#VALUE!</v>
      </c>
      <c r="HS10" t="e">
        <f>AND(Plan1!C363,"AAAAAHe73+I=")</f>
        <v>#VALUE!</v>
      </c>
      <c r="HT10" t="e">
        <f>AND(Plan1!D363,"AAAAAHe73+M=")</f>
        <v>#VALUE!</v>
      </c>
      <c r="HU10" t="e">
        <f>AND(Plan1!E363,"AAAAAHe73+Q=")</f>
        <v>#VALUE!</v>
      </c>
      <c r="HV10" t="e">
        <f>AND(Plan1!F363,"AAAAAHe73+U=")</f>
        <v>#VALUE!</v>
      </c>
      <c r="HW10">
        <f>IF(Plan1!364:364,"AAAAAHe73+Y=",0)</f>
        <v>0</v>
      </c>
      <c r="HX10" t="e">
        <f>AND(Plan1!A364,"AAAAAHe73+c=")</f>
        <v>#VALUE!</v>
      </c>
      <c r="HY10" t="e">
        <f>AND(Plan1!B364,"AAAAAHe73+g=")</f>
        <v>#VALUE!</v>
      </c>
      <c r="HZ10" t="e">
        <f>AND(Plan1!C364,"AAAAAHe73+k=")</f>
        <v>#VALUE!</v>
      </c>
      <c r="IA10" t="e">
        <f>AND(Plan1!D364,"AAAAAHe73+o=")</f>
        <v>#VALUE!</v>
      </c>
      <c r="IB10" t="e">
        <f>AND(Plan1!E364,"AAAAAHe73+s=")</f>
        <v>#VALUE!</v>
      </c>
      <c r="IC10" t="e">
        <f>AND(Plan1!F364,"AAAAAHe73+w=")</f>
        <v>#VALUE!</v>
      </c>
      <c r="ID10">
        <f>IF(Plan1!365:365,"AAAAAHe73+0=",0)</f>
        <v>0</v>
      </c>
      <c r="IE10" t="e">
        <f>AND(Plan1!A365,"AAAAAHe73+4=")</f>
        <v>#VALUE!</v>
      </c>
      <c r="IF10" t="e">
        <f>AND(Plan1!B365,"AAAAAHe73+8=")</f>
        <v>#VALUE!</v>
      </c>
      <c r="IG10" t="e">
        <f>AND(Plan1!C365,"AAAAAHe73/A=")</f>
        <v>#VALUE!</v>
      </c>
      <c r="IH10" t="e">
        <f>AND(Plan1!D365,"AAAAAHe73/E=")</f>
        <v>#VALUE!</v>
      </c>
      <c r="II10" t="e">
        <f>AND(Plan1!E365,"AAAAAHe73/I=")</f>
        <v>#VALUE!</v>
      </c>
      <c r="IJ10" t="e">
        <f>AND(Plan1!F365,"AAAAAHe73/M=")</f>
        <v>#VALUE!</v>
      </c>
      <c r="IK10">
        <f>IF(Plan1!366:366,"AAAAAHe73/Q=",0)</f>
        <v>0</v>
      </c>
      <c r="IL10" t="e">
        <f>AND(Plan1!A366,"AAAAAHe73/U=")</f>
        <v>#VALUE!</v>
      </c>
      <c r="IM10" t="e">
        <f>AND(Plan1!B366,"AAAAAHe73/Y=")</f>
        <v>#VALUE!</v>
      </c>
      <c r="IN10" t="e">
        <f>AND(Plan1!C366,"AAAAAHe73/c=")</f>
        <v>#VALUE!</v>
      </c>
      <c r="IO10" t="e">
        <f>AND(Plan1!D366,"AAAAAHe73/g=")</f>
        <v>#VALUE!</v>
      </c>
      <c r="IP10" t="e">
        <f>AND(Plan1!E366,"AAAAAHe73/k=")</f>
        <v>#VALUE!</v>
      </c>
      <c r="IQ10" t="e">
        <f>AND(Plan1!F366,"AAAAAHe73/o=")</f>
        <v>#VALUE!</v>
      </c>
      <c r="IR10">
        <f>IF(Plan1!367:367,"AAAAAHe73/s=",0)</f>
        <v>0</v>
      </c>
      <c r="IS10" t="e">
        <f>AND(Plan1!A367,"AAAAAHe73/w=")</f>
        <v>#VALUE!</v>
      </c>
      <c r="IT10" t="e">
        <f>AND(Plan1!B367,"AAAAAHe73/0=")</f>
        <v>#VALUE!</v>
      </c>
      <c r="IU10" t="e">
        <f>AND(Plan1!C367,"AAAAAHe73/4=")</f>
        <v>#VALUE!</v>
      </c>
      <c r="IV10" t="e">
        <f>AND(Plan1!D367,"AAAAAHe73/8=")</f>
        <v>#VALUE!</v>
      </c>
    </row>
    <row r="11" spans="1:256">
      <c r="A11" t="e">
        <f>AND(Plan1!E367,"AAAAAH+88QA=")</f>
        <v>#VALUE!</v>
      </c>
      <c r="B11" t="e">
        <f>AND(Plan1!F367,"AAAAAH+88QE=")</f>
        <v>#VALUE!</v>
      </c>
      <c r="C11" t="e">
        <f>IF(Plan1!368:368,"AAAAAH+88QI=",0)</f>
        <v>#VALUE!</v>
      </c>
      <c r="D11" t="e">
        <f>AND(Plan1!A368,"AAAAAH+88QM=")</f>
        <v>#VALUE!</v>
      </c>
      <c r="E11" t="e">
        <f>AND(Plan1!B368,"AAAAAH+88QQ=")</f>
        <v>#VALUE!</v>
      </c>
      <c r="F11" t="e">
        <f>AND(Plan1!C368,"AAAAAH+88QU=")</f>
        <v>#VALUE!</v>
      </c>
      <c r="G11" t="e">
        <f>AND(Plan1!D368,"AAAAAH+88QY=")</f>
        <v>#VALUE!</v>
      </c>
      <c r="H11" t="e">
        <f>AND(Plan1!E368,"AAAAAH+88Qc=")</f>
        <v>#VALUE!</v>
      </c>
      <c r="I11" t="e">
        <f>AND(Plan1!F368,"AAAAAH+88Qg=")</f>
        <v>#VALUE!</v>
      </c>
      <c r="J11">
        <f>IF(Plan1!369:369,"AAAAAH+88Qk=",0)</f>
        <v>0</v>
      </c>
      <c r="K11" t="e">
        <f>AND(Plan1!A369,"AAAAAH+88Qo=")</f>
        <v>#VALUE!</v>
      </c>
      <c r="L11" t="e">
        <f>AND(Plan1!B369,"AAAAAH+88Qs=")</f>
        <v>#VALUE!</v>
      </c>
      <c r="M11" t="e">
        <f>AND(Plan1!C369,"AAAAAH+88Qw=")</f>
        <v>#VALUE!</v>
      </c>
      <c r="N11" t="e">
        <f>AND(Plan1!D369,"AAAAAH+88Q0=")</f>
        <v>#VALUE!</v>
      </c>
      <c r="O11" t="e">
        <f>AND(Plan1!E369,"AAAAAH+88Q4=")</f>
        <v>#VALUE!</v>
      </c>
      <c r="P11" t="e">
        <f>AND(Plan1!F369,"AAAAAH+88Q8=")</f>
        <v>#VALUE!</v>
      </c>
      <c r="Q11">
        <f>IF(Plan1!370:370,"AAAAAH+88RA=",0)</f>
        <v>0</v>
      </c>
      <c r="R11" t="e">
        <f>AND(Plan1!A370,"AAAAAH+88RE=")</f>
        <v>#VALUE!</v>
      </c>
      <c r="S11" t="e">
        <f>AND(Plan1!B370,"AAAAAH+88RI=")</f>
        <v>#VALUE!</v>
      </c>
      <c r="T11" t="e">
        <f>AND(Plan1!C370,"AAAAAH+88RM=")</f>
        <v>#VALUE!</v>
      </c>
      <c r="U11" t="e">
        <f>AND(Plan1!D370,"AAAAAH+88RQ=")</f>
        <v>#VALUE!</v>
      </c>
      <c r="V11" t="e">
        <f>AND(Plan1!E370,"AAAAAH+88RU=")</f>
        <v>#VALUE!</v>
      </c>
      <c r="W11" t="e">
        <f>AND(Plan1!F370,"AAAAAH+88RY=")</f>
        <v>#VALUE!</v>
      </c>
      <c r="X11">
        <f>IF(Plan1!371:371,"AAAAAH+88Rc=",0)</f>
        <v>0</v>
      </c>
      <c r="Y11" t="e">
        <f>AND(Plan1!A371,"AAAAAH+88Rg=")</f>
        <v>#VALUE!</v>
      </c>
      <c r="Z11" t="e">
        <f>AND(Plan1!B371,"AAAAAH+88Rk=")</f>
        <v>#VALUE!</v>
      </c>
      <c r="AA11" t="e">
        <f>AND(Plan1!C371,"AAAAAH+88Ro=")</f>
        <v>#VALUE!</v>
      </c>
      <c r="AB11" t="e">
        <f>AND(Plan1!D371,"AAAAAH+88Rs=")</f>
        <v>#VALUE!</v>
      </c>
      <c r="AC11" t="e">
        <f>AND(Plan1!E371,"AAAAAH+88Rw=")</f>
        <v>#VALUE!</v>
      </c>
      <c r="AD11" t="e">
        <f>AND(Plan1!F371,"AAAAAH+88R0=")</f>
        <v>#VALUE!</v>
      </c>
      <c r="AE11">
        <f>IF(Plan1!372:372,"AAAAAH+88R4=",0)</f>
        <v>0</v>
      </c>
      <c r="AF11" t="e">
        <f>AND(Plan1!A372,"AAAAAH+88R8=")</f>
        <v>#VALUE!</v>
      </c>
      <c r="AG11" t="e">
        <f>AND(Plan1!B372,"AAAAAH+88SA=")</f>
        <v>#VALUE!</v>
      </c>
      <c r="AH11" t="e">
        <f>AND(Plan1!C372,"AAAAAH+88SE=")</f>
        <v>#VALUE!</v>
      </c>
      <c r="AI11" t="e">
        <f>AND(Plan1!D372,"AAAAAH+88SI=")</f>
        <v>#VALUE!</v>
      </c>
      <c r="AJ11" t="e">
        <f>AND(Plan1!E372,"AAAAAH+88SM=")</f>
        <v>#VALUE!</v>
      </c>
      <c r="AK11" t="e">
        <f>AND(Plan1!F372,"AAAAAH+88SQ=")</f>
        <v>#VALUE!</v>
      </c>
      <c r="AL11">
        <f>IF(Plan1!373:373,"AAAAAH+88SU=",0)</f>
        <v>0</v>
      </c>
      <c r="AM11" t="e">
        <f>AND(Plan1!A373,"AAAAAH+88SY=")</f>
        <v>#VALUE!</v>
      </c>
      <c r="AN11" t="e">
        <f>AND(Plan1!B373,"AAAAAH+88Sc=")</f>
        <v>#VALUE!</v>
      </c>
      <c r="AO11" t="e">
        <f>AND(Plan1!C373,"AAAAAH+88Sg=")</f>
        <v>#VALUE!</v>
      </c>
      <c r="AP11" t="e">
        <f>AND(Plan1!D373,"AAAAAH+88Sk=")</f>
        <v>#VALUE!</v>
      </c>
      <c r="AQ11" t="e">
        <f>AND(Plan1!E373,"AAAAAH+88So=")</f>
        <v>#VALUE!</v>
      </c>
      <c r="AR11" t="e">
        <f>AND(Plan1!F373,"AAAAAH+88Ss=")</f>
        <v>#VALUE!</v>
      </c>
      <c r="AS11">
        <f>IF(Plan1!374:374,"AAAAAH+88Sw=",0)</f>
        <v>0</v>
      </c>
      <c r="AT11" t="e">
        <f>AND(Plan1!A374,"AAAAAH+88S0=")</f>
        <v>#VALUE!</v>
      </c>
      <c r="AU11" t="e">
        <f>AND(Plan1!B374,"AAAAAH+88S4=")</f>
        <v>#VALUE!</v>
      </c>
      <c r="AV11" t="e">
        <f>AND(Plan1!C374,"AAAAAH+88S8=")</f>
        <v>#VALUE!</v>
      </c>
      <c r="AW11" t="e">
        <f>AND(Plan1!D374,"AAAAAH+88TA=")</f>
        <v>#VALUE!</v>
      </c>
      <c r="AX11" t="e">
        <f>AND(Plan1!E374,"AAAAAH+88TE=")</f>
        <v>#VALUE!</v>
      </c>
      <c r="AY11" t="e">
        <f>AND(Plan1!F374,"AAAAAH+88TI=")</f>
        <v>#VALUE!</v>
      </c>
      <c r="AZ11">
        <f>IF(Plan1!375:375,"AAAAAH+88TM=",0)</f>
        <v>0</v>
      </c>
      <c r="BA11" t="e">
        <f>AND(Plan1!A375,"AAAAAH+88TQ=")</f>
        <v>#VALUE!</v>
      </c>
      <c r="BB11" t="e">
        <f>AND(Plan1!B375,"AAAAAH+88TU=")</f>
        <v>#VALUE!</v>
      </c>
      <c r="BC11" t="e">
        <f>AND(Plan1!C375,"AAAAAH+88TY=")</f>
        <v>#VALUE!</v>
      </c>
      <c r="BD11" t="e">
        <f>AND(Plan1!D375,"AAAAAH+88Tc=")</f>
        <v>#VALUE!</v>
      </c>
      <c r="BE11" t="e">
        <f>AND(Plan1!E375,"AAAAAH+88Tg=")</f>
        <v>#VALUE!</v>
      </c>
      <c r="BF11" t="e">
        <f>AND(Plan1!F375,"AAAAAH+88Tk=")</f>
        <v>#VALUE!</v>
      </c>
      <c r="BG11">
        <f>IF(Plan1!376:376,"AAAAAH+88To=",0)</f>
        <v>0</v>
      </c>
      <c r="BH11" t="e">
        <f>AND(Plan1!A376,"AAAAAH+88Ts=")</f>
        <v>#VALUE!</v>
      </c>
      <c r="BI11" t="e">
        <f>AND(Plan1!B376,"AAAAAH+88Tw=")</f>
        <v>#VALUE!</v>
      </c>
      <c r="BJ11" t="e">
        <f>AND(Plan1!C376,"AAAAAH+88T0=")</f>
        <v>#VALUE!</v>
      </c>
      <c r="BK11" t="e">
        <f>AND(Plan1!D376,"AAAAAH+88T4=")</f>
        <v>#VALUE!</v>
      </c>
      <c r="BL11" t="e">
        <f>AND(Plan1!E376,"AAAAAH+88T8=")</f>
        <v>#VALUE!</v>
      </c>
      <c r="BM11" t="e">
        <f>AND(Plan1!F376,"AAAAAH+88UA=")</f>
        <v>#VALUE!</v>
      </c>
      <c r="BN11">
        <f>IF(Plan1!377:377,"AAAAAH+88UE=",0)</f>
        <v>0</v>
      </c>
      <c r="BO11" t="e">
        <f>AND(Plan1!A377,"AAAAAH+88UI=")</f>
        <v>#VALUE!</v>
      </c>
      <c r="BP11" t="e">
        <f>AND(Plan1!B377,"AAAAAH+88UM=")</f>
        <v>#VALUE!</v>
      </c>
      <c r="BQ11" t="e">
        <f>AND(Plan1!C377,"AAAAAH+88UQ=")</f>
        <v>#VALUE!</v>
      </c>
      <c r="BR11" t="e">
        <f>AND(Plan1!D377,"AAAAAH+88UU=")</f>
        <v>#VALUE!</v>
      </c>
      <c r="BS11" t="e">
        <f>AND(Plan1!E377,"AAAAAH+88UY=")</f>
        <v>#VALUE!</v>
      </c>
      <c r="BT11" t="e">
        <f>AND(Plan1!F377,"AAAAAH+88Uc=")</f>
        <v>#VALUE!</v>
      </c>
      <c r="BU11">
        <f>IF(Plan1!378:378,"AAAAAH+88Ug=",0)</f>
        <v>0</v>
      </c>
      <c r="BV11" t="e">
        <f>AND(Plan1!A378,"AAAAAH+88Uk=")</f>
        <v>#VALUE!</v>
      </c>
      <c r="BW11" t="e">
        <f>AND(Plan1!B378,"AAAAAH+88Uo=")</f>
        <v>#VALUE!</v>
      </c>
      <c r="BX11" t="e">
        <f>AND(Plan1!C378,"AAAAAH+88Us=")</f>
        <v>#VALUE!</v>
      </c>
      <c r="BY11" t="e">
        <f>AND(Plan1!D378,"AAAAAH+88Uw=")</f>
        <v>#VALUE!</v>
      </c>
      <c r="BZ11" t="e">
        <f>AND(Plan1!E378,"AAAAAH+88U0=")</f>
        <v>#VALUE!</v>
      </c>
      <c r="CA11" t="e">
        <f>AND(Plan1!F378,"AAAAAH+88U4=")</f>
        <v>#VALUE!</v>
      </c>
      <c r="CB11">
        <f>IF(Plan1!379:379,"AAAAAH+88U8=",0)</f>
        <v>0</v>
      </c>
      <c r="CC11" t="e">
        <f>AND(Plan1!A379,"AAAAAH+88VA=")</f>
        <v>#VALUE!</v>
      </c>
      <c r="CD11" t="e">
        <f>AND(Plan1!B379,"AAAAAH+88VE=")</f>
        <v>#VALUE!</v>
      </c>
      <c r="CE11" t="e">
        <f>AND(Plan1!C379,"AAAAAH+88VI=")</f>
        <v>#VALUE!</v>
      </c>
      <c r="CF11" t="e">
        <f>AND(Plan1!D379,"AAAAAH+88VM=")</f>
        <v>#VALUE!</v>
      </c>
      <c r="CG11" t="e">
        <f>AND(Plan1!E379,"AAAAAH+88VQ=")</f>
        <v>#VALUE!</v>
      </c>
      <c r="CH11" t="e">
        <f>AND(Plan1!F379,"AAAAAH+88VU=")</f>
        <v>#VALUE!</v>
      </c>
      <c r="CI11">
        <f>IF(Plan1!380:380,"AAAAAH+88VY=",0)</f>
        <v>0</v>
      </c>
      <c r="CJ11" t="e">
        <f>AND(Plan1!A380,"AAAAAH+88Vc=")</f>
        <v>#VALUE!</v>
      </c>
      <c r="CK11" t="e">
        <f>AND(Plan1!B380,"AAAAAH+88Vg=")</f>
        <v>#VALUE!</v>
      </c>
      <c r="CL11" t="e">
        <f>AND(Plan1!C380,"AAAAAH+88Vk=")</f>
        <v>#VALUE!</v>
      </c>
      <c r="CM11" t="e">
        <f>AND(Plan1!D380,"AAAAAH+88Vo=")</f>
        <v>#VALUE!</v>
      </c>
      <c r="CN11" t="e">
        <f>AND(Plan1!E380,"AAAAAH+88Vs=")</f>
        <v>#VALUE!</v>
      </c>
      <c r="CO11" t="e">
        <f>AND(Plan1!F380,"AAAAAH+88Vw=")</f>
        <v>#VALUE!</v>
      </c>
      <c r="CP11">
        <f>IF(Plan1!381:381,"AAAAAH+88V0=",0)</f>
        <v>0</v>
      </c>
      <c r="CQ11" t="e">
        <f>AND(Plan1!A381,"AAAAAH+88V4=")</f>
        <v>#VALUE!</v>
      </c>
      <c r="CR11" t="e">
        <f>AND(Plan1!B381,"AAAAAH+88V8=")</f>
        <v>#VALUE!</v>
      </c>
      <c r="CS11" t="e">
        <f>AND(Plan1!C381,"AAAAAH+88WA=")</f>
        <v>#VALUE!</v>
      </c>
      <c r="CT11" t="e">
        <f>AND(Plan1!D381,"AAAAAH+88WE=")</f>
        <v>#VALUE!</v>
      </c>
      <c r="CU11" t="e">
        <f>AND(Plan1!E381,"AAAAAH+88WI=")</f>
        <v>#VALUE!</v>
      </c>
      <c r="CV11" t="e">
        <f>AND(Plan1!F381,"AAAAAH+88WM=")</f>
        <v>#VALUE!</v>
      </c>
      <c r="CW11">
        <f>IF(Plan1!382:382,"AAAAAH+88WQ=",0)</f>
        <v>0</v>
      </c>
      <c r="CX11" t="e">
        <f>AND(Plan1!A382,"AAAAAH+88WU=")</f>
        <v>#VALUE!</v>
      </c>
      <c r="CY11" t="e">
        <f>AND(Plan1!B382,"AAAAAH+88WY=")</f>
        <v>#VALUE!</v>
      </c>
      <c r="CZ11" t="e">
        <f>AND(Plan1!C382,"AAAAAH+88Wc=")</f>
        <v>#VALUE!</v>
      </c>
      <c r="DA11" t="e">
        <f>AND(Plan1!D382,"AAAAAH+88Wg=")</f>
        <v>#VALUE!</v>
      </c>
      <c r="DB11" t="e">
        <f>AND(Plan1!E382,"AAAAAH+88Wk=")</f>
        <v>#VALUE!</v>
      </c>
      <c r="DC11" t="e">
        <f>AND(Plan1!F382,"AAAAAH+88Wo=")</f>
        <v>#VALUE!</v>
      </c>
      <c r="DD11">
        <f>IF(Plan1!383:383,"AAAAAH+88Ws=",0)</f>
        <v>0</v>
      </c>
      <c r="DE11" t="e">
        <f>AND(Plan1!A383,"AAAAAH+88Ww=")</f>
        <v>#VALUE!</v>
      </c>
      <c r="DF11" t="e">
        <f>AND(Plan1!B383,"AAAAAH+88W0=")</f>
        <v>#VALUE!</v>
      </c>
      <c r="DG11" t="e">
        <f>AND(Plan1!C383,"AAAAAH+88W4=")</f>
        <v>#VALUE!</v>
      </c>
      <c r="DH11" t="e">
        <f>AND(Plan1!D383,"AAAAAH+88W8=")</f>
        <v>#VALUE!</v>
      </c>
      <c r="DI11" t="e">
        <f>AND(Plan1!E383,"AAAAAH+88XA=")</f>
        <v>#VALUE!</v>
      </c>
      <c r="DJ11" t="e">
        <f>AND(Plan1!F383,"AAAAAH+88XE=")</f>
        <v>#VALUE!</v>
      </c>
      <c r="DK11">
        <f>IF(Plan1!384:384,"AAAAAH+88XI=",0)</f>
        <v>0</v>
      </c>
      <c r="DL11" t="e">
        <f>AND(Plan1!A384,"AAAAAH+88XM=")</f>
        <v>#VALUE!</v>
      </c>
      <c r="DM11" t="e">
        <f>AND(Plan1!B384,"AAAAAH+88XQ=")</f>
        <v>#VALUE!</v>
      </c>
      <c r="DN11" t="e">
        <f>AND(Plan1!C384,"AAAAAH+88XU=")</f>
        <v>#VALUE!</v>
      </c>
      <c r="DO11" t="e">
        <f>AND(Plan1!D384,"AAAAAH+88XY=")</f>
        <v>#VALUE!</v>
      </c>
      <c r="DP11" t="e">
        <f>AND(Plan1!E384,"AAAAAH+88Xc=")</f>
        <v>#VALUE!</v>
      </c>
      <c r="DQ11" t="e">
        <f>AND(Plan1!F384,"AAAAAH+88Xg=")</f>
        <v>#VALUE!</v>
      </c>
      <c r="DR11">
        <f>IF(Plan1!385:385,"AAAAAH+88Xk=",0)</f>
        <v>0</v>
      </c>
      <c r="DS11" t="e">
        <f>AND(Plan1!A385,"AAAAAH+88Xo=")</f>
        <v>#VALUE!</v>
      </c>
      <c r="DT11" t="e">
        <f>AND(Plan1!B385,"AAAAAH+88Xs=")</f>
        <v>#VALUE!</v>
      </c>
      <c r="DU11" t="e">
        <f>AND(Plan1!C385,"AAAAAH+88Xw=")</f>
        <v>#VALUE!</v>
      </c>
      <c r="DV11" t="e">
        <f>AND(Plan1!D385,"AAAAAH+88X0=")</f>
        <v>#VALUE!</v>
      </c>
      <c r="DW11" t="e">
        <f>AND(Plan1!E385,"AAAAAH+88X4=")</f>
        <v>#VALUE!</v>
      </c>
      <c r="DX11" t="e">
        <f>AND(Plan1!F385,"AAAAAH+88X8=")</f>
        <v>#VALUE!</v>
      </c>
      <c r="DY11">
        <f>IF(Plan1!386:386,"AAAAAH+88YA=",0)</f>
        <v>0</v>
      </c>
      <c r="DZ11" t="e">
        <f>AND(Plan1!A386,"AAAAAH+88YE=")</f>
        <v>#VALUE!</v>
      </c>
      <c r="EA11" t="e">
        <f>AND(Plan1!B386,"AAAAAH+88YI=")</f>
        <v>#VALUE!</v>
      </c>
      <c r="EB11" t="e">
        <f>AND(Plan1!C386,"AAAAAH+88YM=")</f>
        <v>#VALUE!</v>
      </c>
      <c r="EC11" t="e">
        <f>AND(Plan1!D386,"AAAAAH+88YQ=")</f>
        <v>#VALUE!</v>
      </c>
      <c r="ED11" t="e">
        <f>AND(Plan1!E386,"AAAAAH+88YU=")</f>
        <v>#VALUE!</v>
      </c>
      <c r="EE11" t="e">
        <f>AND(Plan1!F386,"AAAAAH+88YY=")</f>
        <v>#VALUE!</v>
      </c>
      <c r="EF11">
        <f>IF(Plan1!387:387,"AAAAAH+88Yc=",0)</f>
        <v>0</v>
      </c>
      <c r="EG11" t="e">
        <f>AND(Plan1!A387,"AAAAAH+88Yg=")</f>
        <v>#VALUE!</v>
      </c>
      <c r="EH11" t="e">
        <f>AND(Plan1!B387,"AAAAAH+88Yk=")</f>
        <v>#VALUE!</v>
      </c>
      <c r="EI11" t="e">
        <f>AND(Plan1!C387,"AAAAAH+88Yo=")</f>
        <v>#VALUE!</v>
      </c>
      <c r="EJ11" t="e">
        <f>AND(Plan1!D387,"AAAAAH+88Ys=")</f>
        <v>#VALUE!</v>
      </c>
      <c r="EK11" t="e">
        <f>AND(Plan1!E387,"AAAAAH+88Yw=")</f>
        <v>#VALUE!</v>
      </c>
      <c r="EL11" t="e">
        <f>AND(Plan1!F387,"AAAAAH+88Y0=")</f>
        <v>#VALUE!</v>
      </c>
      <c r="EM11">
        <f>IF(Plan1!388:388,"AAAAAH+88Y4=",0)</f>
        <v>0</v>
      </c>
      <c r="EN11" t="e">
        <f>AND(Plan1!A388,"AAAAAH+88Y8=")</f>
        <v>#VALUE!</v>
      </c>
      <c r="EO11" t="e">
        <f>AND(Plan1!B388,"AAAAAH+88ZA=")</f>
        <v>#VALUE!</v>
      </c>
      <c r="EP11" t="e">
        <f>AND(Plan1!C388,"AAAAAH+88ZE=")</f>
        <v>#VALUE!</v>
      </c>
      <c r="EQ11" t="e">
        <f>AND(Plan1!D388,"AAAAAH+88ZI=")</f>
        <v>#VALUE!</v>
      </c>
      <c r="ER11" t="e">
        <f>AND(Plan1!E388,"AAAAAH+88ZM=")</f>
        <v>#VALUE!</v>
      </c>
      <c r="ES11" t="e">
        <f>AND(Plan1!F388,"AAAAAH+88ZQ=")</f>
        <v>#VALUE!</v>
      </c>
      <c r="ET11">
        <f>IF(Plan1!389:389,"AAAAAH+88ZU=",0)</f>
        <v>0</v>
      </c>
      <c r="EU11" t="e">
        <f>AND(Plan1!A389,"AAAAAH+88ZY=")</f>
        <v>#VALUE!</v>
      </c>
      <c r="EV11" t="e">
        <f>AND(Plan1!B389,"AAAAAH+88Zc=")</f>
        <v>#VALUE!</v>
      </c>
      <c r="EW11" t="e">
        <f>AND(Plan1!C389,"AAAAAH+88Zg=")</f>
        <v>#VALUE!</v>
      </c>
      <c r="EX11" t="e">
        <f>AND(Plan1!D389,"AAAAAH+88Zk=")</f>
        <v>#VALUE!</v>
      </c>
      <c r="EY11" t="e">
        <f>AND(Plan1!E389,"AAAAAH+88Zo=")</f>
        <v>#VALUE!</v>
      </c>
      <c r="EZ11" t="e">
        <f>AND(Plan1!F389,"AAAAAH+88Zs=")</f>
        <v>#VALUE!</v>
      </c>
      <c r="FA11">
        <f>IF(Plan1!390:390,"AAAAAH+88Zw=",0)</f>
        <v>0</v>
      </c>
      <c r="FB11" t="e">
        <f>AND(Plan1!A390,"AAAAAH+88Z0=")</f>
        <v>#VALUE!</v>
      </c>
      <c r="FC11" t="e">
        <f>AND(Plan1!B390,"AAAAAH+88Z4=")</f>
        <v>#VALUE!</v>
      </c>
      <c r="FD11" t="e">
        <f>AND(Plan1!C390,"AAAAAH+88Z8=")</f>
        <v>#VALUE!</v>
      </c>
      <c r="FE11" t="e">
        <f>AND(Plan1!D390,"AAAAAH+88aA=")</f>
        <v>#VALUE!</v>
      </c>
      <c r="FF11" t="e">
        <f>AND(Plan1!E390,"AAAAAH+88aE=")</f>
        <v>#VALUE!</v>
      </c>
      <c r="FG11" t="e">
        <f>AND(Plan1!F390,"AAAAAH+88aI=")</f>
        <v>#VALUE!</v>
      </c>
      <c r="FH11">
        <f>IF(Plan1!391:391,"AAAAAH+88aM=",0)</f>
        <v>0</v>
      </c>
      <c r="FI11" t="e">
        <f>AND(Plan1!A391,"AAAAAH+88aQ=")</f>
        <v>#VALUE!</v>
      </c>
      <c r="FJ11" t="e">
        <f>AND(Plan1!B391,"AAAAAH+88aU=")</f>
        <v>#VALUE!</v>
      </c>
      <c r="FK11" t="e">
        <f>AND(Plan1!C391,"AAAAAH+88aY=")</f>
        <v>#VALUE!</v>
      </c>
      <c r="FL11" t="e">
        <f>AND(Plan1!D391,"AAAAAH+88ac=")</f>
        <v>#VALUE!</v>
      </c>
      <c r="FM11" t="e">
        <f>AND(Plan1!E391,"AAAAAH+88ag=")</f>
        <v>#VALUE!</v>
      </c>
      <c r="FN11" t="e">
        <f>AND(Plan1!F391,"AAAAAH+88ak=")</f>
        <v>#VALUE!</v>
      </c>
      <c r="FO11">
        <f>IF(Plan1!392:392,"AAAAAH+88ao=",0)</f>
        <v>0</v>
      </c>
      <c r="FP11" t="e">
        <f>AND(Plan1!A392,"AAAAAH+88as=")</f>
        <v>#VALUE!</v>
      </c>
      <c r="FQ11" t="e">
        <f>AND(Plan1!B392,"AAAAAH+88aw=")</f>
        <v>#VALUE!</v>
      </c>
      <c r="FR11" t="e">
        <f>AND(Plan1!C392,"AAAAAH+88a0=")</f>
        <v>#VALUE!</v>
      </c>
      <c r="FS11" t="e">
        <f>AND(Plan1!D392,"AAAAAH+88a4=")</f>
        <v>#VALUE!</v>
      </c>
      <c r="FT11" t="e">
        <f>AND(Plan1!E392,"AAAAAH+88a8=")</f>
        <v>#VALUE!</v>
      </c>
      <c r="FU11" t="e">
        <f>AND(Plan1!F392,"AAAAAH+88bA=")</f>
        <v>#VALUE!</v>
      </c>
      <c r="FV11">
        <f>IF(Plan1!393:393,"AAAAAH+88bE=",0)</f>
        <v>0</v>
      </c>
      <c r="FW11" t="e">
        <f>AND(Plan1!A393,"AAAAAH+88bI=")</f>
        <v>#VALUE!</v>
      </c>
      <c r="FX11" t="e">
        <f>AND(Plan1!B393,"AAAAAH+88bM=")</f>
        <v>#VALUE!</v>
      </c>
      <c r="FY11" t="e">
        <f>AND(Plan1!C393,"AAAAAH+88bQ=")</f>
        <v>#VALUE!</v>
      </c>
      <c r="FZ11" t="e">
        <f>AND(Plan1!D393,"AAAAAH+88bU=")</f>
        <v>#VALUE!</v>
      </c>
      <c r="GA11" t="e">
        <f>AND(Plan1!E393,"AAAAAH+88bY=")</f>
        <v>#VALUE!</v>
      </c>
      <c r="GB11" t="e">
        <f>AND(Plan1!F393,"AAAAAH+88bc=")</f>
        <v>#VALUE!</v>
      </c>
      <c r="GC11">
        <f>IF(Plan1!394:394,"AAAAAH+88bg=",0)</f>
        <v>0</v>
      </c>
      <c r="GD11" t="e">
        <f>AND(Plan1!A394,"AAAAAH+88bk=")</f>
        <v>#VALUE!</v>
      </c>
      <c r="GE11" t="e">
        <f>AND(Plan1!B394,"AAAAAH+88bo=")</f>
        <v>#VALUE!</v>
      </c>
      <c r="GF11" t="e">
        <f>AND(Plan1!C394,"AAAAAH+88bs=")</f>
        <v>#VALUE!</v>
      </c>
      <c r="GG11" t="e">
        <f>AND(Plan1!D394,"AAAAAH+88bw=")</f>
        <v>#VALUE!</v>
      </c>
      <c r="GH11" t="e">
        <f>AND(Plan1!E394,"AAAAAH+88b0=")</f>
        <v>#VALUE!</v>
      </c>
      <c r="GI11" t="e">
        <f>AND(Plan1!F394,"AAAAAH+88b4=")</f>
        <v>#VALUE!</v>
      </c>
      <c r="GJ11">
        <f>IF(Plan1!395:395,"AAAAAH+88b8=",0)</f>
        <v>0</v>
      </c>
      <c r="GK11" t="e">
        <f>AND(Plan1!A395,"AAAAAH+88cA=")</f>
        <v>#VALUE!</v>
      </c>
      <c r="GL11" t="e">
        <f>AND(Plan1!B395,"AAAAAH+88cE=")</f>
        <v>#VALUE!</v>
      </c>
      <c r="GM11" t="e">
        <f>AND(Plan1!C395,"AAAAAH+88cI=")</f>
        <v>#VALUE!</v>
      </c>
      <c r="GN11" t="e">
        <f>AND(Plan1!D395,"AAAAAH+88cM=")</f>
        <v>#VALUE!</v>
      </c>
      <c r="GO11" t="e">
        <f>AND(Plan1!E395,"AAAAAH+88cQ=")</f>
        <v>#VALUE!</v>
      </c>
      <c r="GP11" t="e">
        <f>AND(Plan1!F395,"AAAAAH+88cU=")</f>
        <v>#VALUE!</v>
      </c>
      <c r="GQ11">
        <f>IF(Plan1!396:396,"AAAAAH+88cY=",0)</f>
        <v>0</v>
      </c>
      <c r="GR11" t="e">
        <f>AND(Plan1!A396,"AAAAAH+88cc=")</f>
        <v>#VALUE!</v>
      </c>
      <c r="GS11" t="e">
        <f>AND(Plan1!B396,"AAAAAH+88cg=")</f>
        <v>#VALUE!</v>
      </c>
      <c r="GT11" t="e">
        <f>AND(Plan1!C396,"AAAAAH+88ck=")</f>
        <v>#VALUE!</v>
      </c>
      <c r="GU11" t="e">
        <f>AND(Plan1!D396,"AAAAAH+88co=")</f>
        <v>#VALUE!</v>
      </c>
      <c r="GV11" t="e">
        <f>AND(Plan1!E396,"AAAAAH+88cs=")</f>
        <v>#VALUE!</v>
      </c>
      <c r="GW11" t="e">
        <f>AND(Plan1!F396,"AAAAAH+88cw=")</f>
        <v>#VALUE!</v>
      </c>
      <c r="GX11">
        <f>IF(Plan1!397:397,"AAAAAH+88c0=",0)</f>
        <v>0</v>
      </c>
      <c r="GY11" t="e">
        <f>AND(Plan1!A397,"AAAAAH+88c4=")</f>
        <v>#VALUE!</v>
      </c>
      <c r="GZ11" t="e">
        <f>AND(Plan1!B397,"AAAAAH+88c8=")</f>
        <v>#VALUE!</v>
      </c>
      <c r="HA11" t="e">
        <f>AND(Plan1!C397,"AAAAAH+88dA=")</f>
        <v>#VALUE!</v>
      </c>
      <c r="HB11" t="e">
        <f>AND(Plan1!D397,"AAAAAH+88dE=")</f>
        <v>#VALUE!</v>
      </c>
      <c r="HC11" t="e">
        <f>AND(Plan1!E397,"AAAAAH+88dI=")</f>
        <v>#VALUE!</v>
      </c>
      <c r="HD11" t="e">
        <f>AND(Plan1!F397,"AAAAAH+88dM=")</f>
        <v>#VALUE!</v>
      </c>
      <c r="HE11">
        <f>IF(Plan1!398:398,"AAAAAH+88dQ=",0)</f>
        <v>0</v>
      </c>
      <c r="HF11" t="e">
        <f>AND(Plan1!A398,"AAAAAH+88dU=")</f>
        <v>#VALUE!</v>
      </c>
      <c r="HG11" t="e">
        <f>AND(Plan1!B398,"AAAAAH+88dY=")</f>
        <v>#VALUE!</v>
      </c>
      <c r="HH11" t="e">
        <f>AND(Plan1!C398,"AAAAAH+88dc=")</f>
        <v>#VALUE!</v>
      </c>
      <c r="HI11" t="e">
        <f>AND(Plan1!D398,"AAAAAH+88dg=")</f>
        <v>#VALUE!</v>
      </c>
      <c r="HJ11" t="e">
        <f>AND(Plan1!E398,"AAAAAH+88dk=")</f>
        <v>#VALUE!</v>
      </c>
      <c r="HK11" t="e">
        <f>AND(Plan1!F398,"AAAAAH+88do=")</f>
        <v>#VALUE!</v>
      </c>
      <c r="HL11">
        <f>IF(Plan1!399:399,"AAAAAH+88ds=",0)</f>
        <v>0</v>
      </c>
      <c r="HM11" t="e">
        <f>AND(Plan1!A399,"AAAAAH+88dw=")</f>
        <v>#VALUE!</v>
      </c>
      <c r="HN11" t="e">
        <f>AND(Plan1!B399,"AAAAAH+88d0=")</f>
        <v>#VALUE!</v>
      </c>
      <c r="HO11" t="e">
        <f>AND(Plan1!C399,"AAAAAH+88d4=")</f>
        <v>#VALUE!</v>
      </c>
      <c r="HP11" t="e">
        <f>AND(Plan1!D399,"AAAAAH+88d8=")</f>
        <v>#VALUE!</v>
      </c>
      <c r="HQ11" t="e">
        <f>AND(Plan1!E399,"AAAAAH+88eA=")</f>
        <v>#VALUE!</v>
      </c>
      <c r="HR11" t="e">
        <f>AND(Plan1!F399,"AAAAAH+88eE=")</f>
        <v>#VALUE!</v>
      </c>
      <c r="HS11">
        <f>IF(Plan1!400:400,"AAAAAH+88eI=",0)</f>
        <v>0</v>
      </c>
      <c r="HT11" t="e">
        <f>AND(Plan1!A400,"AAAAAH+88eM=")</f>
        <v>#VALUE!</v>
      </c>
      <c r="HU11" t="e">
        <f>AND(Plan1!B400,"AAAAAH+88eQ=")</f>
        <v>#VALUE!</v>
      </c>
      <c r="HV11" t="e">
        <f>AND(Plan1!C400,"AAAAAH+88eU=")</f>
        <v>#VALUE!</v>
      </c>
      <c r="HW11" t="e">
        <f>AND(Plan1!D400,"AAAAAH+88eY=")</f>
        <v>#VALUE!</v>
      </c>
      <c r="HX11" t="e">
        <f>AND(Plan1!E400,"AAAAAH+88ec=")</f>
        <v>#VALUE!</v>
      </c>
      <c r="HY11" t="e">
        <f>AND(Plan1!F400,"AAAAAH+88eg=")</f>
        <v>#VALUE!</v>
      </c>
      <c r="HZ11">
        <f>IF(Plan1!401:401,"AAAAAH+88ek=",0)</f>
        <v>0</v>
      </c>
      <c r="IA11" t="e">
        <f>AND(Plan1!A401,"AAAAAH+88eo=")</f>
        <v>#VALUE!</v>
      </c>
      <c r="IB11" t="e">
        <f>AND(Plan1!B401,"AAAAAH+88es=")</f>
        <v>#VALUE!</v>
      </c>
      <c r="IC11" t="e">
        <f>AND(Plan1!C401,"AAAAAH+88ew=")</f>
        <v>#VALUE!</v>
      </c>
      <c r="ID11" t="e">
        <f>AND(Plan1!D401,"AAAAAH+88e0=")</f>
        <v>#VALUE!</v>
      </c>
      <c r="IE11" t="e">
        <f>AND(Plan1!E401,"AAAAAH+88e4=")</f>
        <v>#VALUE!</v>
      </c>
      <c r="IF11" t="e">
        <f>AND(Plan1!F401,"AAAAAH+88e8=")</f>
        <v>#VALUE!</v>
      </c>
      <c r="IG11">
        <f>IF(Plan1!402:402,"AAAAAH+88fA=",0)</f>
        <v>0</v>
      </c>
      <c r="IH11" t="e">
        <f>AND(Plan1!A402,"AAAAAH+88fE=")</f>
        <v>#VALUE!</v>
      </c>
      <c r="II11" t="e">
        <f>AND(Plan1!B402,"AAAAAH+88fI=")</f>
        <v>#VALUE!</v>
      </c>
      <c r="IJ11" t="e">
        <f>AND(Plan1!C402,"AAAAAH+88fM=")</f>
        <v>#VALUE!</v>
      </c>
      <c r="IK11" t="e">
        <f>AND(Plan1!D402,"AAAAAH+88fQ=")</f>
        <v>#VALUE!</v>
      </c>
      <c r="IL11" t="e">
        <f>AND(Plan1!E402,"AAAAAH+88fU=")</f>
        <v>#VALUE!</v>
      </c>
      <c r="IM11" t="e">
        <f>AND(Plan1!F402,"AAAAAH+88fY=")</f>
        <v>#VALUE!</v>
      </c>
      <c r="IN11">
        <f>IF(Plan1!403:403,"AAAAAH+88fc=",0)</f>
        <v>0</v>
      </c>
      <c r="IO11" t="e">
        <f>AND(Plan1!A403,"AAAAAH+88fg=")</f>
        <v>#VALUE!</v>
      </c>
      <c r="IP11" t="e">
        <f>AND(Plan1!B403,"AAAAAH+88fk=")</f>
        <v>#VALUE!</v>
      </c>
      <c r="IQ11" t="e">
        <f>AND(Plan1!C403,"AAAAAH+88fo=")</f>
        <v>#VALUE!</v>
      </c>
      <c r="IR11" t="e">
        <f>AND(Plan1!D403,"AAAAAH+88fs=")</f>
        <v>#VALUE!</v>
      </c>
      <c r="IS11" t="e">
        <f>AND(Plan1!E403,"AAAAAH+88fw=")</f>
        <v>#VALUE!</v>
      </c>
      <c r="IT11" t="e">
        <f>AND(Plan1!F403,"AAAAAH+88f0=")</f>
        <v>#VALUE!</v>
      </c>
      <c r="IU11">
        <f>IF(Plan1!404:404,"AAAAAH+88f4=",0)</f>
        <v>0</v>
      </c>
      <c r="IV11" t="e">
        <f>AND(Plan1!A404,"AAAAAH+88f8=")</f>
        <v>#VALUE!</v>
      </c>
    </row>
    <row r="12" spans="1:256">
      <c r="A12" t="e">
        <f>AND(Plan1!B404,"AAAAADqbfgA=")</f>
        <v>#VALUE!</v>
      </c>
      <c r="B12" t="e">
        <f>AND(Plan1!C404,"AAAAADqbfgE=")</f>
        <v>#VALUE!</v>
      </c>
      <c r="C12" t="e">
        <f>AND(Plan1!D404,"AAAAADqbfgI=")</f>
        <v>#VALUE!</v>
      </c>
      <c r="D12" t="e">
        <f>AND(Plan1!E404,"AAAAADqbfgM=")</f>
        <v>#VALUE!</v>
      </c>
      <c r="E12" t="e">
        <f>AND(Plan1!F404,"AAAAADqbfgQ=")</f>
        <v>#VALUE!</v>
      </c>
      <c r="F12" t="e">
        <f>IF(Plan1!405:405,"AAAAADqbfgU=",0)</f>
        <v>#VALUE!</v>
      </c>
      <c r="G12" t="e">
        <f>AND(Plan1!A405,"AAAAADqbfgY=")</f>
        <v>#VALUE!</v>
      </c>
      <c r="H12" t="e">
        <f>AND(Plan1!B405,"AAAAADqbfgc=")</f>
        <v>#VALUE!</v>
      </c>
      <c r="I12" t="e">
        <f>AND(Plan1!C405,"AAAAADqbfgg=")</f>
        <v>#VALUE!</v>
      </c>
      <c r="J12" t="e">
        <f>AND(Plan1!D405,"AAAAADqbfgk=")</f>
        <v>#VALUE!</v>
      </c>
      <c r="K12" t="e">
        <f>AND(Plan1!E405,"AAAAADqbfgo=")</f>
        <v>#VALUE!</v>
      </c>
      <c r="L12" t="e">
        <f>AND(Plan1!F405,"AAAAADqbfgs=")</f>
        <v>#VALUE!</v>
      </c>
      <c r="M12">
        <f>IF(Plan1!406:406,"AAAAADqbfgw=",0)</f>
        <v>0</v>
      </c>
      <c r="N12" t="e">
        <f>AND(Plan1!A406,"AAAAADqbfg0=")</f>
        <v>#VALUE!</v>
      </c>
      <c r="O12" t="e">
        <f>AND(Plan1!B406,"AAAAADqbfg4=")</f>
        <v>#VALUE!</v>
      </c>
      <c r="P12" t="e">
        <f>AND(Plan1!C406,"AAAAADqbfg8=")</f>
        <v>#VALUE!</v>
      </c>
      <c r="Q12" t="e">
        <f>AND(Plan1!D406,"AAAAADqbfhA=")</f>
        <v>#VALUE!</v>
      </c>
      <c r="R12" t="e">
        <f>AND(Plan1!E406,"AAAAADqbfhE=")</f>
        <v>#VALUE!</v>
      </c>
      <c r="S12" t="e">
        <f>AND(Plan1!F406,"AAAAADqbfhI=")</f>
        <v>#VALUE!</v>
      </c>
      <c r="T12">
        <f>IF(Plan1!407:407,"AAAAADqbfhM=",0)</f>
        <v>0</v>
      </c>
      <c r="U12" t="e">
        <f>AND(Plan1!A407,"AAAAADqbfhQ=")</f>
        <v>#VALUE!</v>
      </c>
      <c r="V12" t="e">
        <f>AND(Plan1!B407,"AAAAADqbfhU=")</f>
        <v>#VALUE!</v>
      </c>
      <c r="W12" t="e">
        <f>AND(Plan1!C407,"AAAAADqbfhY=")</f>
        <v>#VALUE!</v>
      </c>
      <c r="X12" t="e">
        <f>AND(Plan1!D407,"AAAAADqbfhc=")</f>
        <v>#VALUE!</v>
      </c>
      <c r="Y12" t="e">
        <f>AND(Plan1!E407,"AAAAADqbfhg=")</f>
        <v>#VALUE!</v>
      </c>
      <c r="Z12" t="e">
        <f>AND(Plan1!F407,"AAAAADqbfhk=")</f>
        <v>#VALUE!</v>
      </c>
      <c r="AA12">
        <f>IF(Plan1!408:408,"AAAAADqbfho=",0)</f>
        <v>0</v>
      </c>
      <c r="AB12" t="e">
        <f>AND(Plan1!A408,"AAAAADqbfhs=")</f>
        <v>#VALUE!</v>
      </c>
      <c r="AC12" t="e">
        <f>AND(Plan1!B408,"AAAAADqbfhw=")</f>
        <v>#VALUE!</v>
      </c>
      <c r="AD12" t="e">
        <f>AND(Plan1!C408,"AAAAADqbfh0=")</f>
        <v>#VALUE!</v>
      </c>
      <c r="AE12" t="e">
        <f>AND(Plan1!D408,"AAAAADqbfh4=")</f>
        <v>#VALUE!</v>
      </c>
      <c r="AF12" t="e">
        <f>AND(Plan1!E408,"AAAAADqbfh8=")</f>
        <v>#VALUE!</v>
      </c>
      <c r="AG12" t="e">
        <f>AND(Plan1!F408,"AAAAADqbfiA=")</f>
        <v>#VALUE!</v>
      </c>
      <c r="AH12">
        <f>IF(Plan1!409:409,"AAAAADqbfiE=",0)</f>
        <v>0</v>
      </c>
      <c r="AI12" t="e">
        <f>AND(Plan1!A409,"AAAAADqbfiI=")</f>
        <v>#VALUE!</v>
      </c>
      <c r="AJ12" t="e">
        <f>AND(Plan1!B409,"AAAAADqbfiM=")</f>
        <v>#VALUE!</v>
      </c>
      <c r="AK12" t="e">
        <f>AND(Plan1!C409,"AAAAADqbfiQ=")</f>
        <v>#VALUE!</v>
      </c>
      <c r="AL12" t="e">
        <f>AND(Plan1!D409,"AAAAADqbfiU=")</f>
        <v>#VALUE!</v>
      </c>
      <c r="AM12" t="e">
        <f>AND(Plan1!E409,"AAAAADqbfiY=")</f>
        <v>#VALUE!</v>
      </c>
      <c r="AN12" t="e">
        <f>AND(Plan1!F409,"AAAAADqbfic=")</f>
        <v>#VALUE!</v>
      </c>
      <c r="AO12">
        <f>IF(Plan1!410:410,"AAAAADqbfig=",0)</f>
        <v>0</v>
      </c>
      <c r="AP12" t="e">
        <f>AND(Plan1!A410,"AAAAADqbfik=")</f>
        <v>#VALUE!</v>
      </c>
      <c r="AQ12" t="e">
        <f>AND(Plan1!B410,"AAAAADqbfio=")</f>
        <v>#VALUE!</v>
      </c>
      <c r="AR12" t="e">
        <f>AND(Plan1!C410,"AAAAADqbfis=")</f>
        <v>#VALUE!</v>
      </c>
      <c r="AS12" t="e">
        <f>AND(Plan1!D410,"AAAAADqbfiw=")</f>
        <v>#VALUE!</v>
      </c>
      <c r="AT12" t="e">
        <f>AND(Plan1!E410,"AAAAADqbfi0=")</f>
        <v>#VALUE!</v>
      </c>
      <c r="AU12" t="e">
        <f>AND(Plan1!F410,"AAAAADqbfi4=")</f>
        <v>#VALUE!</v>
      </c>
      <c r="AV12">
        <f>IF(Plan1!411:411,"AAAAADqbfi8=",0)</f>
        <v>0</v>
      </c>
      <c r="AW12" t="e">
        <f>AND(Plan1!A411,"AAAAADqbfjA=")</f>
        <v>#VALUE!</v>
      </c>
      <c r="AX12" t="e">
        <f>AND(Plan1!B411,"AAAAADqbfjE=")</f>
        <v>#VALUE!</v>
      </c>
      <c r="AY12" t="e">
        <f>AND(Plan1!C411,"AAAAADqbfjI=")</f>
        <v>#VALUE!</v>
      </c>
      <c r="AZ12" t="e">
        <f>AND(Plan1!D411,"AAAAADqbfjM=")</f>
        <v>#VALUE!</v>
      </c>
      <c r="BA12" t="e">
        <f>AND(Plan1!E411,"AAAAADqbfjQ=")</f>
        <v>#VALUE!</v>
      </c>
      <c r="BB12" t="e">
        <f>AND(Plan1!F411,"AAAAADqbfjU=")</f>
        <v>#VALUE!</v>
      </c>
      <c r="BC12">
        <f>IF(Plan1!412:412,"AAAAADqbfjY=",0)</f>
        <v>0</v>
      </c>
      <c r="BD12" t="e">
        <f>AND(Plan1!A412,"AAAAADqbfjc=")</f>
        <v>#VALUE!</v>
      </c>
      <c r="BE12" t="e">
        <f>AND(Plan1!B412,"AAAAADqbfjg=")</f>
        <v>#VALUE!</v>
      </c>
      <c r="BF12" t="e">
        <f>AND(Plan1!C412,"AAAAADqbfjk=")</f>
        <v>#VALUE!</v>
      </c>
      <c r="BG12" t="e">
        <f>AND(Plan1!D412,"AAAAADqbfjo=")</f>
        <v>#VALUE!</v>
      </c>
      <c r="BH12" t="e">
        <f>AND(Plan1!E412,"AAAAADqbfjs=")</f>
        <v>#VALUE!</v>
      </c>
      <c r="BI12" t="e">
        <f>AND(Plan1!F412,"AAAAADqbfjw=")</f>
        <v>#VALUE!</v>
      </c>
      <c r="BJ12">
        <f>IF(Plan1!413:413,"AAAAADqbfj0=",0)</f>
        <v>0</v>
      </c>
      <c r="BK12" t="e">
        <f>AND(Plan1!A413,"AAAAADqbfj4=")</f>
        <v>#VALUE!</v>
      </c>
      <c r="BL12" t="e">
        <f>AND(Plan1!B413,"AAAAADqbfj8=")</f>
        <v>#VALUE!</v>
      </c>
      <c r="BM12" t="e">
        <f>AND(Plan1!C413,"AAAAADqbfkA=")</f>
        <v>#VALUE!</v>
      </c>
      <c r="BN12" t="e">
        <f>AND(Plan1!D413,"AAAAADqbfkE=")</f>
        <v>#VALUE!</v>
      </c>
      <c r="BO12" t="e">
        <f>AND(Plan1!E413,"AAAAADqbfkI=")</f>
        <v>#VALUE!</v>
      </c>
      <c r="BP12" t="e">
        <f>AND(Plan1!F413,"AAAAADqbfkM=")</f>
        <v>#VALUE!</v>
      </c>
      <c r="BQ12">
        <f>IF(Plan1!414:414,"AAAAADqbfkQ=",0)</f>
        <v>0</v>
      </c>
      <c r="BR12" t="e">
        <f>AND(Plan1!A414,"AAAAADqbfkU=")</f>
        <v>#VALUE!</v>
      </c>
      <c r="BS12" t="e">
        <f>AND(Plan1!B414,"AAAAADqbfkY=")</f>
        <v>#VALUE!</v>
      </c>
      <c r="BT12" t="e">
        <f>AND(Plan1!C414,"AAAAADqbfkc=")</f>
        <v>#VALUE!</v>
      </c>
      <c r="BU12" t="e">
        <f>AND(Plan1!D414,"AAAAADqbfkg=")</f>
        <v>#VALUE!</v>
      </c>
      <c r="BV12" t="e">
        <f>AND(Plan1!E414,"AAAAADqbfkk=")</f>
        <v>#VALUE!</v>
      </c>
      <c r="BW12" t="e">
        <f>AND(Plan1!F414,"AAAAADqbfko=")</f>
        <v>#VALUE!</v>
      </c>
      <c r="BX12">
        <f>IF(Plan1!415:415,"AAAAADqbfks=",0)</f>
        <v>0</v>
      </c>
      <c r="BY12" t="e">
        <f>AND(Plan1!A415,"AAAAADqbfkw=")</f>
        <v>#VALUE!</v>
      </c>
      <c r="BZ12" t="e">
        <f>AND(Plan1!B415,"AAAAADqbfk0=")</f>
        <v>#VALUE!</v>
      </c>
      <c r="CA12" t="e">
        <f>AND(Plan1!C415,"AAAAADqbfk4=")</f>
        <v>#VALUE!</v>
      </c>
      <c r="CB12" t="e">
        <f>AND(Plan1!D415,"AAAAADqbfk8=")</f>
        <v>#VALUE!</v>
      </c>
      <c r="CC12" t="e">
        <f>AND(Plan1!E415,"AAAAADqbflA=")</f>
        <v>#VALUE!</v>
      </c>
      <c r="CD12" t="e">
        <f>AND(Plan1!F415,"AAAAADqbflE=")</f>
        <v>#VALUE!</v>
      </c>
      <c r="CE12">
        <f>IF(Plan1!416:416,"AAAAADqbflI=",0)</f>
        <v>0</v>
      </c>
      <c r="CF12" t="e">
        <f>AND(Plan1!A416,"AAAAADqbflM=")</f>
        <v>#VALUE!</v>
      </c>
      <c r="CG12" t="e">
        <f>AND(Plan1!B416,"AAAAADqbflQ=")</f>
        <v>#VALUE!</v>
      </c>
      <c r="CH12" t="e">
        <f>AND(Plan1!C416,"AAAAADqbflU=")</f>
        <v>#VALUE!</v>
      </c>
      <c r="CI12" t="e">
        <f>AND(Plan1!D416,"AAAAADqbflY=")</f>
        <v>#VALUE!</v>
      </c>
      <c r="CJ12" t="e">
        <f>AND(Plan1!E416,"AAAAADqbflc=")</f>
        <v>#VALUE!</v>
      </c>
      <c r="CK12" t="e">
        <f>AND(Plan1!F416,"AAAAADqbflg=")</f>
        <v>#VALUE!</v>
      </c>
      <c r="CL12">
        <f>IF(Plan1!417:417,"AAAAADqbflk=",0)</f>
        <v>0</v>
      </c>
      <c r="CM12" t="e">
        <f>AND(Plan1!A417,"AAAAADqbflo=")</f>
        <v>#VALUE!</v>
      </c>
      <c r="CN12" t="e">
        <f>AND(Plan1!B417,"AAAAADqbfls=")</f>
        <v>#VALUE!</v>
      </c>
      <c r="CO12" t="e">
        <f>AND(Plan1!C417,"AAAAADqbflw=")</f>
        <v>#VALUE!</v>
      </c>
      <c r="CP12" t="e">
        <f>AND(Plan1!D417,"AAAAADqbfl0=")</f>
        <v>#VALUE!</v>
      </c>
      <c r="CQ12" t="e">
        <f>AND(Plan1!E417,"AAAAADqbfl4=")</f>
        <v>#VALUE!</v>
      </c>
      <c r="CR12" t="e">
        <f>AND(Plan1!F417,"AAAAADqbfl8=")</f>
        <v>#VALUE!</v>
      </c>
      <c r="CS12">
        <f>IF(Plan1!418:418,"AAAAADqbfmA=",0)</f>
        <v>0</v>
      </c>
      <c r="CT12" t="e">
        <f>AND(Plan1!A418,"AAAAADqbfmE=")</f>
        <v>#VALUE!</v>
      </c>
      <c r="CU12" t="e">
        <f>AND(Plan1!B418,"AAAAADqbfmI=")</f>
        <v>#VALUE!</v>
      </c>
      <c r="CV12" t="e">
        <f>AND(Plan1!C418,"AAAAADqbfmM=")</f>
        <v>#VALUE!</v>
      </c>
      <c r="CW12" t="e">
        <f>AND(Plan1!D418,"AAAAADqbfmQ=")</f>
        <v>#VALUE!</v>
      </c>
      <c r="CX12" t="e">
        <f>AND(Plan1!E418,"AAAAADqbfmU=")</f>
        <v>#VALUE!</v>
      </c>
      <c r="CY12" t="e">
        <f>AND(Plan1!F418,"AAAAADqbfmY=")</f>
        <v>#VALUE!</v>
      </c>
      <c r="CZ12">
        <f>IF(Plan1!419:419,"AAAAADqbfmc=",0)</f>
        <v>0</v>
      </c>
      <c r="DA12" t="e">
        <f>AND(Plan1!A419,"AAAAADqbfmg=")</f>
        <v>#VALUE!</v>
      </c>
      <c r="DB12" t="e">
        <f>AND(Plan1!B419,"AAAAADqbfmk=")</f>
        <v>#VALUE!</v>
      </c>
      <c r="DC12" t="e">
        <f>AND(Plan1!C419,"AAAAADqbfmo=")</f>
        <v>#VALUE!</v>
      </c>
      <c r="DD12" t="e">
        <f>AND(Plan1!D419,"AAAAADqbfms=")</f>
        <v>#VALUE!</v>
      </c>
      <c r="DE12" t="e">
        <f>AND(Plan1!E419,"AAAAADqbfmw=")</f>
        <v>#VALUE!</v>
      </c>
      <c r="DF12" t="e">
        <f>AND(Plan1!F419,"AAAAADqbfm0=")</f>
        <v>#VALUE!</v>
      </c>
      <c r="DG12">
        <f>IF(Plan1!420:420,"AAAAADqbfm4=",0)</f>
        <v>0</v>
      </c>
      <c r="DH12" t="e">
        <f>AND(Plan1!A420,"AAAAADqbfm8=")</f>
        <v>#VALUE!</v>
      </c>
      <c r="DI12" t="e">
        <f>AND(Plan1!B420,"AAAAADqbfnA=")</f>
        <v>#VALUE!</v>
      </c>
      <c r="DJ12" t="e">
        <f>AND(Plan1!C420,"AAAAADqbfnE=")</f>
        <v>#VALUE!</v>
      </c>
      <c r="DK12" t="e">
        <f>AND(Plan1!D420,"AAAAADqbfnI=")</f>
        <v>#VALUE!</v>
      </c>
      <c r="DL12" t="e">
        <f>AND(Plan1!E420,"AAAAADqbfnM=")</f>
        <v>#VALUE!</v>
      </c>
      <c r="DM12" t="e">
        <f>AND(Plan1!F420,"AAAAADqbfnQ=")</f>
        <v>#VALUE!</v>
      </c>
      <c r="DN12">
        <f>IF(Plan1!421:421,"AAAAADqbfnU=",0)</f>
        <v>0</v>
      </c>
      <c r="DO12" t="e">
        <f>AND(Plan1!A421,"AAAAADqbfnY=")</f>
        <v>#VALUE!</v>
      </c>
      <c r="DP12" t="e">
        <f>AND(Plan1!B421,"AAAAADqbfnc=")</f>
        <v>#VALUE!</v>
      </c>
      <c r="DQ12" t="e">
        <f>AND(Plan1!C421,"AAAAADqbfng=")</f>
        <v>#VALUE!</v>
      </c>
      <c r="DR12" t="e">
        <f>AND(Plan1!D421,"AAAAADqbfnk=")</f>
        <v>#VALUE!</v>
      </c>
      <c r="DS12" t="e">
        <f>AND(Plan1!E421,"AAAAADqbfno=")</f>
        <v>#VALUE!</v>
      </c>
      <c r="DT12" t="e">
        <f>AND(Plan1!F421,"AAAAADqbfns=")</f>
        <v>#VALUE!</v>
      </c>
      <c r="DU12">
        <f>IF(Plan1!422:422,"AAAAADqbfnw=",0)</f>
        <v>0</v>
      </c>
      <c r="DV12" t="e">
        <f>AND(Plan1!A422,"AAAAADqbfn0=")</f>
        <v>#VALUE!</v>
      </c>
      <c r="DW12" t="e">
        <f>AND(Plan1!B422,"AAAAADqbfn4=")</f>
        <v>#VALUE!</v>
      </c>
      <c r="DX12" t="e">
        <f>AND(Plan1!C422,"AAAAADqbfn8=")</f>
        <v>#VALUE!</v>
      </c>
      <c r="DY12" t="e">
        <f>AND(Plan1!D422,"AAAAADqbfoA=")</f>
        <v>#VALUE!</v>
      </c>
      <c r="DZ12" t="e">
        <f>AND(Plan1!E422,"AAAAADqbfoE=")</f>
        <v>#VALUE!</v>
      </c>
      <c r="EA12" t="e">
        <f>AND(Plan1!F422,"AAAAADqbfoI=")</f>
        <v>#VALUE!</v>
      </c>
      <c r="EB12">
        <f>IF(Plan1!423:423,"AAAAADqbfoM=",0)</f>
        <v>0</v>
      </c>
      <c r="EC12" t="e">
        <f>AND(Plan1!A423,"AAAAADqbfoQ=")</f>
        <v>#VALUE!</v>
      </c>
      <c r="ED12" t="e">
        <f>AND(Plan1!B423,"AAAAADqbfoU=")</f>
        <v>#VALUE!</v>
      </c>
      <c r="EE12" t="e">
        <f>AND(Plan1!C423,"AAAAADqbfoY=")</f>
        <v>#VALUE!</v>
      </c>
      <c r="EF12" t="e">
        <f>AND(Plan1!D423,"AAAAADqbfoc=")</f>
        <v>#VALUE!</v>
      </c>
      <c r="EG12" t="e">
        <f>AND(Plan1!E423,"AAAAADqbfog=")</f>
        <v>#VALUE!</v>
      </c>
      <c r="EH12" t="e">
        <f>AND(Plan1!F423,"AAAAADqbfok=")</f>
        <v>#VALUE!</v>
      </c>
      <c r="EI12">
        <f>IF(Plan1!424:424,"AAAAADqbfoo=",0)</f>
        <v>0</v>
      </c>
      <c r="EJ12" t="e">
        <f>AND(Plan1!A424,"AAAAADqbfos=")</f>
        <v>#VALUE!</v>
      </c>
      <c r="EK12" t="e">
        <f>AND(Plan1!B424,"AAAAADqbfow=")</f>
        <v>#VALUE!</v>
      </c>
      <c r="EL12" t="e">
        <f>AND(Plan1!C424,"AAAAADqbfo0=")</f>
        <v>#VALUE!</v>
      </c>
      <c r="EM12" t="e">
        <f>AND(Plan1!D424,"AAAAADqbfo4=")</f>
        <v>#VALUE!</v>
      </c>
      <c r="EN12" t="e">
        <f>AND(Plan1!E424,"AAAAADqbfo8=")</f>
        <v>#VALUE!</v>
      </c>
      <c r="EO12" t="e">
        <f>AND(Plan1!F424,"AAAAADqbfpA=")</f>
        <v>#VALUE!</v>
      </c>
      <c r="EP12">
        <f>IF(Plan1!425:425,"AAAAADqbfpE=",0)</f>
        <v>0</v>
      </c>
      <c r="EQ12" t="e">
        <f>AND(Plan1!A425,"AAAAADqbfpI=")</f>
        <v>#VALUE!</v>
      </c>
      <c r="ER12" t="e">
        <f>AND(Plan1!B425,"AAAAADqbfpM=")</f>
        <v>#VALUE!</v>
      </c>
      <c r="ES12" t="e">
        <f>AND(Plan1!C425,"AAAAADqbfpQ=")</f>
        <v>#VALUE!</v>
      </c>
      <c r="ET12" t="e">
        <f>AND(Plan1!D425,"AAAAADqbfpU=")</f>
        <v>#VALUE!</v>
      </c>
      <c r="EU12" t="e">
        <f>AND(Plan1!E425,"AAAAADqbfpY=")</f>
        <v>#VALUE!</v>
      </c>
      <c r="EV12" t="e">
        <f>AND(Plan1!F425,"AAAAADqbfpc=")</f>
        <v>#VALUE!</v>
      </c>
      <c r="EW12">
        <f>IF(Plan1!426:426,"AAAAADqbfpg=",0)</f>
        <v>0</v>
      </c>
      <c r="EX12" t="e">
        <f>AND(Plan1!A426,"AAAAADqbfpk=")</f>
        <v>#VALUE!</v>
      </c>
      <c r="EY12" t="e">
        <f>AND(Plan1!B426,"AAAAADqbfpo=")</f>
        <v>#VALUE!</v>
      </c>
      <c r="EZ12" t="e">
        <f>AND(Plan1!C426,"AAAAADqbfps=")</f>
        <v>#VALUE!</v>
      </c>
      <c r="FA12" t="e">
        <f>AND(Plan1!D426,"AAAAADqbfpw=")</f>
        <v>#VALUE!</v>
      </c>
      <c r="FB12" t="e">
        <f>AND(Plan1!E426,"AAAAADqbfp0=")</f>
        <v>#VALUE!</v>
      </c>
      <c r="FC12" t="e">
        <f>AND(Plan1!F426,"AAAAADqbfp4=")</f>
        <v>#VALUE!</v>
      </c>
      <c r="FD12">
        <f>IF(Plan1!427:427,"AAAAADqbfp8=",0)</f>
        <v>0</v>
      </c>
      <c r="FE12" t="e">
        <f>AND(Plan1!A427,"AAAAADqbfqA=")</f>
        <v>#VALUE!</v>
      </c>
      <c r="FF12" t="e">
        <f>AND(Plan1!B427,"AAAAADqbfqE=")</f>
        <v>#VALUE!</v>
      </c>
      <c r="FG12" t="e">
        <f>AND(Plan1!C427,"AAAAADqbfqI=")</f>
        <v>#VALUE!</v>
      </c>
      <c r="FH12" t="e">
        <f>AND(Plan1!D427,"AAAAADqbfqM=")</f>
        <v>#VALUE!</v>
      </c>
      <c r="FI12" t="e">
        <f>AND(Plan1!E427,"AAAAADqbfqQ=")</f>
        <v>#VALUE!</v>
      </c>
      <c r="FJ12" t="e">
        <f>AND(Plan1!F427,"AAAAADqbfqU=")</f>
        <v>#VALUE!</v>
      </c>
      <c r="FK12">
        <f>IF(Plan1!428:428,"AAAAADqbfqY=",0)</f>
        <v>0</v>
      </c>
      <c r="FL12" t="e">
        <f>AND(Plan1!A428,"AAAAADqbfqc=")</f>
        <v>#VALUE!</v>
      </c>
      <c r="FM12" t="e">
        <f>AND(Plan1!B428,"AAAAADqbfqg=")</f>
        <v>#VALUE!</v>
      </c>
      <c r="FN12" t="e">
        <f>AND(Plan1!C428,"AAAAADqbfqk=")</f>
        <v>#VALUE!</v>
      </c>
      <c r="FO12" t="e">
        <f>AND(Plan1!D428,"AAAAADqbfqo=")</f>
        <v>#VALUE!</v>
      </c>
      <c r="FP12" t="e">
        <f>AND(Plan1!E428,"AAAAADqbfqs=")</f>
        <v>#VALUE!</v>
      </c>
      <c r="FQ12" t="e">
        <f>AND(Plan1!F428,"AAAAADqbfqw=")</f>
        <v>#VALUE!</v>
      </c>
      <c r="FR12">
        <f>IF(Plan1!429:429,"AAAAADqbfq0=",0)</f>
        <v>0</v>
      </c>
      <c r="FS12" t="e">
        <f>AND(Plan1!A429,"AAAAADqbfq4=")</f>
        <v>#VALUE!</v>
      </c>
      <c r="FT12" t="e">
        <f>AND(Plan1!B429,"AAAAADqbfq8=")</f>
        <v>#VALUE!</v>
      </c>
      <c r="FU12" t="e">
        <f>AND(Plan1!C429,"AAAAADqbfrA=")</f>
        <v>#VALUE!</v>
      </c>
      <c r="FV12" t="e">
        <f>AND(Plan1!D429,"AAAAADqbfrE=")</f>
        <v>#VALUE!</v>
      </c>
      <c r="FW12" t="e">
        <f>AND(Plan1!E429,"AAAAADqbfrI=")</f>
        <v>#VALUE!</v>
      </c>
      <c r="FX12" t="e">
        <f>AND(Plan1!F429,"AAAAADqbfrM=")</f>
        <v>#VALUE!</v>
      </c>
      <c r="FY12">
        <f>IF(Plan1!430:430,"AAAAADqbfrQ=",0)</f>
        <v>0</v>
      </c>
      <c r="FZ12" t="e">
        <f>AND(Plan1!A430,"AAAAADqbfrU=")</f>
        <v>#VALUE!</v>
      </c>
      <c r="GA12" t="e">
        <f>AND(Plan1!B430,"AAAAADqbfrY=")</f>
        <v>#VALUE!</v>
      </c>
      <c r="GB12" t="e">
        <f>AND(Plan1!C430,"AAAAADqbfrc=")</f>
        <v>#VALUE!</v>
      </c>
      <c r="GC12" t="e">
        <f>AND(Plan1!D430,"AAAAADqbfrg=")</f>
        <v>#VALUE!</v>
      </c>
      <c r="GD12" t="e">
        <f>AND(Plan1!E430,"AAAAADqbfrk=")</f>
        <v>#VALUE!</v>
      </c>
      <c r="GE12" t="e">
        <f>AND(Plan1!F430,"AAAAADqbfro=")</f>
        <v>#VALUE!</v>
      </c>
      <c r="GF12">
        <f>IF(Plan1!431:431,"AAAAADqbfrs=",0)</f>
        <v>0</v>
      </c>
      <c r="GG12" t="e">
        <f>AND(Plan1!A431,"AAAAADqbfrw=")</f>
        <v>#VALUE!</v>
      </c>
      <c r="GH12" t="e">
        <f>AND(Plan1!B431,"AAAAADqbfr0=")</f>
        <v>#VALUE!</v>
      </c>
      <c r="GI12" t="e">
        <f>AND(Plan1!C431,"AAAAADqbfr4=")</f>
        <v>#VALUE!</v>
      </c>
      <c r="GJ12" t="e">
        <f>AND(Plan1!D431,"AAAAADqbfr8=")</f>
        <v>#VALUE!</v>
      </c>
      <c r="GK12" t="e">
        <f>AND(Plan1!E431,"AAAAADqbfsA=")</f>
        <v>#VALUE!</v>
      </c>
      <c r="GL12" t="e">
        <f>AND(Plan1!F431,"AAAAADqbfsE=")</f>
        <v>#VALUE!</v>
      </c>
      <c r="GM12">
        <f>IF(Plan1!432:432,"AAAAADqbfsI=",0)</f>
        <v>0</v>
      </c>
      <c r="GN12" t="e">
        <f>AND(Plan1!A432,"AAAAADqbfsM=")</f>
        <v>#VALUE!</v>
      </c>
      <c r="GO12" t="e">
        <f>AND(Plan1!B432,"AAAAADqbfsQ=")</f>
        <v>#VALUE!</v>
      </c>
      <c r="GP12" t="e">
        <f>AND(Plan1!C432,"AAAAADqbfsU=")</f>
        <v>#VALUE!</v>
      </c>
      <c r="GQ12" t="e">
        <f>AND(Plan1!D432,"AAAAADqbfsY=")</f>
        <v>#VALUE!</v>
      </c>
      <c r="GR12" t="e">
        <f>AND(Plan1!E432,"AAAAADqbfsc=")</f>
        <v>#VALUE!</v>
      </c>
      <c r="GS12" t="e">
        <f>AND(Plan1!F432,"AAAAADqbfsg=")</f>
        <v>#VALUE!</v>
      </c>
      <c r="GT12">
        <f>IF(Plan1!433:433,"AAAAADqbfsk=",0)</f>
        <v>0</v>
      </c>
      <c r="GU12" t="e">
        <f>AND(Plan1!A433,"AAAAADqbfso=")</f>
        <v>#VALUE!</v>
      </c>
      <c r="GV12" t="e">
        <f>AND(Plan1!B433,"AAAAADqbfss=")</f>
        <v>#VALUE!</v>
      </c>
      <c r="GW12" t="e">
        <f>AND(Plan1!C433,"AAAAADqbfsw=")</f>
        <v>#VALUE!</v>
      </c>
      <c r="GX12" t="e">
        <f>AND(Plan1!D433,"AAAAADqbfs0=")</f>
        <v>#VALUE!</v>
      </c>
      <c r="GY12" t="e">
        <f>AND(Plan1!E433,"AAAAADqbfs4=")</f>
        <v>#VALUE!</v>
      </c>
      <c r="GZ12" t="e">
        <f>AND(Plan1!F433,"AAAAADqbfs8=")</f>
        <v>#VALUE!</v>
      </c>
      <c r="HA12">
        <f>IF(Plan1!434:434,"AAAAADqbftA=",0)</f>
        <v>0</v>
      </c>
      <c r="HB12" t="e">
        <f>AND(Plan1!A434,"AAAAADqbftE=")</f>
        <v>#VALUE!</v>
      </c>
      <c r="HC12" t="e">
        <f>AND(Plan1!B434,"AAAAADqbftI=")</f>
        <v>#VALUE!</v>
      </c>
      <c r="HD12" t="e">
        <f>AND(Plan1!C434,"AAAAADqbftM=")</f>
        <v>#VALUE!</v>
      </c>
      <c r="HE12" t="e">
        <f>AND(Plan1!D434,"AAAAADqbftQ=")</f>
        <v>#VALUE!</v>
      </c>
      <c r="HF12" t="e">
        <f>AND(Plan1!E434,"AAAAADqbftU=")</f>
        <v>#VALUE!</v>
      </c>
      <c r="HG12" t="e">
        <f>AND(Plan1!F434,"AAAAADqbftY=")</f>
        <v>#VALUE!</v>
      </c>
      <c r="HH12">
        <f>IF(Plan1!435:435,"AAAAADqbftc=",0)</f>
        <v>0</v>
      </c>
      <c r="HI12" t="e">
        <f>AND(Plan1!A435,"AAAAADqbftg=")</f>
        <v>#VALUE!</v>
      </c>
      <c r="HJ12" t="e">
        <f>AND(Plan1!B435,"AAAAADqbftk=")</f>
        <v>#VALUE!</v>
      </c>
      <c r="HK12" t="e">
        <f>AND(Plan1!C435,"AAAAADqbfto=")</f>
        <v>#VALUE!</v>
      </c>
      <c r="HL12" t="e">
        <f>AND(Plan1!D435,"AAAAADqbfts=")</f>
        <v>#VALUE!</v>
      </c>
      <c r="HM12" t="e">
        <f>AND(Plan1!E435,"AAAAADqbftw=")</f>
        <v>#VALUE!</v>
      </c>
      <c r="HN12" t="e">
        <f>AND(Plan1!F435,"AAAAADqbft0=")</f>
        <v>#VALUE!</v>
      </c>
      <c r="HO12">
        <f>IF(Plan1!436:436,"AAAAADqbft4=",0)</f>
        <v>0</v>
      </c>
      <c r="HP12" t="e">
        <f>AND(Plan1!A436,"AAAAADqbft8=")</f>
        <v>#VALUE!</v>
      </c>
      <c r="HQ12" t="e">
        <f>AND(Plan1!B436,"AAAAADqbfuA=")</f>
        <v>#VALUE!</v>
      </c>
      <c r="HR12" t="e">
        <f>AND(Plan1!C436,"AAAAADqbfuE=")</f>
        <v>#VALUE!</v>
      </c>
      <c r="HS12" t="e">
        <f>AND(Plan1!D436,"AAAAADqbfuI=")</f>
        <v>#VALUE!</v>
      </c>
      <c r="HT12" t="e">
        <f>AND(Plan1!E436,"AAAAADqbfuM=")</f>
        <v>#VALUE!</v>
      </c>
      <c r="HU12" t="e">
        <f>AND(Plan1!F436,"AAAAADqbfuQ=")</f>
        <v>#VALUE!</v>
      </c>
      <c r="HV12">
        <f>IF(Plan1!437:437,"AAAAADqbfuU=",0)</f>
        <v>0</v>
      </c>
      <c r="HW12" t="e">
        <f>AND(Plan1!A437,"AAAAADqbfuY=")</f>
        <v>#VALUE!</v>
      </c>
      <c r="HX12" t="e">
        <f>AND(Plan1!B437,"AAAAADqbfuc=")</f>
        <v>#VALUE!</v>
      </c>
      <c r="HY12" t="e">
        <f>AND(Plan1!C437,"AAAAADqbfug=")</f>
        <v>#VALUE!</v>
      </c>
      <c r="HZ12" t="e">
        <f>AND(Plan1!D437,"AAAAADqbfuk=")</f>
        <v>#VALUE!</v>
      </c>
      <c r="IA12" t="e">
        <f>AND(Plan1!E437,"AAAAADqbfuo=")</f>
        <v>#VALUE!</v>
      </c>
      <c r="IB12" t="e">
        <f>AND(Plan1!F437,"AAAAADqbfus=")</f>
        <v>#VALUE!</v>
      </c>
      <c r="IC12">
        <f>IF(Plan1!438:438,"AAAAADqbfuw=",0)</f>
        <v>0</v>
      </c>
      <c r="ID12" t="e">
        <f>AND(Plan1!A438,"AAAAADqbfu0=")</f>
        <v>#VALUE!</v>
      </c>
      <c r="IE12" t="e">
        <f>AND(Plan1!B438,"AAAAADqbfu4=")</f>
        <v>#VALUE!</v>
      </c>
      <c r="IF12" t="e">
        <f>AND(Plan1!C438,"AAAAADqbfu8=")</f>
        <v>#VALUE!</v>
      </c>
      <c r="IG12" t="e">
        <f>AND(Plan1!D438,"AAAAADqbfvA=")</f>
        <v>#VALUE!</v>
      </c>
      <c r="IH12" t="e">
        <f>AND(Plan1!E438,"AAAAADqbfvE=")</f>
        <v>#VALUE!</v>
      </c>
      <c r="II12" t="e">
        <f>AND(Plan1!F438,"AAAAADqbfvI=")</f>
        <v>#VALUE!</v>
      </c>
      <c r="IJ12">
        <f>IF(Plan1!439:439,"AAAAADqbfvM=",0)</f>
        <v>0</v>
      </c>
      <c r="IK12" t="e">
        <f>AND(Plan1!A439,"AAAAADqbfvQ=")</f>
        <v>#VALUE!</v>
      </c>
      <c r="IL12" t="e">
        <f>AND(Plan1!B439,"AAAAADqbfvU=")</f>
        <v>#VALUE!</v>
      </c>
      <c r="IM12" t="e">
        <f>AND(Plan1!C439,"AAAAADqbfvY=")</f>
        <v>#VALUE!</v>
      </c>
      <c r="IN12" t="e">
        <f>AND(Plan1!D439,"AAAAADqbfvc=")</f>
        <v>#VALUE!</v>
      </c>
      <c r="IO12" t="e">
        <f>AND(Plan1!E439,"AAAAADqbfvg=")</f>
        <v>#VALUE!</v>
      </c>
      <c r="IP12" t="e">
        <f>AND(Plan1!F439,"AAAAADqbfvk=")</f>
        <v>#VALUE!</v>
      </c>
      <c r="IQ12">
        <f>IF(Plan1!440:440,"AAAAADqbfvo=",0)</f>
        <v>0</v>
      </c>
      <c r="IR12" t="e">
        <f>AND(Plan1!A440,"AAAAADqbfvs=")</f>
        <v>#VALUE!</v>
      </c>
      <c r="IS12" t="e">
        <f>AND(Plan1!B440,"AAAAADqbfvw=")</f>
        <v>#VALUE!</v>
      </c>
      <c r="IT12" t="e">
        <f>AND(Plan1!C440,"AAAAADqbfv0=")</f>
        <v>#VALUE!</v>
      </c>
      <c r="IU12" t="e">
        <f>AND(Plan1!D440,"AAAAADqbfv4=")</f>
        <v>#VALUE!</v>
      </c>
      <c r="IV12" t="e">
        <f>AND(Plan1!E440,"AAAAADqbfv8=")</f>
        <v>#VALUE!</v>
      </c>
    </row>
    <row r="13" spans="1:256">
      <c r="A13" t="e">
        <f>AND(Plan1!F440,"AAAAABOvTwA=")</f>
        <v>#VALUE!</v>
      </c>
      <c r="B13" t="e">
        <f>IF(Plan1!441:441,"AAAAABOvTwE=",0)</f>
        <v>#VALUE!</v>
      </c>
      <c r="C13" t="e">
        <f>AND(Plan1!A441,"AAAAABOvTwI=")</f>
        <v>#VALUE!</v>
      </c>
      <c r="D13" t="e">
        <f>AND(Plan1!B441,"AAAAABOvTwM=")</f>
        <v>#VALUE!</v>
      </c>
      <c r="E13" t="e">
        <f>AND(Plan1!C441,"AAAAABOvTwQ=")</f>
        <v>#VALUE!</v>
      </c>
      <c r="F13" t="e">
        <f>AND(Plan1!D441,"AAAAABOvTwU=")</f>
        <v>#VALUE!</v>
      </c>
      <c r="G13" t="e">
        <f>AND(Plan1!E441,"AAAAABOvTwY=")</f>
        <v>#VALUE!</v>
      </c>
      <c r="H13" t="e">
        <f>AND(Plan1!F441,"AAAAABOvTwc=")</f>
        <v>#VALUE!</v>
      </c>
      <c r="I13">
        <f>IF(Plan1!442:442,"AAAAABOvTwg=",0)</f>
        <v>0</v>
      </c>
      <c r="J13" t="e">
        <f>AND(Plan1!A442,"AAAAABOvTwk=")</f>
        <v>#VALUE!</v>
      </c>
      <c r="K13" t="e">
        <f>AND(Plan1!B442,"AAAAABOvTwo=")</f>
        <v>#VALUE!</v>
      </c>
      <c r="L13" t="e">
        <f>AND(Plan1!C442,"AAAAABOvTws=")</f>
        <v>#VALUE!</v>
      </c>
      <c r="M13" t="e">
        <f>AND(Plan1!D442,"AAAAABOvTww=")</f>
        <v>#VALUE!</v>
      </c>
      <c r="N13" t="e">
        <f>AND(Plan1!E442,"AAAAABOvTw0=")</f>
        <v>#VALUE!</v>
      </c>
      <c r="O13" t="e">
        <f>AND(Plan1!F442,"AAAAABOvTw4=")</f>
        <v>#VALUE!</v>
      </c>
      <c r="P13">
        <f>IF(Plan1!443:443,"AAAAABOvTw8=",0)</f>
        <v>0</v>
      </c>
      <c r="Q13" t="e">
        <f>AND(Plan1!A443,"AAAAABOvTxA=")</f>
        <v>#VALUE!</v>
      </c>
      <c r="R13" t="e">
        <f>AND(Plan1!B443,"AAAAABOvTxE=")</f>
        <v>#VALUE!</v>
      </c>
      <c r="S13" t="e">
        <f>AND(Plan1!C443,"AAAAABOvTxI=")</f>
        <v>#VALUE!</v>
      </c>
      <c r="T13" t="e">
        <f>AND(Plan1!D443,"AAAAABOvTxM=")</f>
        <v>#VALUE!</v>
      </c>
      <c r="U13" t="e">
        <f>AND(Plan1!E443,"AAAAABOvTxQ=")</f>
        <v>#VALUE!</v>
      </c>
      <c r="V13" t="e">
        <f>AND(Plan1!F443,"AAAAABOvTxU=")</f>
        <v>#VALUE!</v>
      </c>
      <c r="W13">
        <f>IF(Plan1!444:444,"AAAAABOvTxY=",0)</f>
        <v>0</v>
      </c>
      <c r="X13" t="e">
        <f>AND(Plan1!A444,"AAAAABOvTxc=")</f>
        <v>#VALUE!</v>
      </c>
      <c r="Y13" t="e">
        <f>AND(Plan1!B444,"AAAAABOvTxg=")</f>
        <v>#VALUE!</v>
      </c>
      <c r="Z13" t="e">
        <f>AND(Plan1!C444,"AAAAABOvTxk=")</f>
        <v>#VALUE!</v>
      </c>
      <c r="AA13" t="e">
        <f>AND(Plan1!D444,"AAAAABOvTxo=")</f>
        <v>#VALUE!</v>
      </c>
      <c r="AB13" t="e">
        <f>AND(Plan1!E444,"AAAAABOvTxs=")</f>
        <v>#VALUE!</v>
      </c>
      <c r="AC13" t="e">
        <f>AND(Plan1!F444,"AAAAABOvTxw=")</f>
        <v>#VALUE!</v>
      </c>
      <c r="AD13">
        <f>IF(Plan1!445:445,"AAAAABOvTx0=",0)</f>
        <v>0</v>
      </c>
      <c r="AE13" t="e">
        <f>AND(Plan1!A445,"AAAAABOvTx4=")</f>
        <v>#VALUE!</v>
      </c>
      <c r="AF13" t="e">
        <f>AND(Plan1!B445,"AAAAABOvTx8=")</f>
        <v>#VALUE!</v>
      </c>
      <c r="AG13" t="e">
        <f>AND(Plan1!C445,"AAAAABOvTyA=")</f>
        <v>#VALUE!</v>
      </c>
      <c r="AH13" t="e">
        <f>AND(Plan1!D445,"AAAAABOvTyE=")</f>
        <v>#VALUE!</v>
      </c>
      <c r="AI13" t="e">
        <f>AND(Plan1!E445,"AAAAABOvTyI=")</f>
        <v>#VALUE!</v>
      </c>
      <c r="AJ13" t="e">
        <f>AND(Plan1!F445,"AAAAABOvTyM=")</f>
        <v>#VALUE!</v>
      </c>
      <c r="AK13">
        <f>IF(Plan1!446:446,"AAAAABOvTyQ=",0)</f>
        <v>0</v>
      </c>
      <c r="AL13" t="e">
        <f>AND(Plan1!A446,"AAAAABOvTyU=")</f>
        <v>#VALUE!</v>
      </c>
      <c r="AM13" t="e">
        <f>AND(Plan1!B446,"AAAAABOvTyY=")</f>
        <v>#VALUE!</v>
      </c>
      <c r="AN13" t="e">
        <f>AND(Plan1!C446,"AAAAABOvTyc=")</f>
        <v>#VALUE!</v>
      </c>
      <c r="AO13" t="e">
        <f>AND(Plan1!D446,"AAAAABOvTyg=")</f>
        <v>#VALUE!</v>
      </c>
      <c r="AP13" t="e">
        <f>AND(Plan1!E446,"AAAAABOvTyk=")</f>
        <v>#VALUE!</v>
      </c>
      <c r="AQ13" t="e">
        <f>AND(Plan1!F446,"AAAAABOvTyo=")</f>
        <v>#VALUE!</v>
      </c>
      <c r="AR13">
        <f>IF(Plan1!447:447,"AAAAABOvTys=",0)</f>
        <v>0</v>
      </c>
      <c r="AS13" t="e">
        <f>AND(Plan1!A447,"AAAAABOvTyw=")</f>
        <v>#VALUE!</v>
      </c>
      <c r="AT13" t="e">
        <f>AND(Plan1!B447,"AAAAABOvTy0=")</f>
        <v>#VALUE!</v>
      </c>
      <c r="AU13" t="e">
        <f>AND(Plan1!C447,"AAAAABOvTy4=")</f>
        <v>#VALUE!</v>
      </c>
      <c r="AV13" t="e">
        <f>AND(Plan1!D447,"AAAAABOvTy8=")</f>
        <v>#VALUE!</v>
      </c>
      <c r="AW13" t="e">
        <f>AND(Plan1!E447,"AAAAABOvTzA=")</f>
        <v>#VALUE!</v>
      </c>
      <c r="AX13" t="e">
        <f>AND(Plan1!F447,"AAAAABOvTzE=")</f>
        <v>#VALUE!</v>
      </c>
      <c r="AY13">
        <f>IF(Plan1!448:448,"AAAAABOvTzI=",0)</f>
        <v>0</v>
      </c>
      <c r="AZ13" t="e">
        <f>AND(Plan1!A448,"AAAAABOvTzM=")</f>
        <v>#VALUE!</v>
      </c>
      <c r="BA13" t="e">
        <f>AND(Plan1!B448,"AAAAABOvTzQ=")</f>
        <v>#VALUE!</v>
      </c>
      <c r="BB13" t="e">
        <f>AND(Plan1!C448,"AAAAABOvTzU=")</f>
        <v>#VALUE!</v>
      </c>
      <c r="BC13" t="e">
        <f>AND(Plan1!D448,"AAAAABOvTzY=")</f>
        <v>#VALUE!</v>
      </c>
      <c r="BD13" t="e">
        <f>AND(Plan1!E448,"AAAAABOvTzc=")</f>
        <v>#VALUE!</v>
      </c>
      <c r="BE13" t="e">
        <f>AND(Plan1!F448,"AAAAABOvTzg=")</f>
        <v>#VALUE!</v>
      </c>
      <c r="BF13">
        <f>IF(Plan1!449:449,"AAAAABOvTzk=",0)</f>
        <v>0</v>
      </c>
      <c r="BG13" t="e">
        <f>AND(Plan1!A449,"AAAAABOvTzo=")</f>
        <v>#VALUE!</v>
      </c>
      <c r="BH13" t="e">
        <f>AND(Plan1!B449,"AAAAABOvTzs=")</f>
        <v>#VALUE!</v>
      </c>
      <c r="BI13" t="e">
        <f>AND(Plan1!C449,"AAAAABOvTzw=")</f>
        <v>#VALUE!</v>
      </c>
      <c r="BJ13" t="e">
        <f>AND(Plan1!D449,"AAAAABOvTz0=")</f>
        <v>#VALUE!</v>
      </c>
      <c r="BK13" t="e">
        <f>AND(Plan1!E449,"AAAAABOvTz4=")</f>
        <v>#VALUE!</v>
      </c>
      <c r="BL13" t="e">
        <f>AND(Plan1!F449,"AAAAABOvTz8=")</f>
        <v>#VALUE!</v>
      </c>
      <c r="BM13">
        <f>IF(Plan1!450:450,"AAAAABOvT0A=",0)</f>
        <v>0</v>
      </c>
      <c r="BN13" t="e">
        <f>AND(Plan1!A450,"AAAAABOvT0E=")</f>
        <v>#VALUE!</v>
      </c>
      <c r="BO13" t="e">
        <f>AND(Plan1!B450,"AAAAABOvT0I=")</f>
        <v>#VALUE!</v>
      </c>
      <c r="BP13" t="e">
        <f>AND(Plan1!C450,"AAAAABOvT0M=")</f>
        <v>#VALUE!</v>
      </c>
      <c r="BQ13" t="e">
        <f>AND(Plan1!D450,"AAAAABOvT0Q=")</f>
        <v>#VALUE!</v>
      </c>
      <c r="BR13" t="e">
        <f>AND(Plan1!E450,"AAAAABOvT0U=")</f>
        <v>#VALUE!</v>
      </c>
      <c r="BS13" t="e">
        <f>AND(Plan1!F450,"AAAAABOvT0Y=")</f>
        <v>#VALUE!</v>
      </c>
      <c r="BT13">
        <f>IF(Plan1!451:451,"AAAAABOvT0c=",0)</f>
        <v>0</v>
      </c>
      <c r="BU13" t="e">
        <f>AND(Plan1!A451,"AAAAABOvT0g=")</f>
        <v>#VALUE!</v>
      </c>
      <c r="BV13" t="e">
        <f>AND(Plan1!B451,"AAAAABOvT0k=")</f>
        <v>#VALUE!</v>
      </c>
      <c r="BW13" t="e">
        <f>AND(Plan1!C451,"AAAAABOvT0o=")</f>
        <v>#VALUE!</v>
      </c>
      <c r="BX13" t="e">
        <f>AND(Plan1!D451,"AAAAABOvT0s=")</f>
        <v>#VALUE!</v>
      </c>
      <c r="BY13" t="e">
        <f>AND(Plan1!E451,"AAAAABOvT0w=")</f>
        <v>#VALUE!</v>
      </c>
      <c r="BZ13" t="e">
        <f>AND(Plan1!F451,"AAAAABOvT00=")</f>
        <v>#VALUE!</v>
      </c>
      <c r="CA13">
        <f>IF(Plan1!452:452,"AAAAABOvT04=",0)</f>
        <v>0</v>
      </c>
      <c r="CB13" t="e">
        <f>AND(Plan1!A452,"AAAAABOvT08=")</f>
        <v>#VALUE!</v>
      </c>
      <c r="CC13" t="e">
        <f>AND(Plan1!B452,"AAAAABOvT1A=")</f>
        <v>#VALUE!</v>
      </c>
      <c r="CD13" t="e">
        <f>AND(Plan1!C452,"AAAAABOvT1E=")</f>
        <v>#VALUE!</v>
      </c>
      <c r="CE13" t="e">
        <f>AND(Plan1!D452,"AAAAABOvT1I=")</f>
        <v>#VALUE!</v>
      </c>
      <c r="CF13" t="e">
        <f>AND(Plan1!E452,"AAAAABOvT1M=")</f>
        <v>#VALUE!</v>
      </c>
      <c r="CG13" t="e">
        <f>AND(Plan1!F452,"AAAAABOvT1Q=")</f>
        <v>#VALUE!</v>
      </c>
      <c r="CH13">
        <f>IF(Plan1!453:453,"AAAAABOvT1U=",0)</f>
        <v>0</v>
      </c>
      <c r="CI13" t="e">
        <f>AND(Plan1!A453,"AAAAABOvT1Y=")</f>
        <v>#VALUE!</v>
      </c>
      <c r="CJ13" t="e">
        <f>AND(Plan1!B453,"AAAAABOvT1c=")</f>
        <v>#VALUE!</v>
      </c>
      <c r="CK13" t="e">
        <f>AND(Plan1!C453,"AAAAABOvT1g=")</f>
        <v>#VALUE!</v>
      </c>
      <c r="CL13" t="e">
        <f>AND(Plan1!D453,"AAAAABOvT1k=")</f>
        <v>#VALUE!</v>
      </c>
      <c r="CM13" t="e">
        <f>AND(Plan1!E453,"AAAAABOvT1o=")</f>
        <v>#VALUE!</v>
      </c>
      <c r="CN13" t="e">
        <f>AND(Plan1!F453,"AAAAABOvT1s=")</f>
        <v>#VALUE!</v>
      </c>
      <c r="CO13">
        <f>IF(Plan1!454:454,"AAAAABOvT1w=",0)</f>
        <v>0</v>
      </c>
      <c r="CP13" t="e">
        <f>AND(Plan1!A454,"AAAAABOvT10=")</f>
        <v>#VALUE!</v>
      </c>
      <c r="CQ13" t="e">
        <f>AND(Plan1!B454,"AAAAABOvT14=")</f>
        <v>#VALUE!</v>
      </c>
      <c r="CR13" t="e">
        <f>AND(Plan1!C454,"AAAAABOvT18=")</f>
        <v>#VALUE!</v>
      </c>
      <c r="CS13" t="e">
        <f>AND(Plan1!D454,"AAAAABOvT2A=")</f>
        <v>#VALUE!</v>
      </c>
      <c r="CT13" t="e">
        <f>AND(Plan1!E454,"AAAAABOvT2E=")</f>
        <v>#VALUE!</v>
      </c>
      <c r="CU13" t="e">
        <f>AND(Plan1!F454,"AAAAABOvT2I=")</f>
        <v>#VALUE!</v>
      </c>
      <c r="CV13">
        <f>IF(Plan1!455:455,"AAAAABOvT2M=",0)</f>
        <v>0</v>
      </c>
      <c r="CW13" t="e">
        <f>AND(Plan1!A455,"AAAAABOvT2Q=")</f>
        <v>#VALUE!</v>
      </c>
      <c r="CX13" t="e">
        <f>AND(Plan1!B455,"AAAAABOvT2U=")</f>
        <v>#VALUE!</v>
      </c>
      <c r="CY13" t="e">
        <f>AND(Plan1!C455,"AAAAABOvT2Y=")</f>
        <v>#VALUE!</v>
      </c>
      <c r="CZ13" t="e">
        <f>AND(Plan1!D455,"AAAAABOvT2c=")</f>
        <v>#VALUE!</v>
      </c>
      <c r="DA13" t="e">
        <f>AND(Plan1!E455,"AAAAABOvT2g=")</f>
        <v>#VALUE!</v>
      </c>
      <c r="DB13" t="e">
        <f>AND(Plan1!F455,"AAAAABOvT2k=")</f>
        <v>#VALUE!</v>
      </c>
      <c r="DC13">
        <f>IF(Plan1!456:456,"AAAAABOvT2o=",0)</f>
        <v>0</v>
      </c>
      <c r="DD13" t="e">
        <f>AND(Plan1!A456,"AAAAABOvT2s=")</f>
        <v>#VALUE!</v>
      </c>
      <c r="DE13" t="e">
        <f>AND(Plan1!B456,"AAAAABOvT2w=")</f>
        <v>#VALUE!</v>
      </c>
      <c r="DF13" t="e">
        <f>AND(Plan1!C456,"AAAAABOvT20=")</f>
        <v>#VALUE!</v>
      </c>
      <c r="DG13" t="e">
        <f>AND(Plan1!D456,"AAAAABOvT24=")</f>
        <v>#VALUE!</v>
      </c>
      <c r="DH13" t="e">
        <f>AND(Plan1!E456,"AAAAABOvT28=")</f>
        <v>#VALUE!</v>
      </c>
      <c r="DI13" t="e">
        <f>AND(Plan1!F456,"AAAAABOvT3A=")</f>
        <v>#VALUE!</v>
      </c>
      <c r="DJ13">
        <f>IF(Plan1!457:457,"AAAAABOvT3E=",0)</f>
        <v>0</v>
      </c>
      <c r="DK13" t="e">
        <f>AND(Plan1!A457,"AAAAABOvT3I=")</f>
        <v>#VALUE!</v>
      </c>
      <c r="DL13" t="e">
        <f>AND(Plan1!B457,"AAAAABOvT3M=")</f>
        <v>#VALUE!</v>
      </c>
      <c r="DM13" t="e">
        <f>AND(Plan1!C457,"AAAAABOvT3Q=")</f>
        <v>#VALUE!</v>
      </c>
      <c r="DN13" t="e">
        <f>AND(Plan1!D457,"AAAAABOvT3U=")</f>
        <v>#VALUE!</v>
      </c>
      <c r="DO13" t="e">
        <f>AND(Plan1!E457,"AAAAABOvT3Y=")</f>
        <v>#VALUE!</v>
      </c>
      <c r="DP13" t="e">
        <f>AND(Plan1!F457,"AAAAABOvT3c=")</f>
        <v>#VALUE!</v>
      </c>
      <c r="DQ13">
        <f>IF(Plan1!458:458,"AAAAABOvT3g=",0)</f>
        <v>0</v>
      </c>
      <c r="DR13" t="e">
        <f>AND(Plan1!A458,"AAAAABOvT3k=")</f>
        <v>#VALUE!</v>
      </c>
      <c r="DS13" t="e">
        <f>AND(Plan1!B458,"AAAAABOvT3o=")</f>
        <v>#VALUE!</v>
      </c>
      <c r="DT13" t="e">
        <f>AND(Plan1!C458,"AAAAABOvT3s=")</f>
        <v>#VALUE!</v>
      </c>
      <c r="DU13" t="e">
        <f>AND(Plan1!D458,"AAAAABOvT3w=")</f>
        <v>#VALUE!</v>
      </c>
      <c r="DV13" t="e">
        <f>AND(Plan1!E458,"AAAAABOvT30=")</f>
        <v>#VALUE!</v>
      </c>
      <c r="DW13" t="e">
        <f>AND(Plan1!F458,"AAAAABOvT34=")</f>
        <v>#VALUE!</v>
      </c>
      <c r="DX13">
        <f>IF(Plan1!459:459,"AAAAABOvT38=",0)</f>
        <v>0</v>
      </c>
      <c r="DY13" t="e">
        <f>AND(Plan1!A459,"AAAAABOvT4A=")</f>
        <v>#VALUE!</v>
      </c>
      <c r="DZ13" t="e">
        <f>AND(Plan1!B459,"AAAAABOvT4E=")</f>
        <v>#VALUE!</v>
      </c>
      <c r="EA13" t="e">
        <f>AND(Plan1!C459,"AAAAABOvT4I=")</f>
        <v>#VALUE!</v>
      </c>
      <c r="EB13" t="e">
        <f>AND(Plan1!D459,"AAAAABOvT4M=")</f>
        <v>#VALUE!</v>
      </c>
      <c r="EC13" t="e">
        <f>AND(Plan1!E459,"AAAAABOvT4Q=")</f>
        <v>#VALUE!</v>
      </c>
      <c r="ED13" t="e">
        <f>AND(Plan1!F459,"AAAAABOvT4U=")</f>
        <v>#VALUE!</v>
      </c>
      <c r="EE13">
        <f>IF(Plan1!460:460,"AAAAABOvT4Y=",0)</f>
        <v>0</v>
      </c>
      <c r="EF13" t="e">
        <f>AND(Plan1!A460,"AAAAABOvT4c=")</f>
        <v>#VALUE!</v>
      </c>
      <c r="EG13" t="e">
        <f>AND(Plan1!B460,"AAAAABOvT4g=")</f>
        <v>#VALUE!</v>
      </c>
      <c r="EH13" t="e">
        <f>AND(Plan1!C460,"AAAAABOvT4k=")</f>
        <v>#VALUE!</v>
      </c>
      <c r="EI13" t="e">
        <f>AND(Plan1!D460,"AAAAABOvT4o=")</f>
        <v>#VALUE!</v>
      </c>
      <c r="EJ13" t="e">
        <f>AND(Plan1!E460,"AAAAABOvT4s=")</f>
        <v>#VALUE!</v>
      </c>
      <c r="EK13" t="e">
        <f>AND(Plan1!F460,"AAAAABOvT4w=")</f>
        <v>#VALUE!</v>
      </c>
      <c r="EL13">
        <f>IF(Plan1!461:461,"AAAAABOvT40=",0)</f>
        <v>0</v>
      </c>
      <c r="EM13" t="e">
        <f>AND(Plan1!A461,"AAAAABOvT44=")</f>
        <v>#VALUE!</v>
      </c>
      <c r="EN13" t="e">
        <f>AND(Plan1!B461,"AAAAABOvT48=")</f>
        <v>#VALUE!</v>
      </c>
      <c r="EO13" t="e">
        <f>AND(Plan1!C461,"AAAAABOvT5A=")</f>
        <v>#VALUE!</v>
      </c>
      <c r="EP13" t="e">
        <f>AND(Plan1!D461,"AAAAABOvT5E=")</f>
        <v>#VALUE!</v>
      </c>
      <c r="EQ13" t="e">
        <f>AND(Plan1!E461,"AAAAABOvT5I=")</f>
        <v>#VALUE!</v>
      </c>
      <c r="ER13" t="e">
        <f>AND(Plan1!F461,"AAAAABOvT5M=")</f>
        <v>#VALUE!</v>
      </c>
      <c r="ES13">
        <f>IF(Plan1!462:462,"AAAAABOvT5Q=",0)</f>
        <v>0</v>
      </c>
      <c r="ET13" t="e">
        <f>AND(Plan1!A462,"AAAAABOvT5U=")</f>
        <v>#VALUE!</v>
      </c>
      <c r="EU13" t="e">
        <f>AND(Plan1!B462,"AAAAABOvT5Y=")</f>
        <v>#VALUE!</v>
      </c>
      <c r="EV13" t="e">
        <f>AND(Plan1!C462,"AAAAABOvT5c=")</f>
        <v>#VALUE!</v>
      </c>
      <c r="EW13" t="e">
        <f>AND(Plan1!D462,"AAAAABOvT5g=")</f>
        <v>#VALUE!</v>
      </c>
      <c r="EX13" t="e">
        <f>AND(Plan1!E462,"AAAAABOvT5k=")</f>
        <v>#VALUE!</v>
      </c>
      <c r="EY13" t="e">
        <f>AND(Plan1!F462,"AAAAABOvT5o=")</f>
        <v>#VALUE!</v>
      </c>
      <c r="EZ13">
        <f>IF(Plan1!463:463,"AAAAABOvT5s=",0)</f>
        <v>0</v>
      </c>
      <c r="FA13" t="e">
        <f>AND(Plan1!A463,"AAAAABOvT5w=")</f>
        <v>#VALUE!</v>
      </c>
      <c r="FB13" t="e">
        <f>AND(Plan1!B463,"AAAAABOvT50=")</f>
        <v>#VALUE!</v>
      </c>
      <c r="FC13" t="e">
        <f>AND(Plan1!C463,"AAAAABOvT54=")</f>
        <v>#VALUE!</v>
      </c>
      <c r="FD13" t="e">
        <f>AND(Plan1!D463,"AAAAABOvT58=")</f>
        <v>#VALUE!</v>
      </c>
      <c r="FE13" t="e">
        <f>AND(Plan1!E463,"AAAAABOvT6A=")</f>
        <v>#VALUE!</v>
      </c>
      <c r="FF13" t="e">
        <f>AND(Plan1!F463,"AAAAABOvT6E=")</f>
        <v>#VALUE!</v>
      </c>
      <c r="FG13">
        <f>IF(Plan1!464:464,"AAAAABOvT6I=",0)</f>
        <v>0</v>
      </c>
      <c r="FH13" t="e">
        <f>AND(Plan1!A464,"AAAAABOvT6M=")</f>
        <v>#VALUE!</v>
      </c>
      <c r="FI13" t="e">
        <f>AND(Plan1!B464,"AAAAABOvT6Q=")</f>
        <v>#VALUE!</v>
      </c>
      <c r="FJ13" t="e">
        <f>AND(Plan1!C464,"AAAAABOvT6U=")</f>
        <v>#VALUE!</v>
      </c>
      <c r="FK13" t="e">
        <f>AND(Plan1!D464,"AAAAABOvT6Y=")</f>
        <v>#VALUE!</v>
      </c>
      <c r="FL13" t="e">
        <f>AND(Plan1!E464,"AAAAABOvT6c=")</f>
        <v>#VALUE!</v>
      </c>
      <c r="FM13" t="e">
        <f>AND(Plan1!F464,"AAAAABOvT6g=")</f>
        <v>#VALUE!</v>
      </c>
      <c r="FN13">
        <f>IF(Plan1!465:465,"AAAAABOvT6k=",0)</f>
        <v>0</v>
      </c>
      <c r="FO13" t="e">
        <f>AND(Plan1!A465,"AAAAABOvT6o=")</f>
        <v>#VALUE!</v>
      </c>
      <c r="FP13" t="e">
        <f>AND(Plan1!B465,"AAAAABOvT6s=")</f>
        <v>#VALUE!</v>
      </c>
      <c r="FQ13" t="e">
        <f>AND(Plan1!C465,"AAAAABOvT6w=")</f>
        <v>#VALUE!</v>
      </c>
      <c r="FR13" t="e">
        <f>AND(Plan1!D465,"AAAAABOvT60=")</f>
        <v>#VALUE!</v>
      </c>
      <c r="FS13" t="e">
        <f>AND(Plan1!E465,"AAAAABOvT64=")</f>
        <v>#VALUE!</v>
      </c>
      <c r="FT13" t="e">
        <f>AND(Plan1!F465,"AAAAABOvT68=")</f>
        <v>#VALUE!</v>
      </c>
      <c r="FU13">
        <f>IF(Plan1!466:466,"AAAAABOvT7A=",0)</f>
        <v>0</v>
      </c>
      <c r="FV13" t="e">
        <f>AND(Plan1!A466,"AAAAABOvT7E=")</f>
        <v>#VALUE!</v>
      </c>
      <c r="FW13" t="e">
        <f>AND(Plan1!B466,"AAAAABOvT7I=")</f>
        <v>#VALUE!</v>
      </c>
      <c r="FX13" t="e">
        <f>AND(Plan1!C466,"AAAAABOvT7M=")</f>
        <v>#VALUE!</v>
      </c>
      <c r="FY13" t="e">
        <f>AND(Plan1!D466,"AAAAABOvT7Q=")</f>
        <v>#VALUE!</v>
      </c>
      <c r="FZ13" t="e">
        <f>AND(Plan1!E466,"AAAAABOvT7U=")</f>
        <v>#VALUE!</v>
      </c>
      <c r="GA13" t="e">
        <f>AND(Plan1!F466,"AAAAABOvT7Y=")</f>
        <v>#VALUE!</v>
      </c>
      <c r="GB13">
        <f>IF(Plan1!467:467,"AAAAABOvT7c=",0)</f>
        <v>0</v>
      </c>
      <c r="GC13" t="e">
        <f>AND(Plan1!A467,"AAAAABOvT7g=")</f>
        <v>#VALUE!</v>
      </c>
      <c r="GD13" t="e">
        <f>AND(Plan1!B467,"AAAAABOvT7k=")</f>
        <v>#VALUE!</v>
      </c>
      <c r="GE13" t="e">
        <f>AND(Plan1!C467,"AAAAABOvT7o=")</f>
        <v>#VALUE!</v>
      </c>
      <c r="GF13" t="e">
        <f>AND(Plan1!D467,"AAAAABOvT7s=")</f>
        <v>#VALUE!</v>
      </c>
      <c r="GG13" t="e">
        <f>AND(Plan1!E467,"AAAAABOvT7w=")</f>
        <v>#VALUE!</v>
      </c>
      <c r="GH13" t="e">
        <f>AND(Plan1!F467,"AAAAABOvT70=")</f>
        <v>#VALUE!</v>
      </c>
      <c r="GI13">
        <f>IF(Plan1!468:468,"AAAAABOvT74=",0)</f>
        <v>0</v>
      </c>
      <c r="GJ13" t="e">
        <f>AND(Plan1!A468,"AAAAABOvT78=")</f>
        <v>#VALUE!</v>
      </c>
      <c r="GK13" t="e">
        <f>AND(Plan1!B468,"AAAAABOvT8A=")</f>
        <v>#VALUE!</v>
      </c>
      <c r="GL13" t="e">
        <f>AND(Plan1!C468,"AAAAABOvT8E=")</f>
        <v>#VALUE!</v>
      </c>
      <c r="GM13" t="e">
        <f>AND(Plan1!D468,"AAAAABOvT8I=")</f>
        <v>#VALUE!</v>
      </c>
      <c r="GN13" t="e">
        <f>AND(Plan1!E468,"AAAAABOvT8M=")</f>
        <v>#VALUE!</v>
      </c>
      <c r="GO13" t="e">
        <f>AND(Plan1!F468,"AAAAABOvT8Q=")</f>
        <v>#VALUE!</v>
      </c>
      <c r="GP13">
        <f>IF(Plan1!469:469,"AAAAABOvT8U=",0)</f>
        <v>0</v>
      </c>
      <c r="GQ13" t="e">
        <f>AND(Plan1!A469,"AAAAABOvT8Y=")</f>
        <v>#VALUE!</v>
      </c>
      <c r="GR13" t="e">
        <f>AND(Plan1!B469,"AAAAABOvT8c=")</f>
        <v>#VALUE!</v>
      </c>
      <c r="GS13" t="e">
        <f>AND(Plan1!C469,"AAAAABOvT8g=")</f>
        <v>#VALUE!</v>
      </c>
      <c r="GT13" t="e">
        <f>AND(Plan1!D469,"AAAAABOvT8k=")</f>
        <v>#VALUE!</v>
      </c>
      <c r="GU13" t="e">
        <f>AND(Plan1!E469,"AAAAABOvT8o=")</f>
        <v>#VALUE!</v>
      </c>
      <c r="GV13" t="e">
        <f>AND(Plan1!F469,"AAAAABOvT8s=")</f>
        <v>#VALUE!</v>
      </c>
      <c r="GW13">
        <f>IF(Plan1!470:470,"AAAAABOvT8w=",0)</f>
        <v>0</v>
      </c>
      <c r="GX13" t="e">
        <f>AND(Plan1!A470,"AAAAABOvT80=")</f>
        <v>#VALUE!</v>
      </c>
      <c r="GY13" t="e">
        <f>AND(Plan1!B470,"AAAAABOvT84=")</f>
        <v>#VALUE!</v>
      </c>
      <c r="GZ13" t="e">
        <f>AND(Plan1!C470,"AAAAABOvT88=")</f>
        <v>#VALUE!</v>
      </c>
      <c r="HA13" t="e">
        <f>AND(Plan1!D470,"AAAAABOvT9A=")</f>
        <v>#VALUE!</v>
      </c>
      <c r="HB13" t="e">
        <f>AND(Plan1!E470,"AAAAABOvT9E=")</f>
        <v>#VALUE!</v>
      </c>
      <c r="HC13" t="e">
        <f>AND(Plan1!F470,"AAAAABOvT9I=")</f>
        <v>#VALUE!</v>
      </c>
      <c r="HD13">
        <f>IF(Plan1!471:471,"AAAAABOvT9M=",0)</f>
        <v>0</v>
      </c>
      <c r="HE13" t="e">
        <f>AND(Plan1!A471,"AAAAABOvT9Q=")</f>
        <v>#VALUE!</v>
      </c>
      <c r="HF13" t="e">
        <f>AND(Plan1!B471,"AAAAABOvT9U=")</f>
        <v>#VALUE!</v>
      </c>
      <c r="HG13" t="e">
        <f>AND(Plan1!C471,"AAAAABOvT9Y=")</f>
        <v>#VALUE!</v>
      </c>
      <c r="HH13" t="e">
        <f>AND(Plan1!D471,"AAAAABOvT9c=")</f>
        <v>#VALUE!</v>
      </c>
      <c r="HI13" t="e">
        <f>AND(Plan1!E471,"AAAAABOvT9g=")</f>
        <v>#VALUE!</v>
      </c>
      <c r="HJ13" t="e">
        <f>AND(Plan1!F471,"AAAAABOvT9k=")</f>
        <v>#VALUE!</v>
      </c>
      <c r="HK13">
        <f>IF(Plan1!472:472,"AAAAABOvT9o=",0)</f>
        <v>0</v>
      </c>
      <c r="HL13" t="e">
        <f>AND(Plan1!A472,"AAAAABOvT9s=")</f>
        <v>#VALUE!</v>
      </c>
      <c r="HM13" t="e">
        <f>AND(Plan1!B472,"AAAAABOvT9w=")</f>
        <v>#VALUE!</v>
      </c>
      <c r="HN13" t="e">
        <f>AND(Plan1!C472,"AAAAABOvT90=")</f>
        <v>#VALUE!</v>
      </c>
      <c r="HO13" t="e">
        <f>AND(Plan1!D472,"AAAAABOvT94=")</f>
        <v>#VALUE!</v>
      </c>
      <c r="HP13" t="e">
        <f>AND(Plan1!E472,"AAAAABOvT98=")</f>
        <v>#VALUE!</v>
      </c>
      <c r="HQ13" t="e">
        <f>AND(Plan1!F472,"AAAAABOvT+A=")</f>
        <v>#VALUE!</v>
      </c>
      <c r="HR13">
        <f>IF(Plan1!473:473,"AAAAABOvT+E=",0)</f>
        <v>0</v>
      </c>
      <c r="HS13" t="e">
        <f>AND(Plan1!A473,"AAAAABOvT+I=")</f>
        <v>#VALUE!</v>
      </c>
      <c r="HT13" t="e">
        <f>AND(Plan1!B473,"AAAAABOvT+M=")</f>
        <v>#VALUE!</v>
      </c>
      <c r="HU13" t="e">
        <f>AND(Plan1!C473,"AAAAABOvT+Q=")</f>
        <v>#VALUE!</v>
      </c>
      <c r="HV13" t="e">
        <f>AND(Plan1!D473,"AAAAABOvT+U=")</f>
        <v>#VALUE!</v>
      </c>
      <c r="HW13" t="e">
        <f>AND(Plan1!E473,"AAAAABOvT+Y=")</f>
        <v>#VALUE!</v>
      </c>
      <c r="HX13" t="e">
        <f>AND(Plan1!F473,"AAAAABOvT+c=")</f>
        <v>#VALUE!</v>
      </c>
      <c r="HY13">
        <f>IF(Plan1!474:474,"AAAAABOvT+g=",0)</f>
        <v>0</v>
      </c>
      <c r="HZ13" t="e">
        <f>AND(Plan1!A474,"AAAAABOvT+k=")</f>
        <v>#VALUE!</v>
      </c>
      <c r="IA13" t="e">
        <f>AND(Plan1!B474,"AAAAABOvT+o=")</f>
        <v>#VALUE!</v>
      </c>
      <c r="IB13" t="e">
        <f>AND(Plan1!C474,"AAAAABOvT+s=")</f>
        <v>#VALUE!</v>
      </c>
      <c r="IC13" t="e">
        <f>AND(Plan1!D474,"AAAAABOvT+w=")</f>
        <v>#VALUE!</v>
      </c>
      <c r="ID13" t="e">
        <f>AND(Plan1!E474,"AAAAABOvT+0=")</f>
        <v>#VALUE!</v>
      </c>
      <c r="IE13" t="e">
        <f>AND(Plan1!F474,"AAAAABOvT+4=")</f>
        <v>#VALUE!</v>
      </c>
      <c r="IF13">
        <f>IF(Plan1!475:475,"AAAAABOvT+8=",0)</f>
        <v>0</v>
      </c>
      <c r="IG13" t="e">
        <f>AND(Plan1!A475,"AAAAABOvT/A=")</f>
        <v>#VALUE!</v>
      </c>
      <c r="IH13" t="e">
        <f>AND(Plan1!B475,"AAAAABOvT/E=")</f>
        <v>#VALUE!</v>
      </c>
      <c r="II13" t="e">
        <f>AND(Plan1!C475,"AAAAABOvT/I=")</f>
        <v>#VALUE!</v>
      </c>
      <c r="IJ13" t="e">
        <f>AND(Plan1!D475,"AAAAABOvT/M=")</f>
        <v>#VALUE!</v>
      </c>
      <c r="IK13" t="e">
        <f>AND(Plan1!E475,"AAAAABOvT/Q=")</f>
        <v>#VALUE!</v>
      </c>
      <c r="IL13" t="e">
        <f>AND(Plan1!F475,"AAAAABOvT/U=")</f>
        <v>#VALUE!</v>
      </c>
      <c r="IM13">
        <f>IF(Plan1!476:476,"AAAAABOvT/Y=",0)</f>
        <v>0</v>
      </c>
      <c r="IN13" t="e">
        <f>AND(Plan1!A476,"AAAAABOvT/c=")</f>
        <v>#VALUE!</v>
      </c>
      <c r="IO13" t="e">
        <f>AND(Plan1!B476,"AAAAABOvT/g=")</f>
        <v>#VALUE!</v>
      </c>
      <c r="IP13" t="e">
        <f>AND(Plan1!C476,"AAAAABOvT/k=")</f>
        <v>#VALUE!</v>
      </c>
      <c r="IQ13" t="e">
        <f>AND(Plan1!D476,"AAAAABOvT/o=")</f>
        <v>#VALUE!</v>
      </c>
      <c r="IR13" t="e">
        <f>AND(Plan1!E476,"AAAAABOvT/s=")</f>
        <v>#VALUE!</v>
      </c>
      <c r="IS13" t="e">
        <f>AND(Plan1!F476,"AAAAABOvT/w=")</f>
        <v>#VALUE!</v>
      </c>
      <c r="IT13">
        <f>IF(Plan1!477:477,"AAAAABOvT/0=",0)</f>
        <v>0</v>
      </c>
      <c r="IU13" t="e">
        <f>AND(Plan1!A477,"AAAAABOvT/4=")</f>
        <v>#VALUE!</v>
      </c>
      <c r="IV13" t="e">
        <f>AND(Plan1!B477,"AAAAABOvT/8=")</f>
        <v>#VALUE!</v>
      </c>
    </row>
    <row r="14" spans="1:256">
      <c r="A14" t="e">
        <f>AND(Plan1!C477,"AAAAAHOueAA=")</f>
        <v>#VALUE!</v>
      </c>
      <c r="B14" t="e">
        <f>AND(Plan1!D477,"AAAAAHOueAE=")</f>
        <v>#VALUE!</v>
      </c>
      <c r="C14" t="e">
        <f>AND(Plan1!E477,"AAAAAHOueAI=")</f>
        <v>#VALUE!</v>
      </c>
      <c r="D14" t="e">
        <f>AND(Plan1!F477,"AAAAAHOueAM=")</f>
        <v>#VALUE!</v>
      </c>
      <c r="E14" t="e">
        <f>IF(Plan1!478:478,"AAAAAHOueAQ=",0)</f>
        <v>#VALUE!</v>
      </c>
      <c r="F14" t="e">
        <f>AND(Plan1!A478,"AAAAAHOueAU=")</f>
        <v>#VALUE!</v>
      </c>
      <c r="G14" t="e">
        <f>AND(Plan1!B478,"AAAAAHOueAY=")</f>
        <v>#VALUE!</v>
      </c>
      <c r="H14" t="e">
        <f>AND(Plan1!C478,"AAAAAHOueAc=")</f>
        <v>#VALUE!</v>
      </c>
      <c r="I14" t="e">
        <f>AND(Plan1!D478,"AAAAAHOueAg=")</f>
        <v>#VALUE!</v>
      </c>
      <c r="J14" t="e">
        <f>AND(Plan1!E478,"AAAAAHOueAk=")</f>
        <v>#VALUE!</v>
      </c>
      <c r="K14" t="e">
        <f>AND(Plan1!F478,"AAAAAHOueAo=")</f>
        <v>#VALUE!</v>
      </c>
      <c r="L14">
        <f>IF(Plan1!479:479,"AAAAAHOueAs=",0)</f>
        <v>0</v>
      </c>
      <c r="M14" t="e">
        <f>AND(Plan1!A479,"AAAAAHOueAw=")</f>
        <v>#VALUE!</v>
      </c>
      <c r="N14" t="e">
        <f>AND(Plan1!B479,"AAAAAHOueA0=")</f>
        <v>#VALUE!</v>
      </c>
      <c r="O14" t="e">
        <f>AND(Plan1!C479,"AAAAAHOueA4=")</f>
        <v>#VALUE!</v>
      </c>
      <c r="P14" t="e">
        <f>AND(Plan1!D479,"AAAAAHOueA8=")</f>
        <v>#VALUE!</v>
      </c>
      <c r="Q14" t="e">
        <f>AND(Plan1!E479,"AAAAAHOueBA=")</f>
        <v>#VALUE!</v>
      </c>
      <c r="R14" t="e">
        <f>AND(Plan1!F479,"AAAAAHOueBE=")</f>
        <v>#VALUE!</v>
      </c>
      <c r="S14">
        <f>IF(Plan1!480:480,"AAAAAHOueBI=",0)</f>
        <v>0</v>
      </c>
      <c r="T14" t="e">
        <f>AND(Plan1!A480,"AAAAAHOueBM=")</f>
        <v>#VALUE!</v>
      </c>
      <c r="U14" t="e">
        <f>AND(Plan1!B480,"AAAAAHOueBQ=")</f>
        <v>#VALUE!</v>
      </c>
      <c r="V14" t="e">
        <f>AND(Plan1!C480,"AAAAAHOueBU=")</f>
        <v>#VALUE!</v>
      </c>
      <c r="W14" t="e">
        <f>AND(Plan1!D480,"AAAAAHOueBY=")</f>
        <v>#VALUE!</v>
      </c>
      <c r="X14" t="e">
        <f>AND(Plan1!E480,"AAAAAHOueBc=")</f>
        <v>#VALUE!</v>
      </c>
      <c r="Y14" t="e">
        <f>AND(Plan1!F480,"AAAAAHOueBg=")</f>
        <v>#VALUE!</v>
      </c>
      <c r="Z14">
        <f>IF(Plan1!481:481,"AAAAAHOueBk=",0)</f>
        <v>0</v>
      </c>
      <c r="AA14" t="e">
        <f>AND(Plan1!A481,"AAAAAHOueBo=")</f>
        <v>#VALUE!</v>
      </c>
      <c r="AB14" t="e">
        <f>AND(Plan1!B481,"AAAAAHOueBs=")</f>
        <v>#VALUE!</v>
      </c>
      <c r="AC14" t="e">
        <f>AND(Plan1!C481,"AAAAAHOueBw=")</f>
        <v>#VALUE!</v>
      </c>
      <c r="AD14" t="e">
        <f>AND(Plan1!D481,"AAAAAHOueB0=")</f>
        <v>#VALUE!</v>
      </c>
      <c r="AE14" t="e">
        <f>AND(Plan1!E481,"AAAAAHOueB4=")</f>
        <v>#VALUE!</v>
      </c>
      <c r="AF14" t="e">
        <f>AND(Plan1!F481,"AAAAAHOueB8=")</f>
        <v>#VALUE!</v>
      </c>
      <c r="AG14">
        <f>IF(Plan1!482:482,"AAAAAHOueCA=",0)</f>
        <v>0</v>
      </c>
      <c r="AH14" t="e">
        <f>AND(Plan1!A482,"AAAAAHOueCE=")</f>
        <v>#VALUE!</v>
      </c>
      <c r="AI14" t="e">
        <f>AND(Plan1!B482,"AAAAAHOueCI=")</f>
        <v>#VALUE!</v>
      </c>
      <c r="AJ14" t="e">
        <f>AND(Plan1!C482,"AAAAAHOueCM=")</f>
        <v>#VALUE!</v>
      </c>
      <c r="AK14" t="e">
        <f>AND(Plan1!D482,"AAAAAHOueCQ=")</f>
        <v>#VALUE!</v>
      </c>
      <c r="AL14" t="e">
        <f>AND(Plan1!E482,"AAAAAHOueCU=")</f>
        <v>#VALUE!</v>
      </c>
      <c r="AM14" t="e">
        <f>AND(Plan1!F482,"AAAAAHOueCY=")</f>
        <v>#VALUE!</v>
      </c>
      <c r="AN14">
        <f>IF(Plan1!483:483,"AAAAAHOueCc=",0)</f>
        <v>0</v>
      </c>
      <c r="AO14" t="e">
        <f>AND(Plan1!A483,"AAAAAHOueCg=")</f>
        <v>#VALUE!</v>
      </c>
      <c r="AP14" t="e">
        <f>AND(Plan1!B483,"AAAAAHOueCk=")</f>
        <v>#VALUE!</v>
      </c>
      <c r="AQ14" t="e">
        <f>AND(Plan1!C483,"AAAAAHOueCo=")</f>
        <v>#VALUE!</v>
      </c>
      <c r="AR14" t="e">
        <f>AND(Plan1!D483,"AAAAAHOueCs=")</f>
        <v>#VALUE!</v>
      </c>
      <c r="AS14" t="e">
        <f>AND(Plan1!E483,"AAAAAHOueCw=")</f>
        <v>#VALUE!</v>
      </c>
      <c r="AT14" t="e">
        <f>AND(Plan1!F483,"AAAAAHOueC0=")</f>
        <v>#VALUE!</v>
      </c>
      <c r="AU14">
        <f>IF(Plan1!484:484,"AAAAAHOueC4=",0)</f>
        <v>0</v>
      </c>
      <c r="AV14" t="e">
        <f>AND(Plan1!A484,"AAAAAHOueC8=")</f>
        <v>#VALUE!</v>
      </c>
      <c r="AW14" t="e">
        <f>AND(Plan1!B484,"AAAAAHOueDA=")</f>
        <v>#VALUE!</v>
      </c>
      <c r="AX14" t="e">
        <f>AND(Plan1!C484,"AAAAAHOueDE=")</f>
        <v>#VALUE!</v>
      </c>
      <c r="AY14" t="e">
        <f>AND(Plan1!D484,"AAAAAHOueDI=")</f>
        <v>#VALUE!</v>
      </c>
      <c r="AZ14" t="e">
        <f>AND(Plan1!E484,"AAAAAHOueDM=")</f>
        <v>#VALUE!</v>
      </c>
      <c r="BA14" t="e">
        <f>AND(Plan1!F484,"AAAAAHOueDQ=")</f>
        <v>#VALUE!</v>
      </c>
      <c r="BB14">
        <f>IF(Plan1!485:485,"AAAAAHOueDU=",0)</f>
        <v>0</v>
      </c>
      <c r="BC14" t="e">
        <f>AND(Plan1!A485,"AAAAAHOueDY=")</f>
        <v>#VALUE!</v>
      </c>
      <c r="BD14" t="e">
        <f>AND(Plan1!B485,"AAAAAHOueDc=")</f>
        <v>#VALUE!</v>
      </c>
      <c r="BE14" t="e">
        <f>AND(Plan1!C485,"AAAAAHOueDg=")</f>
        <v>#VALUE!</v>
      </c>
      <c r="BF14" t="e">
        <f>AND(Plan1!D485,"AAAAAHOueDk=")</f>
        <v>#VALUE!</v>
      </c>
      <c r="BG14" t="e">
        <f>AND(Plan1!E485,"AAAAAHOueDo=")</f>
        <v>#VALUE!</v>
      </c>
      <c r="BH14" t="e">
        <f>AND(Plan1!F485,"AAAAAHOueDs=")</f>
        <v>#VALUE!</v>
      </c>
      <c r="BI14">
        <f>IF(Plan1!486:486,"AAAAAHOueDw=",0)</f>
        <v>0</v>
      </c>
      <c r="BJ14" t="e">
        <f>AND(Plan1!A486,"AAAAAHOueD0=")</f>
        <v>#VALUE!</v>
      </c>
      <c r="BK14" t="e">
        <f>AND(Plan1!B486,"AAAAAHOueD4=")</f>
        <v>#VALUE!</v>
      </c>
      <c r="BL14" t="e">
        <f>AND(Plan1!C486,"AAAAAHOueD8=")</f>
        <v>#VALUE!</v>
      </c>
      <c r="BM14" t="e">
        <f>AND(Plan1!D486,"AAAAAHOueEA=")</f>
        <v>#VALUE!</v>
      </c>
      <c r="BN14" t="e">
        <f>AND(Plan1!E486,"AAAAAHOueEE=")</f>
        <v>#VALUE!</v>
      </c>
      <c r="BO14" t="e">
        <f>AND(Plan1!F486,"AAAAAHOueEI=")</f>
        <v>#VALUE!</v>
      </c>
      <c r="BP14">
        <f>IF(Plan1!487:487,"AAAAAHOueEM=",0)</f>
        <v>0</v>
      </c>
      <c r="BQ14" t="e">
        <f>AND(Plan1!A487,"AAAAAHOueEQ=")</f>
        <v>#VALUE!</v>
      </c>
      <c r="BR14" t="e">
        <f>AND(Plan1!B487,"AAAAAHOueEU=")</f>
        <v>#VALUE!</v>
      </c>
      <c r="BS14" t="e">
        <f>AND(Plan1!C487,"AAAAAHOueEY=")</f>
        <v>#VALUE!</v>
      </c>
      <c r="BT14" t="e">
        <f>AND(Plan1!D487,"AAAAAHOueEc=")</f>
        <v>#VALUE!</v>
      </c>
      <c r="BU14" t="e">
        <f>AND(Plan1!E487,"AAAAAHOueEg=")</f>
        <v>#VALUE!</v>
      </c>
      <c r="BV14" t="e">
        <f>AND(Plan1!F487,"AAAAAHOueEk=")</f>
        <v>#VALUE!</v>
      </c>
      <c r="BW14">
        <f>IF(Plan1!488:488,"AAAAAHOueEo=",0)</f>
        <v>0</v>
      </c>
      <c r="BX14" t="e">
        <f>AND(Plan1!A488,"AAAAAHOueEs=")</f>
        <v>#VALUE!</v>
      </c>
      <c r="BY14" t="e">
        <f>AND(Plan1!B488,"AAAAAHOueEw=")</f>
        <v>#VALUE!</v>
      </c>
      <c r="BZ14" t="e">
        <f>AND(Plan1!C488,"AAAAAHOueE0=")</f>
        <v>#VALUE!</v>
      </c>
      <c r="CA14" t="e">
        <f>AND(Plan1!D488,"AAAAAHOueE4=")</f>
        <v>#VALUE!</v>
      </c>
      <c r="CB14" t="e">
        <f>AND(Plan1!E488,"AAAAAHOueE8=")</f>
        <v>#VALUE!</v>
      </c>
      <c r="CC14" t="e">
        <f>AND(Plan1!F488,"AAAAAHOueFA=")</f>
        <v>#VALUE!</v>
      </c>
      <c r="CD14">
        <f>IF(Plan1!489:489,"AAAAAHOueFE=",0)</f>
        <v>0</v>
      </c>
      <c r="CE14" t="e">
        <f>AND(Plan1!A489,"AAAAAHOueFI=")</f>
        <v>#VALUE!</v>
      </c>
      <c r="CF14" t="e">
        <f>AND(Plan1!B489,"AAAAAHOueFM=")</f>
        <v>#VALUE!</v>
      </c>
      <c r="CG14" t="e">
        <f>AND(Plan1!C489,"AAAAAHOueFQ=")</f>
        <v>#VALUE!</v>
      </c>
      <c r="CH14" t="e">
        <f>AND(Plan1!D489,"AAAAAHOueFU=")</f>
        <v>#VALUE!</v>
      </c>
      <c r="CI14" t="e">
        <f>AND(Plan1!E489,"AAAAAHOueFY=")</f>
        <v>#VALUE!</v>
      </c>
      <c r="CJ14" t="e">
        <f>AND(Plan1!F489,"AAAAAHOueFc=")</f>
        <v>#VALUE!</v>
      </c>
      <c r="CK14">
        <f>IF(Plan1!490:490,"AAAAAHOueFg=",0)</f>
        <v>0</v>
      </c>
      <c r="CL14" t="e">
        <f>AND(Plan1!A490,"AAAAAHOueFk=")</f>
        <v>#VALUE!</v>
      </c>
      <c r="CM14" t="e">
        <f>AND(Plan1!B490,"AAAAAHOueFo=")</f>
        <v>#VALUE!</v>
      </c>
      <c r="CN14" t="e">
        <f>AND(Plan1!C490,"AAAAAHOueFs=")</f>
        <v>#VALUE!</v>
      </c>
      <c r="CO14" t="e">
        <f>AND(Plan1!D490,"AAAAAHOueFw=")</f>
        <v>#VALUE!</v>
      </c>
      <c r="CP14" t="e">
        <f>AND(Plan1!E490,"AAAAAHOueF0=")</f>
        <v>#VALUE!</v>
      </c>
      <c r="CQ14" t="e">
        <f>AND(Plan1!F490,"AAAAAHOueF4=")</f>
        <v>#VALUE!</v>
      </c>
      <c r="CR14">
        <f>IF(Plan1!491:491,"AAAAAHOueF8=",0)</f>
        <v>0</v>
      </c>
      <c r="CS14" t="e">
        <f>AND(Plan1!A491,"AAAAAHOueGA=")</f>
        <v>#VALUE!</v>
      </c>
      <c r="CT14" t="e">
        <f>AND(Plan1!B491,"AAAAAHOueGE=")</f>
        <v>#VALUE!</v>
      </c>
      <c r="CU14" t="e">
        <f>AND(Plan1!C491,"AAAAAHOueGI=")</f>
        <v>#VALUE!</v>
      </c>
      <c r="CV14" t="e">
        <f>AND(Plan1!D491,"AAAAAHOueGM=")</f>
        <v>#VALUE!</v>
      </c>
      <c r="CW14" t="e">
        <f>AND(Plan1!E491,"AAAAAHOueGQ=")</f>
        <v>#VALUE!</v>
      </c>
      <c r="CX14" t="e">
        <f>AND(Plan1!F491,"AAAAAHOueGU=")</f>
        <v>#VALUE!</v>
      </c>
      <c r="CY14">
        <f>IF(Plan1!492:492,"AAAAAHOueGY=",0)</f>
        <v>0</v>
      </c>
      <c r="CZ14" t="e">
        <f>AND(Plan1!A492,"AAAAAHOueGc=")</f>
        <v>#VALUE!</v>
      </c>
      <c r="DA14" t="e">
        <f>AND(Plan1!B492,"AAAAAHOueGg=")</f>
        <v>#VALUE!</v>
      </c>
      <c r="DB14" t="e">
        <f>AND(Plan1!C492,"AAAAAHOueGk=")</f>
        <v>#VALUE!</v>
      </c>
      <c r="DC14" t="e">
        <f>AND(Plan1!D492,"AAAAAHOueGo=")</f>
        <v>#VALUE!</v>
      </c>
      <c r="DD14" t="e">
        <f>AND(Plan1!E492,"AAAAAHOueGs=")</f>
        <v>#VALUE!</v>
      </c>
      <c r="DE14" t="e">
        <f>AND(Plan1!F492,"AAAAAHOueGw=")</f>
        <v>#VALUE!</v>
      </c>
      <c r="DF14">
        <f>IF(Plan1!493:493,"AAAAAHOueG0=",0)</f>
        <v>0</v>
      </c>
      <c r="DG14" t="e">
        <f>AND(Plan1!A493,"AAAAAHOueG4=")</f>
        <v>#VALUE!</v>
      </c>
      <c r="DH14" t="e">
        <f>AND(Plan1!B493,"AAAAAHOueG8=")</f>
        <v>#VALUE!</v>
      </c>
      <c r="DI14" t="e">
        <f>AND(Plan1!C493,"AAAAAHOueHA=")</f>
        <v>#VALUE!</v>
      </c>
      <c r="DJ14" t="e">
        <f>AND(Plan1!D493,"AAAAAHOueHE=")</f>
        <v>#VALUE!</v>
      </c>
      <c r="DK14" t="e">
        <f>AND(Plan1!E493,"AAAAAHOueHI=")</f>
        <v>#VALUE!</v>
      </c>
      <c r="DL14" t="e">
        <f>AND(Plan1!F493,"AAAAAHOueHM=")</f>
        <v>#VALUE!</v>
      </c>
      <c r="DM14">
        <f>IF(Plan1!494:494,"AAAAAHOueHQ=",0)</f>
        <v>0</v>
      </c>
      <c r="DN14" t="e">
        <f>AND(Plan1!A494,"AAAAAHOueHU=")</f>
        <v>#VALUE!</v>
      </c>
      <c r="DO14" t="e">
        <f>AND(Plan1!B494,"AAAAAHOueHY=")</f>
        <v>#VALUE!</v>
      </c>
      <c r="DP14" t="e">
        <f>AND(Plan1!C494,"AAAAAHOueHc=")</f>
        <v>#VALUE!</v>
      </c>
      <c r="DQ14" t="e">
        <f>AND(Plan1!D494,"AAAAAHOueHg=")</f>
        <v>#VALUE!</v>
      </c>
      <c r="DR14" t="e">
        <f>AND(Plan1!E494,"AAAAAHOueHk=")</f>
        <v>#VALUE!</v>
      </c>
      <c r="DS14" t="e">
        <f>AND(Plan1!F494,"AAAAAHOueHo=")</f>
        <v>#VALUE!</v>
      </c>
      <c r="DT14">
        <f>IF(Plan1!495:495,"AAAAAHOueHs=",0)</f>
        <v>0</v>
      </c>
      <c r="DU14" t="e">
        <f>AND(Plan1!A495,"AAAAAHOueHw=")</f>
        <v>#VALUE!</v>
      </c>
      <c r="DV14" t="e">
        <f>AND(Plan1!B495,"AAAAAHOueH0=")</f>
        <v>#VALUE!</v>
      </c>
      <c r="DW14" t="e">
        <f>AND(Plan1!C495,"AAAAAHOueH4=")</f>
        <v>#VALUE!</v>
      </c>
      <c r="DX14" t="e">
        <f>AND(Plan1!D495,"AAAAAHOueH8=")</f>
        <v>#VALUE!</v>
      </c>
      <c r="DY14" t="e">
        <f>AND(Plan1!E495,"AAAAAHOueIA=")</f>
        <v>#VALUE!</v>
      </c>
      <c r="DZ14" t="e">
        <f>AND(Plan1!F495,"AAAAAHOueIE=")</f>
        <v>#VALUE!</v>
      </c>
      <c r="EA14">
        <f>IF(Plan1!496:496,"AAAAAHOueII=",0)</f>
        <v>0</v>
      </c>
      <c r="EB14" t="e">
        <f>AND(Plan1!A496,"AAAAAHOueIM=")</f>
        <v>#VALUE!</v>
      </c>
      <c r="EC14" t="e">
        <f>AND(Plan1!B496,"AAAAAHOueIQ=")</f>
        <v>#VALUE!</v>
      </c>
      <c r="ED14" t="e">
        <f>AND(Plan1!C496,"AAAAAHOueIU=")</f>
        <v>#VALUE!</v>
      </c>
      <c r="EE14" t="e">
        <f>AND(Plan1!D496,"AAAAAHOueIY=")</f>
        <v>#VALUE!</v>
      </c>
      <c r="EF14" t="e">
        <f>AND(Plan1!E496,"AAAAAHOueIc=")</f>
        <v>#VALUE!</v>
      </c>
      <c r="EG14" t="e">
        <f>AND(Plan1!F496,"AAAAAHOueIg=")</f>
        <v>#VALUE!</v>
      </c>
      <c r="EH14">
        <f>IF(Plan1!497:497,"AAAAAHOueIk=",0)</f>
        <v>0</v>
      </c>
      <c r="EI14" t="e">
        <f>AND(Plan1!A497,"AAAAAHOueIo=")</f>
        <v>#VALUE!</v>
      </c>
      <c r="EJ14" t="e">
        <f>AND(Plan1!B497,"AAAAAHOueIs=")</f>
        <v>#VALUE!</v>
      </c>
      <c r="EK14" t="e">
        <f>AND(Plan1!C497,"AAAAAHOueIw=")</f>
        <v>#VALUE!</v>
      </c>
      <c r="EL14" t="e">
        <f>AND(Plan1!D497,"AAAAAHOueI0=")</f>
        <v>#VALUE!</v>
      </c>
      <c r="EM14" t="e">
        <f>AND(Plan1!E497,"AAAAAHOueI4=")</f>
        <v>#VALUE!</v>
      </c>
      <c r="EN14" t="e">
        <f>AND(Plan1!F497,"AAAAAHOueI8=")</f>
        <v>#VALUE!</v>
      </c>
      <c r="EO14">
        <f>IF(Plan1!498:498,"AAAAAHOueJA=",0)</f>
        <v>0</v>
      </c>
      <c r="EP14" t="e">
        <f>AND(Plan1!A498,"AAAAAHOueJE=")</f>
        <v>#VALUE!</v>
      </c>
      <c r="EQ14" t="e">
        <f>AND(Plan1!B498,"AAAAAHOueJI=")</f>
        <v>#VALUE!</v>
      </c>
      <c r="ER14" t="e">
        <f>AND(Plan1!C498,"AAAAAHOueJM=")</f>
        <v>#VALUE!</v>
      </c>
      <c r="ES14" t="e">
        <f>AND(Plan1!D498,"AAAAAHOueJQ=")</f>
        <v>#VALUE!</v>
      </c>
      <c r="ET14" t="e">
        <f>AND(Plan1!E498,"AAAAAHOueJU=")</f>
        <v>#VALUE!</v>
      </c>
      <c r="EU14" t="e">
        <f>AND(Plan1!F498,"AAAAAHOueJY=")</f>
        <v>#VALUE!</v>
      </c>
      <c r="EV14">
        <f>IF(Plan1!499:499,"AAAAAHOueJc=",0)</f>
        <v>0</v>
      </c>
      <c r="EW14" t="e">
        <f>AND(Plan1!A499,"AAAAAHOueJg=")</f>
        <v>#VALUE!</v>
      </c>
      <c r="EX14" t="e">
        <f>AND(Plan1!B499,"AAAAAHOueJk=")</f>
        <v>#VALUE!</v>
      </c>
      <c r="EY14" t="e">
        <f>AND(Plan1!C499,"AAAAAHOueJo=")</f>
        <v>#VALUE!</v>
      </c>
      <c r="EZ14" t="e">
        <f>AND(Plan1!D499,"AAAAAHOueJs=")</f>
        <v>#VALUE!</v>
      </c>
      <c r="FA14" t="e">
        <f>AND(Plan1!E499,"AAAAAHOueJw=")</f>
        <v>#VALUE!</v>
      </c>
      <c r="FB14" t="e">
        <f>AND(Plan1!F499,"AAAAAHOueJ0=")</f>
        <v>#VALUE!</v>
      </c>
      <c r="FC14">
        <f>IF(Plan1!500:500,"AAAAAHOueJ4=",0)</f>
        <v>0</v>
      </c>
      <c r="FD14" t="e">
        <f>AND(Plan1!A500,"AAAAAHOueJ8=")</f>
        <v>#VALUE!</v>
      </c>
      <c r="FE14" t="e">
        <f>AND(Plan1!B500,"AAAAAHOueKA=")</f>
        <v>#VALUE!</v>
      </c>
      <c r="FF14" t="e">
        <f>AND(Plan1!C500,"AAAAAHOueKE=")</f>
        <v>#VALUE!</v>
      </c>
      <c r="FG14" t="e">
        <f>AND(Plan1!D500,"AAAAAHOueKI=")</f>
        <v>#VALUE!</v>
      </c>
      <c r="FH14" t="e">
        <f>AND(Plan1!E500,"AAAAAHOueKM=")</f>
        <v>#VALUE!</v>
      </c>
      <c r="FI14" t="e">
        <f>AND(Plan1!F500,"AAAAAHOueKQ=")</f>
        <v>#VALUE!</v>
      </c>
      <c r="FJ14">
        <f>IF(Plan1!501:501,"AAAAAHOueKU=",0)</f>
        <v>0</v>
      </c>
      <c r="FK14" t="e">
        <f>AND(Plan1!A501,"AAAAAHOueKY=")</f>
        <v>#VALUE!</v>
      </c>
      <c r="FL14" t="e">
        <f>AND(Plan1!B501,"AAAAAHOueKc=")</f>
        <v>#VALUE!</v>
      </c>
      <c r="FM14" t="e">
        <f>AND(Plan1!C501,"AAAAAHOueKg=")</f>
        <v>#VALUE!</v>
      </c>
      <c r="FN14" t="e">
        <f>AND(Plan1!D501,"AAAAAHOueKk=")</f>
        <v>#VALUE!</v>
      </c>
      <c r="FO14" t="e">
        <f>AND(Plan1!E501,"AAAAAHOueKo=")</f>
        <v>#VALUE!</v>
      </c>
      <c r="FP14" t="e">
        <f>AND(Plan1!F501,"AAAAAHOueKs=")</f>
        <v>#VALUE!</v>
      </c>
      <c r="FQ14">
        <f>IF(Plan1!502:502,"AAAAAHOueKw=",0)</f>
        <v>0</v>
      </c>
      <c r="FR14" t="e">
        <f>AND(Plan1!A502,"AAAAAHOueK0=")</f>
        <v>#VALUE!</v>
      </c>
      <c r="FS14" t="e">
        <f>AND(Plan1!B502,"AAAAAHOueK4=")</f>
        <v>#VALUE!</v>
      </c>
      <c r="FT14" t="e">
        <f>AND(Plan1!C502,"AAAAAHOueK8=")</f>
        <v>#VALUE!</v>
      </c>
      <c r="FU14" t="e">
        <f>AND(Plan1!D502,"AAAAAHOueLA=")</f>
        <v>#VALUE!</v>
      </c>
      <c r="FV14" t="e">
        <f>AND(Plan1!E502,"AAAAAHOueLE=")</f>
        <v>#VALUE!</v>
      </c>
      <c r="FW14" t="e">
        <f>AND(Plan1!F502,"AAAAAHOueLI=")</f>
        <v>#VALUE!</v>
      </c>
      <c r="FX14">
        <f>IF(Plan1!503:503,"AAAAAHOueLM=",0)</f>
        <v>0</v>
      </c>
      <c r="FY14" t="e">
        <f>AND(Plan1!A503,"AAAAAHOueLQ=")</f>
        <v>#VALUE!</v>
      </c>
      <c r="FZ14" t="e">
        <f>AND(Plan1!B503,"AAAAAHOueLU=")</f>
        <v>#VALUE!</v>
      </c>
      <c r="GA14" t="e">
        <f>AND(Plan1!C503,"AAAAAHOueLY=")</f>
        <v>#VALUE!</v>
      </c>
      <c r="GB14" t="e">
        <f>AND(Plan1!D503,"AAAAAHOueLc=")</f>
        <v>#VALUE!</v>
      </c>
      <c r="GC14" t="e">
        <f>AND(Plan1!E503,"AAAAAHOueLg=")</f>
        <v>#VALUE!</v>
      </c>
      <c r="GD14" t="e">
        <f>AND(Plan1!F503,"AAAAAHOueLk=")</f>
        <v>#VALUE!</v>
      </c>
      <c r="GE14">
        <f>IF(Plan1!504:504,"AAAAAHOueLo=",0)</f>
        <v>0</v>
      </c>
      <c r="GF14" t="e">
        <f>AND(Plan1!A504,"AAAAAHOueLs=")</f>
        <v>#VALUE!</v>
      </c>
      <c r="GG14" t="e">
        <f>AND(Plan1!B504,"AAAAAHOueLw=")</f>
        <v>#VALUE!</v>
      </c>
      <c r="GH14" t="e">
        <f>AND(Plan1!C504,"AAAAAHOueL0=")</f>
        <v>#VALUE!</v>
      </c>
      <c r="GI14" t="e">
        <f>AND(Plan1!D504,"AAAAAHOueL4=")</f>
        <v>#VALUE!</v>
      </c>
      <c r="GJ14" t="e">
        <f>AND(Plan1!E504,"AAAAAHOueL8=")</f>
        <v>#VALUE!</v>
      </c>
      <c r="GK14" t="e">
        <f>AND(Plan1!F504,"AAAAAHOueMA=")</f>
        <v>#VALUE!</v>
      </c>
      <c r="GL14">
        <f>IF(Plan1!505:505,"AAAAAHOueME=",0)</f>
        <v>0</v>
      </c>
      <c r="GM14" t="e">
        <f>AND(Plan1!A505,"AAAAAHOueMI=")</f>
        <v>#VALUE!</v>
      </c>
      <c r="GN14" t="e">
        <f>AND(Plan1!B505,"AAAAAHOueMM=")</f>
        <v>#VALUE!</v>
      </c>
      <c r="GO14" t="e">
        <f>AND(Plan1!C505,"AAAAAHOueMQ=")</f>
        <v>#VALUE!</v>
      </c>
      <c r="GP14" t="e">
        <f>AND(Plan1!D505,"AAAAAHOueMU=")</f>
        <v>#VALUE!</v>
      </c>
      <c r="GQ14" t="e">
        <f>AND(Plan1!E505,"AAAAAHOueMY=")</f>
        <v>#VALUE!</v>
      </c>
      <c r="GR14" t="e">
        <f>AND(Plan1!F505,"AAAAAHOueMc=")</f>
        <v>#VALUE!</v>
      </c>
      <c r="GS14">
        <f>IF(Plan1!506:506,"AAAAAHOueMg=",0)</f>
        <v>0</v>
      </c>
      <c r="GT14" t="e">
        <f>AND(Plan1!A506,"AAAAAHOueMk=")</f>
        <v>#VALUE!</v>
      </c>
      <c r="GU14" t="e">
        <f>AND(Plan1!B506,"AAAAAHOueMo=")</f>
        <v>#VALUE!</v>
      </c>
      <c r="GV14" t="e">
        <f>AND(Plan1!C506,"AAAAAHOueMs=")</f>
        <v>#VALUE!</v>
      </c>
      <c r="GW14" t="e">
        <f>AND(Plan1!D506,"AAAAAHOueMw=")</f>
        <v>#VALUE!</v>
      </c>
      <c r="GX14" t="e">
        <f>AND(Plan1!E506,"AAAAAHOueM0=")</f>
        <v>#VALUE!</v>
      </c>
      <c r="GY14" t="e">
        <f>AND(Plan1!F506,"AAAAAHOueM4=")</f>
        <v>#VALUE!</v>
      </c>
      <c r="GZ14">
        <f>IF(Plan1!507:507,"AAAAAHOueM8=",0)</f>
        <v>0</v>
      </c>
      <c r="HA14" t="e">
        <f>AND(Plan1!A507,"AAAAAHOueNA=")</f>
        <v>#VALUE!</v>
      </c>
      <c r="HB14" t="e">
        <f>AND(Plan1!B507,"AAAAAHOueNE=")</f>
        <v>#VALUE!</v>
      </c>
      <c r="HC14" t="e">
        <f>AND(Plan1!C507,"AAAAAHOueNI=")</f>
        <v>#VALUE!</v>
      </c>
      <c r="HD14" t="e">
        <f>AND(Plan1!D507,"AAAAAHOueNM=")</f>
        <v>#VALUE!</v>
      </c>
      <c r="HE14" t="e">
        <f>AND(Plan1!E507,"AAAAAHOueNQ=")</f>
        <v>#VALUE!</v>
      </c>
      <c r="HF14" t="e">
        <f>AND(Plan1!F507,"AAAAAHOueNU=")</f>
        <v>#VALUE!</v>
      </c>
      <c r="HG14">
        <f>IF(Plan1!508:508,"AAAAAHOueNY=",0)</f>
        <v>0</v>
      </c>
      <c r="HH14" t="e">
        <f>AND(Plan1!A508,"AAAAAHOueNc=")</f>
        <v>#VALUE!</v>
      </c>
      <c r="HI14" t="e">
        <f>AND(Plan1!B508,"AAAAAHOueNg=")</f>
        <v>#VALUE!</v>
      </c>
      <c r="HJ14" t="e">
        <f>AND(Plan1!C508,"AAAAAHOueNk=")</f>
        <v>#VALUE!</v>
      </c>
      <c r="HK14" t="e">
        <f>AND(Plan1!D508,"AAAAAHOueNo=")</f>
        <v>#VALUE!</v>
      </c>
      <c r="HL14" t="e">
        <f>AND(Plan1!E508,"AAAAAHOueNs=")</f>
        <v>#VALUE!</v>
      </c>
      <c r="HM14" t="e">
        <f>AND(Plan1!F508,"AAAAAHOueNw=")</f>
        <v>#VALUE!</v>
      </c>
      <c r="HN14">
        <f>IF(Plan1!509:509,"AAAAAHOueN0=",0)</f>
        <v>0</v>
      </c>
      <c r="HO14" t="e">
        <f>AND(Plan1!A509,"AAAAAHOueN4=")</f>
        <v>#VALUE!</v>
      </c>
      <c r="HP14" t="e">
        <f>AND(Plan1!B509,"AAAAAHOueN8=")</f>
        <v>#VALUE!</v>
      </c>
      <c r="HQ14" t="e">
        <f>AND(Plan1!C509,"AAAAAHOueOA=")</f>
        <v>#VALUE!</v>
      </c>
      <c r="HR14" t="e">
        <f>AND(Plan1!D509,"AAAAAHOueOE=")</f>
        <v>#VALUE!</v>
      </c>
      <c r="HS14" t="e">
        <f>AND(Plan1!E509,"AAAAAHOueOI=")</f>
        <v>#VALUE!</v>
      </c>
      <c r="HT14" t="e">
        <f>AND(Plan1!F509,"AAAAAHOueOM=")</f>
        <v>#VALUE!</v>
      </c>
      <c r="HU14">
        <f>IF(Plan1!510:510,"AAAAAHOueOQ=",0)</f>
        <v>0</v>
      </c>
      <c r="HV14" t="e">
        <f>AND(Plan1!A510,"AAAAAHOueOU=")</f>
        <v>#VALUE!</v>
      </c>
      <c r="HW14" t="e">
        <f>AND(Plan1!B510,"AAAAAHOueOY=")</f>
        <v>#VALUE!</v>
      </c>
      <c r="HX14" t="e">
        <f>AND(Plan1!C510,"AAAAAHOueOc=")</f>
        <v>#VALUE!</v>
      </c>
      <c r="HY14" t="e">
        <f>AND(Plan1!D510,"AAAAAHOueOg=")</f>
        <v>#VALUE!</v>
      </c>
      <c r="HZ14" t="e">
        <f>AND(Plan1!E510,"AAAAAHOueOk=")</f>
        <v>#VALUE!</v>
      </c>
      <c r="IA14" t="e">
        <f>AND(Plan1!F510,"AAAAAHOueOo=")</f>
        <v>#VALUE!</v>
      </c>
      <c r="IB14">
        <f>IF(Plan1!511:511,"AAAAAHOueOs=",0)</f>
        <v>0</v>
      </c>
      <c r="IC14" t="e">
        <f>AND(Plan1!A511,"AAAAAHOueOw=")</f>
        <v>#VALUE!</v>
      </c>
      <c r="ID14" t="e">
        <f>AND(Plan1!B511,"AAAAAHOueO0=")</f>
        <v>#VALUE!</v>
      </c>
      <c r="IE14" t="e">
        <f>AND(Plan1!C511,"AAAAAHOueO4=")</f>
        <v>#VALUE!</v>
      </c>
      <c r="IF14" t="e">
        <f>AND(Plan1!D511,"AAAAAHOueO8=")</f>
        <v>#VALUE!</v>
      </c>
      <c r="IG14" t="e">
        <f>AND(Plan1!E511,"AAAAAHOuePA=")</f>
        <v>#VALUE!</v>
      </c>
      <c r="IH14" t="e">
        <f>AND(Plan1!F511,"AAAAAHOuePE=")</f>
        <v>#VALUE!</v>
      </c>
      <c r="II14">
        <f>IF(Plan1!512:512,"AAAAAHOuePI=",0)</f>
        <v>0</v>
      </c>
      <c r="IJ14" t="e">
        <f>AND(Plan1!A512,"AAAAAHOuePM=")</f>
        <v>#VALUE!</v>
      </c>
      <c r="IK14" t="e">
        <f>AND(Plan1!B512,"AAAAAHOuePQ=")</f>
        <v>#VALUE!</v>
      </c>
      <c r="IL14" t="e">
        <f>AND(Plan1!C512,"AAAAAHOuePU=")</f>
        <v>#VALUE!</v>
      </c>
      <c r="IM14" t="e">
        <f>AND(Plan1!D512,"AAAAAHOuePY=")</f>
        <v>#VALUE!</v>
      </c>
      <c r="IN14" t="e">
        <f>AND(Plan1!E512,"AAAAAHOuePc=")</f>
        <v>#VALUE!</v>
      </c>
      <c r="IO14" t="e">
        <f>AND(Plan1!F512,"AAAAAHOuePg=")</f>
        <v>#VALUE!</v>
      </c>
      <c r="IP14">
        <f>IF(Plan1!513:513,"AAAAAHOuePk=",0)</f>
        <v>0</v>
      </c>
      <c r="IQ14" t="e">
        <f>AND(Plan1!A513,"AAAAAHOuePo=")</f>
        <v>#VALUE!</v>
      </c>
      <c r="IR14" t="e">
        <f>AND(Plan1!B513,"AAAAAHOuePs=")</f>
        <v>#VALUE!</v>
      </c>
      <c r="IS14" t="e">
        <f>AND(Plan1!C513,"AAAAAHOuePw=")</f>
        <v>#VALUE!</v>
      </c>
      <c r="IT14" t="e">
        <f>AND(Plan1!D513,"AAAAAHOueP0=")</f>
        <v>#VALUE!</v>
      </c>
      <c r="IU14" t="e">
        <f>AND(Plan1!E513,"AAAAAHOueP4=")</f>
        <v>#VALUE!</v>
      </c>
      <c r="IV14" t="e">
        <f>AND(Plan1!F513,"AAAAAHOueP8=")</f>
        <v>#VALUE!</v>
      </c>
    </row>
    <row r="15" spans="1:256">
      <c r="A15" t="e">
        <f>IF(Plan1!514:514,"AAAAAG+77QA=",0)</f>
        <v>#VALUE!</v>
      </c>
      <c r="B15" t="e">
        <f>AND(Plan1!A514,"AAAAAG+77QE=")</f>
        <v>#VALUE!</v>
      </c>
      <c r="C15" t="e">
        <f>AND(Plan1!B514,"AAAAAG+77QI=")</f>
        <v>#VALUE!</v>
      </c>
      <c r="D15" t="e">
        <f>AND(Plan1!C514,"AAAAAG+77QM=")</f>
        <v>#VALUE!</v>
      </c>
      <c r="E15" t="e">
        <f>AND(Plan1!D514,"AAAAAG+77QQ=")</f>
        <v>#VALUE!</v>
      </c>
      <c r="F15" t="e">
        <f>AND(Plan1!E514,"AAAAAG+77QU=")</f>
        <v>#VALUE!</v>
      </c>
      <c r="G15" t="e">
        <f>AND(Plan1!F514,"AAAAAG+77QY=")</f>
        <v>#VALUE!</v>
      </c>
      <c r="H15">
        <f>IF(Plan1!515:515,"AAAAAG+77Qc=",0)</f>
        <v>0</v>
      </c>
      <c r="I15" t="e">
        <f>AND(Plan1!A515,"AAAAAG+77Qg=")</f>
        <v>#VALUE!</v>
      </c>
      <c r="J15" t="e">
        <f>AND(Plan1!B515,"AAAAAG+77Qk=")</f>
        <v>#VALUE!</v>
      </c>
      <c r="K15" t="e">
        <f>AND(Plan1!C515,"AAAAAG+77Qo=")</f>
        <v>#VALUE!</v>
      </c>
      <c r="L15" t="e">
        <f>AND(Plan1!D515,"AAAAAG+77Qs=")</f>
        <v>#VALUE!</v>
      </c>
      <c r="M15" t="e">
        <f>AND(Plan1!E515,"AAAAAG+77Qw=")</f>
        <v>#VALUE!</v>
      </c>
      <c r="N15" t="e">
        <f>AND(Plan1!F515,"AAAAAG+77Q0=")</f>
        <v>#VALUE!</v>
      </c>
      <c r="O15">
        <f>IF(Plan1!516:516,"AAAAAG+77Q4=",0)</f>
        <v>0</v>
      </c>
      <c r="P15" t="e">
        <f>AND(Plan1!A516,"AAAAAG+77Q8=")</f>
        <v>#VALUE!</v>
      </c>
      <c r="Q15" t="e">
        <f>AND(Plan1!B516,"AAAAAG+77RA=")</f>
        <v>#VALUE!</v>
      </c>
      <c r="R15" t="e">
        <f>AND(Plan1!C516,"AAAAAG+77RE=")</f>
        <v>#VALUE!</v>
      </c>
      <c r="S15" t="e">
        <f>AND(Plan1!D516,"AAAAAG+77RI=")</f>
        <v>#VALUE!</v>
      </c>
      <c r="T15" t="e">
        <f>AND(Plan1!E516,"AAAAAG+77RM=")</f>
        <v>#VALUE!</v>
      </c>
      <c r="U15" t="e">
        <f>AND(Plan1!F516,"AAAAAG+77RQ=")</f>
        <v>#VALUE!</v>
      </c>
      <c r="V15">
        <f>IF(Plan1!517:517,"AAAAAG+77RU=",0)</f>
        <v>0</v>
      </c>
      <c r="W15" t="e">
        <f>AND(Plan1!A517,"AAAAAG+77RY=")</f>
        <v>#VALUE!</v>
      </c>
      <c r="X15" t="e">
        <f>AND(Plan1!B517,"AAAAAG+77Rc=")</f>
        <v>#VALUE!</v>
      </c>
      <c r="Y15" t="e">
        <f>AND(Plan1!C517,"AAAAAG+77Rg=")</f>
        <v>#VALUE!</v>
      </c>
      <c r="Z15" t="e">
        <f>AND(Plan1!D517,"AAAAAG+77Rk=")</f>
        <v>#VALUE!</v>
      </c>
      <c r="AA15" t="e">
        <f>AND(Plan1!E517,"AAAAAG+77Ro=")</f>
        <v>#VALUE!</v>
      </c>
      <c r="AB15" t="e">
        <f>AND(Plan1!F517,"AAAAAG+77Rs=")</f>
        <v>#VALUE!</v>
      </c>
      <c r="AC15">
        <f>IF(Plan1!518:518,"AAAAAG+77Rw=",0)</f>
        <v>0</v>
      </c>
      <c r="AD15" t="e">
        <f>AND(Plan1!A518,"AAAAAG+77R0=")</f>
        <v>#VALUE!</v>
      </c>
      <c r="AE15" t="e">
        <f>AND(Plan1!B518,"AAAAAG+77R4=")</f>
        <v>#VALUE!</v>
      </c>
      <c r="AF15" t="e">
        <f>AND(Plan1!C518,"AAAAAG+77R8=")</f>
        <v>#VALUE!</v>
      </c>
      <c r="AG15" t="e">
        <f>AND(Plan1!D518,"AAAAAG+77SA=")</f>
        <v>#VALUE!</v>
      </c>
      <c r="AH15" t="e">
        <f>AND(Plan1!E518,"AAAAAG+77SE=")</f>
        <v>#VALUE!</v>
      </c>
      <c r="AI15" t="e">
        <f>AND(Plan1!F518,"AAAAAG+77SI=")</f>
        <v>#VALUE!</v>
      </c>
      <c r="AJ15">
        <f>IF(Plan1!519:519,"AAAAAG+77SM=",0)</f>
        <v>0</v>
      </c>
      <c r="AK15" t="e">
        <f>AND(Plan1!A519,"AAAAAG+77SQ=")</f>
        <v>#VALUE!</v>
      </c>
      <c r="AL15" t="e">
        <f>AND(Plan1!B519,"AAAAAG+77SU=")</f>
        <v>#VALUE!</v>
      </c>
      <c r="AM15" t="e">
        <f>AND(Plan1!C519,"AAAAAG+77SY=")</f>
        <v>#VALUE!</v>
      </c>
      <c r="AN15" t="e">
        <f>AND(Plan1!D519,"AAAAAG+77Sc=")</f>
        <v>#VALUE!</v>
      </c>
      <c r="AO15" t="e">
        <f>AND(Plan1!E519,"AAAAAG+77Sg=")</f>
        <v>#VALUE!</v>
      </c>
      <c r="AP15" t="e">
        <f>AND(Plan1!F519,"AAAAAG+77Sk=")</f>
        <v>#VALUE!</v>
      </c>
      <c r="AQ15">
        <f>IF(Plan1!520:520,"AAAAAG+77So=",0)</f>
        <v>0</v>
      </c>
      <c r="AR15" t="e">
        <f>AND(Plan1!A520,"AAAAAG+77Ss=")</f>
        <v>#VALUE!</v>
      </c>
      <c r="AS15" t="e">
        <f>AND(Plan1!B520,"AAAAAG+77Sw=")</f>
        <v>#VALUE!</v>
      </c>
      <c r="AT15" t="e">
        <f>AND(Plan1!C520,"AAAAAG+77S0=")</f>
        <v>#VALUE!</v>
      </c>
      <c r="AU15" t="e">
        <f>AND(Plan1!D520,"AAAAAG+77S4=")</f>
        <v>#VALUE!</v>
      </c>
      <c r="AV15" t="e">
        <f>AND(Plan1!E520,"AAAAAG+77S8=")</f>
        <v>#VALUE!</v>
      </c>
      <c r="AW15" t="e">
        <f>AND(Plan1!F520,"AAAAAG+77TA=")</f>
        <v>#VALUE!</v>
      </c>
      <c r="AX15">
        <f>IF(Plan1!521:521,"AAAAAG+77TE=",0)</f>
        <v>0</v>
      </c>
      <c r="AY15" t="e">
        <f>AND(Plan1!A521,"AAAAAG+77TI=")</f>
        <v>#VALUE!</v>
      </c>
      <c r="AZ15" t="e">
        <f>AND(Plan1!B521,"AAAAAG+77TM=")</f>
        <v>#VALUE!</v>
      </c>
      <c r="BA15" t="e">
        <f>AND(Plan1!C521,"AAAAAG+77TQ=")</f>
        <v>#VALUE!</v>
      </c>
      <c r="BB15" t="e">
        <f>AND(Plan1!D521,"AAAAAG+77TU=")</f>
        <v>#VALUE!</v>
      </c>
      <c r="BC15" t="e">
        <f>AND(Plan1!E521,"AAAAAG+77TY=")</f>
        <v>#VALUE!</v>
      </c>
      <c r="BD15" t="e">
        <f>AND(Plan1!F521,"AAAAAG+77Tc=")</f>
        <v>#VALUE!</v>
      </c>
      <c r="BE15">
        <f>IF(Plan1!522:522,"AAAAAG+77Tg=",0)</f>
        <v>0</v>
      </c>
      <c r="BF15" t="e">
        <f>AND(Plan1!A522,"AAAAAG+77Tk=")</f>
        <v>#VALUE!</v>
      </c>
      <c r="BG15" t="e">
        <f>AND(Plan1!B522,"AAAAAG+77To=")</f>
        <v>#VALUE!</v>
      </c>
      <c r="BH15" t="e">
        <f>AND(Plan1!C522,"AAAAAG+77Ts=")</f>
        <v>#VALUE!</v>
      </c>
      <c r="BI15" t="e">
        <f>AND(Plan1!D522,"AAAAAG+77Tw=")</f>
        <v>#VALUE!</v>
      </c>
      <c r="BJ15" t="e">
        <f>AND(Plan1!E522,"AAAAAG+77T0=")</f>
        <v>#VALUE!</v>
      </c>
      <c r="BK15" t="e">
        <f>AND(Plan1!F522,"AAAAAG+77T4=")</f>
        <v>#VALUE!</v>
      </c>
      <c r="BL15">
        <f>IF(Plan1!523:523,"AAAAAG+77T8=",0)</f>
        <v>0</v>
      </c>
      <c r="BM15" t="e">
        <f>AND(Plan1!A523,"AAAAAG+77UA=")</f>
        <v>#VALUE!</v>
      </c>
      <c r="BN15" t="e">
        <f>AND(Plan1!B523,"AAAAAG+77UE=")</f>
        <v>#VALUE!</v>
      </c>
      <c r="BO15" t="e">
        <f>AND(Plan1!C523,"AAAAAG+77UI=")</f>
        <v>#VALUE!</v>
      </c>
      <c r="BP15" t="e">
        <f>AND(Plan1!D523,"AAAAAG+77UM=")</f>
        <v>#VALUE!</v>
      </c>
      <c r="BQ15" t="e">
        <f>AND(Plan1!E523,"AAAAAG+77UQ=")</f>
        <v>#VALUE!</v>
      </c>
      <c r="BR15" t="e">
        <f>AND(Plan1!F523,"AAAAAG+77UU=")</f>
        <v>#VALUE!</v>
      </c>
      <c r="BS15">
        <f>IF(Plan1!524:524,"AAAAAG+77UY=",0)</f>
        <v>0</v>
      </c>
      <c r="BT15" t="e">
        <f>AND(Plan1!A524,"AAAAAG+77Uc=")</f>
        <v>#VALUE!</v>
      </c>
      <c r="BU15" t="e">
        <f>AND(Plan1!B524,"AAAAAG+77Ug=")</f>
        <v>#VALUE!</v>
      </c>
      <c r="BV15" t="e">
        <f>AND(Plan1!C524,"AAAAAG+77Uk=")</f>
        <v>#VALUE!</v>
      </c>
      <c r="BW15" t="e">
        <f>AND(Plan1!D524,"AAAAAG+77Uo=")</f>
        <v>#VALUE!</v>
      </c>
      <c r="BX15" t="e">
        <f>AND(Plan1!E524,"AAAAAG+77Us=")</f>
        <v>#VALUE!</v>
      </c>
      <c r="BY15" t="e">
        <f>AND(Plan1!F524,"AAAAAG+77Uw=")</f>
        <v>#VALUE!</v>
      </c>
      <c r="BZ15">
        <f>IF(Plan1!525:525,"AAAAAG+77U0=",0)</f>
        <v>0</v>
      </c>
      <c r="CA15" t="e">
        <f>AND(Plan1!A525,"AAAAAG+77U4=")</f>
        <v>#VALUE!</v>
      </c>
      <c r="CB15" t="e">
        <f>AND(Plan1!B525,"AAAAAG+77U8=")</f>
        <v>#VALUE!</v>
      </c>
      <c r="CC15" t="e">
        <f>AND(Plan1!C525,"AAAAAG+77VA=")</f>
        <v>#VALUE!</v>
      </c>
      <c r="CD15" t="e">
        <f>AND(Plan1!D525,"AAAAAG+77VE=")</f>
        <v>#VALUE!</v>
      </c>
      <c r="CE15" t="e">
        <f>AND(Plan1!E525,"AAAAAG+77VI=")</f>
        <v>#VALUE!</v>
      </c>
      <c r="CF15" t="e">
        <f>AND(Plan1!F525,"AAAAAG+77VM=")</f>
        <v>#VALUE!</v>
      </c>
      <c r="CG15">
        <f>IF(Plan1!526:526,"AAAAAG+77VQ=",0)</f>
        <v>0</v>
      </c>
      <c r="CH15" t="e">
        <f>AND(Plan1!A526,"AAAAAG+77VU=")</f>
        <v>#VALUE!</v>
      </c>
      <c r="CI15" t="e">
        <f>AND(Plan1!B526,"AAAAAG+77VY=")</f>
        <v>#VALUE!</v>
      </c>
      <c r="CJ15" t="e">
        <f>AND(Plan1!C526,"AAAAAG+77Vc=")</f>
        <v>#VALUE!</v>
      </c>
      <c r="CK15" t="e">
        <f>AND(Plan1!D526,"AAAAAG+77Vg=")</f>
        <v>#VALUE!</v>
      </c>
      <c r="CL15" t="e">
        <f>AND(Plan1!E526,"AAAAAG+77Vk=")</f>
        <v>#VALUE!</v>
      </c>
      <c r="CM15" t="e">
        <f>AND(Plan1!F526,"AAAAAG+77Vo=")</f>
        <v>#VALUE!</v>
      </c>
      <c r="CN15">
        <f>IF(Plan1!527:527,"AAAAAG+77Vs=",0)</f>
        <v>0</v>
      </c>
      <c r="CO15" t="e">
        <f>AND(Plan1!A527,"AAAAAG+77Vw=")</f>
        <v>#VALUE!</v>
      </c>
      <c r="CP15" t="e">
        <f>AND(Plan1!B527,"AAAAAG+77V0=")</f>
        <v>#VALUE!</v>
      </c>
      <c r="CQ15" t="e">
        <f>AND(Plan1!C527,"AAAAAG+77V4=")</f>
        <v>#VALUE!</v>
      </c>
      <c r="CR15" t="e">
        <f>AND(Plan1!D527,"AAAAAG+77V8=")</f>
        <v>#VALUE!</v>
      </c>
      <c r="CS15" t="e">
        <f>AND(Plan1!E527,"AAAAAG+77WA=")</f>
        <v>#VALUE!</v>
      </c>
      <c r="CT15" t="e">
        <f>AND(Plan1!F527,"AAAAAG+77WE=")</f>
        <v>#VALUE!</v>
      </c>
      <c r="CU15">
        <f>IF(Plan1!528:528,"AAAAAG+77WI=",0)</f>
        <v>0</v>
      </c>
      <c r="CV15" t="e">
        <f>AND(Plan1!A528,"AAAAAG+77WM=")</f>
        <v>#VALUE!</v>
      </c>
      <c r="CW15" t="e">
        <f>AND(Plan1!B528,"AAAAAG+77WQ=")</f>
        <v>#VALUE!</v>
      </c>
      <c r="CX15" t="e">
        <f>AND(Plan1!C528,"AAAAAG+77WU=")</f>
        <v>#VALUE!</v>
      </c>
      <c r="CY15" t="e">
        <f>AND(Plan1!D528,"AAAAAG+77WY=")</f>
        <v>#VALUE!</v>
      </c>
      <c r="CZ15" t="e">
        <f>AND(Plan1!E528,"AAAAAG+77Wc=")</f>
        <v>#VALUE!</v>
      </c>
      <c r="DA15" t="e">
        <f>AND(Plan1!F528,"AAAAAG+77Wg=")</f>
        <v>#VALUE!</v>
      </c>
      <c r="DB15">
        <f>IF(Plan1!529:529,"AAAAAG+77Wk=",0)</f>
        <v>0</v>
      </c>
      <c r="DC15" t="e">
        <f>AND(Plan1!A529,"AAAAAG+77Wo=")</f>
        <v>#VALUE!</v>
      </c>
      <c r="DD15" t="e">
        <f>AND(Plan1!B529,"AAAAAG+77Ws=")</f>
        <v>#VALUE!</v>
      </c>
      <c r="DE15" t="e">
        <f>AND(Plan1!C529,"AAAAAG+77Ww=")</f>
        <v>#VALUE!</v>
      </c>
      <c r="DF15" t="e">
        <f>AND(Plan1!D529,"AAAAAG+77W0=")</f>
        <v>#VALUE!</v>
      </c>
      <c r="DG15" t="e">
        <f>AND(Plan1!E529,"AAAAAG+77W4=")</f>
        <v>#VALUE!</v>
      </c>
      <c r="DH15" t="e">
        <f>AND(Plan1!F529,"AAAAAG+77W8=")</f>
        <v>#VALUE!</v>
      </c>
      <c r="DI15">
        <f>IF(Plan1!530:530,"AAAAAG+77XA=",0)</f>
        <v>0</v>
      </c>
      <c r="DJ15" t="e">
        <f>AND(Plan1!A530,"AAAAAG+77XE=")</f>
        <v>#VALUE!</v>
      </c>
      <c r="DK15" t="e">
        <f>AND(Plan1!B530,"AAAAAG+77XI=")</f>
        <v>#VALUE!</v>
      </c>
      <c r="DL15" t="e">
        <f>AND(Plan1!C530,"AAAAAG+77XM=")</f>
        <v>#VALUE!</v>
      </c>
      <c r="DM15" t="e">
        <f>AND(Plan1!D530,"AAAAAG+77XQ=")</f>
        <v>#VALUE!</v>
      </c>
      <c r="DN15" t="e">
        <f>AND(Plan1!E530,"AAAAAG+77XU=")</f>
        <v>#VALUE!</v>
      </c>
      <c r="DO15" t="e">
        <f>AND(Plan1!F530,"AAAAAG+77XY=")</f>
        <v>#VALUE!</v>
      </c>
      <c r="DP15">
        <f>IF(Plan1!531:531,"AAAAAG+77Xc=",0)</f>
        <v>0</v>
      </c>
      <c r="DQ15" t="e">
        <f>AND(Plan1!A531,"AAAAAG+77Xg=")</f>
        <v>#VALUE!</v>
      </c>
      <c r="DR15" t="e">
        <f>AND(Plan1!B531,"AAAAAG+77Xk=")</f>
        <v>#VALUE!</v>
      </c>
      <c r="DS15" t="e">
        <f>AND(Plan1!C531,"AAAAAG+77Xo=")</f>
        <v>#VALUE!</v>
      </c>
      <c r="DT15" t="e">
        <f>AND(Plan1!D531,"AAAAAG+77Xs=")</f>
        <v>#VALUE!</v>
      </c>
      <c r="DU15" t="e">
        <f>AND(Plan1!E531,"AAAAAG+77Xw=")</f>
        <v>#VALUE!</v>
      </c>
      <c r="DV15" t="e">
        <f>AND(Plan1!F531,"AAAAAG+77X0=")</f>
        <v>#VALUE!</v>
      </c>
      <c r="DW15">
        <f>IF(Plan1!532:532,"AAAAAG+77X4=",0)</f>
        <v>0</v>
      </c>
      <c r="DX15" t="e">
        <f>AND(Plan1!A532,"AAAAAG+77X8=")</f>
        <v>#VALUE!</v>
      </c>
      <c r="DY15" t="e">
        <f>AND(Plan1!B532,"AAAAAG+77YA=")</f>
        <v>#VALUE!</v>
      </c>
      <c r="DZ15" t="e">
        <f>AND(Plan1!C532,"AAAAAG+77YE=")</f>
        <v>#VALUE!</v>
      </c>
      <c r="EA15" t="e">
        <f>AND(Plan1!D532,"AAAAAG+77YI=")</f>
        <v>#VALUE!</v>
      </c>
      <c r="EB15" t="e">
        <f>AND(Plan1!E532,"AAAAAG+77YM=")</f>
        <v>#VALUE!</v>
      </c>
      <c r="EC15" t="e">
        <f>AND(Plan1!F532,"AAAAAG+77YQ=")</f>
        <v>#VALUE!</v>
      </c>
      <c r="ED15">
        <f>IF(Plan1!533:533,"AAAAAG+77YU=",0)</f>
        <v>0</v>
      </c>
      <c r="EE15" t="e">
        <f>AND(Plan1!A533,"AAAAAG+77YY=")</f>
        <v>#VALUE!</v>
      </c>
      <c r="EF15" t="e">
        <f>AND(Plan1!B533,"AAAAAG+77Yc=")</f>
        <v>#VALUE!</v>
      </c>
      <c r="EG15" t="e">
        <f>AND(Plan1!C533,"AAAAAG+77Yg=")</f>
        <v>#VALUE!</v>
      </c>
      <c r="EH15" t="e">
        <f>AND(Plan1!D533,"AAAAAG+77Yk=")</f>
        <v>#VALUE!</v>
      </c>
      <c r="EI15" t="e">
        <f>AND(Plan1!E533,"AAAAAG+77Yo=")</f>
        <v>#VALUE!</v>
      </c>
      <c r="EJ15" t="e">
        <f>AND(Plan1!F533,"AAAAAG+77Ys=")</f>
        <v>#VALUE!</v>
      </c>
      <c r="EK15">
        <f>IF(Plan1!534:534,"AAAAAG+77Yw=",0)</f>
        <v>0</v>
      </c>
      <c r="EL15" t="e">
        <f>AND(Plan1!A534,"AAAAAG+77Y0=")</f>
        <v>#VALUE!</v>
      </c>
      <c r="EM15" t="e">
        <f>AND(Plan1!B534,"AAAAAG+77Y4=")</f>
        <v>#VALUE!</v>
      </c>
      <c r="EN15" t="e">
        <f>AND(Plan1!C534,"AAAAAG+77Y8=")</f>
        <v>#VALUE!</v>
      </c>
      <c r="EO15" t="e">
        <f>AND(Plan1!D534,"AAAAAG+77ZA=")</f>
        <v>#VALUE!</v>
      </c>
      <c r="EP15" t="e">
        <f>AND(Plan1!E534,"AAAAAG+77ZE=")</f>
        <v>#VALUE!</v>
      </c>
      <c r="EQ15" t="e">
        <f>AND(Plan1!F534,"AAAAAG+77ZI=")</f>
        <v>#VALUE!</v>
      </c>
      <c r="ER15">
        <f>IF(Plan1!535:535,"AAAAAG+77ZM=",0)</f>
        <v>0</v>
      </c>
      <c r="ES15" t="e">
        <f>AND(Plan1!A535,"AAAAAG+77ZQ=")</f>
        <v>#VALUE!</v>
      </c>
      <c r="ET15" t="e">
        <f>AND(Plan1!B535,"AAAAAG+77ZU=")</f>
        <v>#VALUE!</v>
      </c>
      <c r="EU15" t="e">
        <f>AND(Plan1!C535,"AAAAAG+77ZY=")</f>
        <v>#VALUE!</v>
      </c>
      <c r="EV15" t="e">
        <f>AND(Plan1!D535,"AAAAAG+77Zc=")</f>
        <v>#VALUE!</v>
      </c>
      <c r="EW15" t="e">
        <f>AND(Plan1!E535,"AAAAAG+77Zg=")</f>
        <v>#VALUE!</v>
      </c>
      <c r="EX15" t="e">
        <f>AND(Plan1!F535,"AAAAAG+77Zk=")</f>
        <v>#VALUE!</v>
      </c>
      <c r="EY15">
        <f>IF(Plan1!536:536,"AAAAAG+77Zo=",0)</f>
        <v>0</v>
      </c>
      <c r="EZ15" t="e">
        <f>AND(Plan1!A536,"AAAAAG+77Zs=")</f>
        <v>#VALUE!</v>
      </c>
      <c r="FA15" t="e">
        <f>AND(Plan1!B536,"AAAAAG+77Zw=")</f>
        <v>#VALUE!</v>
      </c>
      <c r="FB15" t="e">
        <f>AND(Plan1!C536,"AAAAAG+77Z0=")</f>
        <v>#VALUE!</v>
      </c>
      <c r="FC15" t="e">
        <f>AND(Plan1!D536,"AAAAAG+77Z4=")</f>
        <v>#VALUE!</v>
      </c>
      <c r="FD15" t="e">
        <f>AND(Plan1!E536,"AAAAAG+77Z8=")</f>
        <v>#VALUE!</v>
      </c>
      <c r="FE15" t="e">
        <f>AND(Plan1!F536,"AAAAAG+77aA=")</f>
        <v>#VALUE!</v>
      </c>
      <c r="FF15">
        <f>IF(Plan1!537:537,"AAAAAG+77aE=",0)</f>
        <v>0</v>
      </c>
      <c r="FG15" t="e">
        <f>AND(Plan1!A537,"AAAAAG+77aI=")</f>
        <v>#VALUE!</v>
      </c>
      <c r="FH15" t="e">
        <f>AND(Plan1!B537,"AAAAAG+77aM=")</f>
        <v>#VALUE!</v>
      </c>
      <c r="FI15" t="e">
        <f>AND(Plan1!C537,"AAAAAG+77aQ=")</f>
        <v>#VALUE!</v>
      </c>
      <c r="FJ15" t="e">
        <f>AND(Plan1!D537,"AAAAAG+77aU=")</f>
        <v>#VALUE!</v>
      </c>
      <c r="FK15" t="e">
        <f>AND(Plan1!E537,"AAAAAG+77aY=")</f>
        <v>#VALUE!</v>
      </c>
      <c r="FL15" t="e">
        <f>AND(Plan1!F537,"AAAAAG+77ac=")</f>
        <v>#VALUE!</v>
      </c>
      <c r="FM15">
        <f>IF(Plan1!538:538,"AAAAAG+77ag=",0)</f>
        <v>0</v>
      </c>
      <c r="FN15" t="e">
        <f>AND(Plan1!A538,"AAAAAG+77ak=")</f>
        <v>#VALUE!</v>
      </c>
      <c r="FO15" t="e">
        <f>AND(Plan1!B538,"AAAAAG+77ao=")</f>
        <v>#VALUE!</v>
      </c>
      <c r="FP15" t="e">
        <f>AND(Plan1!C538,"AAAAAG+77as=")</f>
        <v>#VALUE!</v>
      </c>
      <c r="FQ15" t="e">
        <f>AND(Plan1!D538,"AAAAAG+77aw=")</f>
        <v>#VALUE!</v>
      </c>
      <c r="FR15" t="e">
        <f>AND(Plan1!E538,"AAAAAG+77a0=")</f>
        <v>#VALUE!</v>
      </c>
      <c r="FS15" t="e">
        <f>AND(Plan1!F538,"AAAAAG+77a4=")</f>
        <v>#VALUE!</v>
      </c>
      <c r="FT15">
        <f>IF(Plan1!539:539,"AAAAAG+77a8=",0)</f>
        <v>0</v>
      </c>
      <c r="FU15" t="e">
        <f>AND(Plan1!A539,"AAAAAG+77bA=")</f>
        <v>#VALUE!</v>
      </c>
      <c r="FV15" t="e">
        <f>AND(Plan1!B539,"AAAAAG+77bE=")</f>
        <v>#VALUE!</v>
      </c>
      <c r="FW15" t="e">
        <f>AND(Plan1!C539,"AAAAAG+77bI=")</f>
        <v>#VALUE!</v>
      </c>
      <c r="FX15" t="e">
        <f>AND(Plan1!D539,"AAAAAG+77bM=")</f>
        <v>#VALUE!</v>
      </c>
      <c r="FY15" t="e">
        <f>AND(Plan1!E539,"AAAAAG+77bQ=")</f>
        <v>#VALUE!</v>
      </c>
      <c r="FZ15" t="e">
        <f>AND(Plan1!F539,"AAAAAG+77bU=")</f>
        <v>#VALUE!</v>
      </c>
      <c r="GA15">
        <f>IF(Plan1!540:540,"AAAAAG+77bY=",0)</f>
        <v>0</v>
      </c>
      <c r="GB15" t="e">
        <f>AND(Plan1!A540,"AAAAAG+77bc=")</f>
        <v>#VALUE!</v>
      </c>
      <c r="GC15" t="e">
        <f>AND(Plan1!B540,"AAAAAG+77bg=")</f>
        <v>#VALUE!</v>
      </c>
      <c r="GD15" t="e">
        <f>AND(Plan1!C540,"AAAAAG+77bk=")</f>
        <v>#VALUE!</v>
      </c>
      <c r="GE15" t="e">
        <f>AND(Plan1!D540,"AAAAAG+77bo=")</f>
        <v>#VALUE!</v>
      </c>
      <c r="GF15" t="e">
        <f>AND(Plan1!E540,"AAAAAG+77bs=")</f>
        <v>#VALUE!</v>
      </c>
      <c r="GG15" t="e">
        <f>AND(Plan1!F540,"AAAAAG+77bw=")</f>
        <v>#VALUE!</v>
      </c>
      <c r="GH15">
        <f>IF(Plan1!541:541,"AAAAAG+77b0=",0)</f>
        <v>0</v>
      </c>
      <c r="GI15" t="e">
        <f>AND(Plan1!A541,"AAAAAG+77b4=")</f>
        <v>#VALUE!</v>
      </c>
      <c r="GJ15" t="e">
        <f>AND(Plan1!B541,"AAAAAG+77b8=")</f>
        <v>#VALUE!</v>
      </c>
      <c r="GK15" t="e">
        <f>AND(Plan1!C541,"AAAAAG+77cA=")</f>
        <v>#VALUE!</v>
      </c>
      <c r="GL15" t="e">
        <f>AND(Plan1!D541,"AAAAAG+77cE=")</f>
        <v>#VALUE!</v>
      </c>
      <c r="GM15" t="e">
        <f>AND(Plan1!E541,"AAAAAG+77cI=")</f>
        <v>#VALUE!</v>
      </c>
      <c r="GN15" t="e">
        <f>AND(Plan1!F541,"AAAAAG+77cM=")</f>
        <v>#VALUE!</v>
      </c>
      <c r="GO15">
        <f>IF(Plan1!542:542,"AAAAAG+77cQ=",0)</f>
        <v>0</v>
      </c>
      <c r="GP15" t="e">
        <f>AND(Plan1!A542,"AAAAAG+77cU=")</f>
        <v>#VALUE!</v>
      </c>
      <c r="GQ15" t="e">
        <f>AND(Plan1!B542,"AAAAAG+77cY=")</f>
        <v>#VALUE!</v>
      </c>
      <c r="GR15" t="e">
        <f>AND(Plan1!C542,"AAAAAG+77cc=")</f>
        <v>#VALUE!</v>
      </c>
      <c r="GS15" t="e">
        <f>AND(Plan1!D542,"AAAAAG+77cg=")</f>
        <v>#VALUE!</v>
      </c>
      <c r="GT15" t="e">
        <f>AND(Plan1!E542,"AAAAAG+77ck=")</f>
        <v>#VALUE!</v>
      </c>
      <c r="GU15" t="e">
        <f>AND(Plan1!F542,"AAAAAG+77co=")</f>
        <v>#VALUE!</v>
      </c>
      <c r="GV15">
        <f>IF(Plan1!543:543,"AAAAAG+77cs=",0)</f>
        <v>0</v>
      </c>
      <c r="GW15" t="e">
        <f>AND(Plan1!A543,"AAAAAG+77cw=")</f>
        <v>#VALUE!</v>
      </c>
      <c r="GX15" t="e">
        <f>AND(Plan1!B543,"AAAAAG+77c0=")</f>
        <v>#VALUE!</v>
      </c>
      <c r="GY15" t="e">
        <f>AND(Plan1!C543,"AAAAAG+77c4=")</f>
        <v>#VALUE!</v>
      </c>
      <c r="GZ15" t="e">
        <f>AND(Plan1!D543,"AAAAAG+77c8=")</f>
        <v>#VALUE!</v>
      </c>
      <c r="HA15" t="e">
        <f>AND(Plan1!E543,"AAAAAG+77dA=")</f>
        <v>#VALUE!</v>
      </c>
      <c r="HB15" t="e">
        <f>AND(Plan1!F543,"AAAAAG+77dE=")</f>
        <v>#VALUE!</v>
      </c>
      <c r="HC15">
        <f>IF(Plan1!544:544,"AAAAAG+77dI=",0)</f>
        <v>0</v>
      </c>
      <c r="HD15" t="e">
        <f>AND(Plan1!A544,"AAAAAG+77dM=")</f>
        <v>#VALUE!</v>
      </c>
      <c r="HE15" t="e">
        <f>AND(Plan1!B544,"AAAAAG+77dQ=")</f>
        <v>#VALUE!</v>
      </c>
      <c r="HF15" t="e">
        <f>AND(Plan1!C544,"AAAAAG+77dU=")</f>
        <v>#VALUE!</v>
      </c>
      <c r="HG15" t="e">
        <f>AND(Plan1!D544,"AAAAAG+77dY=")</f>
        <v>#VALUE!</v>
      </c>
      <c r="HH15" t="e">
        <f>AND(Plan1!E544,"AAAAAG+77dc=")</f>
        <v>#VALUE!</v>
      </c>
      <c r="HI15" t="e">
        <f>AND(Plan1!F544,"AAAAAG+77dg=")</f>
        <v>#VALUE!</v>
      </c>
      <c r="HJ15">
        <f>IF(Plan1!545:545,"AAAAAG+77dk=",0)</f>
        <v>0</v>
      </c>
      <c r="HK15" t="e">
        <f>AND(Plan1!A545,"AAAAAG+77do=")</f>
        <v>#VALUE!</v>
      </c>
      <c r="HL15" t="e">
        <f>AND(Plan1!B545,"AAAAAG+77ds=")</f>
        <v>#VALUE!</v>
      </c>
      <c r="HM15" t="e">
        <f>AND(Plan1!C545,"AAAAAG+77dw=")</f>
        <v>#VALUE!</v>
      </c>
      <c r="HN15" t="e">
        <f>AND(Plan1!D545,"AAAAAG+77d0=")</f>
        <v>#VALUE!</v>
      </c>
      <c r="HO15" t="e">
        <f>AND(Plan1!E545,"AAAAAG+77d4=")</f>
        <v>#VALUE!</v>
      </c>
      <c r="HP15" t="e">
        <f>AND(Plan1!F545,"AAAAAG+77d8=")</f>
        <v>#VALUE!</v>
      </c>
      <c r="HQ15">
        <f>IF(Plan1!546:546,"AAAAAG+77eA=",0)</f>
        <v>0</v>
      </c>
      <c r="HR15" t="e">
        <f>AND(Plan1!A546,"AAAAAG+77eE=")</f>
        <v>#VALUE!</v>
      </c>
      <c r="HS15" t="e">
        <f>AND(Plan1!B546,"AAAAAG+77eI=")</f>
        <v>#VALUE!</v>
      </c>
      <c r="HT15" t="e">
        <f>AND(Plan1!C546,"AAAAAG+77eM=")</f>
        <v>#VALUE!</v>
      </c>
      <c r="HU15" t="e">
        <f>AND(Plan1!D546,"AAAAAG+77eQ=")</f>
        <v>#VALUE!</v>
      </c>
      <c r="HV15" t="e">
        <f>AND(Plan1!E546,"AAAAAG+77eU=")</f>
        <v>#VALUE!</v>
      </c>
      <c r="HW15" t="e">
        <f>AND(Plan1!F546,"AAAAAG+77eY=")</f>
        <v>#VALUE!</v>
      </c>
      <c r="HX15">
        <f>IF(Plan1!547:547,"AAAAAG+77ec=",0)</f>
        <v>0</v>
      </c>
      <c r="HY15" t="e">
        <f>AND(Plan1!A547,"AAAAAG+77eg=")</f>
        <v>#VALUE!</v>
      </c>
      <c r="HZ15" t="e">
        <f>AND(Plan1!B547,"AAAAAG+77ek=")</f>
        <v>#VALUE!</v>
      </c>
      <c r="IA15" t="e">
        <f>AND(Plan1!C547,"AAAAAG+77eo=")</f>
        <v>#VALUE!</v>
      </c>
      <c r="IB15" t="e">
        <f>AND(Plan1!D547,"AAAAAG+77es=")</f>
        <v>#VALUE!</v>
      </c>
      <c r="IC15" t="e">
        <f>AND(Plan1!E547,"AAAAAG+77ew=")</f>
        <v>#VALUE!</v>
      </c>
      <c r="ID15" t="e">
        <f>AND(Plan1!F547,"AAAAAG+77e0=")</f>
        <v>#VALUE!</v>
      </c>
      <c r="IE15">
        <f>IF(Plan1!548:548,"AAAAAG+77e4=",0)</f>
        <v>0</v>
      </c>
      <c r="IF15" t="e">
        <f>AND(Plan1!A548,"AAAAAG+77e8=")</f>
        <v>#VALUE!</v>
      </c>
      <c r="IG15" t="e">
        <f>AND(Plan1!B548,"AAAAAG+77fA=")</f>
        <v>#VALUE!</v>
      </c>
      <c r="IH15" t="e">
        <f>AND(Plan1!C548,"AAAAAG+77fE=")</f>
        <v>#VALUE!</v>
      </c>
      <c r="II15" t="e">
        <f>AND(Plan1!D548,"AAAAAG+77fI=")</f>
        <v>#VALUE!</v>
      </c>
      <c r="IJ15" t="e">
        <f>AND(Plan1!E548,"AAAAAG+77fM=")</f>
        <v>#VALUE!</v>
      </c>
      <c r="IK15" t="e">
        <f>AND(Plan1!F548,"AAAAAG+77fQ=")</f>
        <v>#VALUE!</v>
      </c>
      <c r="IL15">
        <f>IF(Plan1!549:549,"AAAAAG+77fU=",0)</f>
        <v>0</v>
      </c>
      <c r="IM15" t="e">
        <f>AND(Plan1!A549,"AAAAAG+77fY=")</f>
        <v>#VALUE!</v>
      </c>
      <c r="IN15" t="e">
        <f>AND(Plan1!B549,"AAAAAG+77fc=")</f>
        <v>#VALUE!</v>
      </c>
      <c r="IO15" t="e">
        <f>AND(Plan1!C549,"AAAAAG+77fg=")</f>
        <v>#VALUE!</v>
      </c>
      <c r="IP15" t="e">
        <f>AND(Plan1!D549,"AAAAAG+77fk=")</f>
        <v>#VALUE!</v>
      </c>
      <c r="IQ15" t="e">
        <f>AND(Plan1!E549,"AAAAAG+77fo=")</f>
        <v>#VALUE!</v>
      </c>
      <c r="IR15" t="e">
        <f>AND(Plan1!F549,"AAAAAG+77fs=")</f>
        <v>#VALUE!</v>
      </c>
      <c r="IS15">
        <f>IF(Plan1!550:550,"AAAAAG+77fw=",0)</f>
        <v>0</v>
      </c>
      <c r="IT15" t="e">
        <f>AND(Plan1!A550,"AAAAAG+77f0=")</f>
        <v>#VALUE!</v>
      </c>
      <c r="IU15" t="e">
        <f>AND(Plan1!B550,"AAAAAG+77f4=")</f>
        <v>#VALUE!</v>
      </c>
      <c r="IV15" t="e">
        <f>AND(Plan1!C550,"AAAAAG+77f8=")</f>
        <v>#VALUE!</v>
      </c>
    </row>
    <row r="16" spans="1:256">
      <c r="A16" t="e">
        <f>AND(Plan1!D550,"AAAAADx/2wA=")</f>
        <v>#VALUE!</v>
      </c>
      <c r="B16" t="e">
        <f>AND(Plan1!E550,"AAAAADx/2wE=")</f>
        <v>#VALUE!</v>
      </c>
      <c r="C16" t="e">
        <f>AND(Plan1!F550,"AAAAADx/2wI=")</f>
        <v>#VALUE!</v>
      </c>
      <c r="D16" t="str">
        <f>IF(Plan1!551:551,"AAAAADx/2wM=",0)</f>
        <v>AAAAADx/2wM=</v>
      </c>
      <c r="E16" t="e">
        <f>AND(Plan1!A551,"AAAAADx/2wQ=")</f>
        <v>#VALUE!</v>
      </c>
      <c r="F16" t="e">
        <f>AND(Plan1!B551,"AAAAADx/2wU=")</f>
        <v>#VALUE!</v>
      </c>
      <c r="G16" t="e">
        <f>AND(Plan1!C551,"AAAAADx/2wY=")</f>
        <v>#VALUE!</v>
      </c>
      <c r="H16" t="e">
        <f>AND(Plan1!D551,"AAAAADx/2wc=")</f>
        <v>#VALUE!</v>
      </c>
      <c r="I16" t="e">
        <f>AND(Plan1!E551,"AAAAADx/2wg=")</f>
        <v>#VALUE!</v>
      </c>
      <c r="J16" t="e">
        <f>AND(Plan1!F551,"AAAAADx/2wk=")</f>
        <v>#VALUE!</v>
      </c>
      <c r="K16">
        <f>IF(Plan1!552:552,"AAAAADx/2wo=",0)</f>
        <v>0</v>
      </c>
      <c r="L16" t="e">
        <f>AND(Plan1!A552,"AAAAADx/2ws=")</f>
        <v>#VALUE!</v>
      </c>
      <c r="M16" t="e">
        <f>AND(Plan1!B552,"AAAAADx/2ww=")</f>
        <v>#VALUE!</v>
      </c>
      <c r="N16" t="e">
        <f>AND(Plan1!C552,"AAAAADx/2w0=")</f>
        <v>#VALUE!</v>
      </c>
      <c r="O16" t="e">
        <f>AND(Plan1!D552,"AAAAADx/2w4=")</f>
        <v>#VALUE!</v>
      </c>
      <c r="P16" t="e">
        <f>AND(Plan1!E552,"AAAAADx/2w8=")</f>
        <v>#VALUE!</v>
      </c>
      <c r="Q16" t="e">
        <f>AND(Plan1!F552,"AAAAADx/2xA=")</f>
        <v>#VALUE!</v>
      </c>
      <c r="R16">
        <f>IF(Plan1!553:553,"AAAAADx/2xE=",0)</f>
        <v>0</v>
      </c>
      <c r="S16" t="e">
        <f>AND(Plan1!A553,"AAAAADx/2xI=")</f>
        <v>#VALUE!</v>
      </c>
      <c r="T16" t="e">
        <f>AND(Plan1!B553,"AAAAADx/2xM=")</f>
        <v>#VALUE!</v>
      </c>
      <c r="U16" t="e">
        <f>AND(Plan1!C553,"AAAAADx/2xQ=")</f>
        <v>#VALUE!</v>
      </c>
      <c r="V16" t="e">
        <f>AND(Plan1!D553,"AAAAADx/2xU=")</f>
        <v>#VALUE!</v>
      </c>
      <c r="W16" t="e">
        <f>AND(Plan1!E553,"AAAAADx/2xY=")</f>
        <v>#VALUE!</v>
      </c>
      <c r="X16" t="e">
        <f>AND(Plan1!F553,"AAAAADx/2xc=")</f>
        <v>#VALUE!</v>
      </c>
      <c r="Y16">
        <f>IF(Plan1!554:554,"AAAAADx/2xg=",0)</f>
        <v>0</v>
      </c>
      <c r="Z16" t="e">
        <f>AND(Plan1!A554,"AAAAADx/2xk=")</f>
        <v>#VALUE!</v>
      </c>
      <c r="AA16" t="e">
        <f>AND(Plan1!B554,"AAAAADx/2xo=")</f>
        <v>#VALUE!</v>
      </c>
      <c r="AB16" t="e">
        <f>AND(Plan1!C554,"AAAAADx/2xs=")</f>
        <v>#VALUE!</v>
      </c>
      <c r="AC16" t="e">
        <f>AND(Plan1!D554,"AAAAADx/2xw=")</f>
        <v>#VALUE!</v>
      </c>
      <c r="AD16" t="e">
        <f>AND(Plan1!E554,"AAAAADx/2x0=")</f>
        <v>#VALUE!</v>
      </c>
      <c r="AE16" t="e">
        <f>AND(Plan1!F554,"AAAAADx/2x4=")</f>
        <v>#VALUE!</v>
      </c>
      <c r="AF16">
        <f>IF(Plan1!555:555,"AAAAADx/2x8=",0)</f>
        <v>0</v>
      </c>
      <c r="AG16" t="e">
        <f>AND(Plan1!A555,"AAAAADx/2yA=")</f>
        <v>#VALUE!</v>
      </c>
      <c r="AH16" t="e">
        <f>AND(Plan1!B555,"AAAAADx/2yE=")</f>
        <v>#VALUE!</v>
      </c>
      <c r="AI16" t="e">
        <f>AND(Plan1!C555,"AAAAADx/2yI=")</f>
        <v>#VALUE!</v>
      </c>
      <c r="AJ16" t="e">
        <f>AND(Plan1!D555,"AAAAADx/2yM=")</f>
        <v>#VALUE!</v>
      </c>
      <c r="AK16" t="e">
        <f>AND(Plan1!E555,"AAAAADx/2yQ=")</f>
        <v>#VALUE!</v>
      </c>
      <c r="AL16" t="e">
        <f>AND(Plan1!F555,"AAAAADx/2yU=")</f>
        <v>#VALUE!</v>
      </c>
      <c r="AM16">
        <f>IF(Plan1!556:556,"AAAAADx/2yY=",0)</f>
        <v>0</v>
      </c>
      <c r="AN16" t="e">
        <f>AND(Plan1!A556,"AAAAADx/2yc=")</f>
        <v>#VALUE!</v>
      </c>
      <c r="AO16" t="e">
        <f>AND(Plan1!B556,"AAAAADx/2yg=")</f>
        <v>#VALUE!</v>
      </c>
      <c r="AP16" t="e">
        <f>AND(Plan1!C556,"AAAAADx/2yk=")</f>
        <v>#VALUE!</v>
      </c>
      <c r="AQ16" t="e">
        <f>AND(Plan1!D556,"AAAAADx/2yo=")</f>
        <v>#VALUE!</v>
      </c>
      <c r="AR16" t="e">
        <f>AND(Plan1!E556,"AAAAADx/2ys=")</f>
        <v>#VALUE!</v>
      </c>
      <c r="AS16" t="e">
        <f>AND(Plan1!F556,"AAAAADx/2yw=")</f>
        <v>#VALUE!</v>
      </c>
      <c r="AT16">
        <f>IF(Plan1!557:557,"AAAAADx/2y0=",0)</f>
        <v>0</v>
      </c>
      <c r="AU16" t="e">
        <f>AND(Plan1!A557,"AAAAADx/2y4=")</f>
        <v>#VALUE!</v>
      </c>
      <c r="AV16" t="e">
        <f>AND(Plan1!B557,"AAAAADx/2y8=")</f>
        <v>#VALUE!</v>
      </c>
      <c r="AW16" t="e">
        <f>AND(Plan1!C557,"AAAAADx/2zA=")</f>
        <v>#VALUE!</v>
      </c>
      <c r="AX16" t="e">
        <f>AND(Plan1!D557,"AAAAADx/2zE=")</f>
        <v>#VALUE!</v>
      </c>
      <c r="AY16" t="e">
        <f>AND(Plan1!E557,"AAAAADx/2zI=")</f>
        <v>#VALUE!</v>
      </c>
      <c r="AZ16" t="e">
        <f>AND(Plan1!F557,"AAAAADx/2zM=")</f>
        <v>#VALUE!</v>
      </c>
      <c r="BA16">
        <f>IF(Plan1!558:558,"AAAAADx/2zQ=",0)</f>
        <v>0</v>
      </c>
      <c r="BB16" t="e">
        <f>AND(Plan1!A558,"AAAAADx/2zU=")</f>
        <v>#VALUE!</v>
      </c>
      <c r="BC16" t="e">
        <f>AND(Plan1!B558,"AAAAADx/2zY=")</f>
        <v>#VALUE!</v>
      </c>
      <c r="BD16" t="e">
        <f>AND(Plan1!C558,"AAAAADx/2zc=")</f>
        <v>#VALUE!</v>
      </c>
      <c r="BE16" t="e">
        <f>AND(Plan1!D558,"AAAAADx/2zg=")</f>
        <v>#VALUE!</v>
      </c>
      <c r="BF16" t="e">
        <f>AND(Plan1!E558,"AAAAADx/2zk=")</f>
        <v>#VALUE!</v>
      </c>
      <c r="BG16" t="e">
        <f>AND(Plan1!F558,"AAAAADx/2zo=")</f>
        <v>#VALUE!</v>
      </c>
      <c r="BH16">
        <f>IF(Plan1!559:559,"AAAAADx/2zs=",0)</f>
        <v>0</v>
      </c>
      <c r="BI16" t="e">
        <f>AND(Plan1!A559,"AAAAADx/2zw=")</f>
        <v>#VALUE!</v>
      </c>
      <c r="BJ16" t="e">
        <f>AND(Plan1!B559,"AAAAADx/2z0=")</f>
        <v>#VALUE!</v>
      </c>
      <c r="BK16" t="e">
        <f>AND(Plan1!C559,"AAAAADx/2z4=")</f>
        <v>#VALUE!</v>
      </c>
      <c r="BL16" t="e">
        <f>AND(Plan1!D559,"AAAAADx/2z8=")</f>
        <v>#VALUE!</v>
      </c>
      <c r="BM16" t="e">
        <f>AND(Plan1!E559,"AAAAADx/20A=")</f>
        <v>#VALUE!</v>
      </c>
      <c r="BN16" t="e">
        <f>AND(Plan1!F559,"AAAAADx/20E=")</f>
        <v>#VALUE!</v>
      </c>
      <c r="BO16">
        <f>IF(Plan1!560:560,"AAAAADx/20I=",0)</f>
        <v>0</v>
      </c>
      <c r="BP16" t="e">
        <f>AND(Plan1!A560,"AAAAADx/20M=")</f>
        <v>#VALUE!</v>
      </c>
      <c r="BQ16" t="e">
        <f>AND(Plan1!B560,"AAAAADx/20Q=")</f>
        <v>#VALUE!</v>
      </c>
      <c r="BR16" t="e">
        <f>AND(Plan1!C560,"AAAAADx/20U=")</f>
        <v>#VALUE!</v>
      </c>
      <c r="BS16" t="e">
        <f>AND(Plan1!D560,"AAAAADx/20Y=")</f>
        <v>#VALUE!</v>
      </c>
      <c r="BT16" t="e">
        <f>AND(Plan1!E560,"AAAAADx/20c=")</f>
        <v>#VALUE!</v>
      </c>
      <c r="BU16" t="e">
        <f>AND(Plan1!F560,"AAAAADx/20g=")</f>
        <v>#VALUE!</v>
      </c>
      <c r="BV16">
        <f>IF(Plan1!561:561,"AAAAADx/20k=",0)</f>
        <v>0</v>
      </c>
      <c r="BW16" t="e">
        <f>AND(Plan1!A561,"AAAAADx/20o=")</f>
        <v>#VALUE!</v>
      </c>
      <c r="BX16" t="e">
        <f>AND(Plan1!B561,"AAAAADx/20s=")</f>
        <v>#VALUE!</v>
      </c>
      <c r="BY16" t="e">
        <f>AND(Plan1!C561,"AAAAADx/20w=")</f>
        <v>#VALUE!</v>
      </c>
      <c r="BZ16" t="e">
        <f>AND(Plan1!D561,"AAAAADx/200=")</f>
        <v>#VALUE!</v>
      </c>
      <c r="CA16" t="e">
        <f>AND(Plan1!E561,"AAAAADx/204=")</f>
        <v>#VALUE!</v>
      </c>
      <c r="CB16" t="e">
        <f>AND(Plan1!F561,"AAAAADx/208=")</f>
        <v>#VALUE!</v>
      </c>
      <c r="CC16">
        <f>IF(Plan1!562:562,"AAAAADx/21A=",0)</f>
        <v>0</v>
      </c>
      <c r="CD16" t="e">
        <f>AND(Plan1!A562,"AAAAADx/21E=")</f>
        <v>#VALUE!</v>
      </c>
      <c r="CE16" t="e">
        <f>AND(Plan1!B562,"AAAAADx/21I=")</f>
        <v>#VALUE!</v>
      </c>
      <c r="CF16" t="e">
        <f>AND(Plan1!C562,"AAAAADx/21M=")</f>
        <v>#VALUE!</v>
      </c>
      <c r="CG16" t="e">
        <f>AND(Plan1!D562,"AAAAADx/21Q=")</f>
        <v>#VALUE!</v>
      </c>
      <c r="CH16" t="e">
        <f>AND(Plan1!E562,"AAAAADx/21U=")</f>
        <v>#VALUE!</v>
      </c>
      <c r="CI16" t="e">
        <f>AND(Plan1!F562,"AAAAADx/21Y=")</f>
        <v>#VALUE!</v>
      </c>
      <c r="CJ16">
        <f>IF(Plan1!563:563,"AAAAADx/21c=",0)</f>
        <v>0</v>
      </c>
      <c r="CK16" t="e">
        <f>AND(Plan1!A563,"AAAAADx/21g=")</f>
        <v>#VALUE!</v>
      </c>
      <c r="CL16" t="e">
        <f>AND(Plan1!B563,"AAAAADx/21k=")</f>
        <v>#VALUE!</v>
      </c>
      <c r="CM16" t="e">
        <f>AND(Plan1!C563,"AAAAADx/21o=")</f>
        <v>#VALUE!</v>
      </c>
      <c r="CN16" t="e">
        <f>AND(Plan1!D563,"AAAAADx/21s=")</f>
        <v>#VALUE!</v>
      </c>
      <c r="CO16" t="e">
        <f>AND(Plan1!E563,"AAAAADx/21w=")</f>
        <v>#VALUE!</v>
      </c>
      <c r="CP16" t="e">
        <f>AND(Plan1!F563,"AAAAADx/210=")</f>
        <v>#VALUE!</v>
      </c>
      <c r="CQ16">
        <f>IF(Plan1!564:564,"AAAAADx/214=",0)</f>
        <v>0</v>
      </c>
      <c r="CR16" t="e">
        <f>AND(Plan1!A564,"AAAAADx/218=")</f>
        <v>#VALUE!</v>
      </c>
      <c r="CS16" t="e">
        <f>AND(Plan1!B564,"AAAAADx/22A=")</f>
        <v>#VALUE!</v>
      </c>
      <c r="CT16" t="e">
        <f>AND(Plan1!C564,"AAAAADx/22E=")</f>
        <v>#VALUE!</v>
      </c>
      <c r="CU16" t="e">
        <f>AND(Plan1!D564,"AAAAADx/22I=")</f>
        <v>#VALUE!</v>
      </c>
      <c r="CV16" t="e">
        <f>AND(Plan1!E564,"AAAAADx/22M=")</f>
        <v>#VALUE!</v>
      </c>
      <c r="CW16" t="e">
        <f>AND(Plan1!F564,"AAAAADx/22Q=")</f>
        <v>#VALUE!</v>
      </c>
      <c r="CX16">
        <f>IF(Plan1!565:565,"AAAAADx/22U=",0)</f>
        <v>0</v>
      </c>
      <c r="CY16" t="e">
        <f>AND(Plan1!A565,"AAAAADx/22Y=")</f>
        <v>#VALUE!</v>
      </c>
      <c r="CZ16" t="e">
        <f>AND(Plan1!B565,"AAAAADx/22c=")</f>
        <v>#VALUE!</v>
      </c>
      <c r="DA16" t="e">
        <f>AND(Plan1!C565,"AAAAADx/22g=")</f>
        <v>#VALUE!</v>
      </c>
      <c r="DB16" t="e">
        <f>AND(Plan1!D565,"AAAAADx/22k=")</f>
        <v>#VALUE!</v>
      </c>
      <c r="DC16" t="e">
        <f>AND(Plan1!E565,"AAAAADx/22o=")</f>
        <v>#VALUE!</v>
      </c>
      <c r="DD16" t="e">
        <f>AND(Plan1!F565,"AAAAADx/22s=")</f>
        <v>#VALUE!</v>
      </c>
      <c r="DE16">
        <f>IF(Plan1!566:566,"AAAAADx/22w=",0)</f>
        <v>0</v>
      </c>
      <c r="DF16" t="e">
        <f>AND(Plan1!A566,"AAAAADx/220=")</f>
        <v>#VALUE!</v>
      </c>
      <c r="DG16" t="e">
        <f>AND(Plan1!B566,"AAAAADx/224=")</f>
        <v>#VALUE!</v>
      </c>
      <c r="DH16" t="e">
        <f>AND(Plan1!C566,"AAAAADx/228=")</f>
        <v>#VALUE!</v>
      </c>
      <c r="DI16" t="e">
        <f>AND(Plan1!D566,"AAAAADx/23A=")</f>
        <v>#VALUE!</v>
      </c>
      <c r="DJ16" t="e">
        <f>AND(Plan1!E566,"AAAAADx/23E=")</f>
        <v>#VALUE!</v>
      </c>
      <c r="DK16" t="e">
        <f>AND(Plan1!F566,"AAAAADx/23I=")</f>
        <v>#VALUE!</v>
      </c>
      <c r="DL16">
        <f>IF(Plan1!567:567,"AAAAADx/23M=",0)</f>
        <v>0</v>
      </c>
      <c r="DM16" t="e">
        <f>AND(Plan1!A567,"AAAAADx/23Q=")</f>
        <v>#VALUE!</v>
      </c>
      <c r="DN16" t="e">
        <f>AND(Plan1!B567,"AAAAADx/23U=")</f>
        <v>#VALUE!</v>
      </c>
      <c r="DO16" t="e">
        <f>AND(Plan1!C567,"AAAAADx/23Y=")</f>
        <v>#VALUE!</v>
      </c>
      <c r="DP16" t="e">
        <f>AND(Plan1!D567,"AAAAADx/23c=")</f>
        <v>#VALUE!</v>
      </c>
      <c r="DQ16" t="e">
        <f>AND(Plan1!E567,"AAAAADx/23g=")</f>
        <v>#VALUE!</v>
      </c>
      <c r="DR16" t="e">
        <f>AND(Plan1!F567,"AAAAADx/23k=")</f>
        <v>#VALUE!</v>
      </c>
      <c r="DS16">
        <f>IF(Plan1!568:568,"AAAAADx/23o=",0)</f>
        <v>0</v>
      </c>
      <c r="DT16" t="e">
        <f>AND(Plan1!A568,"AAAAADx/23s=")</f>
        <v>#VALUE!</v>
      </c>
      <c r="DU16" t="e">
        <f>AND(Plan1!B568,"AAAAADx/23w=")</f>
        <v>#VALUE!</v>
      </c>
      <c r="DV16" t="e">
        <f>AND(Plan1!C568,"AAAAADx/230=")</f>
        <v>#VALUE!</v>
      </c>
      <c r="DW16" t="e">
        <f>AND(Plan1!D568,"AAAAADx/234=")</f>
        <v>#VALUE!</v>
      </c>
      <c r="DX16" t="e">
        <f>AND(Plan1!E568,"AAAAADx/238=")</f>
        <v>#VALUE!</v>
      </c>
      <c r="DY16" t="e">
        <f>AND(Plan1!F568,"AAAAADx/24A=")</f>
        <v>#VALUE!</v>
      </c>
      <c r="DZ16">
        <f>IF(Plan1!569:569,"AAAAADx/24E=",0)</f>
        <v>0</v>
      </c>
      <c r="EA16" t="e">
        <f>AND(Plan1!A569,"AAAAADx/24I=")</f>
        <v>#VALUE!</v>
      </c>
      <c r="EB16" t="e">
        <f>AND(Plan1!B569,"AAAAADx/24M=")</f>
        <v>#VALUE!</v>
      </c>
      <c r="EC16" t="e">
        <f>AND(Plan1!C569,"AAAAADx/24Q=")</f>
        <v>#VALUE!</v>
      </c>
      <c r="ED16" t="e">
        <f>AND(Plan1!D569,"AAAAADx/24U=")</f>
        <v>#VALUE!</v>
      </c>
      <c r="EE16" t="e">
        <f>AND(Plan1!E569,"AAAAADx/24Y=")</f>
        <v>#VALUE!</v>
      </c>
      <c r="EF16" t="e">
        <f>AND(Plan1!F569,"AAAAADx/24c=")</f>
        <v>#VALUE!</v>
      </c>
      <c r="EG16">
        <f>IF(Plan1!570:570,"AAAAADx/24g=",0)</f>
        <v>0</v>
      </c>
      <c r="EH16" t="e">
        <f>AND(Plan1!A570,"AAAAADx/24k=")</f>
        <v>#VALUE!</v>
      </c>
      <c r="EI16" t="e">
        <f>AND(Plan1!B570,"AAAAADx/24o=")</f>
        <v>#VALUE!</v>
      </c>
      <c r="EJ16" t="e">
        <f>AND(Plan1!C570,"AAAAADx/24s=")</f>
        <v>#VALUE!</v>
      </c>
      <c r="EK16" t="e">
        <f>AND(Plan1!D570,"AAAAADx/24w=")</f>
        <v>#VALUE!</v>
      </c>
      <c r="EL16" t="e">
        <f>AND(Plan1!E570,"AAAAADx/240=")</f>
        <v>#VALUE!</v>
      </c>
      <c r="EM16" t="e">
        <f>AND(Plan1!F570,"AAAAADx/244=")</f>
        <v>#VALUE!</v>
      </c>
      <c r="EN16">
        <f>IF(Plan1!571:571,"AAAAADx/248=",0)</f>
        <v>0</v>
      </c>
      <c r="EO16" t="e">
        <f>AND(Plan1!A571,"AAAAADx/25A=")</f>
        <v>#VALUE!</v>
      </c>
      <c r="EP16" t="e">
        <f>AND(Plan1!B571,"AAAAADx/25E=")</f>
        <v>#VALUE!</v>
      </c>
      <c r="EQ16" t="e">
        <f>AND(Plan1!C571,"AAAAADx/25I=")</f>
        <v>#VALUE!</v>
      </c>
      <c r="ER16" t="e">
        <f>AND(Plan1!D571,"AAAAADx/25M=")</f>
        <v>#VALUE!</v>
      </c>
      <c r="ES16" t="e">
        <f>AND(Plan1!E571,"AAAAADx/25Q=")</f>
        <v>#VALUE!</v>
      </c>
      <c r="ET16" t="e">
        <f>AND(Plan1!F571,"AAAAADx/25U=")</f>
        <v>#VALUE!</v>
      </c>
      <c r="EU16">
        <f>IF(Plan1!572:572,"AAAAADx/25Y=",0)</f>
        <v>0</v>
      </c>
      <c r="EV16" t="e">
        <f>AND(Plan1!A572,"AAAAADx/25c=")</f>
        <v>#VALUE!</v>
      </c>
      <c r="EW16" t="e">
        <f>AND(Plan1!B572,"AAAAADx/25g=")</f>
        <v>#VALUE!</v>
      </c>
      <c r="EX16" t="e">
        <f>AND(Plan1!C572,"AAAAADx/25k=")</f>
        <v>#VALUE!</v>
      </c>
      <c r="EY16" t="e">
        <f>AND(Plan1!D572,"AAAAADx/25o=")</f>
        <v>#VALUE!</v>
      </c>
      <c r="EZ16" t="e">
        <f>AND(Plan1!E572,"AAAAADx/25s=")</f>
        <v>#VALUE!</v>
      </c>
      <c r="FA16" t="e">
        <f>AND(Plan1!F572,"AAAAADx/25w=")</f>
        <v>#VALUE!</v>
      </c>
      <c r="FB16">
        <f>IF(Plan1!573:573,"AAAAADx/250=",0)</f>
        <v>0</v>
      </c>
      <c r="FC16" t="e">
        <f>AND(Plan1!A573,"AAAAADx/254=")</f>
        <v>#VALUE!</v>
      </c>
      <c r="FD16" t="e">
        <f>AND(Plan1!B573,"AAAAADx/258=")</f>
        <v>#VALUE!</v>
      </c>
      <c r="FE16" t="e">
        <f>AND(Plan1!C573,"AAAAADx/26A=")</f>
        <v>#VALUE!</v>
      </c>
      <c r="FF16" t="e">
        <f>AND(Plan1!D573,"AAAAADx/26E=")</f>
        <v>#VALUE!</v>
      </c>
      <c r="FG16" t="e">
        <f>AND(Plan1!E573,"AAAAADx/26I=")</f>
        <v>#VALUE!</v>
      </c>
      <c r="FH16" t="e">
        <f>AND(Plan1!F573,"AAAAADx/26M=")</f>
        <v>#VALUE!</v>
      </c>
      <c r="FI16">
        <f>IF(Plan1!574:574,"AAAAADx/26Q=",0)</f>
        <v>0</v>
      </c>
      <c r="FJ16" t="e">
        <f>AND(Plan1!A574,"AAAAADx/26U=")</f>
        <v>#VALUE!</v>
      </c>
      <c r="FK16" t="e">
        <f>AND(Plan1!B574,"AAAAADx/26Y=")</f>
        <v>#VALUE!</v>
      </c>
      <c r="FL16" t="e">
        <f>AND(Plan1!C574,"AAAAADx/26c=")</f>
        <v>#VALUE!</v>
      </c>
      <c r="FM16" t="e">
        <f>AND(Plan1!D574,"AAAAADx/26g=")</f>
        <v>#VALUE!</v>
      </c>
      <c r="FN16" t="e">
        <f>AND(Plan1!E574,"AAAAADx/26k=")</f>
        <v>#VALUE!</v>
      </c>
      <c r="FO16" t="e">
        <f>AND(Plan1!F574,"AAAAADx/26o=")</f>
        <v>#VALUE!</v>
      </c>
      <c r="FP16">
        <f>IF(Plan1!575:575,"AAAAADx/26s=",0)</f>
        <v>0</v>
      </c>
      <c r="FQ16" t="e">
        <f>AND(Plan1!A575,"AAAAADx/26w=")</f>
        <v>#VALUE!</v>
      </c>
      <c r="FR16" t="e">
        <f>AND(Plan1!B575,"AAAAADx/260=")</f>
        <v>#VALUE!</v>
      </c>
      <c r="FS16" t="e">
        <f>AND(Plan1!C575,"AAAAADx/264=")</f>
        <v>#VALUE!</v>
      </c>
      <c r="FT16" t="e">
        <f>AND(Plan1!D575,"AAAAADx/268=")</f>
        <v>#VALUE!</v>
      </c>
      <c r="FU16" t="e">
        <f>AND(Plan1!E575,"AAAAADx/27A=")</f>
        <v>#VALUE!</v>
      </c>
      <c r="FV16" t="e">
        <f>AND(Plan1!F575,"AAAAADx/27E=")</f>
        <v>#VALUE!</v>
      </c>
      <c r="FW16">
        <f>IF(Plan1!576:576,"AAAAADx/27I=",0)</f>
        <v>0</v>
      </c>
      <c r="FX16" t="e">
        <f>AND(Plan1!A576,"AAAAADx/27M=")</f>
        <v>#VALUE!</v>
      </c>
      <c r="FY16" t="e">
        <f>AND(Plan1!B576,"AAAAADx/27Q=")</f>
        <v>#VALUE!</v>
      </c>
      <c r="FZ16" t="e">
        <f>AND(Plan1!C576,"AAAAADx/27U=")</f>
        <v>#VALUE!</v>
      </c>
      <c r="GA16" t="e">
        <f>AND(Plan1!D576,"AAAAADx/27Y=")</f>
        <v>#VALUE!</v>
      </c>
      <c r="GB16" t="e">
        <f>AND(Plan1!E576,"AAAAADx/27c=")</f>
        <v>#VALUE!</v>
      </c>
      <c r="GC16" t="e">
        <f>AND(Plan1!F576,"AAAAADx/27g=")</f>
        <v>#VALUE!</v>
      </c>
      <c r="GD16">
        <f>IF(Plan1!577:577,"AAAAADx/27k=",0)</f>
        <v>0</v>
      </c>
      <c r="GE16" t="e">
        <f>AND(Plan1!A577,"AAAAADx/27o=")</f>
        <v>#VALUE!</v>
      </c>
      <c r="GF16" t="e">
        <f>AND(Plan1!B577,"AAAAADx/27s=")</f>
        <v>#VALUE!</v>
      </c>
      <c r="GG16" t="e">
        <f>AND(Plan1!C577,"AAAAADx/27w=")</f>
        <v>#VALUE!</v>
      </c>
      <c r="GH16" t="e">
        <f>AND(Plan1!D577,"AAAAADx/270=")</f>
        <v>#VALUE!</v>
      </c>
      <c r="GI16" t="e">
        <f>AND(Plan1!E577,"AAAAADx/274=")</f>
        <v>#VALUE!</v>
      </c>
      <c r="GJ16" t="e">
        <f>AND(Plan1!F577,"AAAAADx/278=")</f>
        <v>#VALUE!</v>
      </c>
      <c r="GK16">
        <f>IF(Plan1!578:578,"AAAAADx/28A=",0)</f>
        <v>0</v>
      </c>
      <c r="GL16" t="e">
        <f>AND(Plan1!A578,"AAAAADx/28E=")</f>
        <v>#VALUE!</v>
      </c>
      <c r="GM16" t="e">
        <f>AND(Plan1!B578,"AAAAADx/28I=")</f>
        <v>#VALUE!</v>
      </c>
      <c r="GN16" t="e">
        <f>AND(Plan1!C578,"AAAAADx/28M=")</f>
        <v>#VALUE!</v>
      </c>
      <c r="GO16" t="e">
        <f>AND(Plan1!D578,"AAAAADx/28Q=")</f>
        <v>#VALUE!</v>
      </c>
      <c r="GP16" t="e">
        <f>AND(Plan1!E578,"AAAAADx/28U=")</f>
        <v>#VALUE!</v>
      </c>
      <c r="GQ16" t="e">
        <f>AND(Plan1!F578,"AAAAADx/28Y=")</f>
        <v>#VALUE!</v>
      </c>
      <c r="GR16">
        <f>IF(Plan1!579:579,"AAAAADx/28c=",0)</f>
        <v>0</v>
      </c>
      <c r="GS16" t="e">
        <f>AND(Plan1!A579,"AAAAADx/28g=")</f>
        <v>#VALUE!</v>
      </c>
      <c r="GT16" t="e">
        <f>AND(Plan1!B579,"AAAAADx/28k=")</f>
        <v>#VALUE!</v>
      </c>
      <c r="GU16" t="e">
        <f>AND(Plan1!C579,"AAAAADx/28o=")</f>
        <v>#VALUE!</v>
      </c>
      <c r="GV16" t="e">
        <f>AND(Plan1!D579,"AAAAADx/28s=")</f>
        <v>#VALUE!</v>
      </c>
      <c r="GW16" t="e">
        <f>AND(Plan1!E579,"AAAAADx/28w=")</f>
        <v>#VALUE!</v>
      </c>
      <c r="GX16" t="e">
        <f>AND(Plan1!F579,"AAAAADx/280=")</f>
        <v>#VALUE!</v>
      </c>
      <c r="GY16">
        <f>IF(Plan1!580:580,"AAAAADx/284=",0)</f>
        <v>0</v>
      </c>
      <c r="GZ16" t="e">
        <f>AND(Plan1!A580,"AAAAADx/288=")</f>
        <v>#VALUE!</v>
      </c>
      <c r="HA16" t="e">
        <f>AND(Plan1!B580,"AAAAADx/29A=")</f>
        <v>#VALUE!</v>
      </c>
      <c r="HB16" t="e">
        <f>AND(Plan1!C580,"AAAAADx/29E=")</f>
        <v>#VALUE!</v>
      </c>
      <c r="HC16" t="e">
        <f>AND(Plan1!D580,"AAAAADx/29I=")</f>
        <v>#VALUE!</v>
      </c>
      <c r="HD16" t="e">
        <f>AND(Plan1!E580,"AAAAADx/29M=")</f>
        <v>#VALUE!</v>
      </c>
      <c r="HE16" t="e">
        <f>AND(Plan1!F580,"AAAAADx/29Q=")</f>
        <v>#VALUE!</v>
      </c>
      <c r="HF16">
        <f>IF(Plan1!581:581,"AAAAADx/29U=",0)</f>
        <v>0</v>
      </c>
      <c r="HG16" t="e">
        <f>AND(Plan1!A581,"AAAAADx/29Y=")</f>
        <v>#VALUE!</v>
      </c>
      <c r="HH16" t="e">
        <f>AND(Plan1!B581,"AAAAADx/29c=")</f>
        <v>#VALUE!</v>
      </c>
      <c r="HI16" t="e">
        <f>AND(Plan1!C581,"AAAAADx/29g=")</f>
        <v>#VALUE!</v>
      </c>
      <c r="HJ16" t="e">
        <f>AND(Plan1!D581,"AAAAADx/29k=")</f>
        <v>#VALUE!</v>
      </c>
      <c r="HK16" t="e">
        <f>AND(Plan1!E581,"AAAAADx/29o=")</f>
        <v>#VALUE!</v>
      </c>
      <c r="HL16" t="e">
        <f>AND(Plan1!F581,"AAAAADx/29s=")</f>
        <v>#VALUE!</v>
      </c>
      <c r="HM16">
        <f>IF(Plan1!582:582,"AAAAADx/29w=",0)</f>
        <v>0</v>
      </c>
      <c r="HN16" t="e">
        <f>AND(Plan1!A582,"AAAAADx/290=")</f>
        <v>#VALUE!</v>
      </c>
      <c r="HO16" t="e">
        <f>AND(Plan1!B582,"AAAAADx/294=")</f>
        <v>#VALUE!</v>
      </c>
      <c r="HP16" t="e">
        <f>AND(Plan1!C582,"AAAAADx/298=")</f>
        <v>#VALUE!</v>
      </c>
      <c r="HQ16" t="e">
        <f>AND(Plan1!D582,"AAAAADx/2+A=")</f>
        <v>#VALUE!</v>
      </c>
      <c r="HR16" t="e">
        <f>AND(Plan1!E582,"AAAAADx/2+E=")</f>
        <v>#VALUE!</v>
      </c>
      <c r="HS16" t="e">
        <f>AND(Plan1!F582,"AAAAADx/2+I=")</f>
        <v>#VALUE!</v>
      </c>
      <c r="HT16">
        <f>IF(Plan1!583:583,"AAAAADx/2+M=",0)</f>
        <v>0</v>
      </c>
      <c r="HU16" t="e">
        <f>AND(Plan1!A583,"AAAAADx/2+Q=")</f>
        <v>#VALUE!</v>
      </c>
      <c r="HV16" t="e">
        <f>AND(Plan1!B583,"AAAAADx/2+U=")</f>
        <v>#VALUE!</v>
      </c>
      <c r="HW16" t="e">
        <f>AND(Plan1!C583,"AAAAADx/2+Y=")</f>
        <v>#VALUE!</v>
      </c>
      <c r="HX16" t="e">
        <f>AND(Plan1!D583,"AAAAADx/2+c=")</f>
        <v>#VALUE!</v>
      </c>
      <c r="HY16" t="e">
        <f>AND(Plan1!E583,"AAAAADx/2+g=")</f>
        <v>#VALUE!</v>
      </c>
      <c r="HZ16" t="e">
        <f>AND(Plan1!F583,"AAAAADx/2+k=")</f>
        <v>#VALUE!</v>
      </c>
      <c r="IA16">
        <f>IF(Plan1!584:584,"AAAAADx/2+o=",0)</f>
        <v>0</v>
      </c>
      <c r="IB16" t="e">
        <f>AND(Plan1!A584,"AAAAADx/2+s=")</f>
        <v>#VALUE!</v>
      </c>
      <c r="IC16" t="e">
        <f>AND(Plan1!B584,"AAAAADx/2+w=")</f>
        <v>#VALUE!</v>
      </c>
      <c r="ID16" t="e">
        <f>AND(Plan1!C584,"AAAAADx/2+0=")</f>
        <v>#VALUE!</v>
      </c>
      <c r="IE16" t="e">
        <f>AND(Plan1!D584,"AAAAADx/2+4=")</f>
        <v>#VALUE!</v>
      </c>
      <c r="IF16" t="e">
        <f>AND(Plan1!E584,"AAAAADx/2+8=")</f>
        <v>#VALUE!</v>
      </c>
      <c r="IG16" t="e">
        <f>AND(Plan1!F584,"AAAAADx/2/A=")</f>
        <v>#VALUE!</v>
      </c>
      <c r="IH16">
        <f>IF(Plan1!585:585,"AAAAADx/2/E=",0)</f>
        <v>0</v>
      </c>
      <c r="II16" t="e">
        <f>AND(Plan1!A585,"AAAAADx/2/I=")</f>
        <v>#VALUE!</v>
      </c>
      <c r="IJ16" t="e">
        <f>AND(Plan1!B585,"AAAAADx/2/M=")</f>
        <v>#VALUE!</v>
      </c>
      <c r="IK16" t="e">
        <f>AND(Plan1!C585,"AAAAADx/2/Q=")</f>
        <v>#VALUE!</v>
      </c>
      <c r="IL16" t="e">
        <f>AND(Plan1!D585,"AAAAADx/2/U=")</f>
        <v>#VALUE!</v>
      </c>
      <c r="IM16" t="e">
        <f>AND(Plan1!E585,"AAAAADx/2/Y=")</f>
        <v>#VALUE!</v>
      </c>
      <c r="IN16" t="e">
        <f>AND(Plan1!F585,"AAAAADx/2/c=")</f>
        <v>#VALUE!</v>
      </c>
      <c r="IO16">
        <f>IF(Plan1!586:586,"AAAAADx/2/g=",0)</f>
        <v>0</v>
      </c>
      <c r="IP16" t="e">
        <f>AND(Plan1!A586,"AAAAADx/2/k=")</f>
        <v>#VALUE!</v>
      </c>
      <c r="IQ16" t="e">
        <f>AND(Plan1!B586,"AAAAADx/2/o=")</f>
        <v>#VALUE!</v>
      </c>
      <c r="IR16" t="e">
        <f>AND(Plan1!C586,"AAAAADx/2/s=")</f>
        <v>#VALUE!</v>
      </c>
      <c r="IS16" t="e">
        <f>AND(Plan1!D586,"AAAAADx/2/w=")</f>
        <v>#VALUE!</v>
      </c>
      <c r="IT16" t="e">
        <f>AND(Plan1!E586,"AAAAADx/2/0=")</f>
        <v>#VALUE!</v>
      </c>
      <c r="IU16" t="e">
        <f>AND(Plan1!F586,"AAAAADx/2/4=")</f>
        <v>#VALUE!</v>
      </c>
      <c r="IV16">
        <f>IF(Plan1!587:587,"AAAAADx/2/8=",0)</f>
        <v>0</v>
      </c>
    </row>
    <row r="17" spans="1:256">
      <c r="A17" t="e">
        <f>AND(Plan1!A587,"AAAAAF/aowA=")</f>
        <v>#VALUE!</v>
      </c>
      <c r="B17" t="e">
        <f>AND(Plan1!B587,"AAAAAF/aowE=")</f>
        <v>#VALUE!</v>
      </c>
      <c r="C17" t="e">
        <f>AND(Plan1!C587,"AAAAAF/aowI=")</f>
        <v>#VALUE!</v>
      </c>
      <c r="D17" t="e">
        <f>AND(Plan1!D587,"AAAAAF/aowM=")</f>
        <v>#VALUE!</v>
      </c>
      <c r="E17" t="e">
        <f>AND(Plan1!E587,"AAAAAF/aowQ=")</f>
        <v>#VALUE!</v>
      </c>
      <c r="F17" t="e">
        <f>AND(Plan1!F587,"AAAAAF/aowU=")</f>
        <v>#VALUE!</v>
      </c>
      <c r="G17">
        <f>IF(Plan1!588:588,"AAAAAF/aowY=",0)</f>
        <v>0</v>
      </c>
      <c r="H17" t="e">
        <f>AND(Plan1!A588,"AAAAAF/aowc=")</f>
        <v>#VALUE!</v>
      </c>
      <c r="I17" t="e">
        <f>AND(Plan1!B588,"AAAAAF/aowg=")</f>
        <v>#VALUE!</v>
      </c>
      <c r="J17" t="e">
        <f>AND(Plan1!C588,"AAAAAF/aowk=")</f>
        <v>#VALUE!</v>
      </c>
      <c r="K17" t="e">
        <f>AND(Plan1!D588,"AAAAAF/aowo=")</f>
        <v>#VALUE!</v>
      </c>
      <c r="L17" t="e">
        <f>AND(Plan1!E588,"AAAAAF/aows=")</f>
        <v>#VALUE!</v>
      </c>
      <c r="M17" t="e">
        <f>AND(Plan1!F588,"AAAAAF/aoww=")</f>
        <v>#VALUE!</v>
      </c>
      <c r="N17">
        <f>IF(Plan1!589:589,"AAAAAF/aow0=",0)</f>
        <v>0</v>
      </c>
      <c r="O17" t="e">
        <f>AND(Plan1!A589,"AAAAAF/aow4=")</f>
        <v>#VALUE!</v>
      </c>
      <c r="P17" t="e">
        <f>AND(Plan1!B589,"AAAAAF/aow8=")</f>
        <v>#VALUE!</v>
      </c>
      <c r="Q17" t="e">
        <f>AND(Plan1!C589,"AAAAAF/aoxA=")</f>
        <v>#VALUE!</v>
      </c>
      <c r="R17" t="e">
        <f>AND(Plan1!D589,"AAAAAF/aoxE=")</f>
        <v>#VALUE!</v>
      </c>
      <c r="S17" t="e">
        <f>AND(Plan1!E589,"AAAAAF/aoxI=")</f>
        <v>#VALUE!</v>
      </c>
      <c r="T17" t="e">
        <f>AND(Plan1!F589,"AAAAAF/aoxM=")</f>
        <v>#VALUE!</v>
      </c>
      <c r="U17">
        <f>IF(Plan1!590:590,"AAAAAF/aoxQ=",0)</f>
        <v>0</v>
      </c>
      <c r="V17" t="e">
        <f>AND(Plan1!A590,"AAAAAF/aoxU=")</f>
        <v>#VALUE!</v>
      </c>
      <c r="W17" t="e">
        <f>AND(Plan1!B590,"AAAAAF/aoxY=")</f>
        <v>#VALUE!</v>
      </c>
      <c r="X17" t="e">
        <f>AND(Plan1!C590,"AAAAAF/aoxc=")</f>
        <v>#VALUE!</v>
      </c>
      <c r="Y17" t="e">
        <f>AND(Plan1!D590,"AAAAAF/aoxg=")</f>
        <v>#VALUE!</v>
      </c>
      <c r="Z17" t="e">
        <f>AND(Plan1!E590,"AAAAAF/aoxk=")</f>
        <v>#VALUE!</v>
      </c>
      <c r="AA17" t="e">
        <f>AND(Plan1!F590,"AAAAAF/aoxo=")</f>
        <v>#VALUE!</v>
      </c>
      <c r="AB17">
        <f>IF(Plan1!591:591,"AAAAAF/aoxs=",0)</f>
        <v>0</v>
      </c>
      <c r="AC17" t="e">
        <f>AND(Plan1!A591,"AAAAAF/aoxw=")</f>
        <v>#VALUE!</v>
      </c>
      <c r="AD17" t="e">
        <f>AND(Plan1!B591,"AAAAAF/aox0=")</f>
        <v>#VALUE!</v>
      </c>
      <c r="AE17" t="e">
        <f>AND(Plan1!C591,"AAAAAF/aox4=")</f>
        <v>#VALUE!</v>
      </c>
      <c r="AF17" t="e">
        <f>AND(Plan1!D591,"AAAAAF/aox8=")</f>
        <v>#VALUE!</v>
      </c>
      <c r="AG17" t="e">
        <f>AND(Plan1!E591,"AAAAAF/aoyA=")</f>
        <v>#VALUE!</v>
      </c>
      <c r="AH17" t="e">
        <f>AND(Plan1!F591,"AAAAAF/aoyE=")</f>
        <v>#VALUE!</v>
      </c>
      <c r="AI17">
        <f>IF(Plan1!592:592,"AAAAAF/aoyI=",0)</f>
        <v>0</v>
      </c>
      <c r="AJ17" t="e">
        <f>AND(Plan1!A592,"AAAAAF/aoyM=")</f>
        <v>#VALUE!</v>
      </c>
      <c r="AK17" t="e">
        <f>AND(Plan1!B592,"AAAAAF/aoyQ=")</f>
        <v>#VALUE!</v>
      </c>
      <c r="AL17" t="e">
        <f>AND(Plan1!C592,"AAAAAF/aoyU=")</f>
        <v>#VALUE!</v>
      </c>
      <c r="AM17" t="e">
        <f>AND(Plan1!D592,"AAAAAF/aoyY=")</f>
        <v>#VALUE!</v>
      </c>
      <c r="AN17" t="e">
        <f>AND(Plan1!E592,"AAAAAF/aoyc=")</f>
        <v>#VALUE!</v>
      </c>
      <c r="AO17" t="e">
        <f>AND(Plan1!F592,"AAAAAF/aoyg=")</f>
        <v>#VALUE!</v>
      </c>
      <c r="AP17">
        <f>IF(Plan1!593:593,"AAAAAF/aoyk=",0)</f>
        <v>0</v>
      </c>
      <c r="AQ17" t="e">
        <f>AND(Plan1!A593,"AAAAAF/aoyo=")</f>
        <v>#VALUE!</v>
      </c>
      <c r="AR17" t="e">
        <f>AND(Plan1!B593,"AAAAAF/aoys=")</f>
        <v>#VALUE!</v>
      </c>
      <c r="AS17" t="e">
        <f>AND(Plan1!C593,"AAAAAF/aoyw=")</f>
        <v>#VALUE!</v>
      </c>
      <c r="AT17" t="e">
        <f>AND(Plan1!D593,"AAAAAF/aoy0=")</f>
        <v>#VALUE!</v>
      </c>
      <c r="AU17" t="e">
        <f>AND(Plan1!E593,"AAAAAF/aoy4=")</f>
        <v>#VALUE!</v>
      </c>
      <c r="AV17" t="e">
        <f>AND(Plan1!F593,"AAAAAF/aoy8=")</f>
        <v>#VALUE!</v>
      </c>
      <c r="AW17">
        <f>IF(Plan1!594:594,"AAAAAF/aozA=",0)</f>
        <v>0</v>
      </c>
      <c r="AX17" t="e">
        <f>AND(Plan1!A594,"AAAAAF/aozE=")</f>
        <v>#VALUE!</v>
      </c>
      <c r="AY17" t="e">
        <f>AND(Plan1!B594,"AAAAAF/aozI=")</f>
        <v>#VALUE!</v>
      </c>
      <c r="AZ17" t="e">
        <f>AND(Plan1!C594,"AAAAAF/aozM=")</f>
        <v>#VALUE!</v>
      </c>
      <c r="BA17" t="e">
        <f>AND(Plan1!D594,"AAAAAF/aozQ=")</f>
        <v>#VALUE!</v>
      </c>
      <c r="BB17" t="e">
        <f>AND(Plan1!E594,"AAAAAF/aozU=")</f>
        <v>#VALUE!</v>
      </c>
      <c r="BC17" t="e">
        <f>AND(Plan1!F594,"AAAAAF/aozY=")</f>
        <v>#VALUE!</v>
      </c>
      <c r="BD17">
        <f>IF(Plan1!595:595,"AAAAAF/aozc=",0)</f>
        <v>0</v>
      </c>
      <c r="BE17" t="e">
        <f>AND(Plan1!A595,"AAAAAF/aozg=")</f>
        <v>#VALUE!</v>
      </c>
      <c r="BF17" t="e">
        <f>AND(Plan1!B595,"AAAAAF/aozk=")</f>
        <v>#VALUE!</v>
      </c>
      <c r="BG17" t="e">
        <f>AND(Plan1!C595,"AAAAAF/aozo=")</f>
        <v>#VALUE!</v>
      </c>
      <c r="BH17" t="e">
        <f>AND(Plan1!D595,"AAAAAF/aozs=")</f>
        <v>#VALUE!</v>
      </c>
      <c r="BI17" t="e">
        <f>AND(Plan1!E595,"AAAAAF/aozw=")</f>
        <v>#VALUE!</v>
      </c>
      <c r="BJ17" t="e">
        <f>AND(Plan1!F595,"AAAAAF/aoz0=")</f>
        <v>#VALUE!</v>
      </c>
      <c r="BK17">
        <f>IF(Plan1!596:596,"AAAAAF/aoz4=",0)</f>
        <v>0</v>
      </c>
      <c r="BL17" t="e">
        <f>AND(Plan1!A596,"AAAAAF/aoz8=")</f>
        <v>#VALUE!</v>
      </c>
      <c r="BM17" t="e">
        <f>AND(Plan1!B596,"AAAAAF/ao0A=")</f>
        <v>#VALUE!</v>
      </c>
      <c r="BN17" t="e">
        <f>AND(Plan1!C596,"AAAAAF/ao0E=")</f>
        <v>#VALUE!</v>
      </c>
      <c r="BO17" t="e">
        <f>AND(Plan1!D596,"AAAAAF/ao0I=")</f>
        <v>#VALUE!</v>
      </c>
      <c r="BP17" t="e">
        <f>AND(Plan1!E596,"AAAAAF/ao0M=")</f>
        <v>#VALUE!</v>
      </c>
      <c r="BQ17" t="e">
        <f>AND(Plan1!F596,"AAAAAF/ao0Q=")</f>
        <v>#VALUE!</v>
      </c>
      <c r="BR17">
        <f>IF(Plan1!597:597,"AAAAAF/ao0U=",0)</f>
        <v>0</v>
      </c>
      <c r="BS17" t="e">
        <f>AND(Plan1!A597,"AAAAAF/ao0Y=")</f>
        <v>#VALUE!</v>
      </c>
      <c r="BT17" t="e">
        <f>AND(Plan1!B597,"AAAAAF/ao0c=")</f>
        <v>#VALUE!</v>
      </c>
      <c r="BU17" t="e">
        <f>AND(Plan1!C597,"AAAAAF/ao0g=")</f>
        <v>#VALUE!</v>
      </c>
      <c r="BV17" t="e">
        <f>AND(Plan1!D597,"AAAAAF/ao0k=")</f>
        <v>#VALUE!</v>
      </c>
      <c r="BW17" t="e">
        <f>AND(Plan1!E597,"AAAAAF/ao0o=")</f>
        <v>#VALUE!</v>
      </c>
      <c r="BX17" t="e">
        <f>AND(Plan1!F597,"AAAAAF/ao0s=")</f>
        <v>#VALUE!</v>
      </c>
      <c r="BY17">
        <f>IF(Plan1!598:598,"AAAAAF/ao0w=",0)</f>
        <v>0</v>
      </c>
      <c r="BZ17" t="e">
        <f>AND(Plan1!A598,"AAAAAF/ao00=")</f>
        <v>#VALUE!</v>
      </c>
      <c r="CA17" t="e">
        <f>AND(Plan1!B598,"AAAAAF/ao04=")</f>
        <v>#VALUE!</v>
      </c>
      <c r="CB17" t="e">
        <f>AND(Plan1!C598,"AAAAAF/ao08=")</f>
        <v>#VALUE!</v>
      </c>
      <c r="CC17" t="e">
        <f>AND(Plan1!D598,"AAAAAF/ao1A=")</f>
        <v>#VALUE!</v>
      </c>
      <c r="CD17" t="e">
        <f>AND(Plan1!E598,"AAAAAF/ao1E=")</f>
        <v>#VALUE!</v>
      </c>
      <c r="CE17" t="e">
        <f>AND(Plan1!F598,"AAAAAF/ao1I=")</f>
        <v>#VALUE!</v>
      </c>
      <c r="CF17">
        <f>IF(Plan1!599:599,"AAAAAF/ao1M=",0)</f>
        <v>0</v>
      </c>
      <c r="CG17" t="e">
        <f>AND(Plan1!A599,"AAAAAF/ao1Q=")</f>
        <v>#VALUE!</v>
      </c>
      <c r="CH17" t="e">
        <f>AND(Plan1!B599,"AAAAAF/ao1U=")</f>
        <v>#VALUE!</v>
      </c>
      <c r="CI17" t="e">
        <f>AND(Plan1!C599,"AAAAAF/ao1Y=")</f>
        <v>#VALUE!</v>
      </c>
      <c r="CJ17" t="e">
        <f>AND(Plan1!D599,"AAAAAF/ao1c=")</f>
        <v>#VALUE!</v>
      </c>
      <c r="CK17" t="e">
        <f>AND(Plan1!E599,"AAAAAF/ao1g=")</f>
        <v>#VALUE!</v>
      </c>
      <c r="CL17" t="e">
        <f>AND(Plan1!F599,"AAAAAF/ao1k=")</f>
        <v>#VALUE!</v>
      </c>
      <c r="CM17">
        <f>IF(Plan1!600:600,"AAAAAF/ao1o=",0)</f>
        <v>0</v>
      </c>
      <c r="CN17" t="e">
        <f>AND(Plan1!A600,"AAAAAF/ao1s=")</f>
        <v>#VALUE!</v>
      </c>
      <c r="CO17" t="e">
        <f>AND(Plan1!B600,"AAAAAF/ao1w=")</f>
        <v>#VALUE!</v>
      </c>
      <c r="CP17" t="e">
        <f>AND(Plan1!C600,"AAAAAF/ao10=")</f>
        <v>#VALUE!</v>
      </c>
      <c r="CQ17" t="e">
        <f>AND(Plan1!D600,"AAAAAF/ao14=")</f>
        <v>#VALUE!</v>
      </c>
      <c r="CR17" t="e">
        <f>AND(Plan1!E600,"AAAAAF/ao18=")</f>
        <v>#VALUE!</v>
      </c>
      <c r="CS17" t="e">
        <f>AND(Plan1!F600,"AAAAAF/ao2A=")</f>
        <v>#VALUE!</v>
      </c>
      <c r="CT17">
        <f>IF(Plan1!601:601,"AAAAAF/ao2E=",0)</f>
        <v>0</v>
      </c>
      <c r="CU17" t="e">
        <f>AND(Plan1!A601,"AAAAAF/ao2I=")</f>
        <v>#VALUE!</v>
      </c>
      <c r="CV17" t="e">
        <f>AND(Plan1!B601,"AAAAAF/ao2M=")</f>
        <v>#VALUE!</v>
      </c>
      <c r="CW17" t="e">
        <f>AND(Plan1!C601,"AAAAAF/ao2Q=")</f>
        <v>#VALUE!</v>
      </c>
      <c r="CX17" t="e">
        <f>AND(Plan1!D601,"AAAAAF/ao2U=")</f>
        <v>#VALUE!</v>
      </c>
      <c r="CY17" t="e">
        <f>AND(Plan1!E601,"AAAAAF/ao2Y=")</f>
        <v>#VALUE!</v>
      </c>
      <c r="CZ17" t="e">
        <f>AND(Plan1!F601,"AAAAAF/ao2c=")</f>
        <v>#VALUE!</v>
      </c>
      <c r="DA17">
        <f>IF(Plan1!602:602,"AAAAAF/ao2g=",0)</f>
        <v>0</v>
      </c>
      <c r="DB17" t="e">
        <f>AND(Plan1!A602,"AAAAAF/ao2k=")</f>
        <v>#VALUE!</v>
      </c>
      <c r="DC17" t="e">
        <f>AND(Plan1!B602,"AAAAAF/ao2o=")</f>
        <v>#VALUE!</v>
      </c>
      <c r="DD17" t="e">
        <f>AND(Plan1!C602,"AAAAAF/ao2s=")</f>
        <v>#VALUE!</v>
      </c>
      <c r="DE17" t="e">
        <f>AND(Plan1!D602,"AAAAAF/ao2w=")</f>
        <v>#VALUE!</v>
      </c>
      <c r="DF17" t="e">
        <f>AND(Plan1!E602,"AAAAAF/ao20=")</f>
        <v>#VALUE!</v>
      </c>
      <c r="DG17" t="e">
        <f>AND(Plan1!F602,"AAAAAF/ao24=")</f>
        <v>#VALUE!</v>
      </c>
      <c r="DH17">
        <f>IF(Plan1!603:603,"AAAAAF/ao28=",0)</f>
        <v>0</v>
      </c>
      <c r="DI17" t="e">
        <f>AND(Plan1!A603,"AAAAAF/ao3A=")</f>
        <v>#VALUE!</v>
      </c>
      <c r="DJ17" t="e">
        <f>AND(Plan1!B603,"AAAAAF/ao3E=")</f>
        <v>#VALUE!</v>
      </c>
      <c r="DK17" t="e">
        <f>AND(Plan1!C603,"AAAAAF/ao3I=")</f>
        <v>#VALUE!</v>
      </c>
      <c r="DL17" t="e">
        <f>AND(Plan1!D603,"AAAAAF/ao3M=")</f>
        <v>#VALUE!</v>
      </c>
      <c r="DM17" t="e">
        <f>AND(Plan1!E603,"AAAAAF/ao3Q=")</f>
        <v>#VALUE!</v>
      </c>
      <c r="DN17" t="e">
        <f>AND(Plan1!F603,"AAAAAF/ao3U=")</f>
        <v>#VALUE!</v>
      </c>
      <c r="DO17">
        <f>IF(Plan1!604:604,"AAAAAF/ao3Y=",0)</f>
        <v>0</v>
      </c>
      <c r="DP17" t="e">
        <f>AND(Plan1!A604,"AAAAAF/ao3c=")</f>
        <v>#VALUE!</v>
      </c>
      <c r="DQ17" t="e">
        <f>AND(Plan1!B604,"AAAAAF/ao3g=")</f>
        <v>#VALUE!</v>
      </c>
      <c r="DR17" t="e">
        <f>AND(Plan1!C604,"AAAAAF/ao3k=")</f>
        <v>#VALUE!</v>
      </c>
      <c r="DS17" t="e">
        <f>AND(Plan1!D604,"AAAAAF/ao3o=")</f>
        <v>#VALUE!</v>
      </c>
      <c r="DT17" t="e">
        <f>AND(Plan1!E604,"AAAAAF/ao3s=")</f>
        <v>#VALUE!</v>
      </c>
      <c r="DU17" t="e">
        <f>AND(Plan1!F604,"AAAAAF/ao3w=")</f>
        <v>#VALUE!</v>
      </c>
      <c r="DV17">
        <f>IF(Plan1!605:605,"AAAAAF/ao30=",0)</f>
        <v>0</v>
      </c>
      <c r="DW17" t="e">
        <f>AND(Plan1!A605,"AAAAAF/ao34=")</f>
        <v>#VALUE!</v>
      </c>
      <c r="DX17" t="e">
        <f>AND(Plan1!B605,"AAAAAF/ao38=")</f>
        <v>#VALUE!</v>
      </c>
      <c r="DY17" t="e">
        <f>AND(Plan1!C605,"AAAAAF/ao4A=")</f>
        <v>#VALUE!</v>
      </c>
      <c r="DZ17" t="e">
        <f>AND(Plan1!D605,"AAAAAF/ao4E=")</f>
        <v>#VALUE!</v>
      </c>
      <c r="EA17" t="e">
        <f>AND(Plan1!E605,"AAAAAF/ao4I=")</f>
        <v>#VALUE!</v>
      </c>
      <c r="EB17" t="e">
        <f>AND(Plan1!F605,"AAAAAF/ao4M=")</f>
        <v>#VALUE!</v>
      </c>
      <c r="EC17">
        <f>IF(Plan1!606:606,"AAAAAF/ao4Q=",0)</f>
        <v>0</v>
      </c>
      <c r="ED17" t="e">
        <f>AND(Plan1!A606,"AAAAAF/ao4U=")</f>
        <v>#VALUE!</v>
      </c>
      <c r="EE17" t="e">
        <f>AND(Plan1!B606,"AAAAAF/ao4Y=")</f>
        <v>#VALUE!</v>
      </c>
      <c r="EF17" t="e">
        <f>AND(Plan1!C606,"AAAAAF/ao4c=")</f>
        <v>#VALUE!</v>
      </c>
      <c r="EG17" t="e">
        <f>AND(Plan1!D606,"AAAAAF/ao4g=")</f>
        <v>#VALUE!</v>
      </c>
      <c r="EH17" t="e">
        <f>AND(Plan1!E606,"AAAAAF/ao4k=")</f>
        <v>#VALUE!</v>
      </c>
      <c r="EI17" t="e">
        <f>AND(Plan1!F606,"AAAAAF/ao4o=")</f>
        <v>#VALUE!</v>
      </c>
      <c r="EJ17">
        <f>IF(Plan1!607:607,"AAAAAF/ao4s=",0)</f>
        <v>0</v>
      </c>
      <c r="EK17" t="e">
        <f>AND(Plan1!A607,"AAAAAF/ao4w=")</f>
        <v>#VALUE!</v>
      </c>
      <c r="EL17" t="e">
        <f>AND(Plan1!B607,"AAAAAF/ao40=")</f>
        <v>#VALUE!</v>
      </c>
      <c r="EM17" t="e">
        <f>AND(Plan1!C607,"AAAAAF/ao44=")</f>
        <v>#VALUE!</v>
      </c>
      <c r="EN17" t="e">
        <f>AND(Plan1!D607,"AAAAAF/ao48=")</f>
        <v>#VALUE!</v>
      </c>
      <c r="EO17" t="e">
        <f>AND(Plan1!E607,"AAAAAF/ao5A=")</f>
        <v>#VALUE!</v>
      </c>
      <c r="EP17" t="e">
        <f>AND(Plan1!F607,"AAAAAF/ao5E=")</f>
        <v>#VALUE!</v>
      </c>
      <c r="EQ17">
        <f>IF(Plan1!608:608,"AAAAAF/ao5I=",0)</f>
        <v>0</v>
      </c>
      <c r="ER17" t="e">
        <f>AND(Plan1!A608,"AAAAAF/ao5M=")</f>
        <v>#VALUE!</v>
      </c>
      <c r="ES17" t="e">
        <f>AND(Plan1!B608,"AAAAAF/ao5Q=")</f>
        <v>#VALUE!</v>
      </c>
      <c r="ET17" t="e">
        <f>AND(Plan1!C608,"AAAAAF/ao5U=")</f>
        <v>#VALUE!</v>
      </c>
      <c r="EU17" t="e">
        <f>AND(Plan1!D608,"AAAAAF/ao5Y=")</f>
        <v>#VALUE!</v>
      </c>
      <c r="EV17" t="e">
        <f>AND(Plan1!E608,"AAAAAF/ao5c=")</f>
        <v>#VALUE!</v>
      </c>
      <c r="EW17" t="e">
        <f>AND(Plan1!F608,"AAAAAF/ao5g=")</f>
        <v>#VALUE!</v>
      </c>
      <c r="EX17">
        <f>IF(Plan1!609:609,"AAAAAF/ao5k=",0)</f>
        <v>0</v>
      </c>
      <c r="EY17" t="e">
        <f>AND(Plan1!A609,"AAAAAF/ao5o=")</f>
        <v>#VALUE!</v>
      </c>
      <c r="EZ17" t="e">
        <f>AND(Plan1!B609,"AAAAAF/ao5s=")</f>
        <v>#VALUE!</v>
      </c>
      <c r="FA17" t="e">
        <f>AND(Plan1!C609,"AAAAAF/ao5w=")</f>
        <v>#VALUE!</v>
      </c>
      <c r="FB17" t="e">
        <f>AND(Plan1!D609,"AAAAAF/ao50=")</f>
        <v>#VALUE!</v>
      </c>
      <c r="FC17" t="e">
        <f>AND(Plan1!E609,"AAAAAF/ao54=")</f>
        <v>#VALUE!</v>
      </c>
      <c r="FD17" t="e">
        <f>AND(Plan1!F609,"AAAAAF/ao58=")</f>
        <v>#VALUE!</v>
      </c>
      <c r="FE17">
        <f>IF(Plan1!610:610,"AAAAAF/ao6A=",0)</f>
        <v>0</v>
      </c>
      <c r="FF17" t="e">
        <f>AND(Plan1!A610,"AAAAAF/ao6E=")</f>
        <v>#VALUE!</v>
      </c>
      <c r="FG17" t="e">
        <f>AND(Plan1!B610,"AAAAAF/ao6I=")</f>
        <v>#VALUE!</v>
      </c>
      <c r="FH17" t="e">
        <f>AND(Plan1!C610,"AAAAAF/ao6M=")</f>
        <v>#VALUE!</v>
      </c>
      <c r="FI17" t="e">
        <f>AND(Plan1!D610,"AAAAAF/ao6Q=")</f>
        <v>#VALUE!</v>
      </c>
      <c r="FJ17" t="e">
        <f>AND(Plan1!E610,"AAAAAF/ao6U=")</f>
        <v>#VALUE!</v>
      </c>
      <c r="FK17" t="e">
        <f>AND(Plan1!F610,"AAAAAF/ao6Y=")</f>
        <v>#VALUE!</v>
      </c>
      <c r="FL17">
        <f>IF(Plan1!611:611,"AAAAAF/ao6c=",0)</f>
        <v>0</v>
      </c>
      <c r="FM17" t="e">
        <f>AND(Plan1!A611,"AAAAAF/ao6g=")</f>
        <v>#VALUE!</v>
      </c>
      <c r="FN17" t="e">
        <f>AND(Plan1!B611,"AAAAAF/ao6k=")</f>
        <v>#VALUE!</v>
      </c>
      <c r="FO17" t="e">
        <f>AND(Plan1!C611,"AAAAAF/ao6o=")</f>
        <v>#VALUE!</v>
      </c>
      <c r="FP17" t="e">
        <f>AND(Plan1!D611,"AAAAAF/ao6s=")</f>
        <v>#VALUE!</v>
      </c>
      <c r="FQ17" t="e">
        <f>AND(Plan1!E611,"AAAAAF/ao6w=")</f>
        <v>#VALUE!</v>
      </c>
      <c r="FR17" t="e">
        <f>AND(Plan1!F611,"AAAAAF/ao60=")</f>
        <v>#VALUE!</v>
      </c>
      <c r="FS17">
        <f>IF(Plan1!612:612,"AAAAAF/ao64=",0)</f>
        <v>0</v>
      </c>
      <c r="FT17" t="e">
        <f>AND(Plan1!A612,"AAAAAF/ao68=")</f>
        <v>#VALUE!</v>
      </c>
      <c r="FU17" t="e">
        <f>AND(Plan1!B612,"AAAAAF/ao7A=")</f>
        <v>#VALUE!</v>
      </c>
      <c r="FV17" t="e">
        <f>AND(Plan1!C612,"AAAAAF/ao7E=")</f>
        <v>#VALUE!</v>
      </c>
      <c r="FW17" t="e">
        <f>AND(Plan1!D612,"AAAAAF/ao7I=")</f>
        <v>#VALUE!</v>
      </c>
      <c r="FX17" t="e">
        <f>AND(Plan1!E612,"AAAAAF/ao7M=")</f>
        <v>#VALUE!</v>
      </c>
      <c r="FY17" t="e">
        <f>AND(Plan1!F612,"AAAAAF/ao7Q=")</f>
        <v>#VALUE!</v>
      </c>
      <c r="FZ17">
        <f>IF(Plan1!613:613,"AAAAAF/ao7U=",0)</f>
        <v>0</v>
      </c>
      <c r="GA17" t="e">
        <f>AND(Plan1!A613,"AAAAAF/ao7Y=")</f>
        <v>#VALUE!</v>
      </c>
      <c r="GB17" t="e">
        <f>AND(Plan1!B613,"AAAAAF/ao7c=")</f>
        <v>#VALUE!</v>
      </c>
      <c r="GC17" t="e">
        <f>AND(Plan1!C613,"AAAAAF/ao7g=")</f>
        <v>#VALUE!</v>
      </c>
      <c r="GD17" t="e">
        <f>AND(Plan1!D613,"AAAAAF/ao7k=")</f>
        <v>#VALUE!</v>
      </c>
      <c r="GE17" t="e">
        <f>AND(Plan1!E613,"AAAAAF/ao7o=")</f>
        <v>#VALUE!</v>
      </c>
      <c r="GF17" t="e">
        <f>AND(Plan1!F613,"AAAAAF/ao7s=")</f>
        <v>#VALUE!</v>
      </c>
      <c r="GG17">
        <f>IF(Plan1!614:614,"AAAAAF/ao7w=",0)</f>
        <v>0</v>
      </c>
      <c r="GH17" t="e">
        <f>AND(Plan1!A614,"AAAAAF/ao70=")</f>
        <v>#VALUE!</v>
      </c>
      <c r="GI17" t="e">
        <f>AND(Plan1!B614,"AAAAAF/ao74=")</f>
        <v>#VALUE!</v>
      </c>
      <c r="GJ17" t="e">
        <f>AND(Plan1!C614,"AAAAAF/ao78=")</f>
        <v>#VALUE!</v>
      </c>
      <c r="GK17" t="e">
        <f>AND(Plan1!D614,"AAAAAF/ao8A=")</f>
        <v>#VALUE!</v>
      </c>
      <c r="GL17" t="e">
        <f>AND(Plan1!E614,"AAAAAF/ao8E=")</f>
        <v>#VALUE!</v>
      </c>
      <c r="GM17" t="e">
        <f>AND(Plan1!F614,"AAAAAF/ao8I=")</f>
        <v>#VALUE!</v>
      </c>
      <c r="GN17">
        <f>IF(Plan1!615:615,"AAAAAF/ao8M=",0)</f>
        <v>0</v>
      </c>
      <c r="GO17" t="e">
        <f>AND(Plan1!A615,"AAAAAF/ao8Q=")</f>
        <v>#VALUE!</v>
      </c>
      <c r="GP17" t="e">
        <f>AND(Plan1!B615,"AAAAAF/ao8U=")</f>
        <v>#VALUE!</v>
      </c>
      <c r="GQ17" t="e">
        <f>AND(Plan1!C615,"AAAAAF/ao8Y=")</f>
        <v>#VALUE!</v>
      </c>
      <c r="GR17" t="e">
        <f>AND(Plan1!D615,"AAAAAF/ao8c=")</f>
        <v>#VALUE!</v>
      </c>
      <c r="GS17" t="e">
        <f>AND(Plan1!E615,"AAAAAF/ao8g=")</f>
        <v>#VALUE!</v>
      </c>
      <c r="GT17" t="e">
        <f>AND(Plan1!F615,"AAAAAF/ao8k=")</f>
        <v>#VALUE!</v>
      </c>
      <c r="GU17">
        <f>IF(Plan1!616:616,"AAAAAF/ao8o=",0)</f>
        <v>0</v>
      </c>
      <c r="GV17" t="e">
        <f>AND(Plan1!A616,"AAAAAF/ao8s=")</f>
        <v>#VALUE!</v>
      </c>
      <c r="GW17" t="e">
        <f>AND(Plan1!B616,"AAAAAF/ao8w=")</f>
        <v>#VALUE!</v>
      </c>
      <c r="GX17" t="e">
        <f>AND(Plan1!C616,"AAAAAF/ao80=")</f>
        <v>#VALUE!</v>
      </c>
      <c r="GY17" t="e">
        <f>AND(Plan1!D616,"AAAAAF/ao84=")</f>
        <v>#VALUE!</v>
      </c>
      <c r="GZ17" t="e">
        <f>AND(Plan1!E616,"AAAAAF/ao88=")</f>
        <v>#VALUE!</v>
      </c>
      <c r="HA17" t="e">
        <f>AND(Plan1!F616,"AAAAAF/ao9A=")</f>
        <v>#VALUE!</v>
      </c>
      <c r="HB17">
        <f>IF(Plan1!617:617,"AAAAAF/ao9E=",0)</f>
        <v>0</v>
      </c>
      <c r="HC17" t="e">
        <f>AND(Plan1!A617,"AAAAAF/ao9I=")</f>
        <v>#VALUE!</v>
      </c>
      <c r="HD17" t="e">
        <f>AND(Plan1!B617,"AAAAAF/ao9M=")</f>
        <v>#VALUE!</v>
      </c>
      <c r="HE17" t="e">
        <f>AND(Plan1!C617,"AAAAAF/ao9Q=")</f>
        <v>#VALUE!</v>
      </c>
      <c r="HF17" t="e">
        <f>AND(Plan1!D617,"AAAAAF/ao9U=")</f>
        <v>#VALUE!</v>
      </c>
      <c r="HG17" t="e">
        <f>AND(Plan1!E617,"AAAAAF/ao9Y=")</f>
        <v>#VALUE!</v>
      </c>
      <c r="HH17" t="e">
        <f>AND(Plan1!F617,"AAAAAF/ao9c=")</f>
        <v>#VALUE!</v>
      </c>
      <c r="HI17">
        <f>IF(Plan1!618:618,"AAAAAF/ao9g=",0)</f>
        <v>0</v>
      </c>
      <c r="HJ17" t="e">
        <f>AND(Plan1!A618,"AAAAAF/ao9k=")</f>
        <v>#VALUE!</v>
      </c>
      <c r="HK17" t="e">
        <f>AND(Plan1!B618,"AAAAAF/ao9o=")</f>
        <v>#VALUE!</v>
      </c>
      <c r="HL17" t="e">
        <f>AND(Plan1!C618,"AAAAAF/ao9s=")</f>
        <v>#VALUE!</v>
      </c>
      <c r="HM17" t="e">
        <f>AND(Plan1!D618,"AAAAAF/ao9w=")</f>
        <v>#VALUE!</v>
      </c>
      <c r="HN17" t="e">
        <f>AND(Plan1!E618,"AAAAAF/ao90=")</f>
        <v>#VALUE!</v>
      </c>
      <c r="HO17" t="e">
        <f>AND(Plan1!F618,"AAAAAF/ao94=")</f>
        <v>#VALUE!</v>
      </c>
      <c r="HP17">
        <f>IF(Plan1!619:619,"AAAAAF/ao98=",0)</f>
        <v>0</v>
      </c>
      <c r="HQ17" t="e">
        <f>AND(Plan1!A619,"AAAAAF/ao+A=")</f>
        <v>#VALUE!</v>
      </c>
      <c r="HR17" t="e">
        <f>AND(Plan1!B619,"AAAAAF/ao+E=")</f>
        <v>#VALUE!</v>
      </c>
      <c r="HS17" t="e">
        <f>AND(Plan1!C619,"AAAAAF/ao+I=")</f>
        <v>#VALUE!</v>
      </c>
      <c r="HT17" t="e">
        <f>AND(Plan1!D619,"AAAAAF/ao+M=")</f>
        <v>#VALUE!</v>
      </c>
      <c r="HU17" t="e">
        <f>AND(Plan1!E619,"AAAAAF/ao+Q=")</f>
        <v>#VALUE!</v>
      </c>
      <c r="HV17" t="e">
        <f>AND(Plan1!F619,"AAAAAF/ao+U=")</f>
        <v>#VALUE!</v>
      </c>
      <c r="HW17">
        <f>IF(Plan1!620:620,"AAAAAF/ao+Y=",0)</f>
        <v>0</v>
      </c>
      <c r="HX17" t="e">
        <f>AND(Plan1!A620,"AAAAAF/ao+c=")</f>
        <v>#VALUE!</v>
      </c>
      <c r="HY17" t="e">
        <f>AND(Plan1!B620,"AAAAAF/ao+g=")</f>
        <v>#VALUE!</v>
      </c>
      <c r="HZ17" t="e">
        <f>AND(Plan1!C620,"AAAAAF/ao+k=")</f>
        <v>#VALUE!</v>
      </c>
      <c r="IA17" t="e">
        <f>AND(Plan1!D620,"AAAAAF/ao+o=")</f>
        <v>#VALUE!</v>
      </c>
      <c r="IB17" t="e">
        <f>AND(Plan1!E620,"AAAAAF/ao+s=")</f>
        <v>#VALUE!</v>
      </c>
      <c r="IC17" t="e">
        <f>AND(Plan1!F620,"AAAAAF/ao+w=")</f>
        <v>#VALUE!</v>
      </c>
      <c r="ID17">
        <f>IF(Plan1!621:621,"AAAAAF/ao+0=",0)</f>
        <v>0</v>
      </c>
      <c r="IE17" t="e">
        <f>AND(Plan1!A621,"AAAAAF/ao+4=")</f>
        <v>#VALUE!</v>
      </c>
      <c r="IF17" t="e">
        <f>AND(Plan1!B621,"AAAAAF/ao+8=")</f>
        <v>#VALUE!</v>
      </c>
      <c r="IG17" t="e">
        <f>AND(Plan1!C621,"AAAAAF/ao/A=")</f>
        <v>#VALUE!</v>
      </c>
      <c r="IH17" t="e">
        <f>AND(Plan1!D621,"AAAAAF/ao/E=")</f>
        <v>#VALUE!</v>
      </c>
      <c r="II17" t="e">
        <f>AND(Plan1!E621,"AAAAAF/ao/I=")</f>
        <v>#VALUE!</v>
      </c>
      <c r="IJ17" t="e">
        <f>AND(Plan1!F621,"AAAAAF/ao/M=")</f>
        <v>#VALUE!</v>
      </c>
      <c r="IK17">
        <f>IF(Plan1!622:622,"AAAAAF/ao/Q=",0)</f>
        <v>0</v>
      </c>
      <c r="IL17" t="e">
        <f>AND(Plan1!A622,"AAAAAF/ao/U=")</f>
        <v>#VALUE!</v>
      </c>
      <c r="IM17" t="e">
        <f>AND(Plan1!B622,"AAAAAF/ao/Y=")</f>
        <v>#VALUE!</v>
      </c>
      <c r="IN17" t="e">
        <f>AND(Plan1!C622,"AAAAAF/ao/c=")</f>
        <v>#VALUE!</v>
      </c>
      <c r="IO17" t="e">
        <f>AND(Plan1!D622,"AAAAAF/ao/g=")</f>
        <v>#VALUE!</v>
      </c>
      <c r="IP17" t="e">
        <f>AND(Plan1!E622,"AAAAAF/ao/k=")</f>
        <v>#VALUE!</v>
      </c>
      <c r="IQ17" t="e">
        <f>AND(Plan1!F622,"AAAAAF/ao/o=")</f>
        <v>#VALUE!</v>
      </c>
      <c r="IR17">
        <f>IF(Plan1!623:623,"AAAAAF/ao/s=",0)</f>
        <v>0</v>
      </c>
      <c r="IS17" t="e">
        <f>AND(Plan1!A623,"AAAAAF/ao/w=")</f>
        <v>#VALUE!</v>
      </c>
      <c r="IT17" t="e">
        <f>AND(Plan1!B623,"AAAAAF/ao/0=")</f>
        <v>#VALUE!</v>
      </c>
      <c r="IU17" t="e">
        <f>AND(Plan1!C623,"AAAAAF/ao/4=")</f>
        <v>#VALUE!</v>
      </c>
      <c r="IV17" t="e">
        <f>AND(Plan1!D623,"AAAAAF/ao/8=")</f>
        <v>#VALUE!</v>
      </c>
    </row>
    <row r="18" spans="1:256">
      <c r="A18" t="e">
        <f>AND(Plan1!E623,"AAAAAHfvfQA=")</f>
        <v>#VALUE!</v>
      </c>
      <c r="B18" t="e">
        <f>AND(Plan1!F623,"AAAAAHfvfQE=")</f>
        <v>#VALUE!</v>
      </c>
      <c r="C18" t="e">
        <f>IF(Plan1!624:624,"AAAAAHfvfQI=",0)</f>
        <v>#VALUE!</v>
      </c>
      <c r="D18" t="e">
        <f>AND(Plan1!A624,"AAAAAHfvfQM=")</f>
        <v>#VALUE!</v>
      </c>
      <c r="E18" t="e">
        <f>AND(Plan1!B624,"AAAAAHfvfQQ=")</f>
        <v>#VALUE!</v>
      </c>
      <c r="F18" t="e">
        <f>AND(Plan1!C624,"AAAAAHfvfQU=")</f>
        <v>#VALUE!</v>
      </c>
      <c r="G18" t="e">
        <f>AND(Plan1!D624,"AAAAAHfvfQY=")</f>
        <v>#VALUE!</v>
      </c>
      <c r="H18" t="e">
        <f>AND(Plan1!E624,"AAAAAHfvfQc=")</f>
        <v>#VALUE!</v>
      </c>
      <c r="I18" t="e">
        <f>AND(Plan1!F624,"AAAAAHfvfQg=")</f>
        <v>#VALUE!</v>
      </c>
      <c r="J18">
        <f>IF(Plan1!625:625,"AAAAAHfvfQk=",0)</f>
        <v>0</v>
      </c>
      <c r="K18" t="e">
        <f>AND(Plan1!A625,"AAAAAHfvfQo=")</f>
        <v>#VALUE!</v>
      </c>
      <c r="L18" t="e">
        <f>AND(Plan1!B625,"AAAAAHfvfQs=")</f>
        <v>#VALUE!</v>
      </c>
      <c r="M18" t="e">
        <f>AND(Plan1!C625,"AAAAAHfvfQw=")</f>
        <v>#VALUE!</v>
      </c>
      <c r="N18" t="e">
        <f>AND(Plan1!D625,"AAAAAHfvfQ0=")</f>
        <v>#VALUE!</v>
      </c>
      <c r="O18" t="e">
        <f>AND(Plan1!E625,"AAAAAHfvfQ4=")</f>
        <v>#VALUE!</v>
      </c>
      <c r="P18" t="e">
        <f>AND(Plan1!F625,"AAAAAHfvfQ8=")</f>
        <v>#VALUE!</v>
      </c>
      <c r="Q18">
        <f>IF(Plan1!626:626,"AAAAAHfvfRA=",0)</f>
        <v>0</v>
      </c>
      <c r="R18" t="e">
        <f>AND(Plan1!A626,"AAAAAHfvfRE=")</f>
        <v>#VALUE!</v>
      </c>
      <c r="S18" t="e">
        <f>AND(Plan1!B626,"AAAAAHfvfRI=")</f>
        <v>#VALUE!</v>
      </c>
      <c r="T18" t="e">
        <f>AND(Plan1!C626,"AAAAAHfvfRM=")</f>
        <v>#VALUE!</v>
      </c>
      <c r="U18" t="e">
        <f>AND(Plan1!D626,"AAAAAHfvfRQ=")</f>
        <v>#VALUE!</v>
      </c>
      <c r="V18" t="e">
        <f>AND(Plan1!E626,"AAAAAHfvfRU=")</f>
        <v>#VALUE!</v>
      </c>
      <c r="W18" t="e">
        <f>AND(Plan1!F626,"AAAAAHfvfRY=")</f>
        <v>#VALUE!</v>
      </c>
      <c r="X18">
        <f>IF(Plan1!627:627,"AAAAAHfvfRc=",0)</f>
        <v>0</v>
      </c>
      <c r="Y18" t="e">
        <f>AND(Plan1!A627,"AAAAAHfvfRg=")</f>
        <v>#VALUE!</v>
      </c>
      <c r="Z18" t="e">
        <f>AND(Plan1!B627,"AAAAAHfvfRk=")</f>
        <v>#VALUE!</v>
      </c>
      <c r="AA18" t="e">
        <f>AND(Plan1!C627,"AAAAAHfvfRo=")</f>
        <v>#VALUE!</v>
      </c>
      <c r="AB18" t="e">
        <f>AND(Plan1!D627,"AAAAAHfvfRs=")</f>
        <v>#VALUE!</v>
      </c>
      <c r="AC18" t="e">
        <f>AND(Plan1!E627,"AAAAAHfvfRw=")</f>
        <v>#VALUE!</v>
      </c>
      <c r="AD18" t="e">
        <f>AND(Plan1!F627,"AAAAAHfvfR0=")</f>
        <v>#VALUE!</v>
      </c>
      <c r="AE18">
        <f>IF(Plan1!628:628,"AAAAAHfvfR4=",0)</f>
        <v>0</v>
      </c>
      <c r="AF18" t="e">
        <f>AND(Plan1!A628,"AAAAAHfvfR8=")</f>
        <v>#VALUE!</v>
      </c>
      <c r="AG18" t="e">
        <f>AND(Plan1!B628,"AAAAAHfvfSA=")</f>
        <v>#VALUE!</v>
      </c>
      <c r="AH18" t="e">
        <f>AND(Plan1!C628,"AAAAAHfvfSE=")</f>
        <v>#VALUE!</v>
      </c>
      <c r="AI18" t="e">
        <f>AND(Plan1!D628,"AAAAAHfvfSI=")</f>
        <v>#VALUE!</v>
      </c>
      <c r="AJ18" t="e">
        <f>AND(Plan1!E628,"AAAAAHfvfSM=")</f>
        <v>#VALUE!</v>
      </c>
      <c r="AK18" t="e">
        <f>AND(Plan1!F628,"AAAAAHfvfSQ=")</f>
        <v>#VALUE!</v>
      </c>
      <c r="AL18">
        <f>IF(Plan1!629:629,"AAAAAHfvfSU=",0)</f>
        <v>0</v>
      </c>
      <c r="AM18" t="e">
        <f>AND(Plan1!A629,"AAAAAHfvfSY=")</f>
        <v>#VALUE!</v>
      </c>
      <c r="AN18" t="e">
        <f>AND(Plan1!B629,"AAAAAHfvfSc=")</f>
        <v>#VALUE!</v>
      </c>
      <c r="AO18" t="e">
        <f>AND(Plan1!C629,"AAAAAHfvfSg=")</f>
        <v>#VALUE!</v>
      </c>
      <c r="AP18" t="e">
        <f>AND(Plan1!D629,"AAAAAHfvfSk=")</f>
        <v>#VALUE!</v>
      </c>
      <c r="AQ18" t="e">
        <f>AND(Plan1!E629,"AAAAAHfvfSo=")</f>
        <v>#VALUE!</v>
      </c>
      <c r="AR18" t="e">
        <f>AND(Plan1!F629,"AAAAAHfvfSs=")</f>
        <v>#VALUE!</v>
      </c>
      <c r="AS18">
        <f>IF(Plan1!630:630,"AAAAAHfvfSw=",0)</f>
        <v>0</v>
      </c>
      <c r="AT18" t="e">
        <f>AND(Plan1!A630,"AAAAAHfvfS0=")</f>
        <v>#VALUE!</v>
      </c>
      <c r="AU18" t="e">
        <f>AND(Plan1!B630,"AAAAAHfvfS4=")</f>
        <v>#VALUE!</v>
      </c>
      <c r="AV18" t="e">
        <f>AND(Plan1!C630,"AAAAAHfvfS8=")</f>
        <v>#VALUE!</v>
      </c>
      <c r="AW18" t="e">
        <f>AND(Plan1!D630,"AAAAAHfvfTA=")</f>
        <v>#VALUE!</v>
      </c>
      <c r="AX18" t="e">
        <f>AND(Plan1!E630,"AAAAAHfvfTE=")</f>
        <v>#VALUE!</v>
      </c>
      <c r="AY18" t="e">
        <f>AND(Plan1!F630,"AAAAAHfvfTI=")</f>
        <v>#VALUE!</v>
      </c>
      <c r="AZ18">
        <f>IF(Plan1!631:631,"AAAAAHfvfTM=",0)</f>
        <v>0</v>
      </c>
      <c r="BA18" t="e">
        <f>AND(Plan1!A631,"AAAAAHfvfTQ=")</f>
        <v>#VALUE!</v>
      </c>
      <c r="BB18" t="e">
        <f>AND(Plan1!B631,"AAAAAHfvfTU=")</f>
        <v>#VALUE!</v>
      </c>
      <c r="BC18" t="e">
        <f>AND(Plan1!C631,"AAAAAHfvfTY=")</f>
        <v>#VALUE!</v>
      </c>
      <c r="BD18" t="e">
        <f>AND(Plan1!D631,"AAAAAHfvfTc=")</f>
        <v>#VALUE!</v>
      </c>
      <c r="BE18" t="e">
        <f>AND(Plan1!E631,"AAAAAHfvfTg=")</f>
        <v>#VALUE!</v>
      </c>
      <c r="BF18" t="e">
        <f>AND(Plan1!F631,"AAAAAHfvfTk=")</f>
        <v>#VALUE!</v>
      </c>
      <c r="BG18">
        <f>IF(Plan1!632:632,"AAAAAHfvfTo=",0)</f>
        <v>0</v>
      </c>
      <c r="BH18" t="e">
        <f>AND(Plan1!A632,"AAAAAHfvfTs=")</f>
        <v>#VALUE!</v>
      </c>
      <c r="BI18" t="e">
        <f>AND(Plan1!B632,"AAAAAHfvfTw=")</f>
        <v>#VALUE!</v>
      </c>
      <c r="BJ18" t="e">
        <f>AND(Plan1!C632,"AAAAAHfvfT0=")</f>
        <v>#VALUE!</v>
      </c>
      <c r="BK18" t="e">
        <f>AND(Plan1!D632,"AAAAAHfvfT4=")</f>
        <v>#VALUE!</v>
      </c>
      <c r="BL18" t="e">
        <f>AND(Plan1!E632,"AAAAAHfvfT8=")</f>
        <v>#VALUE!</v>
      </c>
      <c r="BM18" t="e">
        <f>AND(Plan1!F632,"AAAAAHfvfUA=")</f>
        <v>#VALUE!</v>
      </c>
      <c r="BN18">
        <f>IF(Plan1!633:633,"AAAAAHfvfUE=",0)</f>
        <v>0</v>
      </c>
      <c r="BO18" t="e">
        <f>AND(Plan1!A633,"AAAAAHfvfUI=")</f>
        <v>#VALUE!</v>
      </c>
      <c r="BP18" t="e">
        <f>AND(Plan1!B633,"AAAAAHfvfUM=")</f>
        <v>#VALUE!</v>
      </c>
      <c r="BQ18" t="e">
        <f>AND(Plan1!C633,"AAAAAHfvfUQ=")</f>
        <v>#VALUE!</v>
      </c>
      <c r="BR18" t="e">
        <f>AND(Plan1!D633,"AAAAAHfvfUU=")</f>
        <v>#VALUE!</v>
      </c>
      <c r="BS18" t="e">
        <f>AND(Plan1!E633,"AAAAAHfvfUY=")</f>
        <v>#VALUE!</v>
      </c>
      <c r="BT18" t="e">
        <f>AND(Plan1!F633,"AAAAAHfvfUc=")</f>
        <v>#VALUE!</v>
      </c>
      <c r="BU18">
        <f>IF(Plan1!634:634,"AAAAAHfvfUg=",0)</f>
        <v>0</v>
      </c>
      <c r="BV18" t="e">
        <f>AND(Plan1!A634,"AAAAAHfvfUk=")</f>
        <v>#VALUE!</v>
      </c>
      <c r="BW18" t="e">
        <f>AND(Plan1!B634,"AAAAAHfvfUo=")</f>
        <v>#VALUE!</v>
      </c>
      <c r="BX18" t="e">
        <f>AND(Plan1!C634,"AAAAAHfvfUs=")</f>
        <v>#VALUE!</v>
      </c>
      <c r="BY18" t="e">
        <f>AND(Plan1!D634,"AAAAAHfvfUw=")</f>
        <v>#VALUE!</v>
      </c>
      <c r="BZ18" t="e">
        <f>AND(Plan1!E634,"AAAAAHfvfU0=")</f>
        <v>#VALUE!</v>
      </c>
      <c r="CA18" t="e">
        <f>AND(Plan1!F634,"AAAAAHfvfU4=")</f>
        <v>#VALUE!</v>
      </c>
      <c r="CB18">
        <f>IF(Plan1!635:635,"AAAAAHfvfU8=",0)</f>
        <v>0</v>
      </c>
      <c r="CC18" t="e">
        <f>AND(Plan1!A635,"AAAAAHfvfVA=")</f>
        <v>#VALUE!</v>
      </c>
      <c r="CD18" t="e">
        <f>AND(Plan1!B635,"AAAAAHfvfVE=")</f>
        <v>#VALUE!</v>
      </c>
      <c r="CE18" t="e">
        <f>AND(Plan1!C635,"AAAAAHfvfVI=")</f>
        <v>#VALUE!</v>
      </c>
      <c r="CF18" t="e">
        <f>AND(Plan1!D635,"AAAAAHfvfVM=")</f>
        <v>#VALUE!</v>
      </c>
      <c r="CG18" t="e">
        <f>AND(Plan1!E635,"AAAAAHfvfVQ=")</f>
        <v>#VALUE!</v>
      </c>
      <c r="CH18" t="e">
        <f>AND(Plan1!F635,"AAAAAHfvfVU=")</f>
        <v>#VALUE!</v>
      </c>
      <c r="CI18">
        <f>IF(Plan1!636:636,"AAAAAHfvfVY=",0)</f>
        <v>0</v>
      </c>
      <c r="CJ18" t="e">
        <f>AND(Plan1!A636,"AAAAAHfvfVc=")</f>
        <v>#VALUE!</v>
      </c>
      <c r="CK18" t="e">
        <f>AND(Plan1!B636,"AAAAAHfvfVg=")</f>
        <v>#VALUE!</v>
      </c>
      <c r="CL18" t="e">
        <f>AND(Plan1!C636,"AAAAAHfvfVk=")</f>
        <v>#VALUE!</v>
      </c>
      <c r="CM18" t="e">
        <f>AND(Plan1!D636,"AAAAAHfvfVo=")</f>
        <v>#VALUE!</v>
      </c>
      <c r="CN18" t="e">
        <f>AND(Plan1!E636,"AAAAAHfvfVs=")</f>
        <v>#VALUE!</v>
      </c>
      <c r="CO18" t="e">
        <f>AND(Plan1!F636,"AAAAAHfvfVw=")</f>
        <v>#VALUE!</v>
      </c>
      <c r="CP18">
        <f>IF(Plan1!637:637,"AAAAAHfvfV0=",0)</f>
        <v>0</v>
      </c>
      <c r="CQ18" t="e">
        <f>AND(Plan1!A637,"AAAAAHfvfV4=")</f>
        <v>#VALUE!</v>
      </c>
      <c r="CR18" t="e">
        <f>AND(Plan1!B637,"AAAAAHfvfV8=")</f>
        <v>#VALUE!</v>
      </c>
      <c r="CS18" t="e">
        <f>AND(Plan1!C637,"AAAAAHfvfWA=")</f>
        <v>#VALUE!</v>
      </c>
      <c r="CT18" t="e">
        <f>AND(Plan1!D637,"AAAAAHfvfWE=")</f>
        <v>#VALUE!</v>
      </c>
      <c r="CU18" t="e">
        <f>AND(Plan1!E637,"AAAAAHfvfWI=")</f>
        <v>#VALUE!</v>
      </c>
      <c r="CV18" t="e">
        <f>AND(Plan1!F637,"AAAAAHfvfWM=")</f>
        <v>#VALUE!</v>
      </c>
      <c r="CW18">
        <f>IF(Plan1!638:638,"AAAAAHfvfWQ=",0)</f>
        <v>0</v>
      </c>
      <c r="CX18" t="e">
        <f>AND(Plan1!A638,"AAAAAHfvfWU=")</f>
        <v>#VALUE!</v>
      </c>
      <c r="CY18" t="e">
        <f>AND(Plan1!B638,"AAAAAHfvfWY=")</f>
        <v>#VALUE!</v>
      </c>
      <c r="CZ18" t="e">
        <f>AND(Plan1!C638,"AAAAAHfvfWc=")</f>
        <v>#VALUE!</v>
      </c>
      <c r="DA18" t="e">
        <f>AND(Plan1!D638,"AAAAAHfvfWg=")</f>
        <v>#VALUE!</v>
      </c>
      <c r="DB18" t="e">
        <f>AND(Plan1!E638,"AAAAAHfvfWk=")</f>
        <v>#VALUE!</v>
      </c>
      <c r="DC18" t="e">
        <f>AND(Plan1!F638,"AAAAAHfvfWo=")</f>
        <v>#VALUE!</v>
      </c>
      <c r="DD18">
        <f>IF(Plan1!639:639,"AAAAAHfvfWs=",0)</f>
        <v>0</v>
      </c>
      <c r="DE18" t="e">
        <f>AND(Plan1!A639,"AAAAAHfvfWw=")</f>
        <v>#VALUE!</v>
      </c>
      <c r="DF18" t="e">
        <f>AND(Plan1!B639,"AAAAAHfvfW0=")</f>
        <v>#VALUE!</v>
      </c>
      <c r="DG18" t="e">
        <f>AND(Plan1!C639,"AAAAAHfvfW4=")</f>
        <v>#VALUE!</v>
      </c>
      <c r="DH18" t="e">
        <f>AND(Plan1!D639,"AAAAAHfvfW8=")</f>
        <v>#VALUE!</v>
      </c>
      <c r="DI18" t="e">
        <f>AND(Plan1!E639,"AAAAAHfvfXA=")</f>
        <v>#VALUE!</v>
      </c>
      <c r="DJ18" t="e">
        <f>AND(Plan1!F639,"AAAAAHfvfXE=")</f>
        <v>#VALUE!</v>
      </c>
      <c r="DK18">
        <f>IF(Plan1!640:640,"AAAAAHfvfXI=",0)</f>
        <v>0</v>
      </c>
      <c r="DL18" t="e">
        <f>AND(Plan1!A640,"AAAAAHfvfXM=")</f>
        <v>#VALUE!</v>
      </c>
      <c r="DM18" t="e">
        <f>AND(Plan1!B640,"AAAAAHfvfXQ=")</f>
        <v>#VALUE!</v>
      </c>
      <c r="DN18" t="e">
        <f>AND(Plan1!C640,"AAAAAHfvfXU=")</f>
        <v>#VALUE!</v>
      </c>
      <c r="DO18" t="e">
        <f>AND(Plan1!D640,"AAAAAHfvfXY=")</f>
        <v>#VALUE!</v>
      </c>
      <c r="DP18" t="e">
        <f>AND(Plan1!E640,"AAAAAHfvfXc=")</f>
        <v>#VALUE!</v>
      </c>
      <c r="DQ18" t="e">
        <f>AND(Plan1!F640,"AAAAAHfvfXg=")</f>
        <v>#VALUE!</v>
      </c>
      <c r="DR18">
        <f>IF(Plan1!641:641,"AAAAAHfvfXk=",0)</f>
        <v>0</v>
      </c>
      <c r="DS18" t="e">
        <f>AND(Plan1!A641,"AAAAAHfvfXo=")</f>
        <v>#VALUE!</v>
      </c>
      <c r="DT18" t="e">
        <f>AND(Plan1!B641,"AAAAAHfvfXs=")</f>
        <v>#VALUE!</v>
      </c>
      <c r="DU18" t="e">
        <f>AND(Plan1!C641,"AAAAAHfvfXw=")</f>
        <v>#VALUE!</v>
      </c>
      <c r="DV18" t="e">
        <f>AND(Plan1!D641,"AAAAAHfvfX0=")</f>
        <v>#VALUE!</v>
      </c>
      <c r="DW18" t="e">
        <f>AND(Plan1!E641,"AAAAAHfvfX4=")</f>
        <v>#VALUE!</v>
      </c>
      <c r="DX18" t="e">
        <f>AND(Plan1!F641,"AAAAAHfvfX8=")</f>
        <v>#VALUE!</v>
      </c>
      <c r="DY18">
        <f>IF(Plan1!642:642,"AAAAAHfvfYA=",0)</f>
        <v>0</v>
      </c>
      <c r="DZ18" t="e">
        <f>AND(Plan1!A642,"AAAAAHfvfYE=")</f>
        <v>#VALUE!</v>
      </c>
      <c r="EA18" t="e">
        <f>AND(Plan1!B642,"AAAAAHfvfYI=")</f>
        <v>#VALUE!</v>
      </c>
      <c r="EB18" t="e">
        <f>AND(Plan1!C642,"AAAAAHfvfYM=")</f>
        <v>#VALUE!</v>
      </c>
      <c r="EC18" t="e">
        <f>AND(Plan1!D642,"AAAAAHfvfYQ=")</f>
        <v>#VALUE!</v>
      </c>
      <c r="ED18" t="e">
        <f>AND(Plan1!E642,"AAAAAHfvfYU=")</f>
        <v>#VALUE!</v>
      </c>
      <c r="EE18" t="e">
        <f>AND(Plan1!F642,"AAAAAHfvfYY=")</f>
        <v>#VALUE!</v>
      </c>
      <c r="EF18">
        <f>IF(Plan1!643:643,"AAAAAHfvfYc=",0)</f>
        <v>0</v>
      </c>
      <c r="EG18" t="e">
        <f>AND(Plan1!A643,"AAAAAHfvfYg=")</f>
        <v>#VALUE!</v>
      </c>
      <c r="EH18" t="e">
        <f>AND(Plan1!B643,"AAAAAHfvfYk=")</f>
        <v>#VALUE!</v>
      </c>
      <c r="EI18" t="e">
        <f>AND(Plan1!C643,"AAAAAHfvfYo=")</f>
        <v>#VALUE!</v>
      </c>
      <c r="EJ18" t="e">
        <f>AND(Plan1!D643,"AAAAAHfvfYs=")</f>
        <v>#VALUE!</v>
      </c>
      <c r="EK18" t="e">
        <f>AND(Plan1!E643,"AAAAAHfvfYw=")</f>
        <v>#VALUE!</v>
      </c>
      <c r="EL18" t="e">
        <f>AND(Plan1!F643,"AAAAAHfvfY0=")</f>
        <v>#VALUE!</v>
      </c>
      <c r="EM18">
        <f>IF(Plan1!644:644,"AAAAAHfvfY4=",0)</f>
        <v>0</v>
      </c>
      <c r="EN18" t="e">
        <f>AND(Plan1!A644,"AAAAAHfvfY8=")</f>
        <v>#VALUE!</v>
      </c>
      <c r="EO18" t="e">
        <f>AND(Plan1!B644,"AAAAAHfvfZA=")</f>
        <v>#VALUE!</v>
      </c>
      <c r="EP18" t="e">
        <f>AND(Plan1!C644,"AAAAAHfvfZE=")</f>
        <v>#VALUE!</v>
      </c>
      <c r="EQ18" t="e">
        <f>AND(Plan1!D644,"AAAAAHfvfZI=")</f>
        <v>#VALUE!</v>
      </c>
      <c r="ER18" t="e">
        <f>AND(Plan1!E644,"AAAAAHfvfZM=")</f>
        <v>#VALUE!</v>
      </c>
      <c r="ES18" t="e">
        <f>AND(Plan1!F644,"AAAAAHfvfZQ=")</f>
        <v>#VALUE!</v>
      </c>
      <c r="ET18">
        <f>IF(Plan1!645:645,"AAAAAHfvfZU=",0)</f>
        <v>0</v>
      </c>
      <c r="EU18" t="e">
        <f>AND(Plan1!A645,"AAAAAHfvfZY=")</f>
        <v>#VALUE!</v>
      </c>
      <c r="EV18" t="e">
        <f>AND(Plan1!B645,"AAAAAHfvfZc=")</f>
        <v>#VALUE!</v>
      </c>
      <c r="EW18" t="e">
        <f>AND(Plan1!C645,"AAAAAHfvfZg=")</f>
        <v>#VALUE!</v>
      </c>
      <c r="EX18" t="e">
        <f>AND(Plan1!D645,"AAAAAHfvfZk=")</f>
        <v>#VALUE!</v>
      </c>
      <c r="EY18" t="e">
        <f>AND(Plan1!E645,"AAAAAHfvfZo=")</f>
        <v>#VALUE!</v>
      </c>
      <c r="EZ18" t="e">
        <f>AND(Plan1!F645,"AAAAAHfvfZs=")</f>
        <v>#VALUE!</v>
      </c>
      <c r="FA18">
        <f>IF(Plan1!646:646,"AAAAAHfvfZw=",0)</f>
        <v>0</v>
      </c>
      <c r="FB18" t="e">
        <f>AND(Plan1!A646,"AAAAAHfvfZ0=")</f>
        <v>#VALUE!</v>
      </c>
      <c r="FC18" t="e">
        <f>AND(Plan1!B646,"AAAAAHfvfZ4=")</f>
        <v>#VALUE!</v>
      </c>
      <c r="FD18" t="e">
        <f>AND(Plan1!C646,"AAAAAHfvfZ8=")</f>
        <v>#VALUE!</v>
      </c>
      <c r="FE18" t="e">
        <f>AND(Plan1!D646,"AAAAAHfvfaA=")</f>
        <v>#VALUE!</v>
      </c>
      <c r="FF18" t="e">
        <f>AND(Plan1!E646,"AAAAAHfvfaE=")</f>
        <v>#VALUE!</v>
      </c>
      <c r="FG18" t="e">
        <f>AND(Plan1!F646,"AAAAAHfvfaI=")</f>
        <v>#VALUE!</v>
      </c>
      <c r="FH18">
        <f>IF(Plan1!647:647,"AAAAAHfvfaM=",0)</f>
        <v>0</v>
      </c>
      <c r="FI18" t="e">
        <f>AND(Plan1!A647,"AAAAAHfvfaQ=")</f>
        <v>#VALUE!</v>
      </c>
      <c r="FJ18" t="e">
        <f>AND(Plan1!B647,"AAAAAHfvfaU=")</f>
        <v>#VALUE!</v>
      </c>
      <c r="FK18" t="e">
        <f>AND(Plan1!C647,"AAAAAHfvfaY=")</f>
        <v>#VALUE!</v>
      </c>
      <c r="FL18" t="e">
        <f>AND(Plan1!D647,"AAAAAHfvfac=")</f>
        <v>#VALUE!</v>
      </c>
      <c r="FM18" t="e">
        <f>AND(Plan1!E647,"AAAAAHfvfag=")</f>
        <v>#VALUE!</v>
      </c>
      <c r="FN18" t="e">
        <f>AND(Plan1!F647,"AAAAAHfvfak=")</f>
        <v>#VALUE!</v>
      </c>
      <c r="FO18">
        <f>IF(Plan1!648:648,"AAAAAHfvfao=",0)</f>
        <v>0</v>
      </c>
      <c r="FP18" t="e">
        <f>AND(Plan1!A648,"AAAAAHfvfas=")</f>
        <v>#VALUE!</v>
      </c>
      <c r="FQ18" t="e">
        <f>AND(Plan1!B648,"AAAAAHfvfaw=")</f>
        <v>#VALUE!</v>
      </c>
      <c r="FR18" t="e">
        <f>AND(Plan1!C648,"AAAAAHfvfa0=")</f>
        <v>#VALUE!</v>
      </c>
      <c r="FS18" t="e">
        <f>AND(Plan1!D648,"AAAAAHfvfa4=")</f>
        <v>#VALUE!</v>
      </c>
      <c r="FT18" t="e">
        <f>AND(Plan1!E648,"AAAAAHfvfa8=")</f>
        <v>#VALUE!</v>
      </c>
      <c r="FU18" t="e">
        <f>AND(Plan1!F648,"AAAAAHfvfbA=")</f>
        <v>#VALUE!</v>
      </c>
      <c r="FV18">
        <f>IF(Plan1!649:649,"AAAAAHfvfbE=",0)</f>
        <v>0</v>
      </c>
      <c r="FW18" t="e">
        <f>AND(Plan1!A649,"AAAAAHfvfbI=")</f>
        <v>#VALUE!</v>
      </c>
      <c r="FX18" t="e">
        <f>AND(Plan1!B649,"AAAAAHfvfbM=")</f>
        <v>#VALUE!</v>
      </c>
      <c r="FY18" t="e">
        <f>AND(Plan1!C649,"AAAAAHfvfbQ=")</f>
        <v>#VALUE!</v>
      </c>
      <c r="FZ18" t="e">
        <f>AND(Plan1!D649,"AAAAAHfvfbU=")</f>
        <v>#VALUE!</v>
      </c>
      <c r="GA18" t="e">
        <f>AND(Plan1!E649,"AAAAAHfvfbY=")</f>
        <v>#VALUE!</v>
      </c>
      <c r="GB18" t="e">
        <f>AND(Plan1!F649,"AAAAAHfvfbc=")</f>
        <v>#VALUE!</v>
      </c>
      <c r="GC18">
        <f>IF(Plan1!650:650,"AAAAAHfvfbg=",0)</f>
        <v>0</v>
      </c>
      <c r="GD18" t="e">
        <f>AND(Plan1!A650,"AAAAAHfvfbk=")</f>
        <v>#VALUE!</v>
      </c>
      <c r="GE18" t="e">
        <f>AND(Plan1!B650,"AAAAAHfvfbo=")</f>
        <v>#VALUE!</v>
      </c>
      <c r="GF18" t="e">
        <f>AND(Plan1!C650,"AAAAAHfvfbs=")</f>
        <v>#VALUE!</v>
      </c>
      <c r="GG18" t="e">
        <f>AND(Plan1!D650,"AAAAAHfvfbw=")</f>
        <v>#VALUE!</v>
      </c>
      <c r="GH18" t="e">
        <f>AND(Plan1!E650,"AAAAAHfvfb0=")</f>
        <v>#VALUE!</v>
      </c>
      <c r="GI18" t="e">
        <f>AND(Plan1!F650,"AAAAAHfvfb4=")</f>
        <v>#VALUE!</v>
      </c>
      <c r="GJ18">
        <f>IF(Plan1!651:651,"AAAAAHfvfb8=",0)</f>
        <v>0</v>
      </c>
      <c r="GK18" t="e">
        <f>AND(Plan1!A651,"AAAAAHfvfcA=")</f>
        <v>#VALUE!</v>
      </c>
      <c r="GL18" t="e">
        <f>AND(Plan1!B651,"AAAAAHfvfcE=")</f>
        <v>#VALUE!</v>
      </c>
      <c r="GM18" t="e">
        <f>AND(Plan1!C651,"AAAAAHfvfcI=")</f>
        <v>#VALUE!</v>
      </c>
      <c r="GN18" t="e">
        <f>AND(Plan1!D651,"AAAAAHfvfcM=")</f>
        <v>#VALUE!</v>
      </c>
      <c r="GO18" t="e">
        <f>AND(Plan1!E651,"AAAAAHfvfcQ=")</f>
        <v>#VALUE!</v>
      </c>
      <c r="GP18" t="e">
        <f>AND(Plan1!F651,"AAAAAHfvfcU=")</f>
        <v>#VALUE!</v>
      </c>
      <c r="GQ18">
        <f>IF(Plan1!652:652,"AAAAAHfvfcY=",0)</f>
        <v>0</v>
      </c>
      <c r="GR18" t="e">
        <f>AND(Plan1!A652,"AAAAAHfvfcc=")</f>
        <v>#VALUE!</v>
      </c>
      <c r="GS18" t="e">
        <f>AND(Plan1!B652,"AAAAAHfvfcg=")</f>
        <v>#VALUE!</v>
      </c>
      <c r="GT18" t="e">
        <f>AND(Plan1!C652,"AAAAAHfvfck=")</f>
        <v>#VALUE!</v>
      </c>
      <c r="GU18" t="e">
        <f>AND(Plan1!D652,"AAAAAHfvfco=")</f>
        <v>#VALUE!</v>
      </c>
      <c r="GV18" t="e">
        <f>AND(Plan1!E652,"AAAAAHfvfcs=")</f>
        <v>#VALUE!</v>
      </c>
      <c r="GW18" t="e">
        <f>AND(Plan1!F652,"AAAAAHfvfcw=")</f>
        <v>#VALUE!</v>
      </c>
      <c r="GX18">
        <f>IF(Plan1!653:653,"AAAAAHfvfc0=",0)</f>
        <v>0</v>
      </c>
      <c r="GY18" t="e">
        <f>AND(Plan1!A653,"AAAAAHfvfc4=")</f>
        <v>#VALUE!</v>
      </c>
      <c r="GZ18" t="e">
        <f>AND(Plan1!B653,"AAAAAHfvfc8=")</f>
        <v>#VALUE!</v>
      </c>
      <c r="HA18" t="e">
        <f>AND(Plan1!C653,"AAAAAHfvfdA=")</f>
        <v>#VALUE!</v>
      </c>
      <c r="HB18" t="e">
        <f>AND(Plan1!D653,"AAAAAHfvfdE=")</f>
        <v>#VALUE!</v>
      </c>
      <c r="HC18" t="e">
        <f>AND(Plan1!E653,"AAAAAHfvfdI=")</f>
        <v>#VALUE!</v>
      </c>
      <c r="HD18" t="e">
        <f>AND(Plan1!F653,"AAAAAHfvfdM=")</f>
        <v>#VALUE!</v>
      </c>
      <c r="HE18">
        <f>IF(Plan1!654:654,"AAAAAHfvfdQ=",0)</f>
        <v>0</v>
      </c>
      <c r="HF18" t="e">
        <f>AND(Plan1!A654,"AAAAAHfvfdU=")</f>
        <v>#VALUE!</v>
      </c>
      <c r="HG18" t="e">
        <f>AND(Plan1!B654,"AAAAAHfvfdY=")</f>
        <v>#VALUE!</v>
      </c>
      <c r="HH18" t="e">
        <f>AND(Plan1!C654,"AAAAAHfvfdc=")</f>
        <v>#VALUE!</v>
      </c>
      <c r="HI18" t="e">
        <f>AND(Plan1!D654,"AAAAAHfvfdg=")</f>
        <v>#VALUE!</v>
      </c>
      <c r="HJ18" t="e">
        <f>AND(Plan1!E654,"AAAAAHfvfdk=")</f>
        <v>#VALUE!</v>
      </c>
      <c r="HK18" t="e">
        <f>AND(Plan1!F654,"AAAAAHfvfdo=")</f>
        <v>#VALUE!</v>
      </c>
      <c r="HL18">
        <f>IF(Plan1!655:655,"AAAAAHfvfds=",0)</f>
        <v>0</v>
      </c>
      <c r="HM18" t="e">
        <f>AND(Plan1!A655,"AAAAAHfvfdw=")</f>
        <v>#VALUE!</v>
      </c>
      <c r="HN18" t="e">
        <f>AND(Plan1!B655,"AAAAAHfvfd0=")</f>
        <v>#VALUE!</v>
      </c>
      <c r="HO18" t="e">
        <f>AND(Plan1!C655,"AAAAAHfvfd4=")</f>
        <v>#VALUE!</v>
      </c>
      <c r="HP18" t="e">
        <f>AND(Plan1!D655,"AAAAAHfvfd8=")</f>
        <v>#VALUE!</v>
      </c>
      <c r="HQ18" t="e">
        <f>AND(Plan1!E655,"AAAAAHfvfeA=")</f>
        <v>#VALUE!</v>
      </c>
      <c r="HR18" t="e">
        <f>AND(Plan1!F655,"AAAAAHfvfeE=")</f>
        <v>#VALUE!</v>
      </c>
      <c r="HS18">
        <f>IF(Plan1!656:656,"AAAAAHfvfeI=",0)</f>
        <v>0</v>
      </c>
      <c r="HT18" t="e">
        <f>AND(Plan1!A656,"AAAAAHfvfeM=")</f>
        <v>#VALUE!</v>
      </c>
      <c r="HU18" t="e">
        <f>AND(Plan1!B656,"AAAAAHfvfeQ=")</f>
        <v>#VALUE!</v>
      </c>
      <c r="HV18" t="e">
        <f>AND(Plan1!C656,"AAAAAHfvfeU=")</f>
        <v>#VALUE!</v>
      </c>
      <c r="HW18" t="e">
        <f>AND(Plan1!D656,"AAAAAHfvfeY=")</f>
        <v>#VALUE!</v>
      </c>
      <c r="HX18" t="e">
        <f>AND(Plan1!E656,"AAAAAHfvfec=")</f>
        <v>#VALUE!</v>
      </c>
      <c r="HY18" t="e">
        <f>AND(Plan1!F656,"AAAAAHfvfeg=")</f>
        <v>#VALUE!</v>
      </c>
      <c r="HZ18">
        <f>IF(Plan1!657:657,"AAAAAHfvfek=",0)</f>
        <v>0</v>
      </c>
      <c r="IA18" t="e">
        <f>AND(Plan1!A657,"AAAAAHfvfeo=")</f>
        <v>#VALUE!</v>
      </c>
      <c r="IB18" t="e">
        <f>AND(Plan1!B657,"AAAAAHfvfes=")</f>
        <v>#VALUE!</v>
      </c>
      <c r="IC18" t="e">
        <f>AND(Plan1!C657,"AAAAAHfvfew=")</f>
        <v>#VALUE!</v>
      </c>
      <c r="ID18" t="e">
        <f>AND(Plan1!D657,"AAAAAHfvfe0=")</f>
        <v>#VALUE!</v>
      </c>
      <c r="IE18" t="e">
        <f>AND(Plan1!E657,"AAAAAHfvfe4=")</f>
        <v>#VALUE!</v>
      </c>
      <c r="IF18" t="e">
        <f>AND(Plan1!F657,"AAAAAHfvfe8=")</f>
        <v>#VALUE!</v>
      </c>
      <c r="IG18">
        <f>IF(Plan1!658:658,"AAAAAHfvffA=",0)</f>
        <v>0</v>
      </c>
      <c r="IH18" t="e">
        <f>AND(Plan1!A658,"AAAAAHfvffE=")</f>
        <v>#VALUE!</v>
      </c>
      <c r="II18" t="e">
        <f>AND(Plan1!B658,"AAAAAHfvffI=")</f>
        <v>#VALUE!</v>
      </c>
      <c r="IJ18" t="e">
        <f>AND(Plan1!C658,"AAAAAHfvffM=")</f>
        <v>#VALUE!</v>
      </c>
      <c r="IK18" t="e">
        <f>AND(Plan1!D658,"AAAAAHfvffQ=")</f>
        <v>#VALUE!</v>
      </c>
      <c r="IL18" t="e">
        <f>AND(Plan1!E658,"AAAAAHfvffU=")</f>
        <v>#VALUE!</v>
      </c>
      <c r="IM18" t="e">
        <f>AND(Plan1!F658,"AAAAAHfvffY=")</f>
        <v>#VALUE!</v>
      </c>
      <c r="IN18">
        <f>IF(Plan1!659:659,"AAAAAHfvffc=",0)</f>
        <v>0</v>
      </c>
      <c r="IO18" t="e">
        <f>AND(Plan1!A659,"AAAAAHfvffg=")</f>
        <v>#VALUE!</v>
      </c>
      <c r="IP18" t="e">
        <f>AND(Plan1!B659,"AAAAAHfvffk=")</f>
        <v>#VALUE!</v>
      </c>
      <c r="IQ18" t="e">
        <f>AND(Plan1!C659,"AAAAAHfvffo=")</f>
        <v>#VALUE!</v>
      </c>
      <c r="IR18" t="e">
        <f>AND(Plan1!D659,"AAAAAHfvffs=")</f>
        <v>#VALUE!</v>
      </c>
      <c r="IS18" t="e">
        <f>AND(Plan1!E659,"AAAAAHfvffw=")</f>
        <v>#VALUE!</v>
      </c>
      <c r="IT18" t="e">
        <f>AND(Plan1!F659,"AAAAAHfvff0=")</f>
        <v>#VALUE!</v>
      </c>
      <c r="IU18">
        <f>IF(Plan1!660:660,"AAAAAHfvff4=",0)</f>
        <v>0</v>
      </c>
      <c r="IV18" t="e">
        <f>AND(Plan1!A660,"AAAAAHfvff8=")</f>
        <v>#VALUE!</v>
      </c>
    </row>
    <row r="19" spans="1:256">
      <c r="A19" t="e">
        <f>AND(Plan1!B660,"AAAAAHb/5wA=")</f>
        <v>#VALUE!</v>
      </c>
      <c r="B19" t="e">
        <f>AND(Plan1!C660,"AAAAAHb/5wE=")</f>
        <v>#VALUE!</v>
      </c>
      <c r="C19" t="e">
        <f>AND(Plan1!D660,"AAAAAHb/5wI=")</f>
        <v>#VALUE!</v>
      </c>
      <c r="D19" t="e">
        <f>AND(Plan1!E660,"AAAAAHb/5wM=")</f>
        <v>#VALUE!</v>
      </c>
      <c r="E19" t="e">
        <f>AND(Plan1!F660,"AAAAAHb/5wQ=")</f>
        <v>#VALUE!</v>
      </c>
      <c r="F19" t="e">
        <f>IF(Plan1!661:661,"AAAAAHb/5wU=",0)</f>
        <v>#VALUE!</v>
      </c>
      <c r="G19" t="e">
        <f>AND(Plan1!A661,"AAAAAHb/5wY=")</f>
        <v>#VALUE!</v>
      </c>
      <c r="H19" t="e">
        <f>AND(Plan1!B661,"AAAAAHb/5wc=")</f>
        <v>#VALUE!</v>
      </c>
      <c r="I19" t="e">
        <f>AND(Plan1!C661,"AAAAAHb/5wg=")</f>
        <v>#VALUE!</v>
      </c>
      <c r="J19" t="e">
        <f>AND(Plan1!D661,"AAAAAHb/5wk=")</f>
        <v>#VALUE!</v>
      </c>
      <c r="K19" t="e">
        <f>AND(Plan1!E661,"AAAAAHb/5wo=")</f>
        <v>#VALUE!</v>
      </c>
      <c r="L19" t="e">
        <f>AND(Plan1!F661,"AAAAAHb/5ws=")</f>
        <v>#VALUE!</v>
      </c>
      <c r="M19">
        <f>IF(Plan1!662:662,"AAAAAHb/5ww=",0)</f>
        <v>0</v>
      </c>
      <c r="N19" t="e">
        <f>AND(Plan1!A662,"AAAAAHb/5w0=")</f>
        <v>#VALUE!</v>
      </c>
      <c r="O19" t="e">
        <f>AND(Plan1!B662,"AAAAAHb/5w4=")</f>
        <v>#VALUE!</v>
      </c>
      <c r="P19" t="e">
        <f>AND(Plan1!C662,"AAAAAHb/5w8=")</f>
        <v>#VALUE!</v>
      </c>
      <c r="Q19" t="e">
        <f>AND(Plan1!D662,"AAAAAHb/5xA=")</f>
        <v>#VALUE!</v>
      </c>
      <c r="R19" t="e">
        <f>AND(Plan1!E662,"AAAAAHb/5xE=")</f>
        <v>#VALUE!</v>
      </c>
      <c r="S19" t="e">
        <f>AND(Plan1!F662,"AAAAAHb/5xI=")</f>
        <v>#VALUE!</v>
      </c>
      <c r="T19">
        <f>IF(Plan1!663:663,"AAAAAHb/5xM=",0)</f>
        <v>0</v>
      </c>
      <c r="U19" t="e">
        <f>AND(Plan1!A663,"AAAAAHb/5xQ=")</f>
        <v>#VALUE!</v>
      </c>
      <c r="V19" t="e">
        <f>AND(Plan1!B663,"AAAAAHb/5xU=")</f>
        <v>#VALUE!</v>
      </c>
      <c r="W19" t="e">
        <f>AND(Plan1!C663,"AAAAAHb/5xY=")</f>
        <v>#VALUE!</v>
      </c>
      <c r="X19" t="e">
        <f>AND(Plan1!D663,"AAAAAHb/5xc=")</f>
        <v>#VALUE!</v>
      </c>
      <c r="Y19" t="e">
        <f>AND(Plan1!E663,"AAAAAHb/5xg=")</f>
        <v>#VALUE!</v>
      </c>
      <c r="Z19" t="e">
        <f>AND(Plan1!F663,"AAAAAHb/5xk=")</f>
        <v>#VALUE!</v>
      </c>
      <c r="AA19">
        <f>IF(Plan1!664:664,"AAAAAHb/5xo=",0)</f>
        <v>0</v>
      </c>
      <c r="AB19" t="e">
        <f>AND(Plan1!A664,"AAAAAHb/5xs=")</f>
        <v>#VALUE!</v>
      </c>
      <c r="AC19" t="e">
        <f>AND(Plan1!B664,"AAAAAHb/5xw=")</f>
        <v>#VALUE!</v>
      </c>
      <c r="AD19" t="e">
        <f>AND(Plan1!C664,"AAAAAHb/5x0=")</f>
        <v>#VALUE!</v>
      </c>
      <c r="AE19" t="e">
        <f>AND(Plan1!D664,"AAAAAHb/5x4=")</f>
        <v>#VALUE!</v>
      </c>
      <c r="AF19" t="e">
        <f>AND(Plan1!E664,"AAAAAHb/5x8=")</f>
        <v>#VALUE!</v>
      </c>
      <c r="AG19" t="e">
        <f>AND(Plan1!F664,"AAAAAHb/5yA=")</f>
        <v>#VALUE!</v>
      </c>
      <c r="AH19">
        <f>IF(Plan1!665:665,"AAAAAHb/5yE=",0)</f>
        <v>0</v>
      </c>
      <c r="AI19" t="e">
        <f>AND(Plan1!A665,"AAAAAHb/5yI=")</f>
        <v>#VALUE!</v>
      </c>
      <c r="AJ19" t="e">
        <f>AND(Plan1!B665,"AAAAAHb/5yM=")</f>
        <v>#VALUE!</v>
      </c>
      <c r="AK19" t="e">
        <f>AND(Plan1!C665,"AAAAAHb/5yQ=")</f>
        <v>#VALUE!</v>
      </c>
      <c r="AL19" t="e">
        <f>AND(Plan1!D665,"AAAAAHb/5yU=")</f>
        <v>#VALUE!</v>
      </c>
      <c r="AM19" t="e">
        <f>AND(Plan1!E665,"AAAAAHb/5yY=")</f>
        <v>#VALUE!</v>
      </c>
      <c r="AN19" t="e">
        <f>AND(Plan1!F665,"AAAAAHb/5yc=")</f>
        <v>#VALUE!</v>
      </c>
      <c r="AO19">
        <f>IF(Plan1!666:666,"AAAAAHb/5yg=",0)</f>
        <v>0</v>
      </c>
      <c r="AP19" t="e">
        <f>AND(Plan1!A666,"AAAAAHb/5yk=")</f>
        <v>#VALUE!</v>
      </c>
      <c r="AQ19" t="e">
        <f>AND(Plan1!B666,"AAAAAHb/5yo=")</f>
        <v>#VALUE!</v>
      </c>
      <c r="AR19" t="e">
        <f>AND(Plan1!C666,"AAAAAHb/5ys=")</f>
        <v>#VALUE!</v>
      </c>
      <c r="AS19" t="e">
        <f>AND(Plan1!D666,"AAAAAHb/5yw=")</f>
        <v>#VALUE!</v>
      </c>
      <c r="AT19" t="e">
        <f>AND(Plan1!E666,"AAAAAHb/5y0=")</f>
        <v>#VALUE!</v>
      </c>
      <c r="AU19" t="e">
        <f>AND(Plan1!F666,"AAAAAHb/5y4=")</f>
        <v>#VALUE!</v>
      </c>
      <c r="AV19">
        <f>IF(Plan1!667:667,"AAAAAHb/5y8=",0)</f>
        <v>0</v>
      </c>
      <c r="AW19" t="e">
        <f>AND(Plan1!A667,"AAAAAHb/5zA=")</f>
        <v>#VALUE!</v>
      </c>
      <c r="AX19" t="e">
        <f>AND(Plan1!B667,"AAAAAHb/5zE=")</f>
        <v>#VALUE!</v>
      </c>
      <c r="AY19" t="e">
        <f>AND(Plan1!C667,"AAAAAHb/5zI=")</f>
        <v>#VALUE!</v>
      </c>
      <c r="AZ19" t="e">
        <f>AND(Plan1!D667,"AAAAAHb/5zM=")</f>
        <v>#VALUE!</v>
      </c>
      <c r="BA19" t="e">
        <f>AND(Plan1!E667,"AAAAAHb/5zQ=")</f>
        <v>#VALUE!</v>
      </c>
      <c r="BB19" t="e">
        <f>AND(Plan1!F667,"AAAAAHb/5zU=")</f>
        <v>#VALUE!</v>
      </c>
      <c r="BC19">
        <f>IF(Plan1!668:668,"AAAAAHb/5zY=",0)</f>
        <v>0</v>
      </c>
      <c r="BD19" t="e">
        <f>AND(Plan1!A668,"AAAAAHb/5zc=")</f>
        <v>#VALUE!</v>
      </c>
      <c r="BE19" t="e">
        <f>AND(Plan1!B668,"AAAAAHb/5zg=")</f>
        <v>#VALUE!</v>
      </c>
      <c r="BF19" t="e">
        <f>AND(Plan1!C668,"AAAAAHb/5zk=")</f>
        <v>#VALUE!</v>
      </c>
      <c r="BG19" t="e">
        <f>AND(Plan1!D668,"AAAAAHb/5zo=")</f>
        <v>#VALUE!</v>
      </c>
      <c r="BH19" t="e">
        <f>AND(Plan1!E668,"AAAAAHb/5zs=")</f>
        <v>#VALUE!</v>
      </c>
      <c r="BI19" t="e">
        <f>AND(Plan1!F668,"AAAAAHb/5zw=")</f>
        <v>#VALUE!</v>
      </c>
      <c r="BJ19">
        <f>IF(Plan1!669:669,"AAAAAHb/5z0=",0)</f>
        <v>0</v>
      </c>
      <c r="BK19" t="e">
        <f>AND(Plan1!A669,"AAAAAHb/5z4=")</f>
        <v>#VALUE!</v>
      </c>
      <c r="BL19" t="e">
        <f>AND(Plan1!B669,"AAAAAHb/5z8=")</f>
        <v>#VALUE!</v>
      </c>
      <c r="BM19" t="e">
        <f>AND(Plan1!C669,"AAAAAHb/50A=")</f>
        <v>#VALUE!</v>
      </c>
      <c r="BN19" t="e">
        <f>AND(Plan1!D669,"AAAAAHb/50E=")</f>
        <v>#VALUE!</v>
      </c>
      <c r="BO19" t="e">
        <f>AND(Plan1!E669,"AAAAAHb/50I=")</f>
        <v>#VALUE!</v>
      </c>
      <c r="BP19" t="e">
        <f>AND(Plan1!F669,"AAAAAHb/50M=")</f>
        <v>#VALUE!</v>
      </c>
      <c r="BQ19">
        <f>IF(Plan1!670:670,"AAAAAHb/50Q=",0)</f>
        <v>0</v>
      </c>
      <c r="BR19" t="e">
        <f>AND(Plan1!A670,"AAAAAHb/50U=")</f>
        <v>#VALUE!</v>
      </c>
      <c r="BS19" t="e">
        <f>AND(Plan1!B670,"AAAAAHb/50Y=")</f>
        <v>#VALUE!</v>
      </c>
      <c r="BT19" t="e">
        <f>AND(Plan1!C670,"AAAAAHb/50c=")</f>
        <v>#VALUE!</v>
      </c>
      <c r="BU19" t="e">
        <f>AND(Plan1!D670,"AAAAAHb/50g=")</f>
        <v>#VALUE!</v>
      </c>
      <c r="BV19" t="e">
        <f>AND(Plan1!E670,"AAAAAHb/50k=")</f>
        <v>#VALUE!</v>
      </c>
      <c r="BW19" t="e">
        <f>AND(Plan1!F670,"AAAAAHb/50o=")</f>
        <v>#VALUE!</v>
      </c>
      <c r="BX19">
        <f>IF(Plan1!671:671,"AAAAAHb/50s=",0)</f>
        <v>0</v>
      </c>
      <c r="BY19" t="e">
        <f>AND(Plan1!A671,"AAAAAHb/50w=")</f>
        <v>#VALUE!</v>
      </c>
      <c r="BZ19" t="e">
        <f>AND(Plan1!B671,"AAAAAHb/500=")</f>
        <v>#VALUE!</v>
      </c>
      <c r="CA19" t="e">
        <f>AND(Plan1!C671,"AAAAAHb/504=")</f>
        <v>#VALUE!</v>
      </c>
      <c r="CB19" t="e">
        <f>AND(Plan1!D671,"AAAAAHb/508=")</f>
        <v>#VALUE!</v>
      </c>
      <c r="CC19" t="e">
        <f>AND(Plan1!E671,"AAAAAHb/51A=")</f>
        <v>#VALUE!</v>
      </c>
      <c r="CD19" t="e">
        <f>AND(Plan1!F671,"AAAAAHb/51E=")</f>
        <v>#VALUE!</v>
      </c>
      <c r="CE19">
        <f>IF(Plan1!672:672,"AAAAAHb/51I=",0)</f>
        <v>0</v>
      </c>
      <c r="CF19" t="e">
        <f>AND(Plan1!A672,"AAAAAHb/51M=")</f>
        <v>#VALUE!</v>
      </c>
      <c r="CG19" t="e">
        <f>AND(Plan1!B672,"AAAAAHb/51Q=")</f>
        <v>#VALUE!</v>
      </c>
      <c r="CH19" t="e">
        <f>AND(Plan1!C672,"AAAAAHb/51U=")</f>
        <v>#VALUE!</v>
      </c>
      <c r="CI19" t="e">
        <f>AND(Plan1!D672,"AAAAAHb/51Y=")</f>
        <v>#VALUE!</v>
      </c>
      <c r="CJ19" t="e">
        <f>AND(Plan1!E672,"AAAAAHb/51c=")</f>
        <v>#VALUE!</v>
      </c>
      <c r="CK19" t="e">
        <f>AND(Plan1!F672,"AAAAAHb/51g=")</f>
        <v>#VALUE!</v>
      </c>
      <c r="CL19">
        <f>IF(Plan1!673:673,"AAAAAHb/51k=",0)</f>
        <v>0</v>
      </c>
      <c r="CM19" t="e">
        <f>AND(Plan1!A673,"AAAAAHb/51o=")</f>
        <v>#VALUE!</v>
      </c>
      <c r="CN19" t="e">
        <f>AND(Plan1!B673,"AAAAAHb/51s=")</f>
        <v>#VALUE!</v>
      </c>
      <c r="CO19" t="e">
        <f>AND(Plan1!C673,"AAAAAHb/51w=")</f>
        <v>#VALUE!</v>
      </c>
      <c r="CP19" t="e">
        <f>AND(Plan1!D673,"AAAAAHb/510=")</f>
        <v>#VALUE!</v>
      </c>
      <c r="CQ19" t="e">
        <f>AND(Plan1!E673,"AAAAAHb/514=")</f>
        <v>#VALUE!</v>
      </c>
      <c r="CR19" t="e">
        <f>AND(Plan1!F673,"AAAAAHb/518=")</f>
        <v>#VALUE!</v>
      </c>
      <c r="CS19">
        <f>IF(Plan1!674:674,"AAAAAHb/52A=",0)</f>
        <v>0</v>
      </c>
      <c r="CT19" t="e">
        <f>AND(Plan1!A674,"AAAAAHb/52E=")</f>
        <v>#VALUE!</v>
      </c>
      <c r="CU19" t="e">
        <f>AND(Plan1!B674,"AAAAAHb/52I=")</f>
        <v>#VALUE!</v>
      </c>
      <c r="CV19" t="e">
        <f>AND(Plan1!C674,"AAAAAHb/52M=")</f>
        <v>#VALUE!</v>
      </c>
      <c r="CW19" t="e">
        <f>AND(Plan1!D674,"AAAAAHb/52Q=")</f>
        <v>#VALUE!</v>
      </c>
      <c r="CX19" t="e">
        <f>AND(Plan1!E674,"AAAAAHb/52U=")</f>
        <v>#VALUE!</v>
      </c>
      <c r="CY19" t="e">
        <f>AND(Plan1!F674,"AAAAAHb/52Y=")</f>
        <v>#VALUE!</v>
      </c>
      <c r="CZ19">
        <f>IF(Plan1!675:675,"AAAAAHb/52c=",0)</f>
        <v>0</v>
      </c>
      <c r="DA19" t="e">
        <f>AND(Plan1!A675,"AAAAAHb/52g=")</f>
        <v>#VALUE!</v>
      </c>
      <c r="DB19" t="e">
        <f>AND(Plan1!B675,"AAAAAHb/52k=")</f>
        <v>#VALUE!</v>
      </c>
      <c r="DC19" t="e">
        <f>AND(Plan1!C675,"AAAAAHb/52o=")</f>
        <v>#VALUE!</v>
      </c>
      <c r="DD19" t="e">
        <f>AND(Plan1!D675,"AAAAAHb/52s=")</f>
        <v>#VALUE!</v>
      </c>
      <c r="DE19" t="e">
        <f>AND(Plan1!E675,"AAAAAHb/52w=")</f>
        <v>#VALUE!</v>
      </c>
      <c r="DF19" t="e">
        <f>AND(Plan1!F675,"AAAAAHb/520=")</f>
        <v>#VALUE!</v>
      </c>
      <c r="DG19">
        <f>IF(Plan1!676:676,"AAAAAHb/524=",0)</f>
        <v>0</v>
      </c>
      <c r="DH19" t="e">
        <f>AND(Plan1!A676,"AAAAAHb/528=")</f>
        <v>#VALUE!</v>
      </c>
      <c r="DI19" t="e">
        <f>AND(Plan1!B676,"AAAAAHb/53A=")</f>
        <v>#VALUE!</v>
      </c>
      <c r="DJ19" t="e">
        <f>AND(Plan1!C676,"AAAAAHb/53E=")</f>
        <v>#VALUE!</v>
      </c>
      <c r="DK19" t="e">
        <f>AND(Plan1!D676,"AAAAAHb/53I=")</f>
        <v>#VALUE!</v>
      </c>
      <c r="DL19" t="e">
        <f>AND(Plan1!E676,"AAAAAHb/53M=")</f>
        <v>#VALUE!</v>
      </c>
      <c r="DM19" t="e">
        <f>AND(Plan1!F676,"AAAAAHb/53Q=")</f>
        <v>#VALUE!</v>
      </c>
      <c r="DN19">
        <f>IF(Plan1!677:677,"AAAAAHb/53U=",0)</f>
        <v>0</v>
      </c>
      <c r="DO19" t="e">
        <f>AND(Plan1!A677,"AAAAAHb/53Y=")</f>
        <v>#VALUE!</v>
      </c>
      <c r="DP19" t="e">
        <f>AND(Plan1!B677,"AAAAAHb/53c=")</f>
        <v>#VALUE!</v>
      </c>
      <c r="DQ19" t="e">
        <f>AND(Plan1!C677,"AAAAAHb/53g=")</f>
        <v>#VALUE!</v>
      </c>
      <c r="DR19" t="e">
        <f>AND(Plan1!D677,"AAAAAHb/53k=")</f>
        <v>#VALUE!</v>
      </c>
      <c r="DS19" t="e">
        <f>AND(Plan1!E677,"AAAAAHb/53o=")</f>
        <v>#VALUE!</v>
      </c>
      <c r="DT19" t="e">
        <f>AND(Plan1!F677,"AAAAAHb/53s=")</f>
        <v>#VALUE!</v>
      </c>
      <c r="DU19">
        <f>IF(Plan1!678:678,"AAAAAHb/53w=",0)</f>
        <v>0</v>
      </c>
      <c r="DV19" t="e">
        <f>AND(Plan1!A678,"AAAAAHb/530=")</f>
        <v>#VALUE!</v>
      </c>
      <c r="DW19" t="e">
        <f>AND(Plan1!B678,"AAAAAHb/534=")</f>
        <v>#VALUE!</v>
      </c>
      <c r="DX19" t="e">
        <f>AND(Plan1!C678,"AAAAAHb/538=")</f>
        <v>#VALUE!</v>
      </c>
      <c r="DY19" t="e">
        <f>AND(Plan1!D678,"AAAAAHb/54A=")</f>
        <v>#VALUE!</v>
      </c>
      <c r="DZ19" t="e">
        <f>AND(Plan1!E678,"AAAAAHb/54E=")</f>
        <v>#VALUE!</v>
      </c>
      <c r="EA19" t="e">
        <f>AND(Plan1!F678,"AAAAAHb/54I=")</f>
        <v>#VALUE!</v>
      </c>
      <c r="EB19">
        <f>IF(Plan1!679:679,"AAAAAHb/54M=",0)</f>
        <v>0</v>
      </c>
      <c r="EC19" t="e">
        <f>AND(Plan1!A679,"AAAAAHb/54Q=")</f>
        <v>#VALUE!</v>
      </c>
      <c r="ED19" t="e">
        <f>AND(Plan1!B679,"AAAAAHb/54U=")</f>
        <v>#VALUE!</v>
      </c>
      <c r="EE19" t="e">
        <f>AND(Plan1!C679,"AAAAAHb/54Y=")</f>
        <v>#VALUE!</v>
      </c>
      <c r="EF19" t="e">
        <f>AND(Plan1!D679,"AAAAAHb/54c=")</f>
        <v>#VALUE!</v>
      </c>
      <c r="EG19" t="e">
        <f>AND(Plan1!E679,"AAAAAHb/54g=")</f>
        <v>#VALUE!</v>
      </c>
      <c r="EH19" t="e">
        <f>AND(Plan1!F679,"AAAAAHb/54k=")</f>
        <v>#VALUE!</v>
      </c>
      <c r="EI19">
        <f>IF(Plan1!680:680,"AAAAAHb/54o=",0)</f>
        <v>0</v>
      </c>
      <c r="EJ19" t="e">
        <f>AND(Plan1!A680,"AAAAAHb/54s=")</f>
        <v>#VALUE!</v>
      </c>
      <c r="EK19" t="e">
        <f>AND(Plan1!B680,"AAAAAHb/54w=")</f>
        <v>#VALUE!</v>
      </c>
      <c r="EL19" t="e">
        <f>AND(Plan1!C680,"AAAAAHb/540=")</f>
        <v>#VALUE!</v>
      </c>
      <c r="EM19" t="e">
        <f>AND(Plan1!D680,"AAAAAHb/544=")</f>
        <v>#VALUE!</v>
      </c>
      <c r="EN19" t="e">
        <f>AND(Plan1!E680,"AAAAAHb/548=")</f>
        <v>#VALUE!</v>
      </c>
      <c r="EO19" t="e">
        <f>AND(Plan1!F680,"AAAAAHb/55A=")</f>
        <v>#VALUE!</v>
      </c>
      <c r="EP19">
        <f>IF(Plan1!681:681,"AAAAAHb/55E=",0)</f>
        <v>0</v>
      </c>
      <c r="EQ19" t="e">
        <f>AND(Plan1!A681,"AAAAAHb/55I=")</f>
        <v>#VALUE!</v>
      </c>
      <c r="ER19" t="e">
        <f>AND(Plan1!B681,"AAAAAHb/55M=")</f>
        <v>#VALUE!</v>
      </c>
      <c r="ES19" t="e">
        <f>AND(Plan1!C681,"AAAAAHb/55Q=")</f>
        <v>#VALUE!</v>
      </c>
      <c r="ET19" t="e">
        <f>AND(Plan1!D681,"AAAAAHb/55U=")</f>
        <v>#VALUE!</v>
      </c>
      <c r="EU19" t="e">
        <f>AND(Plan1!E681,"AAAAAHb/55Y=")</f>
        <v>#VALUE!</v>
      </c>
      <c r="EV19" t="e">
        <f>AND(Plan1!F681,"AAAAAHb/55c=")</f>
        <v>#VALUE!</v>
      </c>
      <c r="EW19">
        <f>IF(Plan1!682:682,"AAAAAHb/55g=",0)</f>
        <v>0</v>
      </c>
      <c r="EX19" t="e">
        <f>AND(Plan1!A682,"AAAAAHb/55k=")</f>
        <v>#VALUE!</v>
      </c>
      <c r="EY19" t="e">
        <f>AND(Plan1!B682,"AAAAAHb/55o=")</f>
        <v>#VALUE!</v>
      </c>
      <c r="EZ19" t="e">
        <f>AND(Plan1!C682,"AAAAAHb/55s=")</f>
        <v>#VALUE!</v>
      </c>
      <c r="FA19" t="e">
        <f>AND(Plan1!D682,"AAAAAHb/55w=")</f>
        <v>#VALUE!</v>
      </c>
      <c r="FB19" t="e">
        <f>AND(Plan1!E682,"AAAAAHb/550=")</f>
        <v>#VALUE!</v>
      </c>
      <c r="FC19" t="e">
        <f>AND(Plan1!F682,"AAAAAHb/554=")</f>
        <v>#VALUE!</v>
      </c>
      <c r="FD19">
        <f>IF(Plan1!683:683,"AAAAAHb/558=",0)</f>
        <v>0</v>
      </c>
      <c r="FE19" t="e">
        <f>AND(Plan1!A683,"AAAAAHb/56A=")</f>
        <v>#VALUE!</v>
      </c>
      <c r="FF19" t="e">
        <f>AND(Plan1!B683,"AAAAAHb/56E=")</f>
        <v>#VALUE!</v>
      </c>
      <c r="FG19" t="e">
        <f>AND(Plan1!C683,"AAAAAHb/56I=")</f>
        <v>#VALUE!</v>
      </c>
      <c r="FH19" t="e">
        <f>AND(Plan1!D683,"AAAAAHb/56M=")</f>
        <v>#VALUE!</v>
      </c>
      <c r="FI19" t="e">
        <f>AND(Plan1!E683,"AAAAAHb/56Q=")</f>
        <v>#VALUE!</v>
      </c>
      <c r="FJ19" t="e">
        <f>AND(Plan1!F683,"AAAAAHb/56U=")</f>
        <v>#VALUE!</v>
      </c>
      <c r="FK19">
        <f>IF(Plan1!684:684,"AAAAAHb/56Y=",0)</f>
        <v>0</v>
      </c>
      <c r="FL19" t="e">
        <f>AND(Plan1!A684,"AAAAAHb/56c=")</f>
        <v>#VALUE!</v>
      </c>
      <c r="FM19" t="e">
        <f>AND(Plan1!B684,"AAAAAHb/56g=")</f>
        <v>#VALUE!</v>
      </c>
      <c r="FN19" t="e">
        <f>AND(Plan1!C684,"AAAAAHb/56k=")</f>
        <v>#VALUE!</v>
      </c>
      <c r="FO19" t="e">
        <f>AND(Plan1!D684,"AAAAAHb/56o=")</f>
        <v>#VALUE!</v>
      </c>
      <c r="FP19" t="e">
        <f>AND(Plan1!E684,"AAAAAHb/56s=")</f>
        <v>#VALUE!</v>
      </c>
      <c r="FQ19" t="e">
        <f>AND(Plan1!F684,"AAAAAHb/56w=")</f>
        <v>#VALUE!</v>
      </c>
      <c r="FR19">
        <f>IF(Plan1!685:685,"AAAAAHb/560=",0)</f>
        <v>0</v>
      </c>
      <c r="FS19" t="e">
        <f>AND(Plan1!A685,"AAAAAHb/564=")</f>
        <v>#VALUE!</v>
      </c>
      <c r="FT19" t="e">
        <f>AND(Plan1!B685,"AAAAAHb/568=")</f>
        <v>#VALUE!</v>
      </c>
      <c r="FU19" t="e">
        <f>AND(Plan1!C685,"AAAAAHb/57A=")</f>
        <v>#VALUE!</v>
      </c>
      <c r="FV19" t="e">
        <f>AND(Plan1!D685,"AAAAAHb/57E=")</f>
        <v>#VALUE!</v>
      </c>
      <c r="FW19" t="e">
        <f>AND(Plan1!E685,"AAAAAHb/57I=")</f>
        <v>#VALUE!</v>
      </c>
      <c r="FX19" t="e">
        <f>AND(Plan1!F685,"AAAAAHb/57M=")</f>
        <v>#VALUE!</v>
      </c>
      <c r="FY19">
        <f>IF(Plan1!686:686,"AAAAAHb/57Q=",0)</f>
        <v>0</v>
      </c>
      <c r="FZ19" t="e">
        <f>AND(Plan1!A686,"AAAAAHb/57U=")</f>
        <v>#VALUE!</v>
      </c>
      <c r="GA19" t="e">
        <f>AND(Plan1!B686,"AAAAAHb/57Y=")</f>
        <v>#VALUE!</v>
      </c>
      <c r="GB19" t="e">
        <f>AND(Plan1!C686,"AAAAAHb/57c=")</f>
        <v>#VALUE!</v>
      </c>
      <c r="GC19" t="e">
        <f>AND(Plan1!D686,"AAAAAHb/57g=")</f>
        <v>#VALUE!</v>
      </c>
      <c r="GD19" t="e">
        <f>AND(Plan1!E686,"AAAAAHb/57k=")</f>
        <v>#VALUE!</v>
      </c>
      <c r="GE19" t="e">
        <f>AND(Plan1!F686,"AAAAAHb/57o=")</f>
        <v>#VALUE!</v>
      </c>
      <c r="GF19">
        <f>IF(Plan1!687:687,"AAAAAHb/57s=",0)</f>
        <v>0</v>
      </c>
      <c r="GG19" t="e">
        <f>AND(Plan1!A687,"AAAAAHb/57w=")</f>
        <v>#VALUE!</v>
      </c>
      <c r="GH19" t="e">
        <f>AND(Plan1!B687,"AAAAAHb/570=")</f>
        <v>#VALUE!</v>
      </c>
      <c r="GI19" t="e">
        <f>AND(Plan1!C687,"AAAAAHb/574=")</f>
        <v>#VALUE!</v>
      </c>
      <c r="GJ19" t="e">
        <f>AND(Plan1!D687,"AAAAAHb/578=")</f>
        <v>#VALUE!</v>
      </c>
      <c r="GK19" t="e">
        <f>AND(Plan1!E687,"AAAAAHb/58A=")</f>
        <v>#VALUE!</v>
      </c>
      <c r="GL19" t="e">
        <f>AND(Plan1!F687,"AAAAAHb/58E=")</f>
        <v>#VALUE!</v>
      </c>
      <c r="GM19">
        <f>IF(Plan1!688:688,"AAAAAHb/58I=",0)</f>
        <v>0</v>
      </c>
      <c r="GN19" t="e">
        <f>AND(Plan1!A688,"AAAAAHb/58M=")</f>
        <v>#VALUE!</v>
      </c>
      <c r="GO19" t="e">
        <f>AND(Plan1!B688,"AAAAAHb/58Q=")</f>
        <v>#VALUE!</v>
      </c>
      <c r="GP19" t="e">
        <f>AND(Plan1!C688,"AAAAAHb/58U=")</f>
        <v>#VALUE!</v>
      </c>
      <c r="GQ19" t="e">
        <f>AND(Plan1!D688,"AAAAAHb/58Y=")</f>
        <v>#VALUE!</v>
      </c>
      <c r="GR19" t="e">
        <f>AND(Plan1!E688,"AAAAAHb/58c=")</f>
        <v>#VALUE!</v>
      </c>
      <c r="GS19" t="e">
        <f>AND(Plan1!F688,"AAAAAHb/58g=")</f>
        <v>#VALUE!</v>
      </c>
      <c r="GT19">
        <f>IF(Plan1!689:689,"AAAAAHb/58k=",0)</f>
        <v>0</v>
      </c>
      <c r="GU19" t="e">
        <f>AND(Plan1!A689,"AAAAAHb/58o=")</f>
        <v>#VALUE!</v>
      </c>
      <c r="GV19" t="e">
        <f>AND(Plan1!B689,"AAAAAHb/58s=")</f>
        <v>#VALUE!</v>
      </c>
      <c r="GW19" t="e">
        <f>AND(Plan1!C689,"AAAAAHb/58w=")</f>
        <v>#VALUE!</v>
      </c>
      <c r="GX19" t="e">
        <f>AND(Plan1!D689,"AAAAAHb/580=")</f>
        <v>#VALUE!</v>
      </c>
      <c r="GY19" t="e">
        <f>AND(Plan1!E689,"AAAAAHb/584=")</f>
        <v>#VALUE!</v>
      </c>
      <c r="GZ19" t="e">
        <f>AND(Plan1!F689,"AAAAAHb/588=")</f>
        <v>#VALUE!</v>
      </c>
      <c r="HA19">
        <f>IF(Plan1!690:690,"AAAAAHb/59A=",0)</f>
        <v>0</v>
      </c>
      <c r="HB19" t="e">
        <f>AND(Plan1!A690,"AAAAAHb/59E=")</f>
        <v>#VALUE!</v>
      </c>
      <c r="HC19" t="e">
        <f>AND(Plan1!B690,"AAAAAHb/59I=")</f>
        <v>#VALUE!</v>
      </c>
      <c r="HD19" t="e">
        <f>AND(Plan1!C690,"AAAAAHb/59M=")</f>
        <v>#VALUE!</v>
      </c>
      <c r="HE19" t="e">
        <f>AND(Plan1!D690,"AAAAAHb/59Q=")</f>
        <v>#VALUE!</v>
      </c>
      <c r="HF19" t="e">
        <f>AND(Plan1!E690,"AAAAAHb/59U=")</f>
        <v>#VALUE!</v>
      </c>
      <c r="HG19" t="e">
        <f>AND(Plan1!F690,"AAAAAHb/59Y=")</f>
        <v>#VALUE!</v>
      </c>
      <c r="HH19">
        <f>IF(Plan1!691:691,"AAAAAHb/59c=",0)</f>
        <v>0</v>
      </c>
      <c r="HI19" t="e">
        <f>AND(Plan1!A691,"AAAAAHb/59g=")</f>
        <v>#VALUE!</v>
      </c>
      <c r="HJ19" t="e">
        <f>AND(Plan1!B691,"AAAAAHb/59k=")</f>
        <v>#VALUE!</v>
      </c>
      <c r="HK19" t="e">
        <f>AND(Plan1!C691,"AAAAAHb/59o=")</f>
        <v>#VALUE!</v>
      </c>
      <c r="HL19" t="e">
        <f>AND(Plan1!D691,"AAAAAHb/59s=")</f>
        <v>#VALUE!</v>
      </c>
      <c r="HM19" t="e">
        <f>AND(Plan1!E691,"AAAAAHb/59w=")</f>
        <v>#VALUE!</v>
      </c>
      <c r="HN19" t="e">
        <f>AND(Plan1!F691,"AAAAAHb/590=")</f>
        <v>#VALUE!</v>
      </c>
      <c r="HO19">
        <f>IF(Plan1!692:692,"AAAAAHb/594=",0)</f>
        <v>0</v>
      </c>
      <c r="HP19" t="e">
        <f>AND(Plan1!A692,"AAAAAHb/598=")</f>
        <v>#VALUE!</v>
      </c>
      <c r="HQ19" t="e">
        <f>AND(Plan1!B692,"AAAAAHb/5+A=")</f>
        <v>#VALUE!</v>
      </c>
      <c r="HR19" t="e">
        <f>AND(Plan1!C692,"AAAAAHb/5+E=")</f>
        <v>#VALUE!</v>
      </c>
      <c r="HS19" t="e">
        <f>AND(Plan1!D692,"AAAAAHb/5+I=")</f>
        <v>#VALUE!</v>
      </c>
      <c r="HT19" t="e">
        <f>AND(Plan1!E692,"AAAAAHb/5+M=")</f>
        <v>#VALUE!</v>
      </c>
      <c r="HU19" t="e">
        <f>AND(Plan1!F692,"AAAAAHb/5+Q=")</f>
        <v>#VALUE!</v>
      </c>
      <c r="HV19">
        <f>IF(Plan1!693:693,"AAAAAHb/5+U=",0)</f>
        <v>0</v>
      </c>
      <c r="HW19" t="e">
        <f>AND(Plan1!A693,"AAAAAHb/5+Y=")</f>
        <v>#VALUE!</v>
      </c>
      <c r="HX19" t="e">
        <f>AND(Plan1!B693,"AAAAAHb/5+c=")</f>
        <v>#VALUE!</v>
      </c>
      <c r="HY19" t="e">
        <f>AND(Plan1!C693,"AAAAAHb/5+g=")</f>
        <v>#VALUE!</v>
      </c>
      <c r="HZ19" t="e">
        <f>AND(Plan1!D693,"AAAAAHb/5+k=")</f>
        <v>#VALUE!</v>
      </c>
      <c r="IA19" t="e">
        <f>AND(Plan1!E693,"AAAAAHb/5+o=")</f>
        <v>#VALUE!</v>
      </c>
      <c r="IB19" t="e">
        <f>AND(Plan1!F693,"AAAAAHb/5+s=")</f>
        <v>#VALUE!</v>
      </c>
      <c r="IC19">
        <f>IF(Plan1!694:694,"AAAAAHb/5+w=",0)</f>
        <v>0</v>
      </c>
      <c r="ID19" t="e">
        <f>AND(Plan1!A694,"AAAAAHb/5+0=")</f>
        <v>#VALUE!</v>
      </c>
      <c r="IE19" t="e">
        <f>AND(Plan1!B694,"AAAAAHb/5+4=")</f>
        <v>#VALUE!</v>
      </c>
      <c r="IF19" t="e">
        <f>AND(Plan1!C694,"AAAAAHb/5+8=")</f>
        <v>#VALUE!</v>
      </c>
      <c r="IG19" t="e">
        <f>AND(Plan1!D694,"AAAAAHb/5/A=")</f>
        <v>#VALUE!</v>
      </c>
      <c r="IH19" t="e">
        <f>AND(Plan1!E694,"AAAAAHb/5/E=")</f>
        <v>#VALUE!</v>
      </c>
      <c r="II19" t="e">
        <f>AND(Plan1!F694,"AAAAAHb/5/I=")</f>
        <v>#VALUE!</v>
      </c>
      <c r="IJ19">
        <f>IF(Plan1!695:695,"AAAAAHb/5/M=",0)</f>
        <v>0</v>
      </c>
      <c r="IK19" t="e">
        <f>AND(Plan1!A695,"AAAAAHb/5/Q=")</f>
        <v>#VALUE!</v>
      </c>
      <c r="IL19" t="e">
        <f>AND(Plan1!B695,"AAAAAHb/5/U=")</f>
        <v>#VALUE!</v>
      </c>
      <c r="IM19" t="e">
        <f>AND(Plan1!C695,"AAAAAHb/5/Y=")</f>
        <v>#VALUE!</v>
      </c>
      <c r="IN19" t="e">
        <f>AND(Plan1!D695,"AAAAAHb/5/c=")</f>
        <v>#VALUE!</v>
      </c>
      <c r="IO19" t="e">
        <f>AND(Plan1!E695,"AAAAAHb/5/g=")</f>
        <v>#VALUE!</v>
      </c>
      <c r="IP19" t="e">
        <f>AND(Plan1!F695,"AAAAAHb/5/k=")</f>
        <v>#VALUE!</v>
      </c>
      <c r="IQ19">
        <f>IF(Plan1!696:696,"AAAAAHb/5/o=",0)</f>
        <v>0</v>
      </c>
      <c r="IR19" t="e">
        <f>AND(Plan1!A696,"AAAAAHb/5/s=")</f>
        <v>#VALUE!</v>
      </c>
      <c r="IS19" t="e">
        <f>AND(Plan1!B696,"AAAAAHb/5/w=")</f>
        <v>#VALUE!</v>
      </c>
      <c r="IT19" t="e">
        <f>AND(Plan1!C696,"AAAAAHb/5/0=")</f>
        <v>#VALUE!</v>
      </c>
      <c r="IU19" t="e">
        <f>AND(Plan1!D696,"AAAAAHb/5/4=")</f>
        <v>#VALUE!</v>
      </c>
      <c r="IV19" t="e">
        <f>AND(Plan1!E696,"AAAAAHb/5/8=")</f>
        <v>#VALUE!</v>
      </c>
    </row>
    <row r="20" spans="1:256">
      <c r="A20" t="e">
        <f>AND(Plan1!F696,"AAAAAHO47wA=")</f>
        <v>#VALUE!</v>
      </c>
      <c r="B20" t="e">
        <f>IF(Plan1!697:697,"AAAAAHO47wE=",0)</f>
        <v>#VALUE!</v>
      </c>
      <c r="C20" t="e">
        <f>AND(Plan1!A697,"AAAAAHO47wI=")</f>
        <v>#VALUE!</v>
      </c>
      <c r="D20" t="e">
        <f>AND(Plan1!B697,"AAAAAHO47wM=")</f>
        <v>#VALUE!</v>
      </c>
      <c r="E20" t="e">
        <f>AND(Plan1!C697,"AAAAAHO47wQ=")</f>
        <v>#VALUE!</v>
      </c>
      <c r="F20" t="e">
        <f>AND(Plan1!D697,"AAAAAHO47wU=")</f>
        <v>#VALUE!</v>
      </c>
      <c r="G20" t="e">
        <f>AND(Plan1!E697,"AAAAAHO47wY=")</f>
        <v>#VALUE!</v>
      </c>
      <c r="H20" t="e">
        <f>AND(Plan1!F697,"AAAAAHO47wc=")</f>
        <v>#VALUE!</v>
      </c>
      <c r="I20">
        <f>IF(Plan1!698:698,"AAAAAHO47wg=",0)</f>
        <v>0</v>
      </c>
      <c r="J20" t="e">
        <f>AND(Plan1!A698,"AAAAAHO47wk=")</f>
        <v>#VALUE!</v>
      </c>
      <c r="K20" t="e">
        <f>AND(Plan1!B698,"AAAAAHO47wo=")</f>
        <v>#VALUE!</v>
      </c>
      <c r="L20" t="e">
        <f>AND(Plan1!C698,"AAAAAHO47ws=")</f>
        <v>#VALUE!</v>
      </c>
      <c r="M20" t="e">
        <f>AND(Plan1!D698,"AAAAAHO47ww=")</f>
        <v>#VALUE!</v>
      </c>
      <c r="N20" t="e">
        <f>AND(Plan1!E698,"AAAAAHO47w0=")</f>
        <v>#VALUE!</v>
      </c>
      <c r="O20" t="e">
        <f>AND(Plan1!F698,"AAAAAHO47w4=")</f>
        <v>#VALUE!</v>
      </c>
      <c r="P20">
        <f>IF(Plan1!699:699,"AAAAAHO47w8=",0)</f>
        <v>0</v>
      </c>
      <c r="Q20" t="e">
        <f>AND(Plan1!A699,"AAAAAHO47xA=")</f>
        <v>#VALUE!</v>
      </c>
      <c r="R20" t="e">
        <f>AND(Plan1!B699,"AAAAAHO47xE=")</f>
        <v>#VALUE!</v>
      </c>
      <c r="S20" t="e">
        <f>AND(Plan1!C699,"AAAAAHO47xI=")</f>
        <v>#VALUE!</v>
      </c>
      <c r="T20" t="e">
        <f>AND(Plan1!D699,"AAAAAHO47xM=")</f>
        <v>#VALUE!</v>
      </c>
      <c r="U20" t="e">
        <f>AND(Plan1!E699,"AAAAAHO47xQ=")</f>
        <v>#VALUE!</v>
      </c>
      <c r="V20" t="e">
        <f>AND(Plan1!F699,"AAAAAHO47xU=")</f>
        <v>#VALUE!</v>
      </c>
      <c r="W20">
        <f>IF(Plan1!700:700,"AAAAAHO47xY=",0)</f>
        <v>0</v>
      </c>
      <c r="X20" t="e">
        <f>AND(Plan1!A700,"AAAAAHO47xc=")</f>
        <v>#VALUE!</v>
      </c>
      <c r="Y20" t="e">
        <f>AND(Plan1!B700,"AAAAAHO47xg=")</f>
        <v>#VALUE!</v>
      </c>
      <c r="Z20" t="e">
        <f>AND(Plan1!C700,"AAAAAHO47xk=")</f>
        <v>#VALUE!</v>
      </c>
      <c r="AA20" t="e">
        <f>AND(Plan1!D700,"AAAAAHO47xo=")</f>
        <v>#VALUE!</v>
      </c>
      <c r="AB20" t="e">
        <f>AND(Plan1!E700,"AAAAAHO47xs=")</f>
        <v>#VALUE!</v>
      </c>
      <c r="AC20" t="e">
        <f>AND(Plan1!F700,"AAAAAHO47xw=")</f>
        <v>#VALUE!</v>
      </c>
      <c r="AD20">
        <f>IF(Plan1!701:701,"AAAAAHO47x0=",0)</f>
        <v>0</v>
      </c>
      <c r="AE20" t="e">
        <f>AND(Plan1!A701,"AAAAAHO47x4=")</f>
        <v>#VALUE!</v>
      </c>
      <c r="AF20" t="e">
        <f>AND(Plan1!B701,"AAAAAHO47x8=")</f>
        <v>#VALUE!</v>
      </c>
      <c r="AG20" t="e">
        <f>AND(Plan1!C701,"AAAAAHO47yA=")</f>
        <v>#VALUE!</v>
      </c>
      <c r="AH20" t="e">
        <f>AND(Plan1!D701,"AAAAAHO47yE=")</f>
        <v>#VALUE!</v>
      </c>
      <c r="AI20" t="e">
        <f>AND(Plan1!E701,"AAAAAHO47yI=")</f>
        <v>#VALUE!</v>
      </c>
      <c r="AJ20" t="e">
        <f>AND(Plan1!F701,"AAAAAHO47yM=")</f>
        <v>#VALUE!</v>
      </c>
      <c r="AK20">
        <f>IF(Plan1!702:702,"AAAAAHO47yQ=",0)</f>
        <v>0</v>
      </c>
      <c r="AL20" t="e">
        <f>AND(Plan1!A702,"AAAAAHO47yU=")</f>
        <v>#VALUE!</v>
      </c>
      <c r="AM20" t="e">
        <f>AND(Plan1!B702,"AAAAAHO47yY=")</f>
        <v>#VALUE!</v>
      </c>
      <c r="AN20" t="e">
        <f>AND(Plan1!C702,"AAAAAHO47yc=")</f>
        <v>#VALUE!</v>
      </c>
      <c r="AO20" t="e">
        <f>AND(Plan1!D702,"AAAAAHO47yg=")</f>
        <v>#VALUE!</v>
      </c>
      <c r="AP20" t="e">
        <f>AND(Plan1!E702,"AAAAAHO47yk=")</f>
        <v>#VALUE!</v>
      </c>
      <c r="AQ20" t="e">
        <f>AND(Plan1!F702,"AAAAAHO47yo=")</f>
        <v>#VALUE!</v>
      </c>
      <c r="AR20">
        <f>IF(Plan1!703:703,"AAAAAHO47ys=",0)</f>
        <v>0</v>
      </c>
      <c r="AS20" t="e">
        <f>AND(Plan1!A703,"AAAAAHO47yw=")</f>
        <v>#VALUE!</v>
      </c>
      <c r="AT20" t="e">
        <f>AND(Plan1!B703,"AAAAAHO47y0=")</f>
        <v>#VALUE!</v>
      </c>
      <c r="AU20" t="e">
        <f>AND(Plan1!C703,"AAAAAHO47y4=")</f>
        <v>#VALUE!</v>
      </c>
      <c r="AV20" t="e">
        <f>AND(Plan1!D703,"AAAAAHO47y8=")</f>
        <v>#VALUE!</v>
      </c>
      <c r="AW20" t="e">
        <f>AND(Plan1!E703,"AAAAAHO47zA=")</f>
        <v>#VALUE!</v>
      </c>
      <c r="AX20" t="e">
        <f>AND(Plan1!F703,"AAAAAHO47zE=")</f>
        <v>#VALUE!</v>
      </c>
      <c r="AY20">
        <f>IF(Plan1!704:704,"AAAAAHO47zI=",0)</f>
        <v>0</v>
      </c>
      <c r="AZ20" t="e">
        <f>AND(Plan1!A704,"AAAAAHO47zM=")</f>
        <v>#VALUE!</v>
      </c>
      <c r="BA20" t="e">
        <f>AND(Plan1!B704,"AAAAAHO47zQ=")</f>
        <v>#VALUE!</v>
      </c>
      <c r="BB20" t="e">
        <f>AND(Plan1!C704,"AAAAAHO47zU=")</f>
        <v>#VALUE!</v>
      </c>
      <c r="BC20" t="e">
        <f>AND(Plan1!D704,"AAAAAHO47zY=")</f>
        <v>#VALUE!</v>
      </c>
      <c r="BD20" t="e">
        <f>AND(Plan1!E704,"AAAAAHO47zc=")</f>
        <v>#VALUE!</v>
      </c>
      <c r="BE20" t="e">
        <f>AND(Plan1!F704,"AAAAAHO47zg=")</f>
        <v>#VALUE!</v>
      </c>
      <c r="BF20">
        <f>IF(Plan1!705:705,"AAAAAHO47zk=",0)</f>
        <v>0</v>
      </c>
      <c r="BG20" t="e">
        <f>AND(Plan1!A705,"AAAAAHO47zo=")</f>
        <v>#VALUE!</v>
      </c>
      <c r="BH20" t="e">
        <f>AND(Plan1!B705,"AAAAAHO47zs=")</f>
        <v>#VALUE!</v>
      </c>
      <c r="BI20" t="e">
        <f>AND(Plan1!C705,"AAAAAHO47zw=")</f>
        <v>#VALUE!</v>
      </c>
      <c r="BJ20" t="e">
        <f>AND(Plan1!D705,"AAAAAHO47z0=")</f>
        <v>#VALUE!</v>
      </c>
      <c r="BK20" t="e">
        <f>AND(Plan1!E705,"AAAAAHO47z4=")</f>
        <v>#VALUE!</v>
      </c>
      <c r="BL20" t="e">
        <f>AND(Plan1!F705,"AAAAAHO47z8=")</f>
        <v>#VALUE!</v>
      </c>
      <c r="BM20">
        <f>IF(Plan1!706:706,"AAAAAHO470A=",0)</f>
        <v>0</v>
      </c>
      <c r="BN20" t="e">
        <f>AND(Plan1!A706,"AAAAAHO470E=")</f>
        <v>#VALUE!</v>
      </c>
      <c r="BO20" t="e">
        <f>AND(Plan1!B706,"AAAAAHO470I=")</f>
        <v>#VALUE!</v>
      </c>
      <c r="BP20" t="e">
        <f>AND(Plan1!C706,"AAAAAHO470M=")</f>
        <v>#VALUE!</v>
      </c>
      <c r="BQ20" t="e">
        <f>AND(Plan1!D706,"AAAAAHO470Q=")</f>
        <v>#VALUE!</v>
      </c>
      <c r="BR20" t="e">
        <f>AND(Plan1!E706,"AAAAAHO470U=")</f>
        <v>#VALUE!</v>
      </c>
      <c r="BS20" t="e">
        <f>AND(Plan1!F706,"AAAAAHO470Y=")</f>
        <v>#VALUE!</v>
      </c>
      <c r="BT20">
        <f>IF(Plan1!707:707,"AAAAAHO470c=",0)</f>
        <v>0</v>
      </c>
      <c r="BU20" t="e">
        <f>AND(Plan1!A707,"AAAAAHO470g=")</f>
        <v>#VALUE!</v>
      </c>
      <c r="BV20" t="e">
        <f>AND(Plan1!B707,"AAAAAHO470k=")</f>
        <v>#VALUE!</v>
      </c>
      <c r="BW20" t="e">
        <f>AND(Plan1!C707,"AAAAAHO470o=")</f>
        <v>#VALUE!</v>
      </c>
      <c r="BX20" t="e">
        <f>AND(Plan1!D707,"AAAAAHO470s=")</f>
        <v>#VALUE!</v>
      </c>
      <c r="BY20" t="e">
        <f>AND(Plan1!E707,"AAAAAHO470w=")</f>
        <v>#VALUE!</v>
      </c>
      <c r="BZ20" t="e">
        <f>AND(Plan1!F707,"AAAAAHO4700=")</f>
        <v>#VALUE!</v>
      </c>
      <c r="CA20">
        <f>IF(Plan1!708:708,"AAAAAHO4704=",0)</f>
        <v>0</v>
      </c>
      <c r="CB20" t="e">
        <f>AND(Plan1!A708,"AAAAAHO4708=")</f>
        <v>#VALUE!</v>
      </c>
      <c r="CC20" t="e">
        <f>AND(Plan1!B708,"AAAAAHO471A=")</f>
        <v>#VALUE!</v>
      </c>
      <c r="CD20" t="e">
        <f>AND(Plan1!C708,"AAAAAHO471E=")</f>
        <v>#VALUE!</v>
      </c>
      <c r="CE20" t="e">
        <f>AND(Plan1!D708,"AAAAAHO471I=")</f>
        <v>#VALUE!</v>
      </c>
      <c r="CF20" t="e">
        <f>AND(Plan1!E708,"AAAAAHO471M=")</f>
        <v>#VALUE!</v>
      </c>
      <c r="CG20" t="e">
        <f>AND(Plan1!F708,"AAAAAHO471Q=")</f>
        <v>#VALUE!</v>
      </c>
      <c r="CH20">
        <f>IF(Plan1!709:709,"AAAAAHO471U=",0)</f>
        <v>0</v>
      </c>
      <c r="CI20" t="e">
        <f>AND(Plan1!A709,"AAAAAHO471Y=")</f>
        <v>#VALUE!</v>
      </c>
      <c r="CJ20" t="e">
        <f>AND(Plan1!B709,"AAAAAHO471c=")</f>
        <v>#VALUE!</v>
      </c>
      <c r="CK20" t="e">
        <f>AND(Plan1!C709,"AAAAAHO471g=")</f>
        <v>#VALUE!</v>
      </c>
      <c r="CL20" t="e">
        <f>AND(Plan1!D709,"AAAAAHO471k=")</f>
        <v>#VALUE!</v>
      </c>
      <c r="CM20" t="e">
        <f>AND(Plan1!E709,"AAAAAHO471o=")</f>
        <v>#VALUE!</v>
      </c>
      <c r="CN20" t="e">
        <f>AND(Plan1!F709,"AAAAAHO471s=")</f>
        <v>#VALUE!</v>
      </c>
      <c r="CO20">
        <f>IF(Plan1!710:710,"AAAAAHO471w=",0)</f>
        <v>0</v>
      </c>
      <c r="CP20" t="e">
        <f>AND(Plan1!A710,"AAAAAHO4710=")</f>
        <v>#VALUE!</v>
      </c>
      <c r="CQ20" t="e">
        <f>AND(Plan1!B710,"AAAAAHO4714=")</f>
        <v>#VALUE!</v>
      </c>
      <c r="CR20" t="e">
        <f>AND(Plan1!C710,"AAAAAHO4718=")</f>
        <v>#VALUE!</v>
      </c>
      <c r="CS20" t="e">
        <f>AND(Plan1!D710,"AAAAAHO472A=")</f>
        <v>#VALUE!</v>
      </c>
      <c r="CT20" t="e">
        <f>AND(Plan1!E710,"AAAAAHO472E=")</f>
        <v>#VALUE!</v>
      </c>
      <c r="CU20" t="e">
        <f>AND(Plan1!F710,"AAAAAHO472I=")</f>
        <v>#VALUE!</v>
      </c>
      <c r="CV20">
        <f>IF(Plan1!711:711,"AAAAAHO472M=",0)</f>
        <v>0</v>
      </c>
      <c r="CW20" t="e">
        <f>AND(Plan1!A711,"AAAAAHO472Q=")</f>
        <v>#VALUE!</v>
      </c>
      <c r="CX20" t="e">
        <f>AND(Plan1!B711,"AAAAAHO472U=")</f>
        <v>#VALUE!</v>
      </c>
      <c r="CY20" t="e">
        <f>AND(Plan1!C711,"AAAAAHO472Y=")</f>
        <v>#VALUE!</v>
      </c>
      <c r="CZ20" t="e">
        <f>AND(Plan1!D711,"AAAAAHO472c=")</f>
        <v>#VALUE!</v>
      </c>
      <c r="DA20" t="e">
        <f>AND(Plan1!E711,"AAAAAHO472g=")</f>
        <v>#VALUE!</v>
      </c>
      <c r="DB20" t="e">
        <f>AND(Plan1!F711,"AAAAAHO472k=")</f>
        <v>#VALUE!</v>
      </c>
      <c r="DC20">
        <f>IF(Plan1!712:712,"AAAAAHO472o=",0)</f>
        <v>0</v>
      </c>
      <c r="DD20" t="e">
        <f>AND(Plan1!A712,"AAAAAHO472s=")</f>
        <v>#VALUE!</v>
      </c>
      <c r="DE20" t="e">
        <f>AND(Plan1!B712,"AAAAAHO472w=")</f>
        <v>#VALUE!</v>
      </c>
      <c r="DF20" t="e">
        <f>AND(Plan1!C712,"AAAAAHO4720=")</f>
        <v>#VALUE!</v>
      </c>
      <c r="DG20" t="e">
        <f>AND(Plan1!D712,"AAAAAHO4724=")</f>
        <v>#VALUE!</v>
      </c>
      <c r="DH20" t="e">
        <f>AND(Plan1!E712,"AAAAAHO4728=")</f>
        <v>#VALUE!</v>
      </c>
      <c r="DI20" t="e">
        <f>AND(Plan1!F712,"AAAAAHO473A=")</f>
        <v>#VALUE!</v>
      </c>
      <c r="DJ20">
        <f>IF(Plan1!713:713,"AAAAAHO473E=",0)</f>
        <v>0</v>
      </c>
      <c r="DK20" t="e">
        <f>AND(Plan1!A713,"AAAAAHO473I=")</f>
        <v>#VALUE!</v>
      </c>
      <c r="DL20" t="e">
        <f>AND(Plan1!B713,"AAAAAHO473M=")</f>
        <v>#VALUE!</v>
      </c>
      <c r="DM20" t="e">
        <f>AND(Plan1!C713,"AAAAAHO473Q=")</f>
        <v>#VALUE!</v>
      </c>
      <c r="DN20" t="e">
        <f>AND(Plan1!D713,"AAAAAHO473U=")</f>
        <v>#VALUE!</v>
      </c>
      <c r="DO20" t="e">
        <f>AND(Plan1!E713,"AAAAAHO473Y=")</f>
        <v>#VALUE!</v>
      </c>
      <c r="DP20" t="e">
        <f>AND(Plan1!F713,"AAAAAHO473c=")</f>
        <v>#VALUE!</v>
      </c>
      <c r="DQ20">
        <f>IF(Plan1!714:714,"AAAAAHO473g=",0)</f>
        <v>0</v>
      </c>
      <c r="DR20" t="e">
        <f>AND(Plan1!A714,"AAAAAHO473k=")</f>
        <v>#VALUE!</v>
      </c>
      <c r="DS20" t="e">
        <f>AND(Plan1!B714,"AAAAAHO473o=")</f>
        <v>#VALUE!</v>
      </c>
      <c r="DT20" t="e">
        <f>AND(Plan1!C714,"AAAAAHO473s=")</f>
        <v>#VALUE!</v>
      </c>
      <c r="DU20" t="e">
        <f>AND(Plan1!D714,"AAAAAHO473w=")</f>
        <v>#VALUE!</v>
      </c>
      <c r="DV20" t="e">
        <f>AND(Plan1!E714,"AAAAAHO4730=")</f>
        <v>#VALUE!</v>
      </c>
      <c r="DW20" t="e">
        <f>AND(Plan1!F714,"AAAAAHO4734=")</f>
        <v>#VALUE!</v>
      </c>
      <c r="DX20">
        <f>IF(Plan1!715:715,"AAAAAHO4738=",0)</f>
        <v>0</v>
      </c>
      <c r="DY20" t="e">
        <f>AND(Plan1!A715,"AAAAAHO474A=")</f>
        <v>#VALUE!</v>
      </c>
      <c r="DZ20" t="e">
        <f>AND(Plan1!B715,"AAAAAHO474E=")</f>
        <v>#VALUE!</v>
      </c>
      <c r="EA20" t="e">
        <f>AND(Plan1!C715,"AAAAAHO474I=")</f>
        <v>#VALUE!</v>
      </c>
      <c r="EB20" t="e">
        <f>AND(Plan1!D715,"AAAAAHO474M=")</f>
        <v>#VALUE!</v>
      </c>
      <c r="EC20" t="e">
        <f>AND(Plan1!E715,"AAAAAHO474Q=")</f>
        <v>#VALUE!</v>
      </c>
      <c r="ED20" t="e">
        <f>AND(Plan1!F715,"AAAAAHO474U=")</f>
        <v>#VALUE!</v>
      </c>
      <c r="EE20">
        <f>IF(Plan1!716:716,"AAAAAHO474Y=",0)</f>
        <v>0</v>
      </c>
      <c r="EF20" t="e">
        <f>AND(Plan1!A716,"AAAAAHO474c=")</f>
        <v>#VALUE!</v>
      </c>
      <c r="EG20" t="e">
        <f>AND(Plan1!B716,"AAAAAHO474g=")</f>
        <v>#VALUE!</v>
      </c>
      <c r="EH20" t="e">
        <f>AND(Plan1!C716,"AAAAAHO474k=")</f>
        <v>#VALUE!</v>
      </c>
      <c r="EI20" t="e">
        <f>AND(Plan1!D716,"AAAAAHO474o=")</f>
        <v>#VALUE!</v>
      </c>
      <c r="EJ20" t="e">
        <f>AND(Plan1!E716,"AAAAAHO474s=")</f>
        <v>#VALUE!</v>
      </c>
      <c r="EK20" t="e">
        <f>AND(Plan1!F716,"AAAAAHO474w=")</f>
        <v>#VALUE!</v>
      </c>
      <c r="EL20">
        <f>IF(Plan1!717:717,"AAAAAHO4740=",0)</f>
        <v>0</v>
      </c>
      <c r="EM20" t="e">
        <f>AND(Plan1!A717,"AAAAAHO4744=")</f>
        <v>#VALUE!</v>
      </c>
      <c r="EN20" t="e">
        <f>AND(Plan1!B717,"AAAAAHO4748=")</f>
        <v>#VALUE!</v>
      </c>
      <c r="EO20" t="e">
        <f>AND(Plan1!C717,"AAAAAHO475A=")</f>
        <v>#VALUE!</v>
      </c>
      <c r="EP20" t="e">
        <f>AND(Plan1!D717,"AAAAAHO475E=")</f>
        <v>#VALUE!</v>
      </c>
      <c r="EQ20" t="e">
        <f>AND(Plan1!E717,"AAAAAHO475I=")</f>
        <v>#VALUE!</v>
      </c>
      <c r="ER20" t="e">
        <f>AND(Plan1!F717,"AAAAAHO475M=")</f>
        <v>#VALUE!</v>
      </c>
      <c r="ES20">
        <f>IF(Plan1!718:718,"AAAAAHO475Q=",0)</f>
        <v>0</v>
      </c>
      <c r="ET20" t="e">
        <f>AND(Plan1!A718,"AAAAAHO475U=")</f>
        <v>#VALUE!</v>
      </c>
      <c r="EU20" t="e">
        <f>AND(Plan1!B718,"AAAAAHO475Y=")</f>
        <v>#VALUE!</v>
      </c>
      <c r="EV20" t="e">
        <f>AND(Plan1!C718,"AAAAAHO475c=")</f>
        <v>#VALUE!</v>
      </c>
      <c r="EW20" t="e">
        <f>AND(Plan1!D718,"AAAAAHO475g=")</f>
        <v>#VALUE!</v>
      </c>
      <c r="EX20" t="e">
        <f>AND(Plan1!E718,"AAAAAHO475k=")</f>
        <v>#VALUE!</v>
      </c>
      <c r="EY20" t="e">
        <f>AND(Plan1!F718,"AAAAAHO475o=")</f>
        <v>#VALUE!</v>
      </c>
      <c r="EZ20">
        <f>IF(Plan1!719:719,"AAAAAHO475s=",0)</f>
        <v>0</v>
      </c>
      <c r="FA20" t="e">
        <f>AND(Plan1!A719,"AAAAAHO475w=")</f>
        <v>#VALUE!</v>
      </c>
      <c r="FB20" t="e">
        <f>AND(Plan1!B719,"AAAAAHO4750=")</f>
        <v>#VALUE!</v>
      </c>
      <c r="FC20" t="e">
        <f>AND(Plan1!C719,"AAAAAHO4754=")</f>
        <v>#VALUE!</v>
      </c>
      <c r="FD20" t="e">
        <f>AND(Plan1!D719,"AAAAAHO4758=")</f>
        <v>#VALUE!</v>
      </c>
      <c r="FE20" t="e">
        <f>AND(Plan1!E719,"AAAAAHO476A=")</f>
        <v>#VALUE!</v>
      </c>
      <c r="FF20" t="e">
        <f>AND(Plan1!F719,"AAAAAHO476E=")</f>
        <v>#VALUE!</v>
      </c>
      <c r="FG20">
        <f>IF(Plan1!720:720,"AAAAAHO476I=",0)</f>
        <v>0</v>
      </c>
      <c r="FH20" t="e">
        <f>AND(Plan1!A720,"AAAAAHO476M=")</f>
        <v>#VALUE!</v>
      </c>
      <c r="FI20" t="e">
        <f>AND(Plan1!B720,"AAAAAHO476Q=")</f>
        <v>#VALUE!</v>
      </c>
      <c r="FJ20" t="e">
        <f>AND(Plan1!C720,"AAAAAHO476U=")</f>
        <v>#VALUE!</v>
      </c>
      <c r="FK20" t="e">
        <f>AND(Plan1!D720,"AAAAAHO476Y=")</f>
        <v>#VALUE!</v>
      </c>
      <c r="FL20" t="e">
        <f>AND(Plan1!E720,"AAAAAHO476c=")</f>
        <v>#VALUE!</v>
      </c>
      <c r="FM20" t="e">
        <f>AND(Plan1!F720,"AAAAAHO476g=")</f>
        <v>#VALUE!</v>
      </c>
      <c r="FN20">
        <f>IF(Plan1!721:721,"AAAAAHO476k=",0)</f>
        <v>0</v>
      </c>
      <c r="FO20" t="e">
        <f>AND(Plan1!A721,"AAAAAHO476o=")</f>
        <v>#VALUE!</v>
      </c>
      <c r="FP20" t="e">
        <f>AND(Plan1!B721,"AAAAAHO476s=")</f>
        <v>#VALUE!</v>
      </c>
      <c r="FQ20" t="e">
        <f>AND(Plan1!C721,"AAAAAHO476w=")</f>
        <v>#VALUE!</v>
      </c>
      <c r="FR20" t="e">
        <f>AND(Plan1!D721,"AAAAAHO4760=")</f>
        <v>#VALUE!</v>
      </c>
      <c r="FS20" t="e">
        <f>AND(Plan1!E721,"AAAAAHO4764=")</f>
        <v>#VALUE!</v>
      </c>
      <c r="FT20" t="e">
        <f>AND(Plan1!F721,"AAAAAHO4768=")</f>
        <v>#VALUE!</v>
      </c>
      <c r="FU20">
        <f>IF(Plan1!722:722,"AAAAAHO477A=",0)</f>
        <v>0</v>
      </c>
      <c r="FV20" t="e">
        <f>AND(Plan1!A722,"AAAAAHO477E=")</f>
        <v>#VALUE!</v>
      </c>
      <c r="FW20" t="e">
        <f>AND(Plan1!B722,"AAAAAHO477I=")</f>
        <v>#VALUE!</v>
      </c>
      <c r="FX20" t="e">
        <f>AND(Plan1!C722,"AAAAAHO477M=")</f>
        <v>#VALUE!</v>
      </c>
      <c r="FY20" t="e">
        <f>AND(Plan1!D722,"AAAAAHO477Q=")</f>
        <v>#VALUE!</v>
      </c>
      <c r="FZ20" t="e">
        <f>AND(Plan1!E722,"AAAAAHO477U=")</f>
        <v>#VALUE!</v>
      </c>
      <c r="GA20" t="e">
        <f>AND(Plan1!F722,"AAAAAHO477Y=")</f>
        <v>#VALUE!</v>
      </c>
      <c r="GB20">
        <f>IF(Plan1!723:723,"AAAAAHO477c=",0)</f>
        <v>0</v>
      </c>
      <c r="GC20" t="e">
        <f>AND(Plan1!A723,"AAAAAHO477g=")</f>
        <v>#VALUE!</v>
      </c>
      <c r="GD20" t="e">
        <f>AND(Plan1!B723,"AAAAAHO477k=")</f>
        <v>#VALUE!</v>
      </c>
      <c r="GE20" t="e">
        <f>AND(Plan1!C723,"AAAAAHO477o=")</f>
        <v>#VALUE!</v>
      </c>
      <c r="GF20" t="e">
        <f>AND(Plan1!D723,"AAAAAHO477s=")</f>
        <v>#VALUE!</v>
      </c>
      <c r="GG20" t="e">
        <f>AND(Plan1!E723,"AAAAAHO477w=")</f>
        <v>#VALUE!</v>
      </c>
      <c r="GH20" t="e">
        <f>AND(Plan1!F723,"AAAAAHO4770=")</f>
        <v>#VALUE!</v>
      </c>
      <c r="GI20">
        <f>IF(Plan1!724:724,"AAAAAHO4774=",0)</f>
        <v>0</v>
      </c>
      <c r="GJ20" t="e">
        <f>AND(Plan1!A724,"AAAAAHO4778=")</f>
        <v>#VALUE!</v>
      </c>
      <c r="GK20" t="e">
        <f>AND(Plan1!B724,"AAAAAHO478A=")</f>
        <v>#VALUE!</v>
      </c>
      <c r="GL20" t="e">
        <f>AND(Plan1!C724,"AAAAAHO478E=")</f>
        <v>#VALUE!</v>
      </c>
      <c r="GM20" t="e">
        <f>AND(Plan1!D724,"AAAAAHO478I=")</f>
        <v>#VALUE!</v>
      </c>
      <c r="GN20" t="e">
        <f>AND(Plan1!E724,"AAAAAHO478M=")</f>
        <v>#VALUE!</v>
      </c>
      <c r="GO20" t="e">
        <f>AND(Plan1!F724,"AAAAAHO478Q=")</f>
        <v>#VALUE!</v>
      </c>
      <c r="GP20">
        <f>IF(Plan1!725:725,"AAAAAHO478U=",0)</f>
        <v>0</v>
      </c>
      <c r="GQ20" t="e">
        <f>AND(Plan1!A725,"AAAAAHO478Y=")</f>
        <v>#VALUE!</v>
      </c>
      <c r="GR20" t="e">
        <f>AND(Plan1!B725,"AAAAAHO478c=")</f>
        <v>#VALUE!</v>
      </c>
      <c r="GS20" t="e">
        <f>AND(Plan1!C725,"AAAAAHO478g=")</f>
        <v>#VALUE!</v>
      </c>
      <c r="GT20" t="e">
        <f>AND(Plan1!D725,"AAAAAHO478k=")</f>
        <v>#VALUE!</v>
      </c>
      <c r="GU20" t="e">
        <f>AND(Plan1!E725,"AAAAAHO478o=")</f>
        <v>#VALUE!</v>
      </c>
      <c r="GV20" t="e">
        <f>AND(Plan1!F725,"AAAAAHO478s=")</f>
        <v>#VALUE!</v>
      </c>
      <c r="GW20">
        <f>IF(Plan1!726:726,"AAAAAHO478w=",0)</f>
        <v>0</v>
      </c>
      <c r="GX20" t="e">
        <f>AND(Plan1!A726,"AAAAAHO4780=")</f>
        <v>#VALUE!</v>
      </c>
      <c r="GY20" t="e">
        <f>AND(Plan1!B726,"AAAAAHO4784=")</f>
        <v>#VALUE!</v>
      </c>
      <c r="GZ20" t="e">
        <f>AND(Plan1!C726,"AAAAAHO4788=")</f>
        <v>#VALUE!</v>
      </c>
      <c r="HA20" t="e">
        <f>AND(Plan1!D726,"AAAAAHO479A=")</f>
        <v>#VALUE!</v>
      </c>
      <c r="HB20" t="e">
        <f>AND(Plan1!E726,"AAAAAHO479E=")</f>
        <v>#VALUE!</v>
      </c>
      <c r="HC20" t="e">
        <f>AND(Plan1!F726,"AAAAAHO479I=")</f>
        <v>#VALUE!</v>
      </c>
      <c r="HD20">
        <f>IF(Plan1!727:727,"AAAAAHO479M=",0)</f>
        <v>0</v>
      </c>
      <c r="HE20" t="e">
        <f>AND(Plan1!A727,"AAAAAHO479Q=")</f>
        <v>#VALUE!</v>
      </c>
      <c r="HF20" t="e">
        <f>AND(Plan1!B727,"AAAAAHO479U=")</f>
        <v>#VALUE!</v>
      </c>
      <c r="HG20" t="e">
        <f>AND(Plan1!C727,"AAAAAHO479Y=")</f>
        <v>#VALUE!</v>
      </c>
      <c r="HH20" t="e">
        <f>AND(Plan1!D727,"AAAAAHO479c=")</f>
        <v>#VALUE!</v>
      </c>
      <c r="HI20" t="e">
        <f>AND(Plan1!E727,"AAAAAHO479g=")</f>
        <v>#VALUE!</v>
      </c>
      <c r="HJ20" t="e">
        <f>AND(Plan1!F727,"AAAAAHO479k=")</f>
        <v>#VALUE!</v>
      </c>
      <c r="HK20">
        <f>IF(Plan1!728:728,"AAAAAHO479o=",0)</f>
        <v>0</v>
      </c>
      <c r="HL20" t="e">
        <f>AND(Plan1!A728,"AAAAAHO479s=")</f>
        <v>#VALUE!</v>
      </c>
      <c r="HM20" t="e">
        <f>AND(Plan1!B728,"AAAAAHO479w=")</f>
        <v>#VALUE!</v>
      </c>
      <c r="HN20" t="e">
        <f>AND(Plan1!C728,"AAAAAHO4790=")</f>
        <v>#VALUE!</v>
      </c>
      <c r="HO20" t="e">
        <f>AND(Plan1!D728,"AAAAAHO4794=")</f>
        <v>#VALUE!</v>
      </c>
      <c r="HP20" t="e">
        <f>AND(Plan1!E728,"AAAAAHO4798=")</f>
        <v>#VALUE!</v>
      </c>
      <c r="HQ20" t="e">
        <f>AND(Plan1!F728,"AAAAAHO47+A=")</f>
        <v>#VALUE!</v>
      </c>
      <c r="HR20">
        <f>IF(Plan1!729:729,"AAAAAHO47+E=",0)</f>
        <v>0</v>
      </c>
      <c r="HS20" t="e">
        <f>AND(Plan1!A729,"AAAAAHO47+I=")</f>
        <v>#VALUE!</v>
      </c>
      <c r="HT20" t="e">
        <f>AND(Plan1!B729,"AAAAAHO47+M=")</f>
        <v>#VALUE!</v>
      </c>
      <c r="HU20" t="e">
        <f>AND(Plan1!C729,"AAAAAHO47+Q=")</f>
        <v>#VALUE!</v>
      </c>
      <c r="HV20" t="e">
        <f>AND(Plan1!D729,"AAAAAHO47+U=")</f>
        <v>#VALUE!</v>
      </c>
      <c r="HW20" t="e">
        <f>AND(Plan1!E729,"AAAAAHO47+Y=")</f>
        <v>#VALUE!</v>
      </c>
      <c r="HX20" t="e">
        <f>AND(Plan1!F729,"AAAAAHO47+c=")</f>
        <v>#VALUE!</v>
      </c>
      <c r="HY20">
        <f>IF(Plan1!730:730,"AAAAAHO47+g=",0)</f>
        <v>0</v>
      </c>
      <c r="HZ20" t="e">
        <f>AND(Plan1!A730,"AAAAAHO47+k=")</f>
        <v>#VALUE!</v>
      </c>
      <c r="IA20" t="e">
        <f>AND(Plan1!B730,"AAAAAHO47+o=")</f>
        <v>#VALUE!</v>
      </c>
      <c r="IB20" t="e">
        <f>AND(Plan1!C730,"AAAAAHO47+s=")</f>
        <v>#VALUE!</v>
      </c>
      <c r="IC20" t="e">
        <f>AND(Plan1!D730,"AAAAAHO47+w=")</f>
        <v>#VALUE!</v>
      </c>
      <c r="ID20" t="e">
        <f>AND(Plan1!E730,"AAAAAHO47+0=")</f>
        <v>#VALUE!</v>
      </c>
      <c r="IE20" t="e">
        <f>AND(Plan1!F730,"AAAAAHO47+4=")</f>
        <v>#VALUE!</v>
      </c>
      <c r="IF20">
        <f>IF(Plan1!731:731,"AAAAAHO47+8=",0)</f>
        <v>0</v>
      </c>
      <c r="IG20" t="e">
        <f>AND(Plan1!A731,"AAAAAHO47/A=")</f>
        <v>#VALUE!</v>
      </c>
      <c r="IH20" t="e">
        <f>AND(Plan1!B731,"AAAAAHO47/E=")</f>
        <v>#VALUE!</v>
      </c>
      <c r="II20" t="e">
        <f>AND(Plan1!C731,"AAAAAHO47/I=")</f>
        <v>#VALUE!</v>
      </c>
      <c r="IJ20" t="e">
        <f>AND(Plan1!D731,"AAAAAHO47/M=")</f>
        <v>#VALUE!</v>
      </c>
      <c r="IK20" t="e">
        <f>AND(Plan1!E731,"AAAAAHO47/Q=")</f>
        <v>#VALUE!</v>
      </c>
      <c r="IL20" t="e">
        <f>AND(Plan1!F731,"AAAAAHO47/U=")</f>
        <v>#VALUE!</v>
      </c>
      <c r="IM20">
        <f>IF(Plan1!732:732,"AAAAAHO47/Y=",0)</f>
        <v>0</v>
      </c>
      <c r="IN20" t="e">
        <f>AND(Plan1!A732,"AAAAAHO47/c=")</f>
        <v>#VALUE!</v>
      </c>
      <c r="IO20" t="e">
        <f>AND(Plan1!B732,"AAAAAHO47/g=")</f>
        <v>#VALUE!</v>
      </c>
      <c r="IP20" t="e">
        <f>AND(Plan1!C732,"AAAAAHO47/k=")</f>
        <v>#VALUE!</v>
      </c>
      <c r="IQ20" t="e">
        <f>AND(Plan1!D732,"AAAAAHO47/o=")</f>
        <v>#VALUE!</v>
      </c>
      <c r="IR20" t="e">
        <f>AND(Plan1!E732,"AAAAAHO47/s=")</f>
        <v>#VALUE!</v>
      </c>
      <c r="IS20" t="e">
        <f>AND(Plan1!F732,"AAAAAHO47/w=")</f>
        <v>#VALUE!</v>
      </c>
      <c r="IT20">
        <f>IF(Plan1!733:733,"AAAAAHO47/0=",0)</f>
        <v>0</v>
      </c>
      <c r="IU20" t="e">
        <f>AND(Plan1!A733,"AAAAAHO47/4=")</f>
        <v>#VALUE!</v>
      </c>
      <c r="IV20" t="e">
        <f>AND(Plan1!B733,"AAAAAHO47/8=")</f>
        <v>#VALUE!</v>
      </c>
    </row>
    <row r="21" spans="1:256">
      <c r="A21" t="e">
        <f>AND(Plan1!C733,"AAAAAH/37QA=")</f>
        <v>#VALUE!</v>
      </c>
      <c r="B21" t="e">
        <f>AND(Plan1!D733,"AAAAAH/37QE=")</f>
        <v>#VALUE!</v>
      </c>
      <c r="C21" t="e">
        <f>AND(Plan1!E733,"AAAAAH/37QI=")</f>
        <v>#VALUE!</v>
      </c>
      <c r="D21" t="e">
        <f>AND(Plan1!F733,"AAAAAH/37QM=")</f>
        <v>#VALUE!</v>
      </c>
      <c r="E21" t="e">
        <f>IF(Plan1!734:734,"AAAAAH/37QQ=",0)</f>
        <v>#VALUE!</v>
      </c>
      <c r="F21" t="e">
        <f>AND(Plan1!A734,"AAAAAH/37QU=")</f>
        <v>#VALUE!</v>
      </c>
      <c r="G21" t="e">
        <f>AND(Plan1!B734,"AAAAAH/37QY=")</f>
        <v>#VALUE!</v>
      </c>
      <c r="H21" t="e">
        <f>AND(Plan1!C734,"AAAAAH/37Qc=")</f>
        <v>#VALUE!</v>
      </c>
      <c r="I21" t="e">
        <f>AND(Plan1!D734,"AAAAAH/37Qg=")</f>
        <v>#VALUE!</v>
      </c>
      <c r="J21" t="e">
        <f>AND(Plan1!E734,"AAAAAH/37Qk=")</f>
        <v>#VALUE!</v>
      </c>
      <c r="K21" t="e">
        <f>AND(Plan1!F734,"AAAAAH/37Qo=")</f>
        <v>#VALUE!</v>
      </c>
      <c r="L21">
        <f>IF(Plan1!735:735,"AAAAAH/37Qs=",0)</f>
        <v>0</v>
      </c>
      <c r="M21" t="e">
        <f>AND(Plan1!A735,"AAAAAH/37Qw=")</f>
        <v>#VALUE!</v>
      </c>
      <c r="N21" t="e">
        <f>AND(Plan1!B735,"AAAAAH/37Q0=")</f>
        <v>#VALUE!</v>
      </c>
      <c r="O21" t="e">
        <f>AND(Plan1!C735,"AAAAAH/37Q4=")</f>
        <v>#VALUE!</v>
      </c>
      <c r="P21" t="e">
        <f>AND(Plan1!D735,"AAAAAH/37Q8=")</f>
        <v>#VALUE!</v>
      </c>
      <c r="Q21" t="e">
        <f>AND(Plan1!E735,"AAAAAH/37RA=")</f>
        <v>#VALUE!</v>
      </c>
      <c r="R21" t="e">
        <f>AND(Plan1!F735,"AAAAAH/37RE=")</f>
        <v>#VALUE!</v>
      </c>
      <c r="S21">
        <f>IF(Plan1!736:736,"AAAAAH/37RI=",0)</f>
        <v>0</v>
      </c>
      <c r="T21" t="e">
        <f>AND(Plan1!A736,"AAAAAH/37RM=")</f>
        <v>#VALUE!</v>
      </c>
      <c r="U21" t="e">
        <f>AND(Plan1!B736,"AAAAAH/37RQ=")</f>
        <v>#VALUE!</v>
      </c>
      <c r="V21" t="e">
        <f>AND(Plan1!C736,"AAAAAH/37RU=")</f>
        <v>#VALUE!</v>
      </c>
      <c r="W21" t="e">
        <f>AND(Plan1!D736,"AAAAAH/37RY=")</f>
        <v>#VALUE!</v>
      </c>
      <c r="X21" t="e">
        <f>AND(Plan1!E736,"AAAAAH/37Rc=")</f>
        <v>#VALUE!</v>
      </c>
      <c r="Y21" t="e">
        <f>AND(Plan1!F736,"AAAAAH/37Rg=")</f>
        <v>#VALUE!</v>
      </c>
      <c r="Z21">
        <f>IF(Plan1!737:737,"AAAAAH/37Rk=",0)</f>
        <v>0</v>
      </c>
      <c r="AA21" t="e">
        <f>AND(Plan1!A737,"AAAAAH/37Ro=")</f>
        <v>#VALUE!</v>
      </c>
      <c r="AB21" t="e">
        <f>AND(Plan1!B737,"AAAAAH/37Rs=")</f>
        <v>#VALUE!</v>
      </c>
      <c r="AC21" t="e">
        <f>AND(Plan1!C737,"AAAAAH/37Rw=")</f>
        <v>#VALUE!</v>
      </c>
      <c r="AD21" t="e">
        <f>AND(Plan1!D737,"AAAAAH/37R0=")</f>
        <v>#VALUE!</v>
      </c>
      <c r="AE21" t="e">
        <f>AND(Plan1!E737,"AAAAAH/37R4=")</f>
        <v>#VALUE!</v>
      </c>
      <c r="AF21" t="e">
        <f>AND(Plan1!F737,"AAAAAH/37R8=")</f>
        <v>#VALUE!</v>
      </c>
      <c r="AG21">
        <f>IF(Plan1!738:738,"AAAAAH/37SA=",0)</f>
        <v>0</v>
      </c>
      <c r="AH21" t="e">
        <f>AND(Plan1!A738,"AAAAAH/37SE=")</f>
        <v>#VALUE!</v>
      </c>
      <c r="AI21" t="e">
        <f>AND(Plan1!B738,"AAAAAH/37SI=")</f>
        <v>#VALUE!</v>
      </c>
      <c r="AJ21" t="e">
        <f>AND(Plan1!C738,"AAAAAH/37SM=")</f>
        <v>#VALUE!</v>
      </c>
      <c r="AK21" t="e">
        <f>AND(Plan1!D738,"AAAAAH/37SQ=")</f>
        <v>#VALUE!</v>
      </c>
      <c r="AL21" t="e">
        <f>AND(Plan1!E738,"AAAAAH/37SU=")</f>
        <v>#VALUE!</v>
      </c>
      <c r="AM21" t="e">
        <f>AND(Plan1!F738,"AAAAAH/37SY=")</f>
        <v>#VALUE!</v>
      </c>
      <c r="AN21">
        <f>IF(Plan1!739:739,"AAAAAH/37Sc=",0)</f>
        <v>0</v>
      </c>
      <c r="AO21" t="e">
        <f>AND(Plan1!A739,"AAAAAH/37Sg=")</f>
        <v>#VALUE!</v>
      </c>
      <c r="AP21" t="e">
        <f>AND(Plan1!B739,"AAAAAH/37Sk=")</f>
        <v>#VALUE!</v>
      </c>
      <c r="AQ21" t="e">
        <f>AND(Plan1!C739,"AAAAAH/37So=")</f>
        <v>#VALUE!</v>
      </c>
      <c r="AR21" t="e">
        <f>AND(Plan1!D739,"AAAAAH/37Ss=")</f>
        <v>#VALUE!</v>
      </c>
      <c r="AS21" t="e">
        <f>AND(Plan1!E739,"AAAAAH/37Sw=")</f>
        <v>#VALUE!</v>
      </c>
      <c r="AT21" t="e">
        <f>AND(Plan1!F739,"AAAAAH/37S0=")</f>
        <v>#VALUE!</v>
      </c>
      <c r="AU21">
        <f>IF(Plan1!740:740,"AAAAAH/37S4=",0)</f>
        <v>0</v>
      </c>
      <c r="AV21" t="e">
        <f>AND(Plan1!A740,"AAAAAH/37S8=")</f>
        <v>#VALUE!</v>
      </c>
      <c r="AW21" t="e">
        <f>AND(Plan1!B740,"AAAAAH/37TA=")</f>
        <v>#VALUE!</v>
      </c>
      <c r="AX21" t="e">
        <f>AND(Plan1!C740,"AAAAAH/37TE=")</f>
        <v>#VALUE!</v>
      </c>
      <c r="AY21" t="e">
        <f>AND(Plan1!D740,"AAAAAH/37TI=")</f>
        <v>#VALUE!</v>
      </c>
      <c r="AZ21" t="e">
        <f>AND(Plan1!E740,"AAAAAH/37TM=")</f>
        <v>#VALUE!</v>
      </c>
      <c r="BA21" t="e">
        <f>AND(Plan1!F740,"AAAAAH/37TQ=")</f>
        <v>#VALUE!</v>
      </c>
      <c r="BB21">
        <f>IF(Plan1!741:741,"AAAAAH/37TU=",0)</f>
        <v>0</v>
      </c>
      <c r="BC21" t="e">
        <f>AND(Plan1!A741,"AAAAAH/37TY=")</f>
        <v>#VALUE!</v>
      </c>
      <c r="BD21" t="e">
        <f>AND(Plan1!B741,"AAAAAH/37Tc=")</f>
        <v>#VALUE!</v>
      </c>
      <c r="BE21" t="e">
        <f>AND(Plan1!C741,"AAAAAH/37Tg=")</f>
        <v>#VALUE!</v>
      </c>
      <c r="BF21" t="e">
        <f>AND(Plan1!D741,"AAAAAH/37Tk=")</f>
        <v>#VALUE!</v>
      </c>
      <c r="BG21" t="e">
        <f>AND(Plan1!E741,"AAAAAH/37To=")</f>
        <v>#VALUE!</v>
      </c>
      <c r="BH21" t="e">
        <f>AND(Plan1!F741,"AAAAAH/37Ts=")</f>
        <v>#VALUE!</v>
      </c>
      <c r="BI21">
        <f>IF(Plan1!742:742,"AAAAAH/37Tw=",0)</f>
        <v>0</v>
      </c>
      <c r="BJ21" t="e">
        <f>AND(Plan1!A742,"AAAAAH/37T0=")</f>
        <v>#VALUE!</v>
      </c>
      <c r="BK21" t="e">
        <f>AND(Plan1!B742,"AAAAAH/37T4=")</f>
        <v>#VALUE!</v>
      </c>
      <c r="BL21" t="e">
        <f>AND(Plan1!C742,"AAAAAH/37T8=")</f>
        <v>#VALUE!</v>
      </c>
      <c r="BM21" t="e">
        <f>AND(Plan1!D742,"AAAAAH/37UA=")</f>
        <v>#VALUE!</v>
      </c>
      <c r="BN21" t="e">
        <f>AND(Plan1!E742,"AAAAAH/37UE=")</f>
        <v>#VALUE!</v>
      </c>
      <c r="BO21" t="e">
        <f>AND(Plan1!F742,"AAAAAH/37UI=")</f>
        <v>#VALUE!</v>
      </c>
      <c r="BP21">
        <f>IF(Plan1!743:743,"AAAAAH/37UM=",0)</f>
        <v>0</v>
      </c>
      <c r="BQ21" t="e">
        <f>AND(Plan1!A743,"AAAAAH/37UQ=")</f>
        <v>#VALUE!</v>
      </c>
      <c r="BR21" t="e">
        <f>AND(Plan1!B743,"AAAAAH/37UU=")</f>
        <v>#VALUE!</v>
      </c>
      <c r="BS21" t="e">
        <f>AND(Plan1!C743,"AAAAAH/37UY=")</f>
        <v>#VALUE!</v>
      </c>
      <c r="BT21" t="e">
        <f>AND(Plan1!D743,"AAAAAH/37Uc=")</f>
        <v>#VALUE!</v>
      </c>
      <c r="BU21" t="e">
        <f>AND(Plan1!E743,"AAAAAH/37Ug=")</f>
        <v>#VALUE!</v>
      </c>
      <c r="BV21" t="e">
        <f>AND(Plan1!F743,"AAAAAH/37Uk=")</f>
        <v>#VALUE!</v>
      </c>
      <c r="BW21">
        <f>IF(Plan1!744:744,"AAAAAH/37Uo=",0)</f>
        <v>0</v>
      </c>
      <c r="BX21" t="e">
        <f>AND(Plan1!A744,"AAAAAH/37Us=")</f>
        <v>#VALUE!</v>
      </c>
      <c r="BY21" t="e">
        <f>AND(Plan1!B744,"AAAAAH/37Uw=")</f>
        <v>#VALUE!</v>
      </c>
      <c r="BZ21" t="e">
        <f>AND(Plan1!C744,"AAAAAH/37U0=")</f>
        <v>#VALUE!</v>
      </c>
      <c r="CA21" t="e">
        <f>AND(Plan1!D744,"AAAAAH/37U4=")</f>
        <v>#VALUE!</v>
      </c>
      <c r="CB21" t="e">
        <f>AND(Plan1!E744,"AAAAAH/37U8=")</f>
        <v>#VALUE!</v>
      </c>
      <c r="CC21" t="e">
        <f>AND(Plan1!F744,"AAAAAH/37VA=")</f>
        <v>#VALUE!</v>
      </c>
      <c r="CD21">
        <f>IF(Plan1!745:745,"AAAAAH/37VE=",0)</f>
        <v>0</v>
      </c>
      <c r="CE21" t="e">
        <f>AND(Plan1!A745,"AAAAAH/37VI=")</f>
        <v>#VALUE!</v>
      </c>
      <c r="CF21" t="e">
        <f>AND(Plan1!B745,"AAAAAH/37VM=")</f>
        <v>#VALUE!</v>
      </c>
      <c r="CG21" t="e">
        <f>AND(Plan1!C745,"AAAAAH/37VQ=")</f>
        <v>#VALUE!</v>
      </c>
      <c r="CH21" t="e">
        <f>AND(Plan1!D745,"AAAAAH/37VU=")</f>
        <v>#VALUE!</v>
      </c>
      <c r="CI21" t="e">
        <f>AND(Plan1!E745,"AAAAAH/37VY=")</f>
        <v>#VALUE!</v>
      </c>
      <c r="CJ21" t="e">
        <f>AND(Plan1!F745,"AAAAAH/37Vc=")</f>
        <v>#VALUE!</v>
      </c>
      <c r="CK21">
        <f>IF(Plan1!746:746,"AAAAAH/37Vg=",0)</f>
        <v>0</v>
      </c>
      <c r="CL21" t="e">
        <f>AND(Plan1!A746,"AAAAAH/37Vk=")</f>
        <v>#VALUE!</v>
      </c>
      <c r="CM21" t="e">
        <f>AND(Plan1!B746,"AAAAAH/37Vo=")</f>
        <v>#VALUE!</v>
      </c>
      <c r="CN21" t="e">
        <f>AND(Plan1!C746,"AAAAAH/37Vs=")</f>
        <v>#VALUE!</v>
      </c>
      <c r="CO21" t="e">
        <f>AND(Plan1!D746,"AAAAAH/37Vw=")</f>
        <v>#VALUE!</v>
      </c>
      <c r="CP21" t="e">
        <f>AND(Plan1!E746,"AAAAAH/37V0=")</f>
        <v>#VALUE!</v>
      </c>
      <c r="CQ21" t="e">
        <f>AND(Plan1!F746,"AAAAAH/37V4=")</f>
        <v>#VALUE!</v>
      </c>
      <c r="CR21">
        <f>IF(Plan1!747:747,"AAAAAH/37V8=",0)</f>
        <v>0</v>
      </c>
      <c r="CS21" t="e">
        <f>AND(Plan1!A747,"AAAAAH/37WA=")</f>
        <v>#VALUE!</v>
      </c>
      <c r="CT21" t="e">
        <f>AND(Plan1!B747,"AAAAAH/37WE=")</f>
        <v>#VALUE!</v>
      </c>
      <c r="CU21" t="e">
        <f>AND(Plan1!C747,"AAAAAH/37WI=")</f>
        <v>#VALUE!</v>
      </c>
      <c r="CV21" t="e">
        <f>AND(Plan1!D747,"AAAAAH/37WM=")</f>
        <v>#VALUE!</v>
      </c>
      <c r="CW21" t="e">
        <f>AND(Plan1!E747,"AAAAAH/37WQ=")</f>
        <v>#VALUE!</v>
      </c>
      <c r="CX21" t="e">
        <f>AND(Plan1!F747,"AAAAAH/37WU=")</f>
        <v>#VALUE!</v>
      </c>
      <c r="CY21">
        <f>IF(Plan1!748:748,"AAAAAH/37WY=",0)</f>
        <v>0</v>
      </c>
      <c r="CZ21" t="e">
        <f>AND(Plan1!A748,"AAAAAH/37Wc=")</f>
        <v>#VALUE!</v>
      </c>
      <c r="DA21" t="e">
        <f>AND(Plan1!B748,"AAAAAH/37Wg=")</f>
        <v>#VALUE!</v>
      </c>
      <c r="DB21" t="e">
        <f>AND(Plan1!C748,"AAAAAH/37Wk=")</f>
        <v>#VALUE!</v>
      </c>
      <c r="DC21" t="e">
        <f>AND(Plan1!D748,"AAAAAH/37Wo=")</f>
        <v>#VALUE!</v>
      </c>
      <c r="DD21" t="e">
        <f>AND(Plan1!E748,"AAAAAH/37Ws=")</f>
        <v>#VALUE!</v>
      </c>
      <c r="DE21" t="e">
        <f>AND(Plan1!F748,"AAAAAH/37Ww=")</f>
        <v>#VALUE!</v>
      </c>
      <c r="DF21">
        <f>IF(Plan1!749:749,"AAAAAH/37W0=",0)</f>
        <v>0</v>
      </c>
      <c r="DG21" t="e">
        <f>AND(Plan1!A749,"AAAAAH/37W4=")</f>
        <v>#VALUE!</v>
      </c>
      <c r="DH21" t="e">
        <f>AND(Plan1!B749,"AAAAAH/37W8=")</f>
        <v>#VALUE!</v>
      </c>
      <c r="DI21" t="e">
        <f>AND(Plan1!C749,"AAAAAH/37XA=")</f>
        <v>#VALUE!</v>
      </c>
      <c r="DJ21" t="e">
        <f>AND(Plan1!D749,"AAAAAH/37XE=")</f>
        <v>#VALUE!</v>
      </c>
      <c r="DK21" t="e">
        <f>AND(Plan1!E749,"AAAAAH/37XI=")</f>
        <v>#VALUE!</v>
      </c>
      <c r="DL21" t="e">
        <f>AND(Plan1!F749,"AAAAAH/37XM=")</f>
        <v>#VALUE!</v>
      </c>
      <c r="DM21">
        <f>IF(Plan1!750:750,"AAAAAH/37XQ=",0)</f>
        <v>0</v>
      </c>
      <c r="DN21" t="e">
        <f>AND(Plan1!A750,"AAAAAH/37XU=")</f>
        <v>#VALUE!</v>
      </c>
      <c r="DO21" t="e">
        <f>AND(Plan1!B750,"AAAAAH/37XY=")</f>
        <v>#VALUE!</v>
      </c>
      <c r="DP21" t="e">
        <f>AND(Plan1!C750,"AAAAAH/37Xc=")</f>
        <v>#VALUE!</v>
      </c>
      <c r="DQ21" t="e">
        <f>AND(Plan1!D750,"AAAAAH/37Xg=")</f>
        <v>#VALUE!</v>
      </c>
      <c r="DR21" t="e">
        <f>AND(Plan1!E750,"AAAAAH/37Xk=")</f>
        <v>#VALUE!</v>
      </c>
      <c r="DS21" t="e">
        <f>AND(Plan1!F750,"AAAAAH/37Xo=")</f>
        <v>#VALUE!</v>
      </c>
      <c r="DT21">
        <f>IF(Plan1!751:751,"AAAAAH/37Xs=",0)</f>
        <v>0</v>
      </c>
      <c r="DU21" t="e">
        <f>AND(Plan1!A751,"AAAAAH/37Xw=")</f>
        <v>#VALUE!</v>
      </c>
      <c r="DV21" t="e">
        <f>AND(Plan1!B751,"AAAAAH/37X0=")</f>
        <v>#VALUE!</v>
      </c>
      <c r="DW21" t="e">
        <f>AND(Plan1!C751,"AAAAAH/37X4=")</f>
        <v>#VALUE!</v>
      </c>
      <c r="DX21" t="e">
        <f>AND(Plan1!D751,"AAAAAH/37X8=")</f>
        <v>#VALUE!</v>
      </c>
      <c r="DY21" t="e">
        <f>AND(Plan1!E751,"AAAAAH/37YA=")</f>
        <v>#VALUE!</v>
      </c>
      <c r="DZ21" t="e">
        <f>AND(Plan1!F751,"AAAAAH/37YE=")</f>
        <v>#VALUE!</v>
      </c>
      <c r="EA21">
        <f>IF(Plan1!752:752,"AAAAAH/37YI=",0)</f>
        <v>0</v>
      </c>
      <c r="EB21" t="e">
        <f>AND(Plan1!A752,"AAAAAH/37YM=")</f>
        <v>#VALUE!</v>
      </c>
      <c r="EC21" t="e">
        <f>AND(Plan1!B752,"AAAAAH/37YQ=")</f>
        <v>#VALUE!</v>
      </c>
      <c r="ED21" t="e">
        <f>AND(Plan1!C752,"AAAAAH/37YU=")</f>
        <v>#VALUE!</v>
      </c>
      <c r="EE21" t="e">
        <f>AND(Plan1!D752,"AAAAAH/37YY=")</f>
        <v>#VALUE!</v>
      </c>
      <c r="EF21" t="e">
        <f>AND(Plan1!E752,"AAAAAH/37Yc=")</f>
        <v>#VALUE!</v>
      </c>
      <c r="EG21" t="e">
        <f>AND(Plan1!F752,"AAAAAH/37Yg=")</f>
        <v>#VALUE!</v>
      </c>
      <c r="EH21">
        <f>IF(Plan1!753:753,"AAAAAH/37Yk=",0)</f>
        <v>0</v>
      </c>
      <c r="EI21" t="e">
        <f>AND(Plan1!A753,"AAAAAH/37Yo=")</f>
        <v>#VALUE!</v>
      </c>
      <c r="EJ21" t="e">
        <f>AND(Plan1!B753,"AAAAAH/37Ys=")</f>
        <v>#VALUE!</v>
      </c>
      <c r="EK21" t="e">
        <f>AND(Plan1!C753,"AAAAAH/37Yw=")</f>
        <v>#VALUE!</v>
      </c>
      <c r="EL21" t="e">
        <f>AND(Plan1!D753,"AAAAAH/37Y0=")</f>
        <v>#VALUE!</v>
      </c>
      <c r="EM21" t="e">
        <f>AND(Plan1!E753,"AAAAAH/37Y4=")</f>
        <v>#VALUE!</v>
      </c>
      <c r="EN21" t="e">
        <f>AND(Plan1!F753,"AAAAAH/37Y8=")</f>
        <v>#VALUE!</v>
      </c>
      <c r="EO21">
        <f>IF(Plan1!754:754,"AAAAAH/37ZA=",0)</f>
        <v>0</v>
      </c>
      <c r="EP21" t="e">
        <f>AND(Plan1!A754,"AAAAAH/37ZE=")</f>
        <v>#VALUE!</v>
      </c>
      <c r="EQ21" t="e">
        <f>AND(Plan1!B754,"AAAAAH/37ZI=")</f>
        <v>#VALUE!</v>
      </c>
      <c r="ER21" t="e">
        <f>AND(Plan1!C754,"AAAAAH/37ZM=")</f>
        <v>#VALUE!</v>
      </c>
      <c r="ES21" t="e">
        <f>AND(Plan1!D754,"AAAAAH/37ZQ=")</f>
        <v>#VALUE!</v>
      </c>
      <c r="ET21" t="e">
        <f>AND(Plan1!E754,"AAAAAH/37ZU=")</f>
        <v>#VALUE!</v>
      </c>
      <c r="EU21" t="e">
        <f>AND(Plan1!F754,"AAAAAH/37ZY=")</f>
        <v>#VALUE!</v>
      </c>
      <c r="EV21">
        <f>IF(Plan1!755:755,"AAAAAH/37Zc=",0)</f>
        <v>0</v>
      </c>
      <c r="EW21" t="e">
        <f>AND(Plan1!A755,"AAAAAH/37Zg=")</f>
        <v>#VALUE!</v>
      </c>
      <c r="EX21" t="e">
        <f>AND(Plan1!B755,"AAAAAH/37Zk=")</f>
        <v>#VALUE!</v>
      </c>
      <c r="EY21" t="e">
        <f>AND(Plan1!C755,"AAAAAH/37Zo=")</f>
        <v>#VALUE!</v>
      </c>
      <c r="EZ21" t="e">
        <f>AND(Plan1!D755,"AAAAAH/37Zs=")</f>
        <v>#VALUE!</v>
      </c>
      <c r="FA21" t="e">
        <f>AND(Plan1!E755,"AAAAAH/37Zw=")</f>
        <v>#VALUE!</v>
      </c>
      <c r="FB21" t="e">
        <f>AND(Plan1!F755,"AAAAAH/37Z0=")</f>
        <v>#VALUE!</v>
      </c>
      <c r="FC21">
        <f>IF(Plan1!756:756,"AAAAAH/37Z4=",0)</f>
        <v>0</v>
      </c>
      <c r="FD21" t="e">
        <f>AND(Plan1!A756,"AAAAAH/37Z8=")</f>
        <v>#VALUE!</v>
      </c>
      <c r="FE21" t="e">
        <f>AND(Plan1!B756,"AAAAAH/37aA=")</f>
        <v>#VALUE!</v>
      </c>
      <c r="FF21" t="e">
        <f>AND(Plan1!C756,"AAAAAH/37aE=")</f>
        <v>#VALUE!</v>
      </c>
      <c r="FG21" t="e">
        <f>AND(Plan1!D756,"AAAAAH/37aI=")</f>
        <v>#VALUE!</v>
      </c>
      <c r="FH21" t="e">
        <f>AND(Plan1!E756,"AAAAAH/37aM=")</f>
        <v>#VALUE!</v>
      </c>
      <c r="FI21" t="e">
        <f>AND(Plan1!F756,"AAAAAH/37aQ=")</f>
        <v>#VALUE!</v>
      </c>
      <c r="FJ21">
        <f>IF(Plan1!757:757,"AAAAAH/37aU=",0)</f>
        <v>0</v>
      </c>
      <c r="FK21" t="e">
        <f>AND(Plan1!A757,"AAAAAH/37aY=")</f>
        <v>#VALUE!</v>
      </c>
      <c r="FL21" t="e">
        <f>AND(Plan1!B757,"AAAAAH/37ac=")</f>
        <v>#VALUE!</v>
      </c>
      <c r="FM21" t="e">
        <f>AND(Plan1!C757,"AAAAAH/37ag=")</f>
        <v>#VALUE!</v>
      </c>
      <c r="FN21" t="e">
        <f>AND(Plan1!D757,"AAAAAH/37ak=")</f>
        <v>#VALUE!</v>
      </c>
      <c r="FO21" t="e">
        <f>AND(Plan1!E757,"AAAAAH/37ao=")</f>
        <v>#VALUE!</v>
      </c>
      <c r="FP21" t="e">
        <f>AND(Plan1!F757,"AAAAAH/37as=")</f>
        <v>#VALUE!</v>
      </c>
      <c r="FQ21">
        <f>IF(Plan1!758:758,"AAAAAH/37aw=",0)</f>
        <v>0</v>
      </c>
      <c r="FR21" t="e">
        <f>AND(Plan1!A758,"AAAAAH/37a0=")</f>
        <v>#VALUE!</v>
      </c>
      <c r="FS21" t="e">
        <f>AND(Plan1!B758,"AAAAAH/37a4=")</f>
        <v>#VALUE!</v>
      </c>
      <c r="FT21" t="e">
        <f>AND(Plan1!C758,"AAAAAH/37a8=")</f>
        <v>#VALUE!</v>
      </c>
      <c r="FU21" t="e">
        <f>AND(Plan1!D758,"AAAAAH/37bA=")</f>
        <v>#VALUE!</v>
      </c>
      <c r="FV21" t="e">
        <f>AND(Plan1!E758,"AAAAAH/37bE=")</f>
        <v>#VALUE!</v>
      </c>
      <c r="FW21" t="e">
        <f>AND(Plan1!F758,"AAAAAH/37bI=")</f>
        <v>#VALUE!</v>
      </c>
      <c r="FX21">
        <f>IF(Plan1!759:759,"AAAAAH/37bM=",0)</f>
        <v>0</v>
      </c>
      <c r="FY21" t="e">
        <f>AND(Plan1!A759,"AAAAAH/37bQ=")</f>
        <v>#VALUE!</v>
      </c>
      <c r="FZ21" t="e">
        <f>AND(Plan1!B759,"AAAAAH/37bU=")</f>
        <v>#VALUE!</v>
      </c>
      <c r="GA21" t="e">
        <f>AND(Plan1!C759,"AAAAAH/37bY=")</f>
        <v>#VALUE!</v>
      </c>
      <c r="GB21" t="e">
        <f>AND(Plan1!D759,"AAAAAH/37bc=")</f>
        <v>#VALUE!</v>
      </c>
      <c r="GC21" t="e">
        <f>AND(Plan1!E759,"AAAAAH/37bg=")</f>
        <v>#VALUE!</v>
      </c>
      <c r="GD21" t="e">
        <f>AND(Plan1!F759,"AAAAAH/37bk=")</f>
        <v>#VALUE!</v>
      </c>
      <c r="GE21">
        <f>IF(Plan1!760:760,"AAAAAH/37bo=",0)</f>
        <v>0</v>
      </c>
      <c r="GF21" t="e">
        <f>AND(Plan1!A760,"AAAAAH/37bs=")</f>
        <v>#VALUE!</v>
      </c>
      <c r="GG21" t="e">
        <f>AND(Plan1!B760,"AAAAAH/37bw=")</f>
        <v>#VALUE!</v>
      </c>
      <c r="GH21" t="e">
        <f>AND(Plan1!C760,"AAAAAH/37b0=")</f>
        <v>#VALUE!</v>
      </c>
      <c r="GI21" t="e">
        <f>AND(Plan1!D760,"AAAAAH/37b4=")</f>
        <v>#VALUE!</v>
      </c>
      <c r="GJ21" t="e">
        <f>AND(Plan1!E760,"AAAAAH/37b8=")</f>
        <v>#VALUE!</v>
      </c>
      <c r="GK21" t="e">
        <f>AND(Plan1!F760,"AAAAAH/37cA=")</f>
        <v>#VALUE!</v>
      </c>
      <c r="GL21">
        <f>IF(Plan1!761:761,"AAAAAH/37cE=",0)</f>
        <v>0</v>
      </c>
      <c r="GM21" t="e">
        <f>AND(Plan1!A761,"AAAAAH/37cI=")</f>
        <v>#VALUE!</v>
      </c>
      <c r="GN21" t="e">
        <f>AND(Plan1!B761,"AAAAAH/37cM=")</f>
        <v>#VALUE!</v>
      </c>
      <c r="GO21" t="e">
        <f>AND(Plan1!C761,"AAAAAH/37cQ=")</f>
        <v>#VALUE!</v>
      </c>
      <c r="GP21" t="e">
        <f>AND(Plan1!D761,"AAAAAH/37cU=")</f>
        <v>#VALUE!</v>
      </c>
      <c r="GQ21" t="e">
        <f>AND(Plan1!E761,"AAAAAH/37cY=")</f>
        <v>#VALUE!</v>
      </c>
      <c r="GR21" t="e">
        <f>AND(Plan1!F761,"AAAAAH/37cc=")</f>
        <v>#VALUE!</v>
      </c>
      <c r="GS21">
        <f>IF(Plan1!762:762,"AAAAAH/37cg=",0)</f>
        <v>0</v>
      </c>
      <c r="GT21" t="e">
        <f>AND(Plan1!A762,"AAAAAH/37ck=")</f>
        <v>#VALUE!</v>
      </c>
      <c r="GU21" t="e">
        <f>AND(Plan1!B762,"AAAAAH/37co=")</f>
        <v>#VALUE!</v>
      </c>
      <c r="GV21" t="e">
        <f>AND(Plan1!C762,"AAAAAH/37cs=")</f>
        <v>#VALUE!</v>
      </c>
      <c r="GW21" t="e">
        <f>AND(Plan1!D762,"AAAAAH/37cw=")</f>
        <v>#VALUE!</v>
      </c>
      <c r="GX21" t="e">
        <f>AND(Plan1!E762,"AAAAAH/37c0=")</f>
        <v>#VALUE!</v>
      </c>
      <c r="GY21" t="e">
        <f>AND(Plan1!F762,"AAAAAH/37c4=")</f>
        <v>#VALUE!</v>
      </c>
      <c r="GZ21">
        <f>IF(Plan1!763:763,"AAAAAH/37c8=",0)</f>
        <v>0</v>
      </c>
      <c r="HA21" t="e">
        <f>AND(Plan1!A763,"AAAAAH/37dA=")</f>
        <v>#VALUE!</v>
      </c>
      <c r="HB21" t="e">
        <f>AND(Plan1!B763,"AAAAAH/37dE=")</f>
        <v>#VALUE!</v>
      </c>
      <c r="HC21" t="e">
        <f>AND(Plan1!C763,"AAAAAH/37dI=")</f>
        <v>#VALUE!</v>
      </c>
      <c r="HD21" t="e">
        <f>AND(Plan1!D763,"AAAAAH/37dM=")</f>
        <v>#VALUE!</v>
      </c>
      <c r="HE21" t="e">
        <f>AND(Plan1!E763,"AAAAAH/37dQ=")</f>
        <v>#VALUE!</v>
      </c>
      <c r="HF21" t="e">
        <f>AND(Plan1!F763,"AAAAAH/37dU=")</f>
        <v>#VALUE!</v>
      </c>
      <c r="HG21">
        <f>IF(Plan1!764:764,"AAAAAH/37dY=",0)</f>
        <v>0</v>
      </c>
      <c r="HH21" t="e">
        <f>AND(Plan1!A764,"AAAAAH/37dc=")</f>
        <v>#VALUE!</v>
      </c>
      <c r="HI21" t="e">
        <f>AND(Plan1!B764,"AAAAAH/37dg=")</f>
        <v>#VALUE!</v>
      </c>
      <c r="HJ21" t="e">
        <f>AND(Plan1!C764,"AAAAAH/37dk=")</f>
        <v>#VALUE!</v>
      </c>
      <c r="HK21" t="e">
        <f>AND(Plan1!D764,"AAAAAH/37do=")</f>
        <v>#VALUE!</v>
      </c>
      <c r="HL21" t="e">
        <f>AND(Plan1!E764,"AAAAAH/37ds=")</f>
        <v>#VALUE!</v>
      </c>
      <c r="HM21" t="e">
        <f>AND(Plan1!F764,"AAAAAH/37dw=")</f>
        <v>#VALUE!</v>
      </c>
      <c r="HN21">
        <f>IF(Plan1!765:765,"AAAAAH/37d0=",0)</f>
        <v>0</v>
      </c>
      <c r="HO21" t="e">
        <f>AND(Plan1!A765,"AAAAAH/37d4=")</f>
        <v>#VALUE!</v>
      </c>
      <c r="HP21" t="e">
        <f>AND(Plan1!B765,"AAAAAH/37d8=")</f>
        <v>#VALUE!</v>
      </c>
      <c r="HQ21" t="e">
        <f>AND(Plan1!C765,"AAAAAH/37eA=")</f>
        <v>#VALUE!</v>
      </c>
      <c r="HR21" t="e">
        <f>AND(Plan1!D765,"AAAAAH/37eE=")</f>
        <v>#VALUE!</v>
      </c>
      <c r="HS21" t="e">
        <f>AND(Plan1!E765,"AAAAAH/37eI=")</f>
        <v>#VALUE!</v>
      </c>
      <c r="HT21" t="e">
        <f>AND(Plan1!F765,"AAAAAH/37eM=")</f>
        <v>#VALUE!</v>
      </c>
      <c r="HU21">
        <f>IF(Plan1!766:766,"AAAAAH/37eQ=",0)</f>
        <v>0</v>
      </c>
      <c r="HV21" t="e">
        <f>AND(Plan1!A766,"AAAAAH/37eU=")</f>
        <v>#VALUE!</v>
      </c>
      <c r="HW21" t="e">
        <f>AND(Plan1!B766,"AAAAAH/37eY=")</f>
        <v>#VALUE!</v>
      </c>
      <c r="HX21" t="e">
        <f>AND(Plan1!C766,"AAAAAH/37ec=")</f>
        <v>#VALUE!</v>
      </c>
      <c r="HY21" t="e">
        <f>AND(Plan1!D766,"AAAAAH/37eg=")</f>
        <v>#VALUE!</v>
      </c>
      <c r="HZ21" t="e">
        <f>AND(Plan1!E766,"AAAAAH/37ek=")</f>
        <v>#VALUE!</v>
      </c>
      <c r="IA21" t="e">
        <f>AND(Plan1!F766,"AAAAAH/37eo=")</f>
        <v>#VALUE!</v>
      </c>
      <c r="IB21">
        <f>IF(Plan1!767:767,"AAAAAH/37es=",0)</f>
        <v>0</v>
      </c>
      <c r="IC21" t="e">
        <f>AND(Plan1!A767,"AAAAAH/37ew=")</f>
        <v>#VALUE!</v>
      </c>
      <c r="ID21" t="e">
        <f>AND(Plan1!B767,"AAAAAH/37e0=")</f>
        <v>#VALUE!</v>
      </c>
      <c r="IE21" t="e">
        <f>AND(Plan1!C767,"AAAAAH/37e4=")</f>
        <v>#VALUE!</v>
      </c>
      <c r="IF21" t="e">
        <f>AND(Plan1!D767,"AAAAAH/37e8=")</f>
        <v>#VALUE!</v>
      </c>
      <c r="IG21" t="e">
        <f>AND(Plan1!E767,"AAAAAH/37fA=")</f>
        <v>#VALUE!</v>
      </c>
      <c r="IH21" t="e">
        <f>AND(Plan1!F767,"AAAAAH/37fE=")</f>
        <v>#VALUE!</v>
      </c>
      <c r="II21">
        <f>IF(Plan1!768:768,"AAAAAH/37fI=",0)</f>
        <v>0</v>
      </c>
      <c r="IJ21" t="e">
        <f>AND(Plan1!A768,"AAAAAH/37fM=")</f>
        <v>#VALUE!</v>
      </c>
      <c r="IK21" t="e">
        <f>AND(Plan1!B768,"AAAAAH/37fQ=")</f>
        <v>#VALUE!</v>
      </c>
      <c r="IL21" t="e">
        <f>AND(Plan1!C768,"AAAAAH/37fU=")</f>
        <v>#VALUE!</v>
      </c>
      <c r="IM21" t="e">
        <f>AND(Plan1!D768,"AAAAAH/37fY=")</f>
        <v>#VALUE!</v>
      </c>
      <c r="IN21" t="e">
        <f>AND(Plan1!E768,"AAAAAH/37fc=")</f>
        <v>#VALUE!</v>
      </c>
      <c r="IO21" t="e">
        <f>AND(Plan1!F768,"AAAAAH/37fg=")</f>
        <v>#VALUE!</v>
      </c>
      <c r="IP21">
        <f>IF(Plan1!769:769,"AAAAAH/37fk=",0)</f>
        <v>0</v>
      </c>
      <c r="IQ21" t="e">
        <f>AND(Plan1!A769,"AAAAAH/37fo=")</f>
        <v>#VALUE!</v>
      </c>
      <c r="IR21" t="e">
        <f>AND(Plan1!B769,"AAAAAH/37fs=")</f>
        <v>#VALUE!</v>
      </c>
      <c r="IS21" t="e">
        <f>AND(Plan1!C769,"AAAAAH/37fw=")</f>
        <v>#VALUE!</v>
      </c>
      <c r="IT21" t="e">
        <f>AND(Plan1!D769,"AAAAAH/37f0=")</f>
        <v>#VALUE!</v>
      </c>
      <c r="IU21" t="e">
        <f>AND(Plan1!E769,"AAAAAH/37f4=")</f>
        <v>#VALUE!</v>
      </c>
      <c r="IV21" t="e">
        <f>AND(Plan1!F769,"AAAAAH/37f8=")</f>
        <v>#VALUE!</v>
      </c>
    </row>
    <row r="22" spans="1:256">
      <c r="A22" t="e">
        <f>IF(Plan1!770:770,"AAAAAFz3cwA=",0)</f>
        <v>#VALUE!</v>
      </c>
      <c r="B22" t="e">
        <f>AND(Plan1!A770,"AAAAAFz3cwE=")</f>
        <v>#VALUE!</v>
      </c>
      <c r="C22" t="e">
        <f>AND(Plan1!B770,"AAAAAFz3cwI=")</f>
        <v>#VALUE!</v>
      </c>
      <c r="D22" t="e">
        <f>AND(Plan1!C770,"AAAAAFz3cwM=")</f>
        <v>#VALUE!</v>
      </c>
      <c r="E22" t="e">
        <f>AND(Plan1!D770,"AAAAAFz3cwQ=")</f>
        <v>#VALUE!</v>
      </c>
      <c r="F22" t="e">
        <f>AND(Plan1!E770,"AAAAAFz3cwU=")</f>
        <v>#VALUE!</v>
      </c>
      <c r="G22" t="e">
        <f>AND(Plan1!F770,"AAAAAFz3cwY=")</f>
        <v>#VALUE!</v>
      </c>
      <c r="H22">
        <f>IF(Plan1!771:771,"AAAAAFz3cwc=",0)</f>
        <v>0</v>
      </c>
      <c r="I22" t="e">
        <f>AND(Plan1!A771,"AAAAAFz3cwg=")</f>
        <v>#VALUE!</v>
      </c>
      <c r="J22" t="e">
        <f>AND(Plan1!B771,"AAAAAFz3cwk=")</f>
        <v>#VALUE!</v>
      </c>
      <c r="K22" t="e">
        <f>AND(Plan1!C771,"AAAAAFz3cwo=")</f>
        <v>#VALUE!</v>
      </c>
      <c r="L22" t="e">
        <f>AND(Plan1!D771,"AAAAAFz3cws=")</f>
        <v>#VALUE!</v>
      </c>
      <c r="M22" t="e">
        <f>AND(Plan1!E771,"AAAAAFz3cww=")</f>
        <v>#VALUE!</v>
      </c>
      <c r="N22" t="e">
        <f>AND(Plan1!F771,"AAAAAFz3cw0=")</f>
        <v>#VALUE!</v>
      </c>
      <c r="O22">
        <f>IF(Plan1!772:772,"AAAAAFz3cw4=",0)</f>
        <v>0</v>
      </c>
      <c r="P22" t="e">
        <f>AND(Plan1!A772,"AAAAAFz3cw8=")</f>
        <v>#VALUE!</v>
      </c>
      <c r="Q22" t="e">
        <f>AND(Plan1!B772,"AAAAAFz3cxA=")</f>
        <v>#VALUE!</v>
      </c>
      <c r="R22" t="e">
        <f>AND(Plan1!C772,"AAAAAFz3cxE=")</f>
        <v>#VALUE!</v>
      </c>
      <c r="S22" t="e">
        <f>AND(Plan1!D772,"AAAAAFz3cxI=")</f>
        <v>#VALUE!</v>
      </c>
      <c r="T22" t="e">
        <f>AND(Plan1!E772,"AAAAAFz3cxM=")</f>
        <v>#VALUE!</v>
      </c>
      <c r="U22" t="e">
        <f>AND(Plan1!F772,"AAAAAFz3cxQ=")</f>
        <v>#VALUE!</v>
      </c>
      <c r="V22">
        <f>IF(Plan1!773:773,"AAAAAFz3cxU=",0)</f>
        <v>0</v>
      </c>
      <c r="W22" t="e">
        <f>AND(Plan1!A773,"AAAAAFz3cxY=")</f>
        <v>#VALUE!</v>
      </c>
      <c r="X22" t="e">
        <f>AND(Plan1!B773,"AAAAAFz3cxc=")</f>
        <v>#VALUE!</v>
      </c>
      <c r="Y22" t="e">
        <f>AND(Plan1!C773,"AAAAAFz3cxg=")</f>
        <v>#VALUE!</v>
      </c>
      <c r="Z22" t="e">
        <f>AND(Plan1!D773,"AAAAAFz3cxk=")</f>
        <v>#VALUE!</v>
      </c>
      <c r="AA22" t="e">
        <f>AND(Plan1!E773,"AAAAAFz3cxo=")</f>
        <v>#VALUE!</v>
      </c>
      <c r="AB22" t="e">
        <f>AND(Plan1!F773,"AAAAAFz3cxs=")</f>
        <v>#VALUE!</v>
      </c>
      <c r="AC22">
        <f>IF(Plan1!774:774,"AAAAAFz3cxw=",0)</f>
        <v>0</v>
      </c>
      <c r="AD22" t="e">
        <f>AND(Plan1!A774,"AAAAAFz3cx0=")</f>
        <v>#VALUE!</v>
      </c>
      <c r="AE22" t="e">
        <f>AND(Plan1!B774,"AAAAAFz3cx4=")</f>
        <v>#VALUE!</v>
      </c>
      <c r="AF22" t="e">
        <f>AND(Plan1!C774,"AAAAAFz3cx8=")</f>
        <v>#VALUE!</v>
      </c>
      <c r="AG22" t="e">
        <f>AND(Plan1!D774,"AAAAAFz3cyA=")</f>
        <v>#VALUE!</v>
      </c>
      <c r="AH22" t="e">
        <f>AND(Plan1!E774,"AAAAAFz3cyE=")</f>
        <v>#VALUE!</v>
      </c>
      <c r="AI22" t="e">
        <f>AND(Plan1!F774,"AAAAAFz3cyI=")</f>
        <v>#VALUE!</v>
      </c>
      <c r="AJ22">
        <f>IF(Plan1!775:775,"AAAAAFz3cyM=",0)</f>
        <v>0</v>
      </c>
      <c r="AK22" t="e">
        <f>AND(Plan1!A775,"AAAAAFz3cyQ=")</f>
        <v>#VALUE!</v>
      </c>
      <c r="AL22" t="e">
        <f>AND(Plan1!B775,"AAAAAFz3cyU=")</f>
        <v>#VALUE!</v>
      </c>
      <c r="AM22" t="e">
        <f>AND(Plan1!C775,"AAAAAFz3cyY=")</f>
        <v>#VALUE!</v>
      </c>
      <c r="AN22" t="e">
        <f>AND(Plan1!D775,"AAAAAFz3cyc=")</f>
        <v>#VALUE!</v>
      </c>
      <c r="AO22" t="e">
        <f>AND(Plan1!E775,"AAAAAFz3cyg=")</f>
        <v>#VALUE!</v>
      </c>
      <c r="AP22" t="e">
        <f>AND(Plan1!F775,"AAAAAFz3cyk=")</f>
        <v>#VALUE!</v>
      </c>
      <c r="AQ22">
        <f>IF(Plan1!776:776,"AAAAAFz3cyo=",0)</f>
        <v>0</v>
      </c>
      <c r="AR22" t="e">
        <f>AND(Plan1!A776,"AAAAAFz3cys=")</f>
        <v>#VALUE!</v>
      </c>
      <c r="AS22" t="e">
        <f>AND(Plan1!B776,"AAAAAFz3cyw=")</f>
        <v>#VALUE!</v>
      </c>
      <c r="AT22" t="e">
        <f>AND(Plan1!C776,"AAAAAFz3cy0=")</f>
        <v>#VALUE!</v>
      </c>
      <c r="AU22" t="e">
        <f>AND(Plan1!D776,"AAAAAFz3cy4=")</f>
        <v>#VALUE!</v>
      </c>
      <c r="AV22" t="e">
        <f>AND(Plan1!E776,"AAAAAFz3cy8=")</f>
        <v>#VALUE!</v>
      </c>
      <c r="AW22" t="e">
        <f>AND(Plan1!F776,"AAAAAFz3czA=")</f>
        <v>#VALUE!</v>
      </c>
      <c r="AX22">
        <f>IF(Plan1!777:777,"AAAAAFz3czE=",0)</f>
        <v>0</v>
      </c>
      <c r="AY22" t="e">
        <f>AND(Plan1!A777,"AAAAAFz3czI=")</f>
        <v>#VALUE!</v>
      </c>
      <c r="AZ22" t="e">
        <f>AND(Plan1!B777,"AAAAAFz3czM=")</f>
        <v>#VALUE!</v>
      </c>
      <c r="BA22" t="e">
        <f>AND(Plan1!C777,"AAAAAFz3czQ=")</f>
        <v>#VALUE!</v>
      </c>
      <c r="BB22" t="e">
        <f>AND(Plan1!D777,"AAAAAFz3czU=")</f>
        <v>#VALUE!</v>
      </c>
      <c r="BC22" t="e">
        <f>AND(Plan1!E777,"AAAAAFz3czY=")</f>
        <v>#VALUE!</v>
      </c>
      <c r="BD22" t="e">
        <f>AND(Plan1!F777,"AAAAAFz3czc=")</f>
        <v>#VALUE!</v>
      </c>
      <c r="BE22">
        <f>IF(Plan1!778:778,"AAAAAFz3czg=",0)</f>
        <v>0</v>
      </c>
      <c r="BF22" t="e">
        <f>AND(Plan1!A778,"AAAAAFz3czk=")</f>
        <v>#VALUE!</v>
      </c>
      <c r="BG22" t="e">
        <f>AND(Plan1!B778,"AAAAAFz3czo=")</f>
        <v>#VALUE!</v>
      </c>
      <c r="BH22" t="e">
        <f>AND(Plan1!C778,"AAAAAFz3czs=")</f>
        <v>#VALUE!</v>
      </c>
      <c r="BI22" t="e">
        <f>AND(Plan1!D778,"AAAAAFz3czw=")</f>
        <v>#VALUE!</v>
      </c>
      <c r="BJ22" t="e">
        <f>AND(Plan1!E778,"AAAAAFz3cz0=")</f>
        <v>#VALUE!</v>
      </c>
      <c r="BK22" t="e">
        <f>AND(Plan1!F778,"AAAAAFz3cz4=")</f>
        <v>#VALUE!</v>
      </c>
      <c r="BL22">
        <f>IF(Plan1!779:779,"AAAAAFz3cz8=",0)</f>
        <v>0</v>
      </c>
      <c r="BM22" t="e">
        <f>AND(Plan1!A779,"AAAAAFz3c0A=")</f>
        <v>#VALUE!</v>
      </c>
      <c r="BN22" t="e">
        <f>AND(Plan1!B779,"AAAAAFz3c0E=")</f>
        <v>#VALUE!</v>
      </c>
      <c r="BO22" t="e">
        <f>AND(Plan1!C779,"AAAAAFz3c0I=")</f>
        <v>#VALUE!</v>
      </c>
      <c r="BP22" t="e">
        <f>AND(Plan1!D779,"AAAAAFz3c0M=")</f>
        <v>#VALUE!</v>
      </c>
      <c r="BQ22" t="e">
        <f>AND(Plan1!E779,"AAAAAFz3c0Q=")</f>
        <v>#VALUE!</v>
      </c>
      <c r="BR22" t="e">
        <f>AND(Plan1!F779,"AAAAAFz3c0U=")</f>
        <v>#VALUE!</v>
      </c>
      <c r="BS22">
        <f>IF(Plan1!780:780,"AAAAAFz3c0Y=",0)</f>
        <v>0</v>
      </c>
      <c r="BT22" t="e">
        <f>AND(Plan1!A780,"AAAAAFz3c0c=")</f>
        <v>#VALUE!</v>
      </c>
      <c r="BU22" t="e">
        <f>AND(Plan1!B780,"AAAAAFz3c0g=")</f>
        <v>#VALUE!</v>
      </c>
      <c r="BV22" t="e">
        <f>AND(Plan1!C780,"AAAAAFz3c0k=")</f>
        <v>#VALUE!</v>
      </c>
      <c r="BW22" t="e">
        <f>AND(Plan1!D780,"AAAAAFz3c0o=")</f>
        <v>#VALUE!</v>
      </c>
      <c r="BX22" t="e">
        <f>AND(Plan1!E780,"AAAAAFz3c0s=")</f>
        <v>#VALUE!</v>
      </c>
      <c r="BY22" t="e">
        <f>AND(Plan1!F780,"AAAAAFz3c0w=")</f>
        <v>#VALUE!</v>
      </c>
      <c r="BZ22">
        <f>IF(Plan1!781:781,"AAAAAFz3c00=",0)</f>
        <v>0</v>
      </c>
      <c r="CA22" t="e">
        <f>AND(Plan1!A781,"AAAAAFz3c04=")</f>
        <v>#VALUE!</v>
      </c>
      <c r="CB22" t="e">
        <f>AND(Plan1!B781,"AAAAAFz3c08=")</f>
        <v>#VALUE!</v>
      </c>
      <c r="CC22" t="e">
        <f>AND(Plan1!C781,"AAAAAFz3c1A=")</f>
        <v>#VALUE!</v>
      </c>
      <c r="CD22" t="e">
        <f>AND(Plan1!D781,"AAAAAFz3c1E=")</f>
        <v>#VALUE!</v>
      </c>
      <c r="CE22" t="e">
        <f>AND(Plan1!E781,"AAAAAFz3c1I=")</f>
        <v>#VALUE!</v>
      </c>
      <c r="CF22" t="e">
        <f>AND(Plan1!F781,"AAAAAFz3c1M=")</f>
        <v>#VALUE!</v>
      </c>
      <c r="CG22">
        <f>IF(Plan1!782:782,"AAAAAFz3c1Q=",0)</f>
        <v>0</v>
      </c>
      <c r="CH22" t="e">
        <f>AND(Plan1!A782,"AAAAAFz3c1U=")</f>
        <v>#VALUE!</v>
      </c>
      <c r="CI22" t="e">
        <f>AND(Plan1!B782,"AAAAAFz3c1Y=")</f>
        <v>#VALUE!</v>
      </c>
      <c r="CJ22" t="e">
        <f>AND(Plan1!C782,"AAAAAFz3c1c=")</f>
        <v>#VALUE!</v>
      </c>
      <c r="CK22" t="e">
        <f>AND(Plan1!D782,"AAAAAFz3c1g=")</f>
        <v>#VALUE!</v>
      </c>
      <c r="CL22" t="e">
        <f>AND(Plan1!E782,"AAAAAFz3c1k=")</f>
        <v>#VALUE!</v>
      </c>
      <c r="CM22" t="e">
        <f>AND(Plan1!F782,"AAAAAFz3c1o=")</f>
        <v>#VALUE!</v>
      </c>
      <c r="CN22">
        <f>IF(Plan1!783:783,"AAAAAFz3c1s=",0)</f>
        <v>0</v>
      </c>
      <c r="CO22" t="e">
        <f>AND(Plan1!A783,"AAAAAFz3c1w=")</f>
        <v>#VALUE!</v>
      </c>
      <c r="CP22" t="e">
        <f>AND(Plan1!B783,"AAAAAFz3c10=")</f>
        <v>#VALUE!</v>
      </c>
      <c r="CQ22" t="e">
        <f>AND(Plan1!C783,"AAAAAFz3c14=")</f>
        <v>#VALUE!</v>
      </c>
      <c r="CR22" t="e">
        <f>AND(Plan1!D783,"AAAAAFz3c18=")</f>
        <v>#VALUE!</v>
      </c>
      <c r="CS22" t="e">
        <f>AND(Plan1!E783,"AAAAAFz3c2A=")</f>
        <v>#VALUE!</v>
      </c>
      <c r="CT22" t="e">
        <f>AND(Plan1!F783,"AAAAAFz3c2E=")</f>
        <v>#VALUE!</v>
      </c>
      <c r="CU22">
        <f>IF(Plan1!784:784,"AAAAAFz3c2I=",0)</f>
        <v>0</v>
      </c>
      <c r="CV22" t="e">
        <f>AND(Plan1!A784,"AAAAAFz3c2M=")</f>
        <v>#VALUE!</v>
      </c>
      <c r="CW22" t="e">
        <f>AND(Plan1!B784,"AAAAAFz3c2Q=")</f>
        <v>#VALUE!</v>
      </c>
      <c r="CX22" t="e">
        <f>AND(Plan1!C784,"AAAAAFz3c2U=")</f>
        <v>#VALUE!</v>
      </c>
      <c r="CY22" t="e">
        <f>AND(Plan1!D784,"AAAAAFz3c2Y=")</f>
        <v>#VALUE!</v>
      </c>
      <c r="CZ22" t="e">
        <f>AND(Plan1!E784,"AAAAAFz3c2c=")</f>
        <v>#VALUE!</v>
      </c>
      <c r="DA22" t="e">
        <f>AND(Plan1!F784,"AAAAAFz3c2g=")</f>
        <v>#VALUE!</v>
      </c>
      <c r="DB22">
        <f>IF(Plan1!785:785,"AAAAAFz3c2k=",0)</f>
        <v>0</v>
      </c>
      <c r="DC22" t="e">
        <f>AND(Plan1!A785,"AAAAAFz3c2o=")</f>
        <v>#VALUE!</v>
      </c>
      <c r="DD22" t="e">
        <f>AND(Plan1!B785,"AAAAAFz3c2s=")</f>
        <v>#VALUE!</v>
      </c>
      <c r="DE22" t="e">
        <f>AND(Plan1!C785,"AAAAAFz3c2w=")</f>
        <v>#VALUE!</v>
      </c>
      <c r="DF22" t="e">
        <f>AND(Plan1!D785,"AAAAAFz3c20=")</f>
        <v>#VALUE!</v>
      </c>
      <c r="DG22" t="e">
        <f>AND(Plan1!E785,"AAAAAFz3c24=")</f>
        <v>#VALUE!</v>
      </c>
      <c r="DH22" t="e">
        <f>AND(Plan1!F785,"AAAAAFz3c28=")</f>
        <v>#VALUE!</v>
      </c>
      <c r="DI22">
        <f>IF(Plan1!786:786,"AAAAAFz3c3A=",0)</f>
        <v>0</v>
      </c>
      <c r="DJ22" t="e">
        <f>AND(Plan1!A786,"AAAAAFz3c3E=")</f>
        <v>#VALUE!</v>
      </c>
      <c r="DK22" t="e">
        <f>AND(Plan1!B786,"AAAAAFz3c3I=")</f>
        <v>#VALUE!</v>
      </c>
      <c r="DL22" t="e">
        <f>AND(Plan1!C786,"AAAAAFz3c3M=")</f>
        <v>#VALUE!</v>
      </c>
      <c r="DM22" t="e">
        <f>AND(Plan1!D786,"AAAAAFz3c3Q=")</f>
        <v>#VALUE!</v>
      </c>
      <c r="DN22" t="e">
        <f>AND(Plan1!E786,"AAAAAFz3c3U=")</f>
        <v>#VALUE!</v>
      </c>
      <c r="DO22" t="e">
        <f>AND(Plan1!F786,"AAAAAFz3c3Y=")</f>
        <v>#VALUE!</v>
      </c>
      <c r="DP22">
        <f>IF(Plan1!787:787,"AAAAAFz3c3c=",0)</f>
        <v>0</v>
      </c>
      <c r="DQ22" t="e">
        <f>AND(Plan1!A787,"AAAAAFz3c3g=")</f>
        <v>#VALUE!</v>
      </c>
      <c r="DR22" t="e">
        <f>AND(Plan1!B787,"AAAAAFz3c3k=")</f>
        <v>#VALUE!</v>
      </c>
      <c r="DS22" t="e">
        <f>AND(Plan1!C787,"AAAAAFz3c3o=")</f>
        <v>#VALUE!</v>
      </c>
      <c r="DT22" t="e">
        <f>AND(Plan1!D787,"AAAAAFz3c3s=")</f>
        <v>#VALUE!</v>
      </c>
      <c r="DU22" t="e">
        <f>AND(Plan1!E787,"AAAAAFz3c3w=")</f>
        <v>#VALUE!</v>
      </c>
      <c r="DV22" t="e">
        <f>AND(Plan1!F787,"AAAAAFz3c30=")</f>
        <v>#VALUE!</v>
      </c>
      <c r="DW22">
        <f>IF(Plan1!788:788,"AAAAAFz3c34=",0)</f>
        <v>0</v>
      </c>
      <c r="DX22" t="e">
        <f>AND(Plan1!A788,"AAAAAFz3c38=")</f>
        <v>#VALUE!</v>
      </c>
      <c r="DY22" t="e">
        <f>AND(Plan1!B788,"AAAAAFz3c4A=")</f>
        <v>#VALUE!</v>
      </c>
      <c r="DZ22" t="e">
        <f>AND(Plan1!C788,"AAAAAFz3c4E=")</f>
        <v>#VALUE!</v>
      </c>
      <c r="EA22" t="e">
        <f>AND(Plan1!D788,"AAAAAFz3c4I=")</f>
        <v>#VALUE!</v>
      </c>
      <c r="EB22" t="e">
        <f>AND(Plan1!E788,"AAAAAFz3c4M=")</f>
        <v>#VALUE!</v>
      </c>
      <c r="EC22" t="e">
        <f>AND(Plan1!F788,"AAAAAFz3c4Q=")</f>
        <v>#VALUE!</v>
      </c>
      <c r="ED22">
        <f>IF(Plan1!789:789,"AAAAAFz3c4U=",0)</f>
        <v>0</v>
      </c>
      <c r="EE22" t="e">
        <f>AND(Plan1!A789,"AAAAAFz3c4Y=")</f>
        <v>#VALUE!</v>
      </c>
      <c r="EF22" t="e">
        <f>AND(Plan1!B789,"AAAAAFz3c4c=")</f>
        <v>#VALUE!</v>
      </c>
      <c r="EG22" t="e">
        <f>AND(Plan1!C789,"AAAAAFz3c4g=")</f>
        <v>#VALUE!</v>
      </c>
      <c r="EH22" t="e">
        <f>AND(Plan1!D789,"AAAAAFz3c4k=")</f>
        <v>#VALUE!</v>
      </c>
      <c r="EI22" t="e">
        <f>AND(Plan1!E789,"AAAAAFz3c4o=")</f>
        <v>#VALUE!</v>
      </c>
      <c r="EJ22" t="e">
        <f>AND(Plan1!F789,"AAAAAFz3c4s=")</f>
        <v>#VALUE!</v>
      </c>
      <c r="EK22">
        <f>IF(Plan1!790:790,"AAAAAFz3c4w=",0)</f>
        <v>0</v>
      </c>
      <c r="EL22" t="e">
        <f>AND(Plan1!A790,"AAAAAFz3c40=")</f>
        <v>#VALUE!</v>
      </c>
      <c r="EM22" t="e">
        <f>AND(Plan1!B790,"AAAAAFz3c44=")</f>
        <v>#VALUE!</v>
      </c>
      <c r="EN22" t="e">
        <f>AND(Plan1!C790,"AAAAAFz3c48=")</f>
        <v>#VALUE!</v>
      </c>
      <c r="EO22" t="e">
        <f>AND(Plan1!D790,"AAAAAFz3c5A=")</f>
        <v>#VALUE!</v>
      </c>
      <c r="EP22" t="e">
        <f>AND(Plan1!E790,"AAAAAFz3c5E=")</f>
        <v>#VALUE!</v>
      </c>
      <c r="EQ22" t="e">
        <f>AND(Plan1!F790,"AAAAAFz3c5I=")</f>
        <v>#VALUE!</v>
      </c>
      <c r="ER22">
        <f>IF(Plan1!791:791,"AAAAAFz3c5M=",0)</f>
        <v>0</v>
      </c>
      <c r="ES22" t="e">
        <f>AND(Plan1!A791,"AAAAAFz3c5Q=")</f>
        <v>#VALUE!</v>
      </c>
      <c r="ET22" t="e">
        <f>AND(Plan1!B791,"AAAAAFz3c5U=")</f>
        <v>#VALUE!</v>
      </c>
      <c r="EU22" t="e">
        <f>AND(Plan1!C791,"AAAAAFz3c5Y=")</f>
        <v>#VALUE!</v>
      </c>
      <c r="EV22" t="e">
        <f>AND(Plan1!D791,"AAAAAFz3c5c=")</f>
        <v>#VALUE!</v>
      </c>
      <c r="EW22" t="e">
        <f>AND(Plan1!E791,"AAAAAFz3c5g=")</f>
        <v>#VALUE!</v>
      </c>
      <c r="EX22" t="e">
        <f>AND(Plan1!F791,"AAAAAFz3c5k=")</f>
        <v>#VALUE!</v>
      </c>
      <c r="EY22">
        <f>IF(Plan1!792:792,"AAAAAFz3c5o=",0)</f>
        <v>0</v>
      </c>
      <c r="EZ22" t="e">
        <f>AND(Plan1!A792,"AAAAAFz3c5s=")</f>
        <v>#VALUE!</v>
      </c>
      <c r="FA22" t="e">
        <f>AND(Plan1!B792,"AAAAAFz3c5w=")</f>
        <v>#VALUE!</v>
      </c>
      <c r="FB22" t="e">
        <f>AND(Plan1!C792,"AAAAAFz3c50=")</f>
        <v>#VALUE!</v>
      </c>
      <c r="FC22" t="e">
        <f>AND(Plan1!D792,"AAAAAFz3c54=")</f>
        <v>#VALUE!</v>
      </c>
      <c r="FD22" t="e">
        <f>AND(Plan1!E792,"AAAAAFz3c58=")</f>
        <v>#VALUE!</v>
      </c>
      <c r="FE22" t="e">
        <f>AND(Plan1!F792,"AAAAAFz3c6A=")</f>
        <v>#VALUE!</v>
      </c>
      <c r="FF22">
        <f>IF(Plan1!793:793,"AAAAAFz3c6E=",0)</f>
        <v>0</v>
      </c>
      <c r="FG22" t="e">
        <f>AND(Plan1!A793,"AAAAAFz3c6I=")</f>
        <v>#VALUE!</v>
      </c>
      <c r="FH22" t="e">
        <f>AND(Plan1!B793,"AAAAAFz3c6M=")</f>
        <v>#VALUE!</v>
      </c>
      <c r="FI22" t="e">
        <f>AND(Plan1!C793,"AAAAAFz3c6Q=")</f>
        <v>#VALUE!</v>
      </c>
      <c r="FJ22" t="e">
        <f>AND(Plan1!D793,"AAAAAFz3c6U=")</f>
        <v>#VALUE!</v>
      </c>
      <c r="FK22" t="e">
        <f>AND(Plan1!E793,"AAAAAFz3c6Y=")</f>
        <v>#VALUE!</v>
      </c>
      <c r="FL22" t="e">
        <f>AND(Plan1!F793,"AAAAAFz3c6c=")</f>
        <v>#VALUE!</v>
      </c>
      <c r="FM22">
        <f>IF(Plan1!794:794,"AAAAAFz3c6g=",0)</f>
        <v>0</v>
      </c>
      <c r="FN22" t="e">
        <f>AND(Plan1!A794,"AAAAAFz3c6k=")</f>
        <v>#VALUE!</v>
      </c>
      <c r="FO22" t="e">
        <f>AND(Plan1!B794,"AAAAAFz3c6o=")</f>
        <v>#VALUE!</v>
      </c>
      <c r="FP22" t="e">
        <f>AND(Plan1!C794,"AAAAAFz3c6s=")</f>
        <v>#VALUE!</v>
      </c>
      <c r="FQ22" t="e">
        <f>AND(Plan1!D794,"AAAAAFz3c6w=")</f>
        <v>#VALUE!</v>
      </c>
      <c r="FR22" t="e">
        <f>AND(Plan1!E794,"AAAAAFz3c60=")</f>
        <v>#VALUE!</v>
      </c>
      <c r="FS22" t="e">
        <f>AND(Plan1!F794,"AAAAAFz3c64=")</f>
        <v>#VALUE!</v>
      </c>
      <c r="FT22">
        <f>IF(Plan1!795:795,"AAAAAFz3c68=",0)</f>
        <v>0</v>
      </c>
      <c r="FU22" t="e">
        <f>AND(Plan1!A795,"AAAAAFz3c7A=")</f>
        <v>#VALUE!</v>
      </c>
      <c r="FV22" t="e">
        <f>AND(Plan1!B795,"AAAAAFz3c7E=")</f>
        <v>#VALUE!</v>
      </c>
      <c r="FW22" t="e">
        <f>AND(Plan1!C795,"AAAAAFz3c7I=")</f>
        <v>#VALUE!</v>
      </c>
      <c r="FX22" t="e">
        <f>AND(Plan1!D795,"AAAAAFz3c7M=")</f>
        <v>#VALUE!</v>
      </c>
      <c r="FY22" t="e">
        <f>AND(Plan1!E795,"AAAAAFz3c7Q=")</f>
        <v>#VALUE!</v>
      </c>
      <c r="FZ22" t="e">
        <f>AND(Plan1!F795,"AAAAAFz3c7U=")</f>
        <v>#VALUE!</v>
      </c>
      <c r="GA22">
        <f>IF(Plan1!796:796,"AAAAAFz3c7Y=",0)</f>
        <v>0</v>
      </c>
      <c r="GB22" t="e">
        <f>AND(Plan1!A796,"AAAAAFz3c7c=")</f>
        <v>#VALUE!</v>
      </c>
      <c r="GC22" t="e">
        <f>AND(Plan1!B796,"AAAAAFz3c7g=")</f>
        <v>#VALUE!</v>
      </c>
      <c r="GD22" t="e">
        <f>AND(Plan1!C796,"AAAAAFz3c7k=")</f>
        <v>#VALUE!</v>
      </c>
      <c r="GE22" t="e">
        <f>AND(Plan1!D796,"AAAAAFz3c7o=")</f>
        <v>#VALUE!</v>
      </c>
      <c r="GF22" t="e">
        <f>AND(Plan1!E796,"AAAAAFz3c7s=")</f>
        <v>#VALUE!</v>
      </c>
      <c r="GG22" t="e">
        <f>AND(Plan1!F796,"AAAAAFz3c7w=")</f>
        <v>#VALUE!</v>
      </c>
      <c r="GH22">
        <f>IF(Plan1!797:797,"AAAAAFz3c70=",0)</f>
        <v>0</v>
      </c>
      <c r="GI22" t="e">
        <f>AND(Plan1!A797,"AAAAAFz3c74=")</f>
        <v>#VALUE!</v>
      </c>
      <c r="GJ22" t="e">
        <f>AND(Plan1!B797,"AAAAAFz3c78=")</f>
        <v>#VALUE!</v>
      </c>
      <c r="GK22" t="e">
        <f>AND(Plan1!C797,"AAAAAFz3c8A=")</f>
        <v>#VALUE!</v>
      </c>
      <c r="GL22" t="e">
        <f>AND(Plan1!D797,"AAAAAFz3c8E=")</f>
        <v>#VALUE!</v>
      </c>
      <c r="GM22" t="e">
        <f>AND(Plan1!E797,"AAAAAFz3c8I=")</f>
        <v>#VALUE!</v>
      </c>
      <c r="GN22" t="e">
        <f>AND(Plan1!F797,"AAAAAFz3c8M=")</f>
        <v>#VALUE!</v>
      </c>
      <c r="GO22">
        <f>IF(Plan1!798:798,"AAAAAFz3c8Q=",0)</f>
        <v>0</v>
      </c>
      <c r="GP22" t="e">
        <f>AND(Plan1!A798,"AAAAAFz3c8U=")</f>
        <v>#VALUE!</v>
      </c>
      <c r="GQ22" t="e">
        <f>AND(Plan1!B798,"AAAAAFz3c8Y=")</f>
        <v>#VALUE!</v>
      </c>
      <c r="GR22" t="e">
        <f>AND(Plan1!C798,"AAAAAFz3c8c=")</f>
        <v>#VALUE!</v>
      </c>
      <c r="GS22" t="e">
        <f>AND(Plan1!D798,"AAAAAFz3c8g=")</f>
        <v>#VALUE!</v>
      </c>
      <c r="GT22" t="e">
        <f>AND(Plan1!E798,"AAAAAFz3c8k=")</f>
        <v>#VALUE!</v>
      </c>
      <c r="GU22" t="e">
        <f>AND(Plan1!F798,"AAAAAFz3c8o=")</f>
        <v>#VALUE!</v>
      </c>
      <c r="GV22">
        <f>IF(Plan1!799:799,"AAAAAFz3c8s=",0)</f>
        <v>0</v>
      </c>
      <c r="GW22" t="e">
        <f>AND(Plan1!A799,"AAAAAFz3c8w=")</f>
        <v>#VALUE!</v>
      </c>
      <c r="GX22" t="e">
        <f>AND(Plan1!B799,"AAAAAFz3c80=")</f>
        <v>#VALUE!</v>
      </c>
      <c r="GY22" t="e">
        <f>AND(Plan1!C799,"AAAAAFz3c84=")</f>
        <v>#VALUE!</v>
      </c>
      <c r="GZ22" t="e">
        <f>AND(Plan1!D799,"AAAAAFz3c88=")</f>
        <v>#VALUE!</v>
      </c>
      <c r="HA22" t="e">
        <f>AND(Plan1!E799,"AAAAAFz3c9A=")</f>
        <v>#VALUE!</v>
      </c>
      <c r="HB22" t="e">
        <f>AND(Plan1!F799,"AAAAAFz3c9E=")</f>
        <v>#VALUE!</v>
      </c>
      <c r="HC22">
        <f>IF(Plan1!800:800,"AAAAAFz3c9I=",0)</f>
        <v>0</v>
      </c>
      <c r="HD22" t="e">
        <f>AND(Plan1!A800,"AAAAAFz3c9M=")</f>
        <v>#VALUE!</v>
      </c>
      <c r="HE22" t="e">
        <f>AND(Plan1!B800,"AAAAAFz3c9Q=")</f>
        <v>#VALUE!</v>
      </c>
      <c r="HF22" t="e">
        <f>AND(Plan1!C800,"AAAAAFz3c9U=")</f>
        <v>#VALUE!</v>
      </c>
      <c r="HG22" t="e">
        <f>AND(Plan1!D800,"AAAAAFz3c9Y=")</f>
        <v>#VALUE!</v>
      </c>
      <c r="HH22" t="e">
        <f>AND(Plan1!E800,"AAAAAFz3c9c=")</f>
        <v>#VALUE!</v>
      </c>
      <c r="HI22" t="e">
        <f>AND(Plan1!F800,"AAAAAFz3c9g=")</f>
        <v>#VALUE!</v>
      </c>
      <c r="HJ22">
        <f>IF(Plan1!801:801,"AAAAAFz3c9k=",0)</f>
        <v>0</v>
      </c>
      <c r="HK22" t="e">
        <f>AND(Plan1!A801,"AAAAAFz3c9o=")</f>
        <v>#VALUE!</v>
      </c>
      <c r="HL22" t="e">
        <f>AND(Plan1!B801,"AAAAAFz3c9s=")</f>
        <v>#VALUE!</v>
      </c>
      <c r="HM22" t="e">
        <f>AND(Plan1!C801,"AAAAAFz3c9w=")</f>
        <v>#VALUE!</v>
      </c>
      <c r="HN22" t="e">
        <f>AND(Plan1!D801,"AAAAAFz3c90=")</f>
        <v>#VALUE!</v>
      </c>
      <c r="HO22" t="e">
        <f>AND(Plan1!E801,"AAAAAFz3c94=")</f>
        <v>#VALUE!</v>
      </c>
      <c r="HP22" t="e">
        <f>AND(Plan1!F801,"AAAAAFz3c98=")</f>
        <v>#VALUE!</v>
      </c>
      <c r="HQ22">
        <f>IF(Plan1!802:802,"AAAAAFz3c+A=",0)</f>
        <v>0</v>
      </c>
      <c r="HR22" t="e">
        <f>AND(Plan1!A802,"AAAAAFz3c+E=")</f>
        <v>#VALUE!</v>
      </c>
      <c r="HS22" t="e">
        <f>AND(Plan1!B802,"AAAAAFz3c+I=")</f>
        <v>#VALUE!</v>
      </c>
      <c r="HT22" t="e">
        <f>AND(Plan1!C802,"AAAAAFz3c+M=")</f>
        <v>#VALUE!</v>
      </c>
      <c r="HU22" t="e">
        <f>AND(Plan1!D802,"AAAAAFz3c+Q=")</f>
        <v>#VALUE!</v>
      </c>
      <c r="HV22" t="e">
        <f>AND(Plan1!E802,"AAAAAFz3c+U=")</f>
        <v>#VALUE!</v>
      </c>
      <c r="HW22" t="e">
        <f>AND(Plan1!F802,"AAAAAFz3c+Y=")</f>
        <v>#VALUE!</v>
      </c>
      <c r="HX22">
        <f>IF(Plan1!803:803,"AAAAAFz3c+c=",0)</f>
        <v>0</v>
      </c>
      <c r="HY22" t="e">
        <f>AND(Plan1!A803,"AAAAAFz3c+g=")</f>
        <v>#VALUE!</v>
      </c>
      <c r="HZ22" t="e">
        <f>AND(Plan1!B803,"AAAAAFz3c+k=")</f>
        <v>#VALUE!</v>
      </c>
      <c r="IA22" t="e">
        <f>AND(Plan1!C803,"AAAAAFz3c+o=")</f>
        <v>#VALUE!</v>
      </c>
      <c r="IB22" t="e">
        <f>AND(Plan1!D803,"AAAAAFz3c+s=")</f>
        <v>#VALUE!</v>
      </c>
      <c r="IC22" t="e">
        <f>AND(Plan1!E803,"AAAAAFz3c+w=")</f>
        <v>#VALUE!</v>
      </c>
      <c r="ID22" t="e">
        <f>AND(Plan1!F803,"AAAAAFz3c+0=")</f>
        <v>#VALUE!</v>
      </c>
      <c r="IE22">
        <f>IF(Plan1!804:804,"AAAAAFz3c+4=",0)</f>
        <v>0</v>
      </c>
      <c r="IF22" t="e">
        <f>AND(Plan1!A804,"AAAAAFz3c+8=")</f>
        <v>#VALUE!</v>
      </c>
      <c r="IG22" t="e">
        <f>AND(Plan1!B804,"AAAAAFz3c/A=")</f>
        <v>#VALUE!</v>
      </c>
      <c r="IH22" t="e">
        <f>AND(Plan1!C804,"AAAAAFz3c/E=")</f>
        <v>#VALUE!</v>
      </c>
      <c r="II22" t="e">
        <f>AND(Plan1!D804,"AAAAAFz3c/I=")</f>
        <v>#VALUE!</v>
      </c>
      <c r="IJ22" t="e">
        <f>AND(Plan1!E804,"AAAAAFz3c/M=")</f>
        <v>#VALUE!</v>
      </c>
      <c r="IK22" t="e">
        <f>AND(Plan1!F804,"AAAAAFz3c/Q=")</f>
        <v>#VALUE!</v>
      </c>
      <c r="IL22">
        <f>IF(Plan1!805:805,"AAAAAFz3c/U=",0)</f>
        <v>0</v>
      </c>
      <c r="IM22" t="e">
        <f>AND(Plan1!A805,"AAAAAFz3c/Y=")</f>
        <v>#VALUE!</v>
      </c>
      <c r="IN22" t="e">
        <f>AND(Plan1!B805,"AAAAAFz3c/c=")</f>
        <v>#VALUE!</v>
      </c>
      <c r="IO22" t="e">
        <f>AND(Plan1!C805,"AAAAAFz3c/g=")</f>
        <v>#VALUE!</v>
      </c>
      <c r="IP22" t="e">
        <f>AND(Plan1!D805,"AAAAAFz3c/k=")</f>
        <v>#VALUE!</v>
      </c>
      <c r="IQ22" t="e">
        <f>AND(Plan1!E805,"AAAAAFz3c/o=")</f>
        <v>#VALUE!</v>
      </c>
      <c r="IR22" t="e">
        <f>AND(Plan1!F805,"AAAAAFz3c/s=")</f>
        <v>#VALUE!</v>
      </c>
      <c r="IS22">
        <f>IF(Plan1!806:806,"AAAAAFz3c/w=",0)</f>
        <v>0</v>
      </c>
      <c r="IT22" t="e">
        <f>AND(Plan1!A806,"AAAAAFz3c/0=")</f>
        <v>#VALUE!</v>
      </c>
      <c r="IU22" t="e">
        <f>AND(Plan1!B806,"AAAAAFz3c/4=")</f>
        <v>#VALUE!</v>
      </c>
      <c r="IV22" t="e">
        <f>AND(Plan1!C806,"AAAAAFz3c/8=")</f>
        <v>#VALUE!</v>
      </c>
    </row>
    <row r="23" spans="1:256">
      <c r="A23" t="e">
        <f>AND(Plan1!D806,"AAAAACfXfwA=")</f>
        <v>#VALUE!</v>
      </c>
      <c r="B23" t="e">
        <f>AND(Plan1!E806,"AAAAACfXfwE=")</f>
        <v>#VALUE!</v>
      </c>
      <c r="C23" t="e">
        <f>AND(Plan1!F806,"AAAAACfXfwI=")</f>
        <v>#VALUE!</v>
      </c>
      <c r="D23" t="str">
        <f>IF(Plan1!807:807,"AAAAACfXfwM=",0)</f>
        <v>AAAAACfXfwM=</v>
      </c>
      <c r="E23" t="e">
        <f>AND(Plan1!A807,"AAAAACfXfwQ=")</f>
        <v>#VALUE!</v>
      </c>
      <c r="F23" t="e">
        <f>AND(Plan1!B807,"AAAAACfXfwU=")</f>
        <v>#VALUE!</v>
      </c>
      <c r="G23" t="e">
        <f>AND(Plan1!C807,"AAAAACfXfwY=")</f>
        <v>#VALUE!</v>
      </c>
      <c r="H23" t="e">
        <f>AND(Plan1!D807,"AAAAACfXfwc=")</f>
        <v>#VALUE!</v>
      </c>
      <c r="I23" t="e">
        <f>AND(Plan1!E807,"AAAAACfXfwg=")</f>
        <v>#VALUE!</v>
      </c>
      <c r="J23" t="e">
        <f>AND(Plan1!F807,"AAAAACfXfwk=")</f>
        <v>#VALUE!</v>
      </c>
      <c r="K23">
        <f>IF(Plan1!808:808,"AAAAACfXfwo=",0)</f>
        <v>0</v>
      </c>
      <c r="L23" t="e">
        <f>AND(Plan1!A808,"AAAAACfXfws=")</f>
        <v>#VALUE!</v>
      </c>
      <c r="M23" t="e">
        <f>AND(Plan1!B808,"AAAAACfXfww=")</f>
        <v>#VALUE!</v>
      </c>
      <c r="N23" t="e">
        <f>AND(Plan1!C808,"AAAAACfXfw0=")</f>
        <v>#VALUE!</v>
      </c>
      <c r="O23" t="e">
        <f>AND(Plan1!D808,"AAAAACfXfw4=")</f>
        <v>#VALUE!</v>
      </c>
      <c r="P23" t="e">
        <f>AND(Plan1!E808,"AAAAACfXfw8=")</f>
        <v>#VALUE!</v>
      </c>
      <c r="Q23" t="e">
        <f>AND(Plan1!F808,"AAAAACfXfxA=")</f>
        <v>#VALUE!</v>
      </c>
      <c r="R23">
        <f>IF(Plan1!809:809,"AAAAACfXfxE=",0)</f>
        <v>0</v>
      </c>
      <c r="S23" t="e">
        <f>AND(Plan1!A809,"AAAAACfXfxI=")</f>
        <v>#VALUE!</v>
      </c>
      <c r="T23" t="e">
        <f>AND(Plan1!B809,"AAAAACfXfxM=")</f>
        <v>#VALUE!</v>
      </c>
      <c r="U23" t="e">
        <f>AND(Plan1!C809,"AAAAACfXfxQ=")</f>
        <v>#VALUE!</v>
      </c>
      <c r="V23" t="e">
        <f>AND(Plan1!D809,"AAAAACfXfxU=")</f>
        <v>#VALUE!</v>
      </c>
      <c r="W23" t="e">
        <f>AND(Plan1!E809,"AAAAACfXfxY=")</f>
        <v>#VALUE!</v>
      </c>
      <c r="X23" t="e">
        <f>AND(Plan1!F809,"AAAAACfXfxc=")</f>
        <v>#VALUE!</v>
      </c>
      <c r="Y23">
        <f>IF(Plan1!810:810,"AAAAACfXfxg=",0)</f>
        <v>0</v>
      </c>
      <c r="Z23" t="e">
        <f>AND(Plan1!A810,"AAAAACfXfxk=")</f>
        <v>#VALUE!</v>
      </c>
      <c r="AA23" t="e">
        <f>AND(Plan1!B810,"AAAAACfXfxo=")</f>
        <v>#VALUE!</v>
      </c>
      <c r="AB23" t="e">
        <f>AND(Plan1!C810,"AAAAACfXfxs=")</f>
        <v>#VALUE!</v>
      </c>
      <c r="AC23" t="e">
        <f>AND(Plan1!D810,"AAAAACfXfxw=")</f>
        <v>#VALUE!</v>
      </c>
      <c r="AD23" t="e">
        <f>AND(Plan1!E810,"AAAAACfXfx0=")</f>
        <v>#VALUE!</v>
      </c>
      <c r="AE23" t="e">
        <f>AND(Plan1!F810,"AAAAACfXfx4=")</f>
        <v>#VALUE!</v>
      </c>
      <c r="AF23">
        <f>IF(Plan1!811:811,"AAAAACfXfx8=",0)</f>
        <v>0</v>
      </c>
      <c r="AG23" t="e">
        <f>AND(Plan1!A811,"AAAAACfXfyA=")</f>
        <v>#VALUE!</v>
      </c>
      <c r="AH23" t="e">
        <f>AND(Plan1!B811,"AAAAACfXfyE=")</f>
        <v>#VALUE!</v>
      </c>
      <c r="AI23" t="e">
        <f>AND(Plan1!C811,"AAAAACfXfyI=")</f>
        <v>#VALUE!</v>
      </c>
      <c r="AJ23" t="e">
        <f>AND(Plan1!D811,"AAAAACfXfyM=")</f>
        <v>#VALUE!</v>
      </c>
      <c r="AK23" t="e">
        <f>AND(Plan1!E811,"AAAAACfXfyQ=")</f>
        <v>#VALUE!</v>
      </c>
      <c r="AL23" t="e">
        <f>AND(Plan1!F811,"AAAAACfXfyU=")</f>
        <v>#VALUE!</v>
      </c>
      <c r="AM23">
        <f>IF(Plan1!812:812,"AAAAACfXfyY=",0)</f>
        <v>0</v>
      </c>
      <c r="AN23" t="e">
        <f>AND(Plan1!A812,"AAAAACfXfyc=")</f>
        <v>#VALUE!</v>
      </c>
      <c r="AO23" t="e">
        <f>AND(Plan1!B812,"AAAAACfXfyg=")</f>
        <v>#VALUE!</v>
      </c>
      <c r="AP23" t="e">
        <f>AND(Plan1!C812,"AAAAACfXfyk=")</f>
        <v>#VALUE!</v>
      </c>
      <c r="AQ23" t="e">
        <f>AND(Plan1!D812,"AAAAACfXfyo=")</f>
        <v>#VALUE!</v>
      </c>
      <c r="AR23" t="e">
        <f>AND(Plan1!E812,"AAAAACfXfys=")</f>
        <v>#VALUE!</v>
      </c>
      <c r="AS23" t="e">
        <f>AND(Plan1!F812,"AAAAACfXfyw=")</f>
        <v>#VALUE!</v>
      </c>
      <c r="AT23">
        <f>IF(Plan1!813:813,"AAAAACfXfy0=",0)</f>
        <v>0</v>
      </c>
      <c r="AU23" t="e">
        <f>AND(Plan1!A813,"AAAAACfXfy4=")</f>
        <v>#VALUE!</v>
      </c>
      <c r="AV23" t="e">
        <f>AND(Plan1!B813,"AAAAACfXfy8=")</f>
        <v>#VALUE!</v>
      </c>
      <c r="AW23" t="e">
        <f>AND(Plan1!C813,"AAAAACfXfzA=")</f>
        <v>#VALUE!</v>
      </c>
      <c r="AX23" t="e">
        <f>AND(Plan1!D813,"AAAAACfXfzE=")</f>
        <v>#VALUE!</v>
      </c>
      <c r="AY23" t="e">
        <f>AND(Plan1!E813,"AAAAACfXfzI=")</f>
        <v>#VALUE!</v>
      </c>
      <c r="AZ23" t="e">
        <f>AND(Plan1!F813,"AAAAACfXfzM=")</f>
        <v>#VALUE!</v>
      </c>
      <c r="BA23">
        <f>IF(Plan1!814:814,"AAAAACfXfzQ=",0)</f>
        <v>0</v>
      </c>
      <c r="BB23" t="e">
        <f>AND(Plan1!A814,"AAAAACfXfzU=")</f>
        <v>#VALUE!</v>
      </c>
      <c r="BC23" t="e">
        <f>AND(Plan1!B814,"AAAAACfXfzY=")</f>
        <v>#VALUE!</v>
      </c>
      <c r="BD23" t="e">
        <f>AND(Plan1!C814,"AAAAACfXfzc=")</f>
        <v>#VALUE!</v>
      </c>
      <c r="BE23" t="e">
        <f>AND(Plan1!D814,"AAAAACfXfzg=")</f>
        <v>#VALUE!</v>
      </c>
      <c r="BF23" t="e">
        <f>AND(Plan1!E814,"AAAAACfXfzk=")</f>
        <v>#VALUE!</v>
      </c>
      <c r="BG23" t="e">
        <f>AND(Plan1!F814,"AAAAACfXfzo=")</f>
        <v>#VALUE!</v>
      </c>
      <c r="BH23">
        <f>IF(Plan1!815:815,"AAAAACfXfzs=",0)</f>
        <v>0</v>
      </c>
      <c r="BI23" t="e">
        <f>AND(Plan1!A815,"AAAAACfXfzw=")</f>
        <v>#VALUE!</v>
      </c>
      <c r="BJ23" t="e">
        <f>AND(Plan1!B815,"AAAAACfXfz0=")</f>
        <v>#VALUE!</v>
      </c>
      <c r="BK23" t="e">
        <f>AND(Plan1!C815,"AAAAACfXfz4=")</f>
        <v>#VALUE!</v>
      </c>
      <c r="BL23" t="e">
        <f>AND(Plan1!D815,"AAAAACfXfz8=")</f>
        <v>#VALUE!</v>
      </c>
      <c r="BM23" t="e">
        <f>AND(Plan1!E815,"AAAAACfXf0A=")</f>
        <v>#VALUE!</v>
      </c>
      <c r="BN23" t="e">
        <f>AND(Plan1!F815,"AAAAACfXf0E=")</f>
        <v>#VALUE!</v>
      </c>
      <c r="BO23">
        <f>IF(Plan1!816:816,"AAAAACfXf0I=",0)</f>
        <v>0</v>
      </c>
      <c r="BP23" t="e">
        <f>AND(Plan1!A816,"AAAAACfXf0M=")</f>
        <v>#VALUE!</v>
      </c>
      <c r="BQ23" t="e">
        <f>AND(Plan1!B816,"AAAAACfXf0Q=")</f>
        <v>#VALUE!</v>
      </c>
      <c r="BR23" t="e">
        <f>AND(Plan1!C816,"AAAAACfXf0U=")</f>
        <v>#VALUE!</v>
      </c>
      <c r="BS23" t="e">
        <f>AND(Plan1!D816,"AAAAACfXf0Y=")</f>
        <v>#VALUE!</v>
      </c>
      <c r="BT23" t="e">
        <f>AND(Plan1!E816,"AAAAACfXf0c=")</f>
        <v>#VALUE!</v>
      </c>
      <c r="BU23" t="e">
        <f>AND(Plan1!F816,"AAAAACfXf0g=")</f>
        <v>#VALUE!</v>
      </c>
      <c r="BV23">
        <f>IF(Plan1!817:817,"AAAAACfXf0k=",0)</f>
        <v>0</v>
      </c>
      <c r="BW23" t="e">
        <f>AND(Plan1!A817,"AAAAACfXf0o=")</f>
        <v>#VALUE!</v>
      </c>
      <c r="BX23" t="e">
        <f>AND(Plan1!B817,"AAAAACfXf0s=")</f>
        <v>#VALUE!</v>
      </c>
      <c r="BY23" t="e">
        <f>AND(Plan1!C817,"AAAAACfXf0w=")</f>
        <v>#VALUE!</v>
      </c>
      <c r="BZ23" t="e">
        <f>AND(Plan1!D817,"AAAAACfXf00=")</f>
        <v>#VALUE!</v>
      </c>
      <c r="CA23" t="e">
        <f>AND(Plan1!E817,"AAAAACfXf04=")</f>
        <v>#VALUE!</v>
      </c>
      <c r="CB23" t="e">
        <f>AND(Plan1!F817,"AAAAACfXf08=")</f>
        <v>#VALUE!</v>
      </c>
      <c r="CC23">
        <f>IF(Plan1!818:818,"AAAAACfXf1A=",0)</f>
        <v>0</v>
      </c>
      <c r="CD23" t="e">
        <f>AND(Plan1!A818,"AAAAACfXf1E=")</f>
        <v>#VALUE!</v>
      </c>
      <c r="CE23" t="e">
        <f>AND(Plan1!B818,"AAAAACfXf1I=")</f>
        <v>#VALUE!</v>
      </c>
      <c r="CF23" t="e">
        <f>AND(Plan1!C818,"AAAAACfXf1M=")</f>
        <v>#VALUE!</v>
      </c>
      <c r="CG23" t="e">
        <f>AND(Plan1!D818,"AAAAACfXf1Q=")</f>
        <v>#VALUE!</v>
      </c>
      <c r="CH23" t="e">
        <f>AND(Plan1!E818,"AAAAACfXf1U=")</f>
        <v>#VALUE!</v>
      </c>
      <c r="CI23" t="e">
        <f>AND(Plan1!F818,"AAAAACfXf1Y=")</f>
        <v>#VALUE!</v>
      </c>
      <c r="CJ23">
        <f>IF(Plan1!819:819,"AAAAACfXf1c=",0)</f>
        <v>0</v>
      </c>
      <c r="CK23" t="e">
        <f>AND(Plan1!A819,"AAAAACfXf1g=")</f>
        <v>#VALUE!</v>
      </c>
      <c r="CL23" t="e">
        <f>AND(Plan1!B819,"AAAAACfXf1k=")</f>
        <v>#VALUE!</v>
      </c>
      <c r="CM23" t="e">
        <f>AND(Plan1!C819,"AAAAACfXf1o=")</f>
        <v>#VALUE!</v>
      </c>
      <c r="CN23" t="e">
        <f>AND(Plan1!D819,"AAAAACfXf1s=")</f>
        <v>#VALUE!</v>
      </c>
      <c r="CO23" t="e">
        <f>AND(Plan1!E819,"AAAAACfXf1w=")</f>
        <v>#VALUE!</v>
      </c>
      <c r="CP23" t="e">
        <f>AND(Plan1!F819,"AAAAACfXf10=")</f>
        <v>#VALUE!</v>
      </c>
      <c r="CQ23">
        <f>IF(Plan1!820:820,"AAAAACfXf14=",0)</f>
        <v>0</v>
      </c>
      <c r="CR23" t="e">
        <f>AND(Plan1!A820,"AAAAACfXf18=")</f>
        <v>#VALUE!</v>
      </c>
      <c r="CS23" t="e">
        <f>AND(Plan1!B820,"AAAAACfXf2A=")</f>
        <v>#VALUE!</v>
      </c>
      <c r="CT23" t="e">
        <f>AND(Plan1!C820,"AAAAACfXf2E=")</f>
        <v>#VALUE!</v>
      </c>
      <c r="CU23" t="e">
        <f>AND(Plan1!D820,"AAAAACfXf2I=")</f>
        <v>#VALUE!</v>
      </c>
      <c r="CV23" t="e">
        <f>AND(Plan1!E820,"AAAAACfXf2M=")</f>
        <v>#VALUE!</v>
      </c>
      <c r="CW23" t="e">
        <f>AND(Plan1!F820,"AAAAACfXf2Q=")</f>
        <v>#VALUE!</v>
      </c>
      <c r="CX23">
        <f>IF(Plan1!821:821,"AAAAACfXf2U=",0)</f>
        <v>0</v>
      </c>
      <c r="CY23" t="e">
        <f>AND(Plan1!A821,"AAAAACfXf2Y=")</f>
        <v>#VALUE!</v>
      </c>
      <c r="CZ23" t="e">
        <f>AND(Plan1!B821,"AAAAACfXf2c=")</f>
        <v>#VALUE!</v>
      </c>
      <c r="DA23" t="e">
        <f>AND(Plan1!C821,"AAAAACfXf2g=")</f>
        <v>#VALUE!</v>
      </c>
      <c r="DB23" t="e">
        <f>AND(Plan1!D821,"AAAAACfXf2k=")</f>
        <v>#VALUE!</v>
      </c>
      <c r="DC23" t="e">
        <f>AND(Plan1!E821,"AAAAACfXf2o=")</f>
        <v>#VALUE!</v>
      </c>
      <c r="DD23" t="e">
        <f>AND(Plan1!F821,"AAAAACfXf2s=")</f>
        <v>#VALUE!</v>
      </c>
      <c r="DE23">
        <f>IF(Plan1!822:822,"AAAAACfXf2w=",0)</f>
        <v>0</v>
      </c>
      <c r="DF23" t="e">
        <f>AND(Plan1!A822,"AAAAACfXf20=")</f>
        <v>#VALUE!</v>
      </c>
      <c r="DG23" t="e">
        <f>AND(Plan1!B822,"AAAAACfXf24=")</f>
        <v>#VALUE!</v>
      </c>
      <c r="DH23" t="e">
        <f>AND(Plan1!C822,"AAAAACfXf28=")</f>
        <v>#VALUE!</v>
      </c>
      <c r="DI23" t="e">
        <f>AND(Plan1!D822,"AAAAACfXf3A=")</f>
        <v>#VALUE!</v>
      </c>
      <c r="DJ23" t="e">
        <f>AND(Plan1!E822,"AAAAACfXf3E=")</f>
        <v>#VALUE!</v>
      </c>
      <c r="DK23" t="e">
        <f>AND(Plan1!F822,"AAAAACfXf3I=")</f>
        <v>#VALUE!</v>
      </c>
      <c r="DL23">
        <f>IF(Plan1!823:823,"AAAAACfXf3M=",0)</f>
        <v>0</v>
      </c>
      <c r="DM23" t="e">
        <f>AND(Plan1!A823,"AAAAACfXf3Q=")</f>
        <v>#VALUE!</v>
      </c>
      <c r="DN23" t="e">
        <f>AND(Plan1!B823,"AAAAACfXf3U=")</f>
        <v>#VALUE!</v>
      </c>
      <c r="DO23" t="e">
        <f>AND(Plan1!C823,"AAAAACfXf3Y=")</f>
        <v>#VALUE!</v>
      </c>
      <c r="DP23" t="e">
        <f>AND(Plan1!D823,"AAAAACfXf3c=")</f>
        <v>#VALUE!</v>
      </c>
      <c r="DQ23" t="e">
        <f>AND(Plan1!E823,"AAAAACfXf3g=")</f>
        <v>#VALUE!</v>
      </c>
      <c r="DR23" t="e">
        <f>AND(Plan1!F823,"AAAAACfXf3k=")</f>
        <v>#VALUE!</v>
      </c>
      <c r="DS23">
        <f>IF(Plan1!824:824,"AAAAACfXf3o=",0)</f>
        <v>0</v>
      </c>
      <c r="DT23" t="e">
        <f>AND(Plan1!A824,"AAAAACfXf3s=")</f>
        <v>#VALUE!</v>
      </c>
      <c r="DU23" t="e">
        <f>AND(Plan1!B824,"AAAAACfXf3w=")</f>
        <v>#VALUE!</v>
      </c>
      <c r="DV23" t="e">
        <f>AND(Plan1!C824,"AAAAACfXf30=")</f>
        <v>#VALUE!</v>
      </c>
      <c r="DW23" t="e">
        <f>AND(Plan1!D824,"AAAAACfXf34=")</f>
        <v>#VALUE!</v>
      </c>
      <c r="DX23" t="e">
        <f>AND(Plan1!E824,"AAAAACfXf38=")</f>
        <v>#VALUE!</v>
      </c>
      <c r="DY23" t="e">
        <f>AND(Plan1!F824,"AAAAACfXf4A=")</f>
        <v>#VALUE!</v>
      </c>
      <c r="DZ23">
        <f>IF(Plan1!825:825,"AAAAACfXf4E=",0)</f>
        <v>0</v>
      </c>
      <c r="EA23" t="e">
        <f>AND(Plan1!A825,"AAAAACfXf4I=")</f>
        <v>#VALUE!</v>
      </c>
      <c r="EB23" t="e">
        <f>AND(Plan1!B825,"AAAAACfXf4M=")</f>
        <v>#VALUE!</v>
      </c>
      <c r="EC23" t="e">
        <f>AND(Plan1!C825,"AAAAACfXf4Q=")</f>
        <v>#VALUE!</v>
      </c>
      <c r="ED23" t="e">
        <f>AND(Plan1!D825,"AAAAACfXf4U=")</f>
        <v>#VALUE!</v>
      </c>
      <c r="EE23" t="e">
        <f>AND(Plan1!E825,"AAAAACfXf4Y=")</f>
        <v>#VALUE!</v>
      </c>
      <c r="EF23" t="e">
        <f>AND(Plan1!F825,"AAAAACfXf4c=")</f>
        <v>#VALUE!</v>
      </c>
      <c r="EG23">
        <f>IF(Plan1!826:826,"AAAAACfXf4g=",0)</f>
        <v>0</v>
      </c>
      <c r="EH23" t="e">
        <f>AND(Plan1!A826,"AAAAACfXf4k=")</f>
        <v>#VALUE!</v>
      </c>
      <c r="EI23" t="e">
        <f>AND(Plan1!B826,"AAAAACfXf4o=")</f>
        <v>#VALUE!</v>
      </c>
      <c r="EJ23" t="e">
        <f>AND(Plan1!C826,"AAAAACfXf4s=")</f>
        <v>#VALUE!</v>
      </c>
      <c r="EK23" t="e">
        <f>AND(Plan1!D826,"AAAAACfXf4w=")</f>
        <v>#VALUE!</v>
      </c>
      <c r="EL23" t="e">
        <f>AND(Plan1!E826,"AAAAACfXf40=")</f>
        <v>#VALUE!</v>
      </c>
      <c r="EM23" t="e">
        <f>AND(Plan1!F826,"AAAAACfXf44=")</f>
        <v>#VALUE!</v>
      </c>
      <c r="EN23">
        <f>IF(Plan1!827:827,"AAAAACfXf48=",0)</f>
        <v>0</v>
      </c>
      <c r="EO23" t="e">
        <f>AND(Plan1!A827,"AAAAACfXf5A=")</f>
        <v>#VALUE!</v>
      </c>
      <c r="EP23" t="e">
        <f>AND(Plan1!B827,"AAAAACfXf5E=")</f>
        <v>#VALUE!</v>
      </c>
      <c r="EQ23" t="e">
        <f>AND(Plan1!C827,"AAAAACfXf5I=")</f>
        <v>#VALUE!</v>
      </c>
      <c r="ER23" t="e">
        <f>AND(Plan1!D827,"AAAAACfXf5M=")</f>
        <v>#VALUE!</v>
      </c>
      <c r="ES23" t="e">
        <f>AND(Plan1!E827,"AAAAACfXf5Q=")</f>
        <v>#VALUE!</v>
      </c>
      <c r="ET23" t="e">
        <f>AND(Plan1!F827,"AAAAACfXf5U=")</f>
        <v>#VALUE!</v>
      </c>
      <c r="EU23">
        <f>IF(Plan1!828:828,"AAAAACfXf5Y=",0)</f>
        <v>0</v>
      </c>
      <c r="EV23" t="e">
        <f>AND(Plan1!A828,"AAAAACfXf5c=")</f>
        <v>#VALUE!</v>
      </c>
      <c r="EW23" t="e">
        <f>AND(Plan1!B828,"AAAAACfXf5g=")</f>
        <v>#VALUE!</v>
      </c>
      <c r="EX23" t="e">
        <f>AND(Plan1!C828,"AAAAACfXf5k=")</f>
        <v>#VALUE!</v>
      </c>
      <c r="EY23" t="e">
        <f>AND(Plan1!D828,"AAAAACfXf5o=")</f>
        <v>#VALUE!</v>
      </c>
      <c r="EZ23" t="e">
        <f>AND(Plan1!E828,"AAAAACfXf5s=")</f>
        <v>#VALUE!</v>
      </c>
      <c r="FA23" t="e">
        <f>AND(Plan1!F828,"AAAAACfXf5w=")</f>
        <v>#VALUE!</v>
      </c>
      <c r="FB23">
        <f>IF(Plan1!829:829,"AAAAACfXf50=",0)</f>
        <v>0</v>
      </c>
      <c r="FC23" t="e">
        <f>AND(Plan1!A829,"AAAAACfXf54=")</f>
        <v>#VALUE!</v>
      </c>
      <c r="FD23" t="e">
        <f>AND(Plan1!B829,"AAAAACfXf58=")</f>
        <v>#VALUE!</v>
      </c>
      <c r="FE23" t="e">
        <f>AND(Plan1!C829,"AAAAACfXf6A=")</f>
        <v>#VALUE!</v>
      </c>
      <c r="FF23" t="e">
        <f>AND(Plan1!D829,"AAAAACfXf6E=")</f>
        <v>#VALUE!</v>
      </c>
      <c r="FG23" t="e">
        <f>AND(Plan1!E829,"AAAAACfXf6I=")</f>
        <v>#VALUE!</v>
      </c>
      <c r="FH23" t="e">
        <f>AND(Plan1!F829,"AAAAACfXf6M=")</f>
        <v>#VALUE!</v>
      </c>
      <c r="FI23">
        <f>IF(Plan1!830:830,"AAAAACfXf6Q=",0)</f>
        <v>0</v>
      </c>
      <c r="FJ23" t="e">
        <f>AND(Plan1!A830,"AAAAACfXf6U=")</f>
        <v>#VALUE!</v>
      </c>
      <c r="FK23" t="e">
        <f>AND(Plan1!B830,"AAAAACfXf6Y=")</f>
        <v>#VALUE!</v>
      </c>
      <c r="FL23" t="e">
        <f>AND(Plan1!C830,"AAAAACfXf6c=")</f>
        <v>#VALUE!</v>
      </c>
      <c r="FM23" t="e">
        <f>AND(Plan1!D830,"AAAAACfXf6g=")</f>
        <v>#VALUE!</v>
      </c>
      <c r="FN23" t="e">
        <f>AND(Plan1!E830,"AAAAACfXf6k=")</f>
        <v>#VALUE!</v>
      </c>
      <c r="FO23" t="e">
        <f>AND(Plan1!F830,"AAAAACfXf6o=")</f>
        <v>#VALUE!</v>
      </c>
      <c r="FP23">
        <f>IF(Plan1!831:831,"AAAAACfXf6s=",0)</f>
        <v>0</v>
      </c>
      <c r="FQ23" t="e">
        <f>AND(Plan1!A831,"AAAAACfXf6w=")</f>
        <v>#VALUE!</v>
      </c>
      <c r="FR23" t="e">
        <f>AND(Plan1!B831,"AAAAACfXf60=")</f>
        <v>#VALUE!</v>
      </c>
      <c r="FS23" t="e">
        <f>AND(Plan1!C831,"AAAAACfXf64=")</f>
        <v>#VALUE!</v>
      </c>
      <c r="FT23" t="e">
        <f>AND(Plan1!D831,"AAAAACfXf68=")</f>
        <v>#VALUE!</v>
      </c>
      <c r="FU23" t="e">
        <f>AND(Plan1!E831,"AAAAACfXf7A=")</f>
        <v>#VALUE!</v>
      </c>
      <c r="FV23" t="e">
        <f>AND(Plan1!F831,"AAAAACfXf7E=")</f>
        <v>#VALUE!</v>
      </c>
      <c r="FW23">
        <f>IF(Plan1!832:832,"AAAAACfXf7I=",0)</f>
        <v>0</v>
      </c>
      <c r="FX23" t="e">
        <f>AND(Plan1!A832,"AAAAACfXf7M=")</f>
        <v>#VALUE!</v>
      </c>
      <c r="FY23" t="e">
        <f>AND(Plan1!B832,"AAAAACfXf7Q=")</f>
        <v>#VALUE!</v>
      </c>
      <c r="FZ23" t="e">
        <f>AND(Plan1!C832,"AAAAACfXf7U=")</f>
        <v>#VALUE!</v>
      </c>
      <c r="GA23" t="e">
        <f>AND(Plan1!D832,"AAAAACfXf7Y=")</f>
        <v>#VALUE!</v>
      </c>
      <c r="GB23" t="e">
        <f>AND(Plan1!E832,"AAAAACfXf7c=")</f>
        <v>#VALUE!</v>
      </c>
      <c r="GC23" t="e">
        <f>AND(Plan1!F832,"AAAAACfXf7g=")</f>
        <v>#VALUE!</v>
      </c>
      <c r="GD23">
        <f>IF(Plan1!833:833,"AAAAACfXf7k=",0)</f>
        <v>0</v>
      </c>
      <c r="GE23" t="e">
        <f>AND(Plan1!A833,"AAAAACfXf7o=")</f>
        <v>#VALUE!</v>
      </c>
      <c r="GF23" t="e">
        <f>AND(Plan1!B833,"AAAAACfXf7s=")</f>
        <v>#VALUE!</v>
      </c>
      <c r="GG23" t="e">
        <f>AND(Plan1!C833,"AAAAACfXf7w=")</f>
        <v>#VALUE!</v>
      </c>
      <c r="GH23" t="e">
        <f>AND(Plan1!D833,"AAAAACfXf70=")</f>
        <v>#VALUE!</v>
      </c>
      <c r="GI23" t="e">
        <f>AND(Plan1!E833,"AAAAACfXf74=")</f>
        <v>#VALUE!</v>
      </c>
      <c r="GJ23" t="e">
        <f>AND(Plan1!F833,"AAAAACfXf78=")</f>
        <v>#VALUE!</v>
      </c>
      <c r="GK23">
        <f>IF(Plan1!834:834,"AAAAACfXf8A=",0)</f>
        <v>0</v>
      </c>
      <c r="GL23" t="e">
        <f>AND(Plan1!A834,"AAAAACfXf8E=")</f>
        <v>#VALUE!</v>
      </c>
      <c r="GM23" t="e">
        <f>AND(Plan1!B834,"AAAAACfXf8I=")</f>
        <v>#VALUE!</v>
      </c>
      <c r="GN23" t="e">
        <f>AND(Plan1!C834,"AAAAACfXf8M=")</f>
        <v>#VALUE!</v>
      </c>
      <c r="GO23" t="e">
        <f>AND(Plan1!D834,"AAAAACfXf8Q=")</f>
        <v>#VALUE!</v>
      </c>
      <c r="GP23" t="e">
        <f>AND(Plan1!E834,"AAAAACfXf8U=")</f>
        <v>#VALUE!</v>
      </c>
      <c r="GQ23" t="e">
        <f>AND(Plan1!F834,"AAAAACfXf8Y=")</f>
        <v>#VALUE!</v>
      </c>
      <c r="GR23">
        <f>IF(Plan1!835:835,"AAAAACfXf8c=",0)</f>
        <v>0</v>
      </c>
      <c r="GS23" t="e">
        <f>AND(Plan1!A835,"AAAAACfXf8g=")</f>
        <v>#VALUE!</v>
      </c>
      <c r="GT23" t="e">
        <f>AND(Plan1!B835,"AAAAACfXf8k=")</f>
        <v>#VALUE!</v>
      </c>
      <c r="GU23" t="e">
        <f>AND(Plan1!C835,"AAAAACfXf8o=")</f>
        <v>#VALUE!</v>
      </c>
      <c r="GV23" t="e">
        <f>AND(Plan1!D835,"AAAAACfXf8s=")</f>
        <v>#VALUE!</v>
      </c>
      <c r="GW23" t="e">
        <f>AND(Plan1!E835,"AAAAACfXf8w=")</f>
        <v>#VALUE!</v>
      </c>
      <c r="GX23" t="e">
        <f>AND(Plan1!F835,"AAAAACfXf80=")</f>
        <v>#VALUE!</v>
      </c>
      <c r="GY23">
        <f>IF(Plan1!836:836,"AAAAACfXf84=",0)</f>
        <v>0</v>
      </c>
      <c r="GZ23" t="e">
        <f>AND(Plan1!A836,"AAAAACfXf88=")</f>
        <v>#VALUE!</v>
      </c>
      <c r="HA23" t="e">
        <f>AND(Plan1!B836,"AAAAACfXf9A=")</f>
        <v>#VALUE!</v>
      </c>
      <c r="HB23" t="e">
        <f>AND(Plan1!C836,"AAAAACfXf9E=")</f>
        <v>#VALUE!</v>
      </c>
      <c r="HC23" t="e">
        <f>AND(Plan1!D836,"AAAAACfXf9I=")</f>
        <v>#VALUE!</v>
      </c>
      <c r="HD23" t="e">
        <f>AND(Plan1!E836,"AAAAACfXf9M=")</f>
        <v>#VALUE!</v>
      </c>
      <c r="HE23" t="e">
        <f>AND(Plan1!F836,"AAAAACfXf9Q=")</f>
        <v>#VALUE!</v>
      </c>
      <c r="HF23">
        <f>IF(Plan1!837:837,"AAAAACfXf9U=",0)</f>
        <v>0</v>
      </c>
      <c r="HG23" t="e">
        <f>AND(Plan1!A837,"AAAAACfXf9Y=")</f>
        <v>#VALUE!</v>
      </c>
      <c r="HH23" t="e">
        <f>AND(Plan1!B837,"AAAAACfXf9c=")</f>
        <v>#VALUE!</v>
      </c>
      <c r="HI23" t="e">
        <f>AND(Plan1!C837,"AAAAACfXf9g=")</f>
        <v>#VALUE!</v>
      </c>
      <c r="HJ23" t="e">
        <f>AND(Plan1!D837,"AAAAACfXf9k=")</f>
        <v>#VALUE!</v>
      </c>
      <c r="HK23" t="e">
        <f>AND(Plan1!E837,"AAAAACfXf9o=")</f>
        <v>#VALUE!</v>
      </c>
      <c r="HL23" t="e">
        <f>AND(Plan1!F837,"AAAAACfXf9s=")</f>
        <v>#VALUE!</v>
      </c>
      <c r="HM23">
        <f>IF(Plan1!838:838,"AAAAACfXf9w=",0)</f>
        <v>0</v>
      </c>
      <c r="HN23" t="e">
        <f>AND(Plan1!A838,"AAAAACfXf90=")</f>
        <v>#VALUE!</v>
      </c>
      <c r="HO23" t="e">
        <f>AND(Plan1!B838,"AAAAACfXf94=")</f>
        <v>#VALUE!</v>
      </c>
      <c r="HP23" t="e">
        <f>AND(Plan1!C838,"AAAAACfXf98=")</f>
        <v>#VALUE!</v>
      </c>
      <c r="HQ23" t="e">
        <f>AND(Plan1!D838,"AAAAACfXf+A=")</f>
        <v>#VALUE!</v>
      </c>
      <c r="HR23" t="e">
        <f>AND(Plan1!E838,"AAAAACfXf+E=")</f>
        <v>#VALUE!</v>
      </c>
      <c r="HS23" t="e">
        <f>AND(Plan1!F838,"AAAAACfXf+I=")</f>
        <v>#VALUE!</v>
      </c>
      <c r="HT23">
        <f>IF(Plan1!839:839,"AAAAACfXf+M=",0)</f>
        <v>0</v>
      </c>
      <c r="HU23" t="e">
        <f>AND(Plan1!A839,"AAAAACfXf+Q=")</f>
        <v>#VALUE!</v>
      </c>
      <c r="HV23" t="e">
        <f>AND(Plan1!B839,"AAAAACfXf+U=")</f>
        <v>#VALUE!</v>
      </c>
      <c r="HW23" t="e">
        <f>AND(Plan1!C839,"AAAAACfXf+Y=")</f>
        <v>#VALUE!</v>
      </c>
      <c r="HX23" t="e">
        <f>AND(Plan1!D839,"AAAAACfXf+c=")</f>
        <v>#VALUE!</v>
      </c>
      <c r="HY23" t="e">
        <f>AND(Plan1!E839,"AAAAACfXf+g=")</f>
        <v>#VALUE!</v>
      </c>
      <c r="HZ23" t="e">
        <f>AND(Plan1!F839,"AAAAACfXf+k=")</f>
        <v>#VALUE!</v>
      </c>
      <c r="IA23">
        <f>IF(Plan1!840:840,"AAAAACfXf+o=",0)</f>
        <v>0</v>
      </c>
      <c r="IB23" t="e">
        <f>AND(Plan1!A840,"AAAAACfXf+s=")</f>
        <v>#VALUE!</v>
      </c>
      <c r="IC23" t="e">
        <f>AND(Plan1!B840,"AAAAACfXf+w=")</f>
        <v>#VALUE!</v>
      </c>
      <c r="ID23" t="e">
        <f>AND(Plan1!C840,"AAAAACfXf+0=")</f>
        <v>#VALUE!</v>
      </c>
      <c r="IE23" t="e">
        <f>AND(Plan1!D840,"AAAAACfXf+4=")</f>
        <v>#VALUE!</v>
      </c>
      <c r="IF23" t="e">
        <f>AND(Plan1!E840,"AAAAACfXf+8=")</f>
        <v>#VALUE!</v>
      </c>
      <c r="IG23" t="e">
        <f>AND(Plan1!F840,"AAAAACfXf/A=")</f>
        <v>#VALUE!</v>
      </c>
      <c r="IH23">
        <f>IF(Plan1!841:841,"AAAAACfXf/E=",0)</f>
        <v>0</v>
      </c>
      <c r="II23" t="e">
        <f>AND(Plan1!A841,"AAAAACfXf/I=")</f>
        <v>#VALUE!</v>
      </c>
      <c r="IJ23" t="e">
        <f>AND(Plan1!B841,"AAAAACfXf/M=")</f>
        <v>#VALUE!</v>
      </c>
      <c r="IK23" t="e">
        <f>AND(Plan1!C841,"AAAAACfXf/Q=")</f>
        <v>#VALUE!</v>
      </c>
      <c r="IL23" t="e">
        <f>AND(Plan1!D841,"AAAAACfXf/U=")</f>
        <v>#VALUE!</v>
      </c>
      <c r="IM23" t="e">
        <f>AND(Plan1!E841,"AAAAACfXf/Y=")</f>
        <v>#VALUE!</v>
      </c>
      <c r="IN23" t="e">
        <f>AND(Plan1!F841,"AAAAACfXf/c=")</f>
        <v>#VALUE!</v>
      </c>
      <c r="IO23">
        <f>IF(Plan1!842:842,"AAAAACfXf/g=",0)</f>
        <v>0</v>
      </c>
      <c r="IP23" t="e">
        <f>AND(Plan1!A842,"AAAAACfXf/k=")</f>
        <v>#VALUE!</v>
      </c>
      <c r="IQ23" t="e">
        <f>AND(Plan1!B842,"AAAAACfXf/o=")</f>
        <v>#VALUE!</v>
      </c>
      <c r="IR23" t="e">
        <f>AND(Plan1!C842,"AAAAACfXf/s=")</f>
        <v>#VALUE!</v>
      </c>
      <c r="IS23" t="e">
        <f>AND(Plan1!D842,"AAAAACfXf/w=")</f>
        <v>#VALUE!</v>
      </c>
      <c r="IT23" t="e">
        <f>AND(Plan1!E842,"AAAAACfXf/0=")</f>
        <v>#VALUE!</v>
      </c>
      <c r="IU23" t="e">
        <f>AND(Plan1!F842,"AAAAACfXf/4=")</f>
        <v>#VALUE!</v>
      </c>
      <c r="IV23">
        <f>IF(Plan1!843:843,"AAAAACfXf/8=",0)</f>
        <v>0</v>
      </c>
    </row>
    <row r="24" spans="1:256">
      <c r="A24" t="e">
        <f>AND(Plan1!A843,"AAAAAHvv7QA=")</f>
        <v>#VALUE!</v>
      </c>
      <c r="B24" t="e">
        <f>AND(Plan1!B843,"AAAAAHvv7QE=")</f>
        <v>#VALUE!</v>
      </c>
      <c r="C24" t="e">
        <f>AND(Plan1!C843,"AAAAAHvv7QI=")</f>
        <v>#VALUE!</v>
      </c>
      <c r="D24" t="e">
        <f>AND(Plan1!D843,"AAAAAHvv7QM=")</f>
        <v>#VALUE!</v>
      </c>
      <c r="E24" t="e">
        <f>AND(Plan1!E843,"AAAAAHvv7QQ=")</f>
        <v>#VALUE!</v>
      </c>
      <c r="F24" t="e">
        <f>AND(Plan1!F843,"AAAAAHvv7QU=")</f>
        <v>#VALUE!</v>
      </c>
      <c r="G24">
        <f>IF(Plan1!844:844,"AAAAAHvv7QY=",0)</f>
        <v>0</v>
      </c>
      <c r="H24" t="e">
        <f>AND(Plan1!A844,"AAAAAHvv7Qc=")</f>
        <v>#VALUE!</v>
      </c>
      <c r="I24" t="e">
        <f>AND(Plan1!B844,"AAAAAHvv7Qg=")</f>
        <v>#VALUE!</v>
      </c>
      <c r="J24" t="e">
        <f>AND(Plan1!C844,"AAAAAHvv7Qk=")</f>
        <v>#VALUE!</v>
      </c>
      <c r="K24" t="e">
        <f>AND(Plan1!D844,"AAAAAHvv7Qo=")</f>
        <v>#VALUE!</v>
      </c>
      <c r="L24" t="e">
        <f>AND(Plan1!E844,"AAAAAHvv7Qs=")</f>
        <v>#VALUE!</v>
      </c>
      <c r="M24" t="e">
        <f>AND(Plan1!F844,"AAAAAHvv7Qw=")</f>
        <v>#VALUE!</v>
      </c>
      <c r="N24">
        <f>IF(Plan1!845:845,"AAAAAHvv7Q0=",0)</f>
        <v>0</v>
      </c>
      <c r="O24" t="e">
        <f>AND(Plan1!A845,"AAAAAHvv7Q4=")</f>
        <v>#VALUE!</v>
      </c>
      <c r="P24" t="e">
        <f>AND(Plan1!B845,"AAAAAHvv7Q8=")</f>
        <v>#VALUE!</v>
      </c>
      <c r="Q24" t="e">
        <f>AND(Plan1!C845,"AAAAAHvv7RA=")</f>
        <v>#VALUE!</v>
      </c>
      <c r="R24" t="e">
        <f>AND(Plan1!D845,"AAAAAHvv7RE=")</f>
        <v>#VALUE!</v>
      </c>
      <c r="S24" t="e">
        <f>AND(Plan1!E845,"AAAAAHvv7RI=")</f>
        <v>#VALUE!</v>
      </c>
      <c r="T24" t="e">
        <f>AND(Plan1!F845,"AAAAAHvv7RM=")</f>
        <v>#VALUE!</v>
      </c>
      <c r="U24">
        <f>IF(Plan1!846:846,"AAAAAHvv7RQ=",0)</f>
        <v>0</v>
      </c>
      <c r="V24" t="e">
        <f>AND(Plan1!A846,"AAAAAHvv7RU=")</f>
        <v>#VALUE!</v>
      </c>
      <c r="W24" t="e">
        <f>AND(Plan1!B846,"AAAAAHvv7RY=")</f>
        <v>#VALUE!</v>
      </c>
      <c r="X24" t="e">
        <f>AND(Plan1!C846,"AAAAAHvv7Rc=")</f>
        <v>#VALUE!</v>
      </c>
      <c r="Y24" t="e">
        <f>AND(Plan1!D846,"AAAAAHvv7Rg=")</f>
        <v>#VALUE!</v>
      </c>
      <c r="Z24" t="e">
        <f>AND(Plan1!E846,"AAAAAHvv7Rk=")</f>
        <v>#VALUE!</v>
      </c>
      <c r="AA24" t="e">
        <f>AND(Plan1!F846,"AAAAAHvv7Ro=")</f>
        <v>#VALUE!</v>
      </c>
      <c r="AB24">
        <f>IF(Plan1!847:847,"AAAAAHvv7Rs=",0)</f>
        <v>0</v>
      </c>
      <c r="AC24" t="e">
        <f>AND(Plan1!A847,"AAAAAHvv7Rw=")</f>
        <v>#VALUE!</v>
      </c>
      <c r="AD24" t="e">
        <f>AND(Plan1!B847,"AAAAAHvv7R0=")</f>
        <v>#VALUE!</v>
      </c>
      <c r="AE24" t="e">
        <f>AND(Plan1!C847,"AAAAAHvv7R4=")</f>
        <v>#VALUE!</v>
      </c>
      <c r="AF24" t="e">
        <f>AND(Plan1!D847,"AAAAAHvv7R8=")</f>
        <v>#VALUE!</v>
      </c>
      <c r="AG24" t="e">
        <f>AND(Plan1!E847,"AAAAAHvv7SA=")</f>
        <v>#VALUE!</v>
      </c>
      <c r="AH24" t="e">
        <f>AND(Plan1!F847,"AAAAAHvv7SE=")</f>
        <v>#VALUE!</v>
      </c>
      <c r="AI24">
        <f>IF(Plan1!848:848,"AAAAAHvv7SI=",0)</f>
        <v>0</v>
      </c>
      <c r="AJ24" t="e">
        <f>AND(Plan1!A848,"AAAAAHvv7SM=")</f>
        <v>#VALUE!</v>
      </c>
      <c r="AK24" t="e">
        <f>AND(Plan1!B848,"AAAAAHvv7SQ=")</f>
        <v>#VALUE!</v>
      </c>
      <c r="AL24" t="e">
        <f>AND(Plan1!C848,"AAAAAHvv7SU=")</f>
        <v>#VALUE!</v>
      </c>
      <c r="AM24" t="e">
        <f>AND(Plan1!D848,"AAAAAHvv7SY=")</f>
        <v>#VALUE!</v>
      </c>
      <c r="AN24" t="e">
        <f>AND(Plan1!E848,"AAAAAHvv7Sc=")</f>
        <v>#VALUE!</v>
      </c>
      <c r="AO24" t="e">
        <f>AND(Plan1!F848,"AAAAAHvv7Sg=")</f>
        <v>#VALUE!</v>
      </c>
      <c r="AP24">
        <f>IF(Plan1!849:849,"AAAAAHvv7Sk=",0)</f>
        <v>0</v>
      </c>
      <c r="AQ24" t="e">
        <f>AND(Plan1!A849,"AAAAAHvv7So=")</f>
        <v>#VALUE!</v>
      </c>
      <c r="AR24" t="e">
        <f>AND(Plan1!B849,"AAAAAHvv7Ss=")</f>
        <v>#VALUE!</v>
      </c>
      <c r="AS24" t="e">
        <f>AND(Plan1!C849,"AAAAAHvv7Sw=")</f>
        <v>#VALUE!</v>
      </c>
      <c r="AT24" t="e">
        <f>AND(Plan1!D849,"AAAAAHvv7S0=")</f>
        <v>#VALUE!</v>
      </c>
      <c r="AU24" t="e">
        <f>AND(Plan1!E849,"AAAAAHvv7S4=")</f>
        <v>#VALUE!</v>
      </c>
      <c r="AV24" t="e">
        <f>AND(Plan1!F849,"AAAAAHvv7S8=")</f>
        <v>#VALUE!</v>
      </c>
      <c r="AW24">
        <f>IF(Plan1!850:850,"AAAAAHvv7TA=",0)</f>
        <v>0</v>
      </c>
      <c r="AX24" t="e">
        <f>AND(Plan1!A850,"AAAAAHvv7TE=")</f>
        <v>#VALUE!</v>
      </c>
      <c r="AY24" t="e">
        <f>AND(Plan1!B850,"AAAAAHvv7TI=")</f>
        <v>#VALUE!</v>
      </c>
      <c r="AZ24" t="e">
        <f>AND(Plan1!C850,"AAAAAHvv7TM=")</f>
        <v>#VALUE!</v>
      </c>
      <c r="BA24" t="e">
        <f>AND(Plan1!D850,"AAAAAHvv7TQ=")</f>
        <v>#VALUE!</v>
      </c>
      <c r="BB24" t="e">
        <f>AND(Plan1!E850,"AAAAAHvv7TU=")</f>
        <v>#VALUE!</v>
      </c>
      <c r="BC24" t="e">
        <f>AND(Plan1!F850,"AAAAAHvv7TY=")</f>
        <v>#VALUE!</v>
      </c>
      <c r="BD24">
        <f>IF(Plan1!851:851,"AAAAAHvv7Tc=",0)</f>
        <v>0</v>
      </c>
      <c r="BE24" t="e">
        <f>AND(Plan1!A851,"AAAAAHvv7Tg=")</f>
        <v>#VALUE!</v>
      </c>
      <c r="BF24" t="e">
        <f>AND(Plan1!B851,"AAAAAHvv7Tk=")</f>
        <v>#VALUE!</v>
      </c>
      <c r="BG24" t="e">
        <f>AND(Plan1!C851,"AAAAAHvv7To=")</f>
        <v>#VALUE!</v>
      </c>
      <c r="BH24" t="e">
        <f>AND(Plan1!D851,"AAAAAHvv7Ts=")</f>
        <v>#VALUE!</v>
      </c>
      <c r="BI24" t="e">
        <f>AND(Plan1!E851,"AAAAAHvv7Tw=")</f>
        <v>#VALUE!</v>
      </c>
      <c r="BJ24" t="e">
        <f>AND(Plan1!F851,"AAAAAHvv7T0=")</f>
        <v>#VALUE!</v>
      </c>
      <c r="BK24">
        <f>IF(Plan1!852:852,"AAAAAHvv7T4=",0)</f>
        <v>0</v>
      </c>
      <c r="BL24" t="e">
        <f>AND(Plan1!A852,"AAAAAHvv7T8=")</f>
        <v>#VALUE!</v>
      </c>
      <c r="BM24" t="e">
        <f>AND(Plan1!B852,"AAAAAHvv7UA=")</f>
        <v>#VALUE!</v>
      </c>
      <c r="BN24" t="e">
        <f>AND(Plan1!C852,"AAAAAHvv7UE=")</f>
        <v>#VALUE!</v>
      </c>
      <c r="BO24" t="e">
        <f>AND(Plan1!D852,"AAAAAHvv7UI=")</f>
        <v>#VALUE!</v>
      </c>
      <c r="BP24" t="e">
        <f>AND(Plan1!E852,"AAAAAHvv7UM=")</f>
        <v>#VALUE!</v>
      </c>
      <c r="BQ24" t="e">
        <f>AND(Plan1!F852,"AAAAAHvv7UQ=")</f>
        <v>#VALUE!</v>
      </c>
      <c r="BR24">
        <f>IF(Plan1!853:853,"AAAAAHvv7UU=",0)</f>
        <v>0</v>
      </c>
      <c r="BS24" t="e">
        <f>AND(Plan1!A853,"AAAAAHvv7UY=")</f>
        <v>#VALUE!</v>
      </c>
      <c r="BT24" t="e">
        <f>AND(Plan1!B853,"AAAAAHvv7Uc=")</f>
        <v>#VALUE!</v>
      </c>
      <c r="BU24" t="e">
        <f>AND(Plan1!C853,"AAAAAHvv7Ug=")</f>
        <v>#VALUE!</v>
      </c>
      <c r="BV24" t="e">
        <f>AND(Plan1!D853,"AAAAAHvv7Uk=")</f>
        <v>#VALUE!</v>
      </c>
      <c r="BW24" t="e">
        <f>AND(Plan1!E853,"AAAAAHvv7Uo=")</f>
        <v>#VALUE!</v>
      </c>
      <c r="BX24" t="e">
        <f>AND(Plan1!F853,"AAAAAHvv7Us=")</f>
        <v>#VALUE!</v>
      </c>
      <c r="BY24">
        <f>IF(Plan1!854:854,"AAAAAHvv7Uw=",0)</f>
        <v>0</v>
      </c>
      <c r="BZ24" t="e">
        <f>AND(Plan1!A854,"AAAAAHvv7U0=")</f>
        <v>#VALUE!</v>
      </c>
      <c r="CA24" t="e">
        <f>AND(Plan1!B854,"AAAAAHvv7U4=")</f>
        <v>#VALUE!</v>
      </c>
      <c r="CB24" t="e">
        <f>AND(Plan1!C854,"AAAAAHvv7U8=")</f>
        <v>#VALUE!</v>
      </c>
      <c r="CC24" t="e">
        <f>AND(Plan1!D854,"AAAAAHvv7VA=")</f>
        <v>#VALUE!</v>
      </c>
      <c r="CD24" t="e">
        <f>AND(Plan1!E854,"AAAAAHvv7VE=")</f>
        <v>#VALUE!</v>
      </c>
      <c r="CE24" t="e">
        <f>AND(Plan1!F854,"AAAAAHvv7VI=")</f>
        <v>#VALUE!</v>
      </c>
      <c r="CF24">
        <f>IF(Plan1!855:855,"AAAAAHvv7VM=",0)</f>
        <v>0</v>
      </c>
      <c r="CG24" t="e">
        <f>AND(Plan1!A855,"AAAAAHvv7VQ=")</f>
        <v>#VALUE!</v>
      </c>
      <c r="CH24" t="e">
        <f>AND(Plan1!B855,"AAAAAHvv7VU=")</f>
        <v>#VALUE!</v>
      </c>
      <c r="CI24" t="e">
        <f>AND(Plan1!C855,"AAAAAHvv7VY=")</f>
        <v>#VALUE!</v>
      </c>
      <c r="CJ24" t="e">
        <f>AND(Plan1!D855,"AAAAAHvv7Vc=")</f>
        <v>#VALUE!</v>
      </c>
      <c r="CK24" t="e">
        <f>AND(Plan1!E855,"AAAAAHvv7Vg=")</f>
        <v>#VALUE!</v>
      </c>
      <c r="CL24" t="e">
        <f>AND(Plan1!F855,"AAAAAHvv7Vk=")</f>
        <v>#VALUE!</v>
      </c>
      <c r="CM24">
        <f>IF(Plan1!856:856,"AAAAAHvv7Vo=",0)</f>
        <v>0</v>
      </c>
      <c r="CN24" t="e">
        <f>AND(Plan1!A856,"AAAAAHvv7Vs=")</f>
        <v>#VALUE!</v>
      </c>
      <c r="CO24" t="e">
        <f>AND(Plan1!B856,"AAAAAHvv7Vw=")</f>
        <v>#VALUE!</v>
      </c>
      <c r="CP24" t="e">
        <f>AND(Plan1!C856,"AAAAAHvv7V0=")</f>
        <v>#VALUE!</v>
      </c>
      <c r="CQ24" t="e">
        <f>AND(Plan1!D856,"AAAAAHvv7V4=")</f>
        <v>#VALUE!</v>
      </c>
      <c r="CR24" t="e">
        <f>AND(Plan1!E856,"AAAAAHvv7V8=")</f>
        <v>#VALUE!</v>
      </c>
      <c r="CS24" t="e">
        <f>AND(Plan1!F856,"AAAAAHvv7WA=")</f>
        <v>#VALUE!</v>
      </c>
      <c r="CT24">
        <f>IF(Plan1!857:857,"AAAAAHvv7WE=",0)</f>
        <v>0</v>
      </c>
      <c r="CU24" t="e">
        <f>AND(Plan1!A857,"AAAAAHvv7WI=")</f>
        <v>#VALUE!</v>
      </c>
      <c r="CV24" t="e">
        <f>AND(Plan1!B857,"AAAAAHvv7WM=")</f>
        <v>#VALUE!</v>
      </c>
      <c r="CW24" t="e">
        <f>AND(Plan1!C857,"AAAAAHvv7WQ=")</f>
        <v>#VALUE!</v>
      </c>
      <c r="CX24" t="e">
        <f>AND(Plan1!D857,"AAAAAHvv7WU=")</f>
        <v>#VALUE!</v>
      </c>
      <c r="CY24" t="e">
        <f>AND(Plan1!E857,"AAAAAHvv7WY=")</f>
        <v>#VALUE!</v>
      </c>
      <c r="CZ24" t="e">
        <f>AND(Plan1!F857,"AAAAAHvv7Wc=")</f>
        <v>#VALUE!</v>
      </c>
      <c r="DA24">
        <f>IF(Plan1!858:858,"AAAAAHvv7Wg=",0)</f>
        <v>0</v>
      </c>
      <c r="DB24" t="e">
        <f>AND(Plan1!A858,"AAAAAHvv7Wk=")</f>
        <v>#VALUE!</v>
      </c>
      <c r="DC24" t="e">
        <f>AND(Plan1!B858,"AAAAAHvv7Wo=")</f>
        <v>#VALUE!</v>
      </c>
      <c r="DD24" t="e">
        <f>AND(Plan1!C858,"AAAAAHvv7Ws=")</f>
        <v>#VALUE!</v>
      </c>
      <c r="DE24" t="e">
        <f>AND(Plan1!D858,"AAAAAHvv7Ww=")</f>
        <v>#VALUE!</v>
      </c>
      <c r="DF24" t="e">
        <f>AND(Plan1!E858,"AAAAAHvv7W0=")</f>
        <v>#VALUE!</v>
      </c>
      <c r="DG24" t="e">
        <f>AND(Plan1!F858,"AAAAAHvv7W4=")</f>
        <v>#VALUE!</v>
      </c>
      <c r="DH24">
        <f>IF(Plan1!859:859,"AAAAAHvv7W8=",0)</f>
        <v>0</v>
      </c>
      <c r="DI24" t="e">
        <f>AND(Plan1!A859,"AAAAAHvv7XA=")</f>
        <v>#VALUE!</v>
      </c>
      <c r="DJ24" t="e">
        <f>AND(Plan1!B859,"AAAAAHvv7XE=")</f>
        <v>#VALUE!</v>
      </c>
      <c r="DK24" t="e">
        <f>AND(Plan1!C859,"AAAAAHvv7XI=")</f>
        <v>#VALUE!</v>
      </c>
      <c r="DL24" t="e">
        <f>AND(Plan1!D859,"AAAAAHvv7XM=")</f>
        <v>#VALUE!</v>
      </c>
      <c r="DM24" t="e">
        <f>AND(Plan1!E859,"AAAAAHvv7XQ=")</f>
        <v>#VALUE!</v>
      </c>
      <c r="DN24" t="e">
        <f>AND(Plan1!F859,"AAAAAHvv7XU=")</f>
        <v>#VALUE!</v>
      </c>
      <c r="DO24">
        <f>IF(Plan1!860:860,"AAAAAHvv7XY=",0)</f>
        <v>0</v>
      </c>
      <c r="DP24" t="e">
        <f>AND(Plan1!A860,"AAAAAHvv7Xc=")</f>
        <v>#VALUE!</v>
      </c>
      <c r="DQ24" t="e">
        <f>AND(Plan1!B860,"AAAAAHvv7Xg=")</f>
        <v>#VALUE!</v>
      </c>
      <c r="DR24" t="e">
        <f>AND(Plan1!C860,"AAAAAHvv7Xk=")</f>
        <v>#VALUE!</v>
      </c>
      <c r="DS24" t="e">
        <f>AND(Plan1!D860,"AAAAAHvv7Xo=")</f>
        <v>#VALUE!</v>
      </c>
      <c r="DT24" t="e">
        <f>AND(Plan1!E860,"AAAAAHvv7Xs=")</f>
        <v>#VALUE!</v>
      </c>
      <c r="DU24" t="e">
        <f>AND(Plan1!F860,"AAAAAHvv7Xw=")</f>
        <v>#VALUE!</v>
      </c>
      <c r="DV24">
        <f>IF(Plan1!861:861,"AAAAAHvv7X0=",0)</f>
        <v>0</v>
      </c>
      <c r="DW24" t="e">
        <f>AND(Plan1!A861,"AAAAAHvv7X4=")</f>
        <v>#VALUE!</v>
      </c>
      <c r="DX24" t="e">
        <f>AND(Plan1!B861,"AAAAAHvv7X8=")</f>
        <v>#VALUE!</v>
      </c>
      <c r="DY24" t="e">
        <f>AND(Plan1!C861,"AAAAAHvv7YA=")</f>
        <v>#VALUE!</v>
      </c>
      <c r="DZ24" t="e">
        <f>AND(Plan1!D861,"AAAAAHvv7YE=")</f>
        <v>#VALUE!</v>
      </c>
      <c r="EA24" t="e">
        <f>AND(Plan1!E861,"AAAAAHvv7YI=")</f>
        <v>#VALUE!</v>
      </c>
      <c r="EB24" t="e">
        <f>AND(Plan1!F861,"AAAAAHvv7YM=")</f>
        <v>#VALUE!</v>
      </c>
      <c r="EC24">
        <f>IF(Plan1!862:862,"AAAAAHvv7YQ=",0)</f>
        <v>0</v>
      </c>
      <c r="ED24" t="e">
        <f>AND(Plan1!A862,"AAAAAHvv7YU=")</f>
        <v>#VALUE!</v>
      </c>
      <c r="EE24" t="e">
        <f>AND(Plan1!B862,"AAAAAHvv7YY=")</f>
        <v>#VALUE!</v>
      </c>
      <c r="EF24" t="e">
        <f>AND(Plan1!C862,"AAAAAHvv7Yc=")</f>
        <v>#VALUE!</v>
      </c>
      <c r="EG24" t="e">
        <f>AND(Plan1!D862,"AAAAAHvv7Yg=")</f>
        <v>#VALUE!</v>
      </c>
      <c r="EH24" t="e">
        <f>AND(Plan1!E862,"AAAAAHvv7Yk=")</f>
        <v>#VALUE!</v>
      </c>
      <c r="EI24" t="e">
        <f>AND(Plan1!F862,"AAAAAHvv7Yo=")</f>
        <v>#VALUE!</v>
      </c>
      <c r="EJ24">
        <f>IF(Plan1!863:863,"AAAAAHvv7Ys=",0)</f>
        <v>0</v>
      </c>
      <c r="EK24" t="e">
        <f>AND(Plan1!A863,"AAAAAHvv7Yw=")</f>
        <v>#VALUE!</v>
      </c>
      <c r="EL24" t="e">
        <f>AND(Plan1!B863,"AAAAAHvv7Y0=")</f>
        <v>#VALUE!</v>
      </c>
      <c r="EM24" t="e">
        <f>AND(Plan1!C863,"AAAAAHvv7Y4=")</f>
        <v>#VALUE!</v>
      </c>
      <c r="EN24" t="e">
        <f>AND(Plan1!D863,"AAAAAHvv7Y8=")</f>
        <v>#VALUE!</v>
      </c>
      <c r="EO24" t="e">
        <f>AND(Plan1!E863,"AAAAAHvv7ZA=")</f>
        <v>#VALUE!</v>
      </c>
      <c r="EP24" t="e">
        <f>AND(Plan1!F863,"AAAAAHvv7ZE=")</f>
        <v>#VALUE!</v>
      </c>
      <c r="EQ24">
        <f>IF(Plan1!864:864,"AAAAAHvv7ZI=",0)</f>
        <v>0</v>
      </c>
      <c r="ER24" t="e">
        <f>AND(Plan1!A864,"AAAAAHvv7ZM=")</f>
        <v>#VALUE!</v>
      </c>
      <c r="ES24" t="e">
        <f>AND(Plan1!B864,"AAAAAHvv7ZQ=")</f>
        <v>#VALUE!</v>
      </c>
      <c r="ET24" t="e">
        <f>AND(Plan1!C864,"AAAAAHvv7ZU=")</f>
        <v>#VALUE!</v>
      </c>
      <c r="EU24" t="e">
        <f>AND(Plan1!D864,"AAAAAHvv7ZY=")</f>
        <v>#VALUE!</v>
      </c>
      <c r="EV24" t="e">
        <f>AND(Plan1!E864,"AAAAAHvv7Zc=")</f>
        <v>#VALUE!</v>
      </c>
      <c r="EW24" t="e">
        <f>AND(Plan1!F864,"AAAAAHvv7Zg=")</f>
        <v>#VALUE!</v>
      </c>
      <c r="EX24">
        <f>IF(Plan1!865:865,"AAAAAHvv7Zk=",0)</f>
        <v>0</v>
      </c>
      <c r="EY24" t="e">
        <f>AND(Plan1!A865,"AAAAAHvv7Zo=")</f>
        <v>#VALUE!</v>
      </c>
      <c r="EZ24" t="e">
        <f>AND(Plan1!B865,"AAAAAHvv7Zs=")</f>
        <v>#VALUE!</v>
      </c>
      <c r="FA24" t="e">
        <f>AND(Plan1!C865,"AAAAAHvv7Zw=")</f>
        <v>#VALUE!</v>
      </c>
      <c r="FB24" t="e">
        <f>AND(Plan1!D865,"AAAAAHvv7Z0=")</f>
        <v>#VALUE!</v>
      </c>
      <c r="FC24" t="e">
        <f>AND(Plan1!E865,"AAAAAHvv7Z4=")</f>
        <v>#VALUE!</v>
      </c>
      <c r="FD24" t="e">
        <f>AND(Plan1!F865,"AAAAAHvv7Z8=")</f>
        <v>#VALUE!</v>
      </c>
      <c r="FE24">
        <f>IF(Plan1!866:866,"AAAAAHvv7aA=",0)</f>
        <v>0</v>
      </c>
      <c r="FF24" t="e">
        <f>AND(Plan1!A866,"AAAAAHvv7aE=")</f>
        <v>#VALUE!</v>
      </c>
      <c r="FG24" t="e">
        <f>AND(Plan1!B866,"AAAAAHvv7aI=")</f>
        <v>#VALUE!</v>
      </c>
      <c r="FH24" t="e">
        <f>AND(Plan1!C866,"AAAAAHvv7aM=")</f>
        <v>#VALUE!</v>
      </c>
      <c r="FI24" t="e">
        <f>AND(Plan1!D866,"AAAAAHvv7aQ=")</f>
        <v>#VALUE!</v>
      </c>
      <c r="FJ24" t="e">
        <f>AND(Plan1!E866,"AAAAAHvv7aU=")</f>
        <v>#VALUE!</v>
      </c>
      <c r="FK24" t="e">
        <f>AND(Plan1!F866,"AAAAAHvv7aY=")</f>
        <v>#VALUE!</v>
      </c>
      <c r="FL24">
        <f>IF(Plan1!867:867,"AAAAAHvv7ac=",0)</f>
        <v>0</v>
      </c>
      <c r="FM24" t="e">
        <f>AND(Plan1!A867,"AAAAAHvv7ag=")</f>
        <v>#VALUE!</v>
      </c>
      <c r="FN24" t="e">
        <f>AND(Plan1!B867,"AAAAAHvv7ak=")</f>
        <v>#VALUE!</v>
      </c>
      <c r="FO24" t="e">
        <f>AND(Plan1!C867,"AAAAAHvv7ao=")</f>
        <v>#VALUE!</v>
      </c>
      <c r="FP24" t="e">
        <f>AND(Plan1!D867,"AAAAAHvv7as=")</f>
        <v>#VALUE!</v>
      </c>
      <c r="FQ24" t="e">
        <f>AND(Plan1!E867,"AAAAAHvv7aw=")</f>
        <v>#VALUE!</v>
      </c>
      <c r="FR24" t="e">
        <f>AND(Plan1!F867,"AAAAAHvv7a0=")</f>
        <v>#VALUE!</v>
      </c>
      <c r="FS24">
        <f>IF(Plan1!868:868,"AAAAAHvv7a4=",0)</f>
        <v>0</v>
      </c>
      <c r="FT24" t="e">
        <f>AND(Plan1!A868,"AAAAAHvv7a8=")</f>
        <v>#VALUE!</v>
      </c>
      <c r="FU24" t="e">
        <f>AND(Plan1!B868,"AAAAAHvv7bA=")</f>
        <v>#VALUE!</v>
      </c>
      <c r="FV24" t="e">
        <f>AND(Plan1!C868,"AAAAAHvv7bE=")</f>
        <v>#VALUE!</v>
      </c>
      <c r="FW24" t="e">
        <f>AND(Plan1!D868,"AAAAAHvv7bI=")</f>
        <v>#VALUE!</v>
      </c>
      <c r="FX24" t="e">
        <f>AND(Plan1!E868,"AAAAAHvv7bM=")</f>
        <v>#VALUE!</v>
      </c>
      <c r="FY24" t="e">
        <f>AND(Plan1!F868,"AAAAAHvv7bQ=")</f>
        <v>#VALUE!</v>
      </c>
      <c r="FZ24">
        <f>IF(Plan1!869:869,"AAAAAHvv7bU=",0)</f>
        <v>0</v>
      </c>
      <c r="GA24" t="e">
        <f>AND(Plan1!A869,"AAAAAHvv7bY=")</f>
        <v>#VALUE!</v>
      </c>
      <c r="GB24" t="e">
        <f>AND(Plan1!B869,"AAAAAHvv7bc=")</f>
        <v>#VALUE!</v>
      </c>
      <c r="GC24" t="e">
        <f>AND(Plan1!C869,"AAAAAHvv7bg=")</f>
        <v>#VALUE!</v>
      </c>
      <c r="GD24" t="e">
        <f>AND(Plan1!D869,"AAAAAHvv7bk=")</f>
        <v>#VALUE!</v>
      </c>
      <c r="GE24" t="e">
        <f>AND(Plan1!E869,"AAAAAHvv7bo=")</f>
        <v>#VALUE!</v>
      </c>
      <c r="GF24" t="e">
        <f>AND(Plan1!F869,"AAAAAHvv7bs=")</f>
        <v>#VALUE!</v>
      </c>
      <c r="GG24">
        <f>IF(Plan1!870:870,"AAAAAHvv7bw=",0)</f>
        <v>0</v>
      </c>
      <c r="GH24" t="e">
        <f>AND(Plan1!A870,"AAAAAHvv7b0=")</f>
        <v>#VALUE!</v>
      </c>
      <c r="GI24" t="e">
        <f>AND(Plan1!B870,"AAAAAHvv7b4=")</f>
        <v>#VALUE!</v>
      </c>
      <c r="GJ24" t="e">
        <f>AND(Plan1!C870,"AAAAAHvv7b8=")</f>
        <v>#VALUE!</v>
      </c>
      <c r="GK24" t="e">
        <f>AND(Plan1!D870,"AAAAAHvv7cA=")</f>
        <v>#VALUE!</v>
      </c>
      <c r="GL24" t="e">
        <f>AND(Plan1!E870,"AAAAAHvv7cE=")</f>
        <v>#VALUE!</v>
      </c>
      <c r="GM24" t="e">
        <f>AND(Plan1!F870,"AAAAAHvv7cI=")</f>
        <v>#VALUE!</v>
      </c>
      <c r="GN24">
        <f>IF(Plan1!871:871,"AAAAAHvv7cM=",0)</f>
        <v>0</v>
      </c>
      <c r="GO24" t="e">
        <f>AND(Plan1!A871,"AAAAAHvv7cQ=")</f>
        <v>#VALUE!</v>
      </c>
      <c r="GP24" t="e">
        <f>AND(Plan1!B871,"AAAAAHvv7cU=")</f>
        <v>#VALUE!</v>
      </c>
      <c r="GQ24" t="e">
        <f>AND(Plan1!C871,"AAAAAHvv7cY=")</f>
        <v>#VALUE!</v>
      </c>
      <c r="GR24" t="e">
        <f>AND(Plan1!D871,"AAAAAHvv7cc=")</f>
        <v>#VALUE!</v>
      </c>
      <c r="GS24" t="e">
        <f>AND(Plan1!E871,"AAAAAHvv7cg=")</f>
        <v>#VALUE!</v>
      </c>
      <c r="GT24" t="e">
        <f>AND(Plan1!F871,"AAAAAHvv7ck=")</f>
        <v>#VALUE!</v>
      </c>
      <c r="GU24">
        <f>IF(Plan1!872:872,"AAAAAHvv7co=",0)</f>
        <v>0</v>
      </c>
      <c r="GV24" t="e">
        <f>AND(Plan1!A872,"AAAAAHvv7cs=")</f>
        <v>#VALUE!</v>
      </c>
      <c r="GW24" t="e">
        <f>AND(Plan1!B872,"AAAAAHvv7cw=")</f>
        <v>#VALUE!</v>
      </c>
      <c r="GX24" t="e">
        <f>AND(Plan1!C872,"AAAAAHvv7c0=")</f>
        <v>#VALUE!</v>
      </c>
      <c r="GY24" t="e">
        <f>AND(Plan1!D872,"AAAAAHvv7c4=")</f>
        <v>#VALUE!</v>
      </c>
      <c r="GZ24" t="e">
        <f>AND(Plan1!E872,"AAAAAHvv7c8=")</f>
        <v>#VALUE!</v>
      </c>
      <c r="HA24" t="e">
        <f>AND(Plan1!F872,"AAAAAHvv7dA=")</f>
        <v>#VALUE!</v>
      </c>
      <c r="HB24">
        <f>IF(Plan1!873:873,"AAAAAHvv7dE=",0)</f>
        <v>0</v>
      </c>
      <c r="HC24" t="e">
        <f>AND(Plan1!A873,"AAAAAHvv7dI=")</f>
        <v>#VALUE!</v>
      </c>
      <c r="HD24" t="e">
        <f>AND(Plan1!B873,"AAAAAHvv7dM=")</f>
        <v>#VALUE!</v>
      </c>
      <c r="HE24" t="e">
        <f>AND(Plan1!C873,"AAAAAHvv7dQ=")</f>
        <v>#VALUE!</v>
      </c>
      <c r="HF24" t="e">
        <f>AND(Plan1!D873,"AAAAAHvv7dU=")</f>
        <v>#VALUE!</v>
      </c>
      <c r="HG24" t="e">
        <f>AND(Plan1!E873,"AAAAAHvv7dY=")</f>
        <v>#VALUE!</v>
      </c>
      <c r="HH24" t="e">
        <f>AND(Plan1!F873,"AAAAAHvv7dc=")</f>
        <v>#VALUE!</v>
      </c>
      <c r="HI24">
        <f>IF(Plan1!874:874,"AAAAAHvv7dg=",0)</f>
        <v>0</v>
      </c>
      <c r="HJ24" t="e">
        <f>AND(Plan1!A874,"AAAAAHvv7dk=")</f>
        <v>#VALUE!</v>
      </c>
      <c r="HK24" t="e">
        <f>AND(Plan1!B874,"AAAAAHvv7do=")</f>
        <v>#VALUE!</v>
      </c>
      <c r="HL24" t="e">
        <f>AND(Plan1!C874,"AAAAAHvv7ds=")</f>
        <v>#VALUE!</v>
      </c>
      <c r="HM24" t="e">
        <f>AND(Plan1!D874,"AAAAAHvv7dw=")</f>
        <v>#VALUE!</v>
      </c>
      <c r="HN24" t="e">
        <f>AND(Plan1!E874,"AAAAAHvv7d0=")</f>
        <v>#VALUE!</v>
      </c>
      <c r="HO24" t="e">
        <f>AND(Plan1!F874,"AAAAAHvv7d4=")</f>
        <v>#VALUE!</v>
      </c>
      <c r="HP24">
        <f>IF(Plan1!875:875,"AAAAAHvv7d8=",0)</f>
        <v>0</v>
      </c>
      <c r="HQ24" t="e">
        <f>AND(Plan1!A875,"AAAAAHvv7eA=")</f>
        <v>#VALUE!</v>
      </c>
      <c r="HR24" t="e">
        <f>AND(Plan1!B875,"AAAAAHvv7eE=")</f>
        <v>#VALUE!</v>
      </c>
      <c r="HS24" t="e">
        <f>AND(Plan1!C875,"AAAAAHvv7eI=")</f>
        <v>#VALUE!</v>
      </c>
      <c r="HT24" t="e">
        <f>AND(Plan1!D875,"AAAAAHvv7eM=")</f>
        <v>#VALUE!</v>
      </c>
      <c r="HU24" t="e">
        <f>AND(Plan1!E875,"AAAAAHvv7eQ=")</f>
        <v>#VALUE!</v>
      </c>
      <c r="HV24" t="e">
        <f>AND(Plan1!F875,"AAAAAHvv7eU=")</f>
        <v>#VALUE!</v>
      </c>
      <c r="HW24">
        <f>IF(Plan1!876:876,"AAAAAHvv7eY=",0)</f>
        <v>0</v>
      </c>
      <c r="HX24" t="e">
        <f>AND(Plan1!A876,"AAAAAHvv7ec=")</f>
        <v>#VALUE!</v>
      </c>
      <c r="HY24" t="e">
        <f>AND(Plan1!B876,"AAAAAHvv7eg=")</f>
        <v>#VALUE!</v>
      </c>
      <c r="HZ24" t="e">
        <f>AND(Plan1!C876,"AAAAAHvv7ek=")</f>
        <v>#VALUE!</v>
      </c>
      <c r="IA24" t="e">
        <f>AND(Plan1!D876,"AAAAAHvv7eo=")</f>
        <v>#VALUE!</v>
      </c>
      <c r="IB24" t="e">
        <f>AND(Plan1!E876,"AAAAAHvv7es=")</f>
        <v>#VALUE!</v>
      </c>
      <c r="IC24" t="e">
        <f>AND(Plan1!F876,"AAAAAHvv7ew=")</f>
        <v>#VALUE!</v>
      </c>
      <c r="ID24">
        <f>IF(Plan1!877:877,"AAAAAHvv7e0=",0)</f>
        <v>0</v>
      </c>
      <c r="IE24" t="e">
        <f>AND(Plan1!A877,"AAAAAHvv7e4=")</f>
        <v>#VALUE!</v>
      </c>
      <c r="IF24" t="e">
        <f>AND(Plan1!B877,"AAAAAHvv7e8=")</f>
        <v>#VALUE!</v>
      </c>
      <c r="IG24" t="e">
        <f>AND(Plan1!C877,"AAAAAHvv7fA=")</f>
        <v>#VALUE!</v>
      </c>
      <c r="IH24" t="e">
        <f>AND(Plan1!D877,"AAAAAHvv7fE=")</f>
        <v>#VALUE!</v>
      </c>
      <c r="II24" t="e">
        <f>AND(Plan1!E877,"AAAAAHvv7fI=")</f>
        <v>#VALUE!</v>
      </c>
      <c r="IJ24" t="e">
        <f>AND(Plan1!F877,"AAAAAHvv7fM=")</f>
        <v>#VALUE!</v>
      </c>
      <c r="IK24">
        <f>IF(Plan1!878:878,"AAAAAHvv7fQ=",0)</f>
        <v>0</v>
      </c>
      <c r="IL24" t="e">
        <f>AND(Plan1!A878,"AAAAAHvv7fU=")</f>
        <v>#VALUE!</v>
      </c>
      <c r="IM24" t="e">
        <f>AND(Plan1!B878,"AAAAAHvv7fY=")</f>
        <v>#VALUE!</v>
      </c>
      <c r="IN24" t="e">
        <f>AND(Plan1!C878,"AAAAAHvv7fc=")</f>
        <v>#VALUE!</v>
      </c>
      <c r="IO24" t="e">
        <f>AND(Plan1!D878,"AAAAAHvv7fg=")</f>
        <v>#VALUE!</v>
      </c>
      <c r="IP24" t="e">
        <f>AND(Plan1!E878,"AAAAAHvv7fk=")</f>
        <v>#VALUE!</v>
      </c>
      <c r="IQ24" t="e">
        <f>AND(Plan1!F878,"AAAAAHvv7fo=")</f>
        <v>#VALUE!</v>
      </c>
      <c r="IR24">
        <f>IF(Plan1!879:879,"AAAAAHvv7fs=",0)</f>
        <v>0</v>
      </c>
      <c r="IS24" t="e">
        <f>AND(Plan1!A879,"AAAAAHvv7fw=")</f>
        <v>#VALUE!</v>
      </c>
      <c r="IT24" t="e">
        <f>AND(Plan1!B879,"AAAAAHvv7f0=")</f>
        <v>#VALUE!</v>
      </c>
      <c r="IU24" t="e">
        <f>AND(Plan1!C879,"AAAAAHvv7f4=")</f>
        <v>#VALUE!</v>
      </c>
      <c r="IV24" t="e">
        <f>AND(Plan1!D879,"AAAAAHvv7f8=")</f>
        <v>#VALUE!</v>
      </c>
    </row>
    <row r="25" spans="1:256">
      <c r="A25" t="e">
        <f>AND(Plan1!E879,"AAAAACK47gA=")</f>
        <v>#VALUE!</v>
      </c>
      <c r="B25" t="e">
        <f>AND(Plan1!F879,"AAAAACK47gE=")</f>
        <v>#VALUE!</v>
      </c>
      <c r="C25" t="e">
        <f>IF(Plan1!880:880,"AAAAACK47gI=",0)</f>
        <v>#VALUE!</v>
      </c>
      <c r="D25" t="e">
        <f>AND(Plan1!A880,"AAAAACK47gM=")</f>
        <v>#VALUE!</v>
      </c>
      <c r="E25" t="e">
        <f>AND(Plan1!B880,"AAAAACK47gQ=")</f>
        <v>#VALUE!</v>
      </c>
      <c r="F25" t="e">
        <f>AND(Plan1!C880,"AAAAACK47gU=")</f>
        <v>#VALUE!</v>
      </c>
      <c r="G25" t="e">
        <f>AND(Plan1!D880,"AAAAACK47gY=")</f>
        <v>#VALUE!</v>
      </c>
      <c r="H25" t="e">
        <f>AND(Plan1!E880,"AAAAACK47gc=")</f>
        <v>#VALUE!</v>
      </c>
      <c r="I25" t="e">
        <f>AND(Plan1!F880,"AAAAACK47gg=")</f>
        <v>#VALUE!</v>
      </c>
      <c r="J25">
        <f>IF(Plan1!881:881,"AAAAACK47gk=",0)</f>
        <v>0</v>
      </c>
      <c r="K25" t="e">
        <f>AND(Plan1!A881,"AAAAACK47go=")</f>
        <v>#VALUE!</v>
      </c>
      <c r="L25" t="e">
        <f>AND(Plan1!B881,"AAAAACK47gs=")</f>
        <v>#VALUE!</v>
      </c>
      <c r="M25" t="e">
        <f>AND(Plan1!C881,"AAAAACK47gw=")</f>
        <v>#VALUE!</v>
      </c>
      <c r="N25" t="e">
        <f>AND(Plan1!D881,"AAAAACK47g0=")</f>
        <v>#VALUE!</v>
      </c>
      <c r="O25" t="e">
        <f>AND(Plan1!E881,"AAAAACK47g4=")</f>
        <v>#VALUE!</v>
      </c>
      <c r="P25" t="e">
        <f>AND(Plan1!F881,"AAAAACK47g8=")</f>
        <v>#VALUE!</v>
      </c>
      <c r="Q25">
        <f>IF(Plan1!882:882,"AAAAACK47hA=",0)</f>
        <v>0</v>
      </c>
      <c r="R25" t="e">
        <f>AND(Plan1!A882,"AAAAACK47hE=")</f>
        <v>#VALUE!</v>
      </c>
      <c r="S25" t="e">
        <f>AND(Plan1!B882,"AAAAACK47hI=")</f>
        <v>#VALUE!</v>
      </c>
      <c r="T25" t="e">
        <f>AND(Plan1!C882,"AAAAACK47hM=")</f>
        <v>#VALUE!</v>
      </c>
      <c r="U25" t="e">
        <f>AND(Plan1!D882,"AAAAACK47hQ=")</f>
        <v>#VALUE!</v>
      </c>
      <c r="V25" t="e">
        <f>AND(Plan1!E882,"AAAAACK47hU=")</f>
        <v>#VALUE!</v>
      </c>
      <c r="W25" t="e">
        <f>AND(Plan1!F882,"AAAAACK47hY=")</f>
        <v>#VALUE!</v>
      </c>
      <c r="X25">
        <f>IF(Plan1!883:883,"AAAAACK47hc=",0)</f>
        <v>0</v>
      </c>
      <c r="Y25" t="e">
        <f>AND(Plan1!A883,"AAAAACK47hg=")</f>
        <v>#VALUE!</v>
      </c>
      <c r="Z25" t="e">
        <f>AND(Plan1!B883,"AAAAACK47hk=")</f>
        <v>#VALUE!</v>
      </c>
      <c r="AA25" t="e">
        <f>AND(Plan1!C883,"AAAAACK47ho=")</f>
        <v>#VALUE!</v>
      </c>
      <c r="AB25" t="e">
        <f>AND(Plan1!D883,"AAAAACK47hs=")</f>
        <v>#VALUE!</v>
      </c>
      <c r="AC25" t="e">
        <f>AND(Plan1!E883,"AAAAACK47hw=")</f>
        <v>#VALUE!</v>
      </c>
      <c r="AD25" t="e">
        <f>AND(Plan1!F883,"AAAAACK47h0=")</f>
        <v>#VALUE!</v>
      </c>
      <c r="AE25">
        <f>IF(Plan1!884:884,"AAAAACK47h4=",0)</f>
        <v>0</v>
      </c>
      <c r="AF25" t="e">
        <f>AND(Plan1!A884,"AAAAACK47h8=")</f>
        <v>#VALUE!</v>
      </c>
      <c r="AG25" t="e">
        <f>AND(Plan1!B884,"AAAAACK47iA=")</f>
        <v>#VALUE!</v>
      </c>
      <c r="AH25" t="e">
        <f>AND(Plan1!C884,"AAAAACK47iE=")</f>
        <v>#VALUE!</v>
      </c>
      <c r="AI25" t="e">
        <f>AND(Plan1!D884,"AAAAACK47iI=")</f>
        <v>#VALUE!</v>
      </c>
      <c r="AJ25" t="e">
        <f>AND(Plan1!E884,"AAAAACK47iM=")</f>
        <v>#VALUE!</v>
      </c>
      <c r="AK25" t="e">
        <f>AND(Plan1!F884,"AAAAACK47iQ=")</f>
        <v>#VALUE!</v>
      </c>
      <c r="AL25">
        <f>IF(Plan1!885:885,"AAAAACK47iU=",0)</f>
        <v>0</v>
      </c>
      <c r="AM25" t="e">
        <f>AND(Plan1!A885,"AAAAACK47iY=")</f>
        <v>#VALUE!</v>
      </c>
      <c r="AN25" t="e">
        <f>AND(Plan1!B885,"AAAAACK47ic=")</f>
        <v>#VALUE!</v>
      </c>
      <c r="AO25" t="e">
        <f>AND(Plan1!C885,"AAAAACK47ig=")</f>
        <v>#VALUE!</v>
      </c>
      <c r="AP25" t="e">
        <f>AND(Plan1!D885,"AAAAACK47ik=")</f>
        <v>#VALUE!</v>
      </c>
      <c r="AQ25" t="e">
        <f>AND(Plan1!E885,"AAAAACK47io=")</f>
        <v>#VALUE!</v>
      </c>
      <c r="AR25" t="e">
        <f>AND(Plan1!F885,"AAAAACK47is=")</f>
        <v>#VALUE!</v>
      </c>
      <c r="AS25">
        <f>IF(Plan1!886:886,"AAAAACK47iw=",0)</f>
        <v>0</v>
      </c>
      <c r="AT25" t="e">
        <f>AND(Plan1!A886,"AAAAACK47i0=")</f>
        <v>#VALUE!</v>
      </c>
      <c r="AU25" t="e">
        <f>AND(Plan1!B886,"AAAAACK47i4=")</f>
        <v>#VALUE!</v>
      </c>
      <c r="AV25" t="e">
        <f>AND(Plan1!C886,"AAAAACK47i8=")</f>
        <v>#VALUE!</v>
      </c>
      <c r="AW25" t="e">
        <f>AND(Plan1!D886,"AAAAACK47jA=")</f>
        <v>#VALUE!</v>
      </c>
      <c r="AX25" t="e">
        <f>AND(Plan1!E886,"AAAAACK47jE=")</f>
        <v>#VALUE!</v>
      </c>
      <c r="AY25" t="e">
        <f>AND(Plan1!F886,"AAAAACK47jI=")</f>
        <v>#VALUE!</v>
      </c>
      <c r="AZ25">
        <f>IF(Plan1!887:887,"AAAAACK47jM=",0)</f>
        <v>0</v>
      </c>
      <c r="BA25" t="e">
        <f>AND(Plan1!A887,"AAAAACK47jQ=")</f>
        <v>#VALUE!</v>
      </c>
      <c r="BB25" t="e">
        <f>AND(Plan1!B887,"AAAAACK47jU=")</f>
        <v>#VALUE!</v>
      </c>
      <c r="BC25" t="e">
        <f>AND(Plan1!C887,"AAAAACK47jY=")</f>
        <v>#VALUE!</v>
      </c>
      <c r="BD25" t="e">
        <f>AND(Plan1!D887,"AAAAACK47jc=")</f>
        <v>#VALUE!</v>
      </c>
      <c r="BE25" t="e">
        <f>AND(Plan1!E887,"AAAAACK47jg=")</f>
        <v>#VALUE!</v>
      </c>
      <c r="BF25" t="e">
        <f>AND(Plan1!F887,"AAAAACK47jk=")</f>
        <v>#VALUE!</v>
      </c>
      <c r="BG25">
        <f>IF(Plan1!888:888,"AAAAACK47jo=",0)</f>
        <v>0</v>
      </c>
      <c r="BH25" t="e">
        <f>AND(Plan1!A888,"AAAAACK47js=")</f>
        <v>#VALUE!</v>
      </c>
      <c r="BI25" t="e">
        <f>AND(Plan1!B888,"AAAAACK47jw=")</f>
        <v>#VALUE!</v>
      </c>
      <c r="BJ25" t="e">
        <f>AND(Plan1!C888,"AAAAACK47j0=")</f>
        <v>#VALUE!</v>
      </c>
      <c r="BK25" t="e">
        <f>AND(Plan1!D888,"AAAAACK47j4=")</f>
        <v>#VALUE!</v>
      </c>
      <c r="BL25" t="e">
        <f>AND(Plan1!E888,"AAAAACK47j8=")</f>
        <v>#VALUE!</v>
      </c>
      <c r="BM25" t="e">
        <f>AND(Plan1!F888,"AAAAACK47kA=")</f>
        <v>#VALUE!</v>
      </c>
      <c r="BN25">
        <f>IF(Plan1!889:889,"AAAAACK47kE=",0)</f>
        <v>0</v>
      </c>
      <c r="BO25" t="e">
        <f>AND(Plan1!A889,"AAAAACK47kI=")</f>
        <v>#VALUE!</v>
      </c>
      <c r="BP25" t="e">
        <f>AND(Plan1!B889,"AAAAACK47kM=")</f>
        <v>#VALUE!</v>
      </c>
      <c r="BQ25" t="e">
        <f>AND(Plan1!C889,"AAAAACK47kQ=")</f>
        <v>#VALUE!</v>
      </c>
      <c r="BR25" t="e">
        <f>AND(Plan1!D889,"AAAAACK47kU=")</f>
        <v>#VALUE!</v>
      </c>
      <c r="BS25" t="e">
        <f>AND(Plan1!E889,"AAAAACK47kY=")</f>
        <v>#VALUE!</v>
      </c>
      <c r="BT25" t="e">
        <f>AND(Plan1!F889,"AAAAACK47kc=")</f>
        <v>#VALUE!</v>
      </c>
      <c r="BU25">
        <f>IF(Plan1!890:890,"AAAAACK47kg=",0)</f>
        <v>0</v>
      </c>
      <c r="BV25" t="e">
        <f>AND(Plan1!A890,"AAAAACK47kk=")</f>
        <v>#VALUE!</v>
      </c>
      <c r="BW25" t="e">
        <f>AND(Plan1!B890,"AAAAACK47ko=")</f>
        <v>#VALUE!</v>
      </c>
      <c r="BX25" t="e">
        <f>AND(Plan1!C890,"AAAAACK47ks=")</f>
        <v>#VALUE!</v>
      </c>
      <c r="BY25" t="e">
        <f>AND(Plan1!D890,"AAAAACK47kw=")</f>
        <v>#VALUE!</v>
      </c>
      <c r="BZ25" t="e">
        <f>AND(Plan1!E890,"AAAAACK47k0=")</f>
        <v>#VALUE!</v>
      </c>
      <c r="CA25" t="e">
        <f>AND(Plan1!F890,"AAAAACK47k4=")</f>
        <v>#VALUE!</v>
      </c>
      <c r="CB25">
        <f>IF(Plan1!891:891,"AAAAACK47k8=",0)</f>
        <v>0</v>
      </c>
      <c r="CC25" t="e">
        <f>AND(Plan1!A891,"AAAAACK47lA=")</f>
        <v>#VALUE!</v>
      </c>
      <c r="CD25" t="e">
        <f>AND(Plan1!B891,"AAAAACK47lE=")</f>
        <v>#VALUE!</v>
      </c>
      <c r="CE25" t="e">
        <f>AND(Plan1!C891,"AAAAACK47lI=")</f>
        <v>#VALUE!</v>
      </c>
      <c r="CF25" t="e">
        <f>AND(Plan1!D891,"AAAAACK47lM=")</f>
        <v>#VALUE!</v>
      </c>
      <c r="CG25" t="e">
        <f>AND(Plan1!E891,"AAAAACK47lQ=")</f>
        <v>#VALUE!</v>
      </c>
      <c r="CH25" t="e">
        <f>AND(Plan1!F891,"AAAAACK47lU=")</f>
        <v>#VALUE!</v>
      </c>
      <c r="CI25">
        <f>IF(Plan1!892:892,"AAAAACK47lY=",0)</f>
        <v>0</v>
      </c>
      <c r="CJ25" t="e">
        <f>AND(Plan1!A892,"AAAAACK47lc=")</f>
        <v>#VALUE!</v>
      </c>
      <c r="CK25" t="e">
        <f>AND(Plan1!B892,"AAAAACK47lg=")</f>
        <v>#VALUE!</v>
      </c>
      <c r="CL25" t="e">
        <f>AND(Plan1!C892,"AAAAACK47lk=")</f>
        <v>#VALUE!</v>
      </c>
      <c r="CM25" t="e">
        <f>AND(Plan1!D892,"AAAAACK47lo=")</f>
        <v>#VALUE!</v>
      </c>
      <c r="CN25" t="e">
        <f>AND(Plan1!E892,"AAAAACK47ls=")</f>
        <v>#VALUE!</v>
      </c>
      <c r="CO25" t="e">
        <f>AND(Plan1!F892,"AAAAACK47lw=")</f>
        <v>#VALUE!</v>
      </c>
      <c r="CP25">
        <f>IF(Plan1!893:893,"AAAAACK47l0=",0)</f>
        <v>0</v>
      </c>
      <c r="CQ25" t="e">
        <f>AND(Plan1!A893,"AAAAACK47l4=")</f>
        <v>#VALUE!</v>
      </c>
      <c r="CR25" t="e">
        <f>AND(Plan1!B893,"AAAAACK47l8=")</f>
        <v>#VALUE!</v>
      </c>
      <c r="CS25" t="e">
        <f>AND(Plan1!C893,"AAAAACK47mA=")</f>
        <v>#VALUE!</v>
      </c>
      <c r="CT25" t="e">
        <f>AND(Plan1!D893,"AAAAACK47mE=")</f>
        <v>#VALUE!</v>
      </c>
      <c r="CU25" t="e">
        <f>AND(Plan1!E893,"AAAAACK47mI=")</f>
        <v>#VALUE!</v>
      </c>
      <c r="CV25" t="e">
        <f>AND(Plan1!F893,"AAAAACK47mM=")</f>
        <v>#VALUE!</v>
      </c>
      <c r="CW25">
        <f>IF(Plan1!894:894,"AAAAACK47mQ=",0)</f>
        <v>0</v>
      </c>
      <c r="CX25" t="e">
        <f>AND(Plan1!A894,"AAAAACK47mU=")</f>
        <v>#VALUE!</v>
      </c>
      <c r="CY25" t="e">
        <f>AND(Plan1!B894,"AAAAACK47mY=")</f>
        <v>#VALUE!</v>
      </c>
      <c r="CZ25" t="e">
        <f>AND(Plan1!C894,"AAAAACK47mc=")</f>
        <v>#VALUE!</v>
      </c>
      <c r="DA25" t="e">
        <f>AND(Plan1!D894,"AAAAACK47mg=")</f>
        <v>#VALUE!</v>
      </c>
      <c r="DB25" t="e">
        <f>AND(Plan1!E894,"AAAAACK47mk=")</f>
        <v>#VALUE!</v>
      </c>
      <c r="DC25" t="e">
        <f>AND(Plan1!F894,"AAAAACK47mo=")</f>
        <v>#VALUE!</v>
      </c>
      <c r="DD25">
        <f>IF(Plan1!895:895,"AAAAACK47ms=",0)</f>
        <v>0</v>
      </c>
      <c r="DE25" t="e">
        <f>AND(Plan1!A895,"AAAAACK47mw=")</f>
        <v>#VALUE!</v>
      </c>
      <c r="DF25" t="e">
        <f>AND(Plan1!B895,"AAAAACK47m0=")</f>
        <v>#VALUE!</v>
      </c>
      <c r="DG25" t="e">
        <f>AND(Plan1!C895,"AAAAACK47m4=")</f>
        <v>#VALUE!</v>
      </c>
      <c r="DH25" t="e">
        <f>AND(Plan1!D895,"AAAAACK47m8=")</f>
        <v>#VALUE!</v>
      </c>
      <c r="DI25" t="e">
        <f>AND(Plan1!E895,"AAAAACK47nA=")</f>
        <v>#VALUE!</v>
      </c>
      <c r="DJ25" t="e">
        <f>AND(Plan1!F895,"AAAAACK47nE=")</f>
        <v>#VALUE!</v>
      </c>
      <c r="DK25">
        <f>IF(Plan1!896:896,"AAAAACK47nI=",0)</f>
        <v>0</v>
      </c>
      <c r="DL25" t="e">
        <f>AND(Plan1!A896,"AAAAACK47nM=")</f>
        <v>#VALUE!</v>
      </c>
      <c r="DM25" t="e">
        <f>AND(Plan1!B896,"AAAAACK47nQ=")</f>
        <v>#VALUE!</v>
      </c>
      <c r="DN25" t="e">
        <f>AND(Plan1!C896,"AAAAACK47nU=")</f>
        <v>#VALUE!</v>
      </c>
      <c r="DO25" t="e">
        <f>AND(Plan1!D896,"AAAAACK47nY=")</f>
        <v>#VALUE!</v>
      </c>
      <c r="DP25" t="e">
        <f>AND(Plan1!E896,"AAAAACK47nc=")</f>
        <v>#VALUE!</v>
      </c>
      <c r="DQ25" t="e">
        <f>AND(Plan1!F896,"AAAAACK47ng=")</f>
        <v>#VALUE!</v>
      </c>
      <c r="DR25">
        <f>IF(Plan1!897:897,"AAAAACK47nk=",0)</f>
        <v>0</v>
      </c>
      <c r="DS25" t="e">
        <f>AND(Plan1!A897,"AAAAACK47no=")</f>
        <v>#VALUE!</v>
      </c>
      <c r="DT25" t="e">
        <f>AND(Plan1!B897,"AAAAACK47ns=")</f>
        <v>#VALUE!</v>
      </c>
      <c r="DU25" t="e">
        <f>AND(Plan1!C897,"AAAAACK47nw=")</f>
        <v>#VALUE!</v>
      </c>
      <c r="DV25" t="e">
        <f>AND(Plan1!D897,"AAAAACK47n0=")</f>
        <v>#VALUE!</v>
      </c>
      <c r="DW25" t="e">
        <f>AND(Plan1!E897,"AAAAACK47n4=")</f>
        <v>#VALUE!</v>
      </c>
      <c r="DX25" t="e">
        <f>AND(Plan1!F897,"AAAAACK47n8=")</f>
        <v>#VALUE!</v>
      </c>
      <c r="DY25">
        <f>IF(Plan1!898:898,"AAAAACK47oA=",0)</f>
        <v>0</v>
      </c>
      <c r="DZ25" t="e">
        <f>AND(Plan1!A898,"AAAAACK47oE=")</f>
        <v>#VALUE!</v>
      </c>
      <c r="EA25" t="e">
        <f>AND(Plan1!B898,"AAAAACK47oI=")</f>
        <v>#VALUE!</v>
      </c>
      <c r="EB25" t="e">
        <f>AND(Plan1!C898,"AAAAACK47oM=")</f>
        <v>#VALUE!</v>
      </c>
      <c r="EC25" t="e">
        <f>AND(Plan1!D898,"AAAAACK47oQ=")</f>
        <v>#VALUE!</v>
      </c>
      <c r="ED25" t="e">
        <f>AND(Plan1!E898,"AAAAACK47oU=")</f>
        <v>#VALUE!</v>
      </c>
      <c r="EE25" t="e">
        <f>AND(Plan1!F898,"AAAAACK47oY=")</f>
        <v>#VALUE!</v>
      </c>
      <c r="EF25">
        <f>IF(Plan1!899:899,"AAAAACK47oc=",0)</f>
        <v>0</v>
      </c>
      <c r="EG25" t="e">
        <f>AND(Plan1!A899,"AAAAACK47og=")</f>
        <v>#VALUE!</v>
      </c>
      <c r="EH25" t="e">
        <f>AND(Plan1!B899,"AAAAACK47ok=")</f>
        <v>#VALUE!</v>
      </c>
      <c r="EI25" t="e">
        <f>AND(Plan1!C899,"AAAAACK47oo=")</f>
        <v>#VALUE!</v>
      </c>
      <c r="EJ25" t="e">
        <f>AND(Plan1!D899,"AAAAACK47os=")</f>
        <v>#VALUE!</v>
      </c>
      <c r="EK25" t="e">
        <f>AND(Plan1!E899,"AAAAACK47ow=")</f>
        <v>#VALUE!</v>
      </c>
      <c r="EL25" t="e">
        <f>AND(Plan1!F899,"AAAAACK47o0=")</f>
        <v>#VALUE!</v>
      </c>
      <c r="EM25">
        <f>IF(Plan1!900:900,"AAAAACK47o4=",0)</f>
        <v>0</v>
      </c>
      <c r="EN25" t="e">
        <f>AND(Plan1!A900,"AAAAACK47o8=")</f>
        <v>#VALUE!</v>
      </c>
      <c r="EO25" t="e">
        <f>AND(Plan1!B900,"AAAAACK47pA=")</f>
        <v>#VALUE!</v>
      </c>
      <c r="EP25" t="e">
        <f>AND(Plan1!C900,"AAAAACK47pE=")</f>
        <v>#VALUE!</v>
      </c>
      <c r="EQ25" t="e">
        <f>AND(Plan1!D900,"AAAAACK47pI=")</f>
        <v>#VALUE!</v>
      </c>
      <c r="ER25" t="e">
        <f>AND(Plan1!E900,"AAAAACK47pM=")</f>
        <v>#VALUE!</v>
      </c>
      <c r="ES25" t="e">
        <f>AND(Plan1!F900,"AAAAACK47pQ=")</f>
        <v>#VALUE!</v>
      </c>
      <c r="ET25">
        <f>IF(Plan1!901:901,"AAAAACK47pU=",0)</f>
        <v>0</v>
      </c>
      <c r="EU25" t="e">
        <f>AND(Plan1!A901,"AAAAACK47pY=")</f>
        <v>#VALUE!</v>
      </c>
      <c r="EV25" t="e">
        <f>AND(Plan1!B901,"AAAAACK47pc=")</f>
        <v>#VALUE!</v>
      </c>
      <c r="EW25" t="e">
        <f>AND(Plan1!C901,"AAAAACK47pg=")</f>
        <v>#VALUE!</v>
      </c>
      <c r="EX25" t="e">
        <f>AND(Plan1!D901,"AAAAACK47pk=")</f>
        <v>#VALUE!</v>
      </c>
      <c r="EY25" t="e">
        <f>AND(Plan1!E901,"AAAAACK47po=")</f>
        <v>#VALUE!</v>
      </c>
      <c r="EZ25" t="e">
        <f>AND(Plan1!F901,"AAAAACK47ps=")</f>
        <v>#VALUE!</v>
      </c>
      <c r="FA25">
        <f>IF(Plan1!902:902,"AAAAACK47pw=",0)</f>
        <v>0</v>
      </c>
      <c r="FB25" t="e">
        <f>AND(Plan1!A902,"AAAAACK47p0=")</f>
        <v>#VALUE!</v>
      </c>
      <c r="FC25" t="e">
        <f>AND(Plan1!B902,"AAAAACK47p4=")</f>
        <v>#VALUE!</v>
      </c>
      <c r="FD25" t="e">
        <f>AND(Plan1!C902,"AAAAACK47p8=")</f>
        <v>#VALUE!</v>
      </c>
      <c r="FE25" t="e">
        <f>AND(Plan1!D902,"AAAAACK47qA=")</f>
        <v>#VALUE!</v>
      </c>
      <c r="FF25" t="e">
        <f>AND(Plan1!E902,"AAAAACK47qE=")</f>
        <v>#VALUE!</v>
      </c>
      <c r="FG25" t="e">
        <f>AND(Plan1!F902,"AAAAACK47qI=")</f>
        <v>#VALUE!</v>
      </c>
      <c r="FH25">
        <f>IF(Plan1!903:903,"AAAAACK47qM=",0)</f>
        <v>0</v>
      </c>
      <c r="FI25" t="e">
        <f>AND(Plan1!A903,"AAAAACK47qQ=")</f>
        <v>#VALUE!</v>
      </c>
      <c r="FJ25" t="e">
        <f>AND(Plan1!B903,"AAAAACK47qU=")</f>
        <v>#VALUE!</v>
      </c>
      <c r="FK25" t="e">
        <f>AND(Plan1!C903,"AAAAACK47qY=")</f>
        <v>#VALUE!</v>
      </c>
      <c r="FL25" t="e">
        <f>AND(Plan1!D903,"AAAAACK47qc=")</f>
        <v>#VALUE!</v>
      </c>
      <c r="FM25" t="e">
        <f>AND(Plan1!E903,"AAAAACK47qg=")</f>
        <v>#VALUE!</v>
      </c>
      <c r="FN25" t="e">
        <f>AND(Plan1!F903,"AAAAACK47qk=")</f>
        <v>#VALUE!</v>
      </c>
      <c r="FO25">
        <f>IF(Plan1!904:904,"AAAAACK47qo=",0)</f>
        <v>0</v>
      </c>
      <c r="FP25" t="e">
        <f>AND(Plan1!A904,"AAAAACK47qs=")</f>
        <v>#VALUE!</v>
      </c>
      <c r="FQ25" t="e">
        <f>AND(Plan1!B904,"AAAAACK47qw=")</f>
        <v>#VALUE!</v>
      </c>
      <c r="FR25" t="e">
        <f>AND(Plan1!C904,"AAAAACK47q0=")</f>
        <v>#VALUE!</v>
      </c>
      <c r="FS25" t="e">
        <f>AND(Plan1!D904,"AAAAACK47q4=")</f>
        <v>#VALUE!</v>
      </c>
      <c r="FT25" t="e">
        <f>AND(Plan1!E904,"AAAAACK47q8=")</f>
        <v>#VALUE!</v>
      </c>
      <c r="FU25" t="e">
        <f>AND(Plan1!F904,"AAAAACK47rA=")</f>
        <v>#VALUE!</v>
      </c>
      <c r="FV25">
        <f>IF(Plan1!905:905,"AAAAACK47rE=",0)</f>
        <v>0</v>
      </c>
      <c r="FW25" t="e">
        <f>AND(Plan1!A905,"AAAAACK47rI=")</f>
        <v>#VALUE!</v>
      </c>
      <c r="FX25" t="e">
        <f>AND(Plan1!B905,"AAAAACK47rM=")</f>
        <v>#VALUE!</v>
      </c>
      <c r="FY25" t="e">
        <f>AND(Plan1!C905,"AAAAACK47rQ=")</f>
        <v>#VALUE!</v>
      </c>
      <c r="FZ25" t="e">
        <f>AND(Plan1!D905,"AAAAACK47rU=")</f>
        <v>#VALUE!</v>
      </c>
      <c r="GA25" t="e">
        <f>AND(Plan1!E905,"AAAAACK47rY=")</f>
        <v>#VALUE!</v>
      </c>
      <c r="GB25" t="e">
        <f>AND(Plan1!F905,"AAAAACK47rc=")</f>
        <v>#VALUE!</v>
      </c>
      <c r="GC25">
        <f>IF(Plan1!906:906,"AAAAACK47rg=",0)</f>
        <v>0</v>
      </c>
      <c r="GD25" t="e">
        <f>AND(Plan1!A906,"AAAAACK47rk=")</f>
        <v>#VALUE!</v>
      </c>
      <c r="GE25" t="e">
        <f>AND(Plan1!B906,"AAAAACK47ro=")</f>
        <v>#VALUE!</v>
      </c>
      <c r="GF25" t="e">
        <f>AND(Plan1!C906,"AAAAACK47rs=")</f>
        <v>#VALUE!</v>
      </c>
      <c r="GG25" t="e">
        <f>AND(Plan1!D906,"AAAAACK47rw=")</f>
        <v>#VALUE!</v>
      </c>
      <c r="GH25" t="e">
        <f>AND(Plan1!E906,"AAAAACK47r0=")</f>
        <v>#VALUE!</v>
      </c>
      <c r="GI25" t="e">
        <f>AND(Plan1!F906,"AAAAACK47r4=")</f>
        <v>#VALUE!</v>
      </c>
      <c r="GJ25">
        <f>IF(Plan1!907:907,"AAAAACK47r8=",0)</f>
        <v>0</v>
      </c>
      <c r="GK25" t="e">
        <f>AND(Plan1!A907,"AAAAACK47sA=")</f>
        <v>#VALUE!</v>
      </c>
      <c r="GL25" t="e">
        <f>AND(Plan1!B907,"AAAAACK47sE=")</f>
        <v>#VALUE!</v>
      </c>
      <c r="GM25" t="e">
        <f>AND(Plan1!C907,"AAAAACK47sI=")</f>
        <v>#VALUE!</v>
      </c>
      <c r="GN25" t="e">
        <f>AND(Plan1!D907,"AAAAACK47sM=")</f>
        <v>#VALUE!</v>
      </c>
      <c r="GO25" t="e">
        <f>AND(Plan1!E907,"AAAAACK47sQ=")</f>
        <v>#VALUE!</v>
      </c>
      <c r="GP25" t="e">
        <f>AND(Plan1!F907,"AAAAACK47sU=")</f>
        <v>#VALUE!</v>
      </c>
      <c r="GQ25">
        <f>IF(Plan1!908:908,"AAAAACK47sY=",0)</f>
        <v>0</v>
      </c>
      <c r="GR25" t="e">
        <f>AND(Plan1!A908,"AAAAACK47sc=")</f>
        <v>#VALUE!</v>
      </c>
      <c r="GS25" t="e">
        <f>AND(Plan1!B908,"AAAAACK47sg=")</f>
        <v>#VALUE!</v>
      </c>
      <c r="GT25" t="e">
        <f>AND(Plan1!C908,"AAAAACK47sk=")</f>
        <v>#VALUE!</v>
      </c>
      <c r="GU25" t="e">
        <f>AND(Plan1!D908,"AAAAACK47so=")</f>
        <v>#VALUE!</v>
      </c>
      <c r="GV25" t="e">
        <f>AND(Plan1!E908,"AAAAACK47ss=")</f>
        <v>#VALUE!</v>
      </c>
      <c r="GW25" t="e">
        <f>AND(Plan1!F908,"AAAAACK47sw=")</f>
        <v>#VALUE!</v>
      </c>
      <c r="GX25">
        <f>IF(Plan1!909:909,"AAAAACK47s0=",0)</f>
        <v>0</v>
      </c>
      <c r="GY25" t="e">
        <f>AND(Plan1!A909,"AAAAACK47s4=")</f>
        <v>#VALUE!</v>
      </c>
      <c r="GZ25" t="e">
        <f>AND(Plan1!B909,"AAAAACK47s8=")</f>
        <v>#VALUE!</v>
      </c>
      <c r="HA25" t="e">
        <f>AND(Plan1!C909,"AAAAACK47tA=")</f>
        <v>#VALUE!</v>
      </c>
      <c r="HB25" t="e">
        <f>AND(Plan1!D909,"AAAAACK47tE=")</f>
        <v>#VALUE!</v>
      </c>
      <c r="HC25" t="e">
        <f>AND(Plan1!E909,"AAAAACK47tI=")</f>
        <v>#VALUE!</v>
      </c>
      <c r="HD25" t="e">
        <f>AND(Plan1!F909,"AAAAACK47tM=")</f>
        <v>#VALUE!</v>
      </c>
      <c r="HE25">
        <f>IF(Plan1!910:910,"AAAAACK47tQ=",0)</f>
        <v>0</v>
      </c>
      <c r="HF25" t="e">
        <f>AND(Plan1!A910,"AAAAACK47tU=")</f>
        <v>#VALUE!</v>
      </c>
      <c r="HG25" t="e">
        <f>AND(Plan1!B910,"AAAAACK47tY=")</f>
        <v>#VALUE!</v>
      </c>
      <c r="HH25" t="e">
        <f>AND(Plan1!C910,"AAAAACK47tc=")</f>
        <v>#VALUE!</v>
      </c>
      <c r="HI25" t="e">
        <f>AND(Plan1!D910,"AAAAACK47tg=")</f>
        <v>#VALUE!</v>
      </c>
      <c r="HJ25" t="e">
        <f>AND(Plan1!E910,"AAAAACK47tk=")</f>
        <v>#VALUE!</v>
      </c>
      <c r="HK25" t="e">
        <f>AND(Plan1!F910,"AAAAACK47to=")</f>
        <v>#VALUE!</v>
      </c>
      <c r="HL25">
        <f>IF(Plan1!911:911,"AAAAACK47ts=",0)</f>
        <v>0</v>
      </c>
      <c r="HM25" t="e">
        <f>AND(Plan1!A911,"AAAAACK47tw=")</f>
        <v>#VALUE!</v>
      </c>
      <c r="HN25" t="e">
        <f>AND(Plan1!B911,"AAAAACK47t0=")</f>
        <v>#VALUE!</v>
      </c>
      <c r="HO25" t="e">
        <f>AND(Plan1!C911,"AAAAACK47t4=")</f>
        <v>#VALUE!</v>
      </c>
      <c r="HP25" t="e">
        <f>AND(Plan1!D911,"AAAAACK47t8=")</f>
        <v>#VALUE!</v>
      </c>
      <c r="HQ25" t="e">
        <f>AND(Plan1!E911,"AAAAACK47uA=")</f>
        <v>#VALUE!</v>
      </c>
      <c r="HR25" t="e">
        <f>AND(Plan1!F911,"AAAAACK47uE=")</f>
        <v>#VALUE!</v>
      </c>
      <c r="HS25">
        <f>IF(Plan1!912:912,"AAAAACK47uI=",0)</f>
        <v>0</v>
      </c>
      <c r="HT25" t="e">
        <f>AND(Plan1!A912,"AAAAACK47uM=")</f>
        <v>#VALUE!</v>
      </c>
      <c r="HU25" t="e">
        <f>AND(Plan1!B912,"AAAAACK47uQ=")</f>
        <v>#VALUE!</v>
      </c>
      <c r="HV25" t="e">
        <f>AND(Plan1!C912,"AAAAACK47uU=")</f>
        <v>#VALUE!</v>
      </c>
      <c r="HW25" t="e">
        <f>AND(Plan1!D912,"AAAAACK47uY=")</f>
        <v>#VALUE!</v>
      </c>
      <c r="HX25" t="e">
        <f>AND(Plan1!E912,"AAAAACK47uc=")</f>
        <v>#VALUE!</v>
      </c>
      <c r="HY25" t="e">
        <f>AND(Plan1!F912,"AAAAACK47ug=")</f>
        <v>#VALUE!</v>
      </c>
      <c r="HZ25">
        <f>IF(Plan1!913:913,"AAAAACK47uk=",0)</f>
        <v>0</v>
      </c>
      <c r="IA25" t="e">
        <f>AND(Plan1!A913,"AAAAACK47uo=")</f>
        <v>#VALUE!</v>
      </c>
      <c r="IB25" t="e">
        <f>AND(Plan1!B913,"AAAAACK47us=")</f>
        <v>#VALUE!</v>
      </c>
      <c r="IC25" t="e">
        <f>AND(Plan1!C913,"AAAAACK47uw=")</f>
        <v>#VALUE!</v>
      </c>
      <c r="ID25" t="e">
        <f>AND(Plan1!D913,"AAAAACK47u0=")</f>
        <v>#VALUE!</v>
      </c>
      <c r="IE25" t="e">
        <f>AND(Plan1!E913,"AAAAACK47u4=")</f>
        <v>#VALUE!</v>
      </c>
      <c r="IF25" t="e">
        <f>AND(Plan1!F913,"AAAAACK47u8=")</f>
        <v>#VALUE!</v>
      </c>
      <c r="IG25">
        <f>IF(Plan1!914:914,"AAAAACK47vA=",0)</f>
        <v>0</v>
      </c>
      <c r="IH25" t="e">
        <f>AND(Plan1!A914,"AAAAACK47vE=")</f>
        <v>#VALUE!</v>
      </c>
      <c r="II25" t="e">
        <f>AND(Plan1!B914,"AAAAACK47vI=")</f>
        <v>#VALUE!</v>
      </c>
      <c r="IJ25" t="e">
        <f>AND(Plan1!C914,"AAAAACK47vM=")</f>
        <v>#VALUE!</v>
      </c>
      <c r="IK25" t="e">
        <f>AND(Plan1!D914,"AAAAACK47vQ=")</f>
        <v>#VALUE!</v>
      </c>
      <c r="IL25" t="e">
        <f>AND(Plan1!E914,"AAAAACK47vU=")</f>
        <v>#VALUE!</v>
      </c>
      <c r="IM25" t="e">
        <f>AND(Plan1!F914,"AAAAACK47vY=")</f>
        <v>#VALUE!</v>
      </c>
      <c r="IN25">
        <f>IF(Plan1!915:915,"AAAAACK47vc=",0)</f>
        <v>0</v>
      </c>
      <c r="IO25" t="e">
        <f>AND(Plan1!A915,"AAAAACK47vg=")</f>
        <v>#VALUE!</v>
      </c>
      <c r="IP25" t="e">
        <f>AND(Plan1!B915,"AAAAACK47vk=")</f>
        <v>#VALUE!</v>
      </c>
      <c r="IQ25" t="e">
        <f>AND(Plan1!C915,"AAAAACK47vo=")</f>
        <v>#VALUE!</v>
      </c>
      <c r="IR25" t="e">
        <f>AND(Plan1!D915,"AAAAACK47vs=")</f>
        <v>#VALUE!</v>
      </c>
      <c r="IS25" t="e">
        <f>AND(Plan1!E915,"AAAAACK47vw=")</f>
        <v>#VALUE!</v>
      </c>
      <c r="IT25" t="e">
        <f>AND(Plan1!F915,"AAAAACK47v0=")</f>
        <v>#VALUE!</v>
      </c>
      <c r="IU25">
        <f>IF(Plan1!916:916,"AAAAACK47v4=",0)</f>
        <v>0</v>
      </c>
      <c r="IV25" t="e">
        <f>AND(Plan1!A916,"AAAAACK47v8=")</f>
        <v>#VALUE!</v>
      </c>
    </row>
    <row r="26" spans="1:256">
      <c r="A26" t="e">
        <f>AND(Plan1!B916,"AAAAAHfkdwA=")</f>
        <v>#VALUE!</v>
      </c>
      <c r="B26" t="e">
        <f>AND(Plan1!C916,"AAAAAHfkdwE=")</f>
        <v>#VALUE!</v>
      </c>
      <c r="C26" t="e">
        <f>AND(Plan1!D916,"AAAAAHfkdwI=")</f>
        <v>#VALUE!</v>
      </c>
      <c r="D26" t="e">
        <f>AND(Plan1!E916,"AAAAAHfkdwM=")</f>
        <v>#VALUE!</v>
      </c>
      <c r="E26" t="e">
        <f>AND(Plan1!F916,"AAAAAHfkdwQ=")</f>
        <v>#VALUE!</v>
      </c>
      <c r="F26" t="e">
        <f>IF(Plan1!917:917,"AAAAAHfkdwU=",0)</f>
        <v>#VALUE!</v>
      </c>
      <c r="G26" t="e">
        <f>AND(Plan1!A917,"AAAAAHfkdwY=")</f>
        <v>#VALUE!</v>
      </c>
      <c r="H26" t="e">
        <f>AND(Plan1!B917,"AAAAAHfkdwc=")</f>
        <v>#VALUE!</v>
      </c>
      <c r="I26" t="e">
        <f>AND(Plan1!C917,"AAAAAHfkdwg=")</f>
        <v>#VALUE!</v>
      </c>
      <c r="J26" t="e">
        <f>AND(Plan1!D917,"AAAAAHfkdwk=")</f>
        <v>#VALUE!</v>
      </c>
      <c r="K26" t="e">
        <f>AND(Plan1!E917,"AAAAAHfkdwo=")</f>
        <v>#VALUE!</v>
      </c>
      <c r="L26" t="e">
        <f>AND(Plan1!F917,"AAAAAHfkdws=")</f>
        <v>#VALUE!</v>
      </c>
      <c r="M26">
        <f>IF(Plan1!918:918,"AAAAAHfkdww=",0)</f>
        <v>0</v>
      </c>
      <c r="N26" t="e">
        <f>AND(Plan1!A918,"AAAAAHfkdw0=")</f>
        <v>#VALUE!</v>
      </c>
      <c r="O26" t="e">
        <f>AND(Plan1!B918,"AAAAAHfkdw4=")</f>
        <v>#VALUE!</v>
      </c>
      <c r="P26" t="e">
        <f>AND(Plan1!C918,"AAAAAHfkdw8=")</f>
        <v>#VALUE!</v>
      </c>
      <c r="Q26" t="e">
        <f>AND(Plan1!D918,"AAAAAHfkdxA=")</f>
        <v>#VALUE!</v>
      </c>
      <c r="R26" t="e">
        <f>AND(Plan1!E918,"AAAAAHfkdxE=")</f>
        <v>#VALUE!</v>
      </c>
      <c r="S26" t="e">
        <f>AND(Plan1!F918,"AAAAAHfkdxI=")</f>
        <v>#VALUE!</v>
      </c>
      <c r="T26">
        <f>IF(Plan1!919:919,"AAAAAHfkdxM=",0)</f>
        <v>0</v>
      </c>
      <c r="U26" t="e">
        <f>AND(Plan1!A919,"AAAAAHfkdxQ=")</f>
        <v>#VALUE!</v>
      </c>
      <c r="V26" t="e">
        <f>AND(Plan1!B919,"AAAAAHfkdxU=")</f>
        <v>#VALUE!</v>
      </c>
      <c r="W26" t="e">
        <f>AND(Plan1!C919,"AAAAAHfkdxY=")</f>
        <v>#VALUE!</v>
      </c>
      <c r="X26" t="e">
        <f>AND(Plan1!D919,"AAAAAHfkdxc=")</f>
        <v>#VALUE!</v>
      </c>
      <c r="Y26" t="e">
        <f>AND(Plan1!E919,"AAAAAHfkdxg=")</f>
        <v>#VALUE!</v>
      </c>
      <c r="Z26" t="e">
        <f>AND(Plan1!F919,"AAAAAHfkdxk=")</f>
        <v>#VALUE!</v>
      </c>
      <c r="AA26">
        <f>IF(Plan1!920:920,"AAAAAHfkdxo=",0)</f>
        <v>0</v>
      </c>
      <c r="AB26" t="e">
        <f>AND(Plan1!A920,"AAAAAHfkdxs=")</f>
        <v>#VALUE!</v>
      </c>
      <c r="AC26" t="e">
        <f>AND(Plan1!B920,"AAAAAHfkdxw=")</f>
        <v>#VALUE!</v>
      </c>
      <c r="AD26" t="e">
        <f>AND(Plan1!C920,"AAAAAHfkdx0=")</f>
        <v>#VALUE!</v>
      </c>
      <c r="AE26" t="e">
        <f>AND(Plan1!D920,"AAAAAHfkdx4=")</f>
        <v>#VALUE!</v>
      </c>
      <c r="AF26" t="e">
        <f>AND(Plan1!E920,"AAAAAHfkdx8=")</f>
        <v>#VALUE!</v>
      </c>
      <c r="AG26" t="e">
        <f>AND(Plan1!F920,"AAAAAHfkdyA=")</f>
        <v>#VALUE!</v>
      </c>
      <c r="AH26">
        <f>IF(Plan1!921:921,"AAAAAHfkdyE=",0)</f>
        <v>0</v>
      </c>
      <c r="AI26" t="e">
        <f>AND(Plan1!A921,"AAAAAHfkdyI=")</f>
        <v>#VALUE!</v>
      </c>
      <c r="AJ26" t="e">
        <f>AND(Plan1!B921,"AAAAAHfkdyM=")</f>
        <v>#VALUE!</v>
      </c>
      <c r="AK26" t="e">
        <f>AND(Plan1!C921,"AAAAAHfkdyQ=")</f>
        <v>#VALUE!</v>
      </c>
      <c r="AL26" t="e">
        <f>AND(Plan1!D921,"AAAAAHfkdyU=")</f>
        <v>#VALUE!</v>
      </c>
      <c r="AM26" t="e">
        <f>AND(Plan1!E921,"AAAAAHfkdyY=")</f>
        <v>#VALUE!</v>
      </c>
      <c r="AN26" t="e">
        <f>AND(Plan1!F921,"AAAAAHfkdyc=")</f>
        <v>#VALUE!</v>
      </c>
      <c r="AO26">
        <f>IF(Plan1!922:922,"AAAAAHfkdyg=",0)</f>
        <v>0</v>
      </c>
      <c r="AP26" t="e">
        <f>AND(Plan1!A922,"AAAAAHfkdyk=")</f>
        <v>#VALUE!</v>
      </c>
      <c r="AQ26" t="e">
        <f>AND(Plan1!B922,"AAAAAHfkdyo=")</f>
        <v>#VALUE!</v>
      </c>
      <c r="AR26" t="e">
        <f>AND(Plan1!C922,"AAAAAHfkdys=")</f>
        <v>#VALUE!</v>
      </c>
      <c r="AS26" t="e">
        <f>AND(Plan1!D922,"AAAAAHfkdyw=")</f>
        <v>#VALUE!</v>
      </c>
      <c r="AT26" t="e">
        <f>AND(Plan1!E922,"AAAAAHfkdy0=")</f>
        <v>#VALUE!</v>
      </c>
      <c r="AU26" t="e">
        <f>AND(Plan1!F922,"AAAAAHfkdy4=")</f>
        <v>#VALUE!</v>
      </c>
      <c r="AV26">
        <f>IF(Plan1!923:923,"AAAAAHfkdy8=",0)</f>
        <v>0</v>
      </c>
      <c r="AW26" t="e">
        <f>AND(Plan1!A923,"AAAAAHfkdzA=")</f>
        <v>#VALUE!</v>
      </c>
      <c r="AX26" t="e">
        <f>AND(Plan1!B923,"AAAAAHfkdzE=")</f>
        <v>#VALUE!</v>
      </c>
      <c r="AY26" t="e">
        <f>AND(Plan1!C923,"AAAAAHfkdzI=")</f>
        <v>#VALUE!</v>
      </c>
      <c r="AZ26" t="e">
        <f>AND(Plan1!D923,"AAAAAHfkdzM=")</f>
        <v>#VALUE!</v>
      </c>
      <c r="BA26" t="e">
        <f>AND(Plan1!E923,"AAAAAHfkdzQ=")</f>
        <v>#VALUE!</v>
      </c>
      <c r="BB26" t="e">
        <f>AND(Plan1!F923,"AAAAAHfkdzU=")</f>
        <v>#VALUE!</v>
      </c>
      <c r="BC26">
        <f>IF(Plan1!924:924,"AAAAAHfkdzY=",0)</f>
        <v>0</v>
      </c>
      <c r="BD26" t="e">
        <f>AND(Plan1!A924,"AAAAAHfkdzc=")</f>
        <v>#VALUE!</v>
      </c>
      <c r="BE26" t="e">
        <f>AND(Plan1!B924,"AAAAAHfkdzg=")</f>
        <v>#VALUE!</v>
      </c>
      <c r="BF26" t="e">
        <f>AND(Plan1!C924,"AAAAAHfkdzk=")</f>
        <v>#VALUE!</v>
      </c>
      <c r="BG26" t="e">
        <f>AND(Plan1!D924,"AAAAAHfkdzo=")</f>
        <v>#VALUE!</v>
      </c>
      <c r="BH26" t="e">
        <f>AND(Plan1!E924,"AAAAAHfkdzs=")</f>
        <v>#VALUE!</v>
      </c>
      <c r="BI26" t="e">
        <f>AND(Plan1!F924,"AAAAAHfkdzw=")</f>
        <v>#VALUE!</v>
      </c>
      <c r="BJ26">
        <f>IF(Plan1!925:925,"AAAAAHfkdz0=",0)</f>
        <v>0</v>
      </c>
      <c r="BK26" t="e">
        <f>AND(Plan1!A925,"AAAAAHfkdz4=")</f>
        <v>#VALUE!</v>
      </c>
      <c r="BL26" t="e">
        <f>AND(Plan1!B925,"AAAAAHfkdz8=")</f>
        <v>#VALUE!</v>
      </c>
      <c r="BM26" t="e">
        <f>AND(Plan1!C925,"AAAAAHfkd0A=")</f>
        <v>#VALUE!</v>
      </c>
      <c r="BN26" t="e">
        <f>AND(Plan1!D925,"AAAAAHfkd0E=")</f>
        <v>#VALUE!</v>
      </c>
      <c r="BO26" t="e">
        <f>AND(Plan1!E925,"AAAAAHfkd0I=")</f>
        <v>#VALUE!</v>
      </c>
      <c r="BP26" t="e">
        <f>AND(Plan1!F925,"AAAAAHfkd0M=")</f>
        <v>#VALUE!</v>
      </c>
      <c r="BQ26">
        <f>IF(Plan1!926:926,"AAAAAHfkd0Q=",0)</f>
        <v>0</v>
      </c>
      <c r="BR26" t="e">
        <f>AND(Plan1!A926,"AAAAAHfkd0U=")</f>
        <v>#VALUE!</v>
      </c>
      <c r="BS26" t="e">
        <f>AND(Plan1!B926,"AAAAAHfkd0Y=")</f>
        <v>#VALUE!</v>
      </c>
      <c r="BT26" t="e">
        <f>AND(Plan1!C926,"AAAAAHfkd0c=")</f>
        <v>#VALUE!</v>
      </c>
      <c r="BU26" t="e">
        <f>AND(Plan1!D926,"AAAAAHfkd0g=")</f>
        <v>#VALUE!</v>
      </c>
      <c r="BV26" t="e">
        <f>AND(Plan1!E926,"AAAAAHfkd0k=")</f>
        <v>#VALUE!</v>
      </c>
      <c r="BW26" t="e">
        <f>AND(Plan1!F926,"AAAAAHfkd0o=")</f>
        <v>#VALUE!</v>
      </c>
      <c r="BX26">
        <f>IF(Plan1!927:927,"AAAAAHfkd0s=",0)</f>
        <v>0</v>
      </c>
      <c r="BY26" t="e">
        <f>AND(Plan1!A927,"AAAAAHfkd0w=")</f>
        <v>#VALUE!</v>
      </c>
      <c r="BZ26" t="e">
        <f>AND(Plan1!B927,"AAAAAHfkd00=")</f>
        <v>#VALUE!</v>
      </c>
      <c r="CA26" t="e">
        <f>AND(Plan1!C927,"AAAAAHfkd04=")</f>
        <v>#VALUE!</v>
      </c>
      <c r="CB26" t="e">
        <f>AND(Plan1!D927,"AAAAAHfkd08=")</f>
        <v>#VALUE!</v>
      </c>
      <c r="CC26" t="e">
        <f>AND(Plan1!E927,"AAAAAHfkd1A=")</f>
        <v>#VALUE!</v>
      </c>
      <c r="CD26" t="e">
        <f>AND(Plan1!F927,"AAAAAHfkd1E=")</f>
        <v>#VALUE!</v>
      </c>
      <c r="CE26">
        <f>IF(Plan1!928:928,"AAAAAHfkd1I=",0)</f>
        <v>0</v>
      </c>
      <c r="CF26" t="e">
        <f>AND(Plan1!A928,"AAAAAHfkd1M=")</f>
        <v>#VALUE!</v>
      </c>
      <c r="CG26" t="e">
        <f>AND(Plan1!B928,"AAAAAHfkd1Q=")</f>
        <v>#VALUE!</v>
      </c>
      <c r="CH26" t="e">
        <f>AND(Plan1!C928,"AAAAAHfkd1U=")</f>
        <v>#VALUE!</v>
      </c>
      <c r="CI26" t="e">
        <f>AND(Plan1!D928,"AAAAAHfkd1Y=")</f>
        <v>#VALUE!</v>
      </c>
      <c r="CJ26" t="e">
        <f>AND(Plan1!E928,"AAAAAHfkd1c=")</f>
        <v>#VALUE!</v>
      </c>
      <c r="CK26" t="e">
        <f>AND(Plan1!F928,"AAAAAHfkd1g=")</f>
        <v>#VALUE!</v>
      </c>
      <c r="CL26">
        <f>IF(Plan1!929:929,"AAAAAHfkd1k=",0)</f>
        <v>0</v>
      </c>
      <c r="CM26" t="e">
        <f>AND(Plan1!A929,"AAAAAHfkd1o=")</f>
        <v>#VALUE!</v>
      </c>
      <c r="CN26" t="e">
        <f>AND(Plan1!B929,"AAAAAHfkd1s=")</f>
        <v>#VALUE!</v>
      </c>
      <c r="CO26" t="e">
        <f>AND(Plan1!C929,"AAAAAHfkd1w=")</f>
        <v>#VALUE!</v>
      </c>
      <c r="CP26" t="e">
        <f>AND(Plan1!D929,"AAAAAHfkd10=")</f>
        <v>#VALUE!</v>
      </c>
      <c r="CQ26" t="e">
        <f>AND(Plan1!E929,"AAAAAHfkd14=")</f>
        <v>#VALUE!</v>
      </c>
      <c r="CR26" t="e">
        <f>AND(Plan1!F929,"AAAAAHfkd18=")</f>
        <v>#VALUE!</v>
      </c>
      <c r="CS26">
        <f>IF(Plan1!930:930,"AAAAAHfkd2A=",0)</f>
        <v>0</v>
      </c>
      <c r="CT26" t="e">
        <f>AND(Plan1!A930,"AAAAAHfkd2E=")</f>
        <v>#VALUE!</v>
      </c>
      <c r="CU26" t="e">
        <f>AND(Plan1!B930,"AAAAAHfkd2I=")</f>
        <v>#VALUE!</v>
      </c>
      <c r="CV26" t="e">
        <f>AND(Plan1!C930,"AAAAAHfkd2M=")</f>
        <v>#VALUE!</v>
      </c>
      <c r="CW26" t="e">
        <f>AND(Plan1!D930,"AAAAAHfkd2Q=")</f>
        <v>#VALUE!</v>
      </c>
      <c r="CX26" t="e">
        <f>AND(Plan1!E930,"AAAAAHfkd2U=")</f>
        <v>#VALUE!</v>
      </c>
      <c r="CY26" t="e">
        <f>AND(Plan1!F930,"AAAAAHfkd2Y=")</f>
        <v>#VALUE!</v>
      </c>
      <c r="CZ26">
        <f>IF(Plan1!931:931,"AAAAAHfkd2c=",0)</f>
        <v>0</v>
      </c>
      <c r="DA26" t="e">
        <f>AND(Plan1!A931,"AAAAAHfkd2g=")</f>
        <v>#VALUE!</v>
      </c>
      <c r="DB26" t="e">
        <f>AND(Plan1!B931,"AAAAAHfkd2k=")</f>
        <v>#VALUE!</v>
      </c>
      <c r="DC26" t="e">
        <f>AND(Plan1!C931,"AAAAAHfkd2o=")</f>
        <v>#VALUE!</v>
      </c>
      <c r="DD26" t="e">
        <f>AND(Plan1!D931,"AAAAAHfkd2s=")</f>
        <v>#VALUE!</v>
      </c>
      <c r="DE26" t="e">
        <f>AND(Plan1!E931,"AAAAAHfkd2w=")</f>
        <v>#VALUE!</v>
      </c>
      <c r="DF26" t="e">
        <f>AND(Plan1!F931,"AAAAAHfkd20=")</f>
        <v>#VALUE!</v>
      </c>
      <c r="DG26">
        <f>IF(Plan1!932:932,"AAAAAHfkd24=",0)</f>
        <v>0</v>
      </c>
      <c r="DH26" t="e">
        <f>AND(Plan1!A932,"AAAAAHfkd28=")</f>
        <v>#VALUE!</v>
      </c>
      <c r="DI26" t="e">
        <f>AND(Plan1!B932,"AAAAAHfkd3A=")</f>
        <v>#VALUE!</v>
      </c>
      <c r="DJ26" t="e">
        <f>AND(Plan1!C932,"AAAAAHfkd3E=")</f>
        <v>#VALUE!</v>
      </c>
      <c r="DK26" t="e">
        <f>AND(Plan1!D932,"AAAAAHfkd3I=")</f>
        <v>#VALUE!</v>
      </c>
      <c r="DL26" t="e">
        <f>AND(Plan1!E932,"AAAAAHfkd3M=")</f>
        <v>#VALUE!</v>
      </c>
      <c r="DM26" t="e">
        <f>AND(Plan1!F932,"AAAAAHfkd3Q=")</f>
        <v>#VALUE!</v>
      </c>
      <c r="DN26">
        <f>IF(Plan1!933:933,"AAAAAHfkd3U=",0)</f>
        <v>0</v>
      </c>
      <c r="DO26" t="e">
        <f>AND(Plan1!A933,"AAAAAHfkd3Y=")</f>
        <v>#VALUE!</v>
      </c>
      <c r="DP26" t="e">
        <f>AND(Plan1!B933,"AAAAAHfkd3c=")</f>
        <v>#VALUE!</v>
      </c>
      <c r="DQ26" t="e">
        <f>AND(Plan1!C933,"AAAAAHfkd3g=")</f>
        <v>#VALUE!</v>
      </c>
      <c r="DR26" t="e">
        <f>AND(Plan1!D933,"AAAAAHfkd3k=")</f>
        <v>#VALUE!</v>
      </c>
      <c r="DS26" t="e">
        <f>AND(Plan1!E933,"AAAAAHfkd3o=")</f>
        <v>#VALUE!</v>
      </c>
      <c r="DT26" t="e">
        <f>AND(Plan1!F933,"AAAAAHfkd3s=")</f>
        <v>#VALUE!</v>
      </c>
      <c r="DU26">
        <f>IF(Plan1!934:934,"AAAAAHfkd3w=",0)</f>
        <v>0</v>
      </c>
      <c r="DV26" t="e">
        <f>AND(Plan1!A934,"AAAAAHfkd30=")</f>
        <v>#VALUE!</v>
      </c>
      <c r="DW26" t="e">
        <f>AND(Plan1!B934,"AAAAAHfkd34=")</f>
        <v>#VALUE!</v>
      </c>
      <c r="DX26" t="e">
        <f>AND(Plan1!C934,"AAAAAHfkd38=")</f>
        <v>#VALUE!</v>
      </c>
      <c r="DY26" t="e">
        <f>AND(Plan1!D934,"AAAAAHfkd4A=")</f>
        <v>#VALUE!</v>
      </c>
      <c r="DZ26" t="e">
        <f>AND(Plan1!E934,"AAAAAHfkd4E=")</f>
        <v>#VALUE!</v>
      </c>
      <c r="EA26" t="e">
        <f>AND(Plan1!F934,"AAAAAHfkd4I=")</f>
        <v>#VALUE!</v>
      </c>
      <c r="EB26">
        <f>IF(Plan1!935:935,"AAAAAHfkd4M=",0)</f>
        <v>0</v>
      </c>
      <c r="EC26" t="e">
        <f>AND(Plan1!A935,"AAAAAHfkd4Q=")</f>
        <v>#VALUE!</v>
      </c>
      <c r="ED26" t="e">
        <f>AND(Plan1!B935,"AAAAAHfkd4U=")</f>
        <v>#VALUE!</v>
      </c>
      <c r="EE26" t="e">
        <f>AND(Plan1!C935,"AAAAAHfkd4Y=")</f>
        <v>#VALUE!</v>
      </c>
      <c r="EF26" t="e">
        <f>AND(Plan1!D935,"AAAAAHfkd4c=")</f>
        <v>#VALUE!</v>
      </c>
      <c r="EG26" t="e">
        <f>AND(Plan1!E935,"AAAAAHfkd4g=")</f>
        <v>#VALUE!</v>
      </c>
      <c r="EH26" t="e">
        <f>AND(Plan1!F935,"AAAAAHfkd4k=")</f>
        <v>#VALUE!</v>
      </c>
      <c r="EI26">
        <f>IF(Plan1!936:936,"AAAAAHfkd4o=",0)</f>
        <v>0</v>
      </c>
      <c r="EJ26" t="e">
        <f>AND(Plan1!A936,"AAAAAHfkd4s=")</f>
        <v>#VALUE!</v>
      </c>
      <c r="EK26" t="e">
        <f>AND(Plan1!B936,"AAAAAHfkd4w=")</f>
        <v>#VALUE!</v>
      </c>
      <c r="EL26" t="e">
        <f>AND(Plan1!C936,"AAAAAHfkd40=")</f>
        <v>#VALUE!</v>
      </c>
      <c r="EM26" t="e">
        <f>AND(Plan1!D936,"AAAAAHfkd44=")</f>
        <v>#VALUE!</v>
      </c>
      <c r="EN26" t="e">
        <f>AND(Plan1!E936,"AAAAAHfkd48=")</f>
        <v>#VALUE!</v>
      </c>
      <c r="EO26" t="e">
        <f>AND(Plan1!F936,"AAAAAHfkd5A=")</f>
        <v>#VALUE!</v>
      </c>
      <c r="EP26">
        <f>IF(Plan1!937:937,"AAAAAHfkd5E=",0)</f>
        <v>0</v>
      </c>
      <c r="EQ26" t="e">
        <f>AND(Plan1!A937,"AAAAAHfkd5I=")</f>
        <v>#VALUE!</v>
      </c>
      <c r="ER26" t="e">
        <f>AND(Plan1!B937,"AAAAAHfkd5M=")</f>
        <v>#VALUE!</v>
      </c>
      <c r="ES26" t="e">
        <f>AND(Plan1!C937,"AAAAAHfkd5Q=")</f>
        <v>#VALUE!</v>
      </c>
      <c r="ET26" t="e">
        <f>AND(Plan1!D937,"AAAAAHfkd5U=")</f>
        <v>#VALUE!</v>
      </c>
      <c r="EU26" t="e">
        <f>AND(Plan1!E937,"AAAAAHfkd5Y=")</f>
        <v>#VALUE!</v>
      </c>
      <c r="EV26" t="e">
        <f>AND(Plan1!F937,"AAAAAHfkd5c=")</f>
        <v>#VALUE!</v>
      </c>
      <c r="EW26">
        <f>IF(Plan1!938:938,"AAAAAHfkd5g=",0)</f>
        <v>0</v>
      </c>
      <c r="EX26" t="e">
        <f>AND(Plan1!A938,"AAAAAHfkd5k=")</f>
        <v>#VALUE!</v>
      </c>
      <c r="EY26" t="e">
        <f>AND(Plan1!B938,"AAAAAHfkd5o=")</f>
        <v>#VALUE!</v>
      </c>
      <c r="EZ26" t="e">
        <f>AND(Plan1!C938,"AAAAAHfkd5s=")</f>
        <v>#VALUE!</v>
      </c>
      <c r="FA26" t="e">
        <f>AND(Plan1!D938,"AAAAAHfkd5w=")</f>
        <v>#VALUE!</v>
      </c>
      <c r="FB26" t="e">
        <f>AND(Plan1!E938,"AAAAAHfkd50=")</f>
        <v>#VALUE!</v>
      </c>
      <c r="FC26" t="e">
        <f>AND(Plan1!F938,"AAAAAHfkd54=")</f>
        <v>#VALUE!</v>
      </c>
      <c r="FD26">
        <f>IF(Plan1!939:939,"AAAAAHfkd58=",0)</f>
        <v>0</v>
      </c>
      <c r="FE26" t="e">
        <f>AND(Plan1!A939,"AAAAAHfkd6A=")</f>
        <v>#VALUE!</v>
      </c>
      <c r="FF26" t="e">
        <f>AND(Plan1!B939,"AAAAAHfkd6E=")</f>
        <v>#VALUE!</v>
      </c>
      <c r="FG26" t="e">
        <f>AND(Plan1!C939,"AAAAAHfkd6I=")</f>
        <v>#VALUE!</v>
      </c>
      <c r="FH26" t="e">
        <f>AND(Plan1!D939,"AAAAAHfkd6M=")</f>
        <v>#VALUE!</v>
      </c>
      <c r="FI26" t="e">
        <f>AND(Plan1!E939,"AAAAAHfkd6Q=")</f>
        <v>#VALUE!</v>
      </c>
      <c r="FJ26" t="e">
        <f>AND(Plan1!F939,"AAAAAHfkd6U=")</f>
        <v>#VALUE!</v>
      </c>
      <c r="FK26">
        <f>IF(Plan1!940:940,"AAAAAHfkd6Y=",0)</f>
        <v>0</v>
      </c>
      <c r="FL26" t="e">
        <f>AND(Plan1!A940,"AAAAAHfkd6c=")</f>
        <v>#VALUE!</v>
      </c>
      <c r="FM26" t="e">
        <f>AND(Plan1!B940,"AAAAAHfkd6g=")</f>
        <v>#VALUE!</v>
      </c>
      <c r="FN26" t="e">
        <f>AND(Plan1!C940,"AAAAAHfkd6k=")</f>
        <v>#VALUE!</v>
      </c>
      <c r="FO26" t="e">
        <f>AND(Plan1!D940,"AAAAAHfkd6o=")</f>
        <v>#VALUE!</v>
      </c>
      <c r="FP26" t="e">
        <f>AND(Plan1!E940,"AAAAAHfkd6s=")</f>
        <v>#VALUE!</v>
      </c>
      <c r="FQ26" t="e">
        <f>AND(Plan1!F940,"AAAAAHfkd6w=")</f>
        <v>#VALUE!</v>
      </c>
      <c r="FR26">
        <f>IF(Plan1!941:941,"AAAAAHfkd60=",0)</f>
        <v>0</v>
      </c>
      <c r="FS26" t="e">
        <f>AND(Plan1!A941,"AAAAAHfkd64=")</f>
        <v>#VALUE!</v>
      </c>
      <c r="FT26" t="e">
        <f>AND(Plan1!B941,"AAAAAHfkd68=")</f>
        <v>#VALUE!</v>
      </c>
      <c r="FU26" t="e">
        <f>AND(Plan1!C941,"AAAAAHfkd7A=")</f>
        <v>#VALUE!</v>
      </c>
      <c r="FV26" t="e">
        <f>AND(Plan1!D941,"AAAAAHfkd7E=")</f>
        <v>#VALUE!</v>
      </c>
      <c r="FW26" t="e">
        <f>AND(Plan1!E941,"AAAAAHfkd7I=")</f>
        <v>#VALUE!</v>
      </c>
      <c r="FX26" t="e">
        <f>AND(Plan1!F941,"AAAAAHfkd7M=")</f>
        <v>#VALUE!</v>
      </c>
      <c r="FY26">
        <f>IF(Plan1!942:942,"AAAAAHfkd7Q=",0)</f>
        <v>0</v>
      </c>
      <c r="FZ26" t="e">
        <f>AND(Plan1!A942,"AAAAAHfkd7U=")</f>
        <v>#VALUE!</v>
      </c>
      <c r="GA26" t="e">
        <f>AND(Plan1!B942,"AAAAAHfkd7Y=")</f>
        <v>#VALUE!</v>
      </c>
      <c r="GB26" t="e">
        <f>AND(Plan1!C942,"AAAAAHfkd7c=")</f>
        <v>#VALUE!</v>
      </c>
      <c r="GC26" t="e">
        <f>AND(Plan1!D942,"AAAAAHfkd7g=")</f>
        <v>#VALUE!</v>
      </c>
      <c r="GD26" t="e">
        <f>AND(Plan1!E942,"AAAAAHfkd7k=")</f>
        <v>#VALUE!</v>
      </c>
      <c r="GE26" t="e">
        <f>AND(Plan1!F942,"AAAAAHfkd7o=")</f>
        <v>#VALUE!</v>
      </c>
      <c r="GF26">
        <f>IF(Plan1!943:943,"AAAAAHfkd7s=",0)</f>
        <v>0</v>
      </c>
      <c r="GG26" t="e">
        <f>AND(Plan1!A943,"AAAAAHfkd7w=")</f>
        <v>#VALUE!</v>
      </c>
      <c r="GH26" t="e">
        <f>AND(Plan1!B943,"AAAAAHfkd70=")</f>
        <v>#VALUE!</v>
      </c>
      <c r="GI26" t="e">
        <f>AND(Plan1!C943,"AAAAAHfkd74=")</f>
        <v>#VALUE!</v>
      </c>
      <c r="GJ26" t="e">
        <f>AND(Plan1!D943,"AAAAAHfkd78=")</f>
        <v>#VALUE!</v>
      </c>
      <c r="GK26" t="e">
        <f>AND(Plan1!E943,"AAAAAHfkd8A=")</f>
        <v>#VALUE!</v>
      </c>
      <c r="GL26" t="e">
        <f>AND(Plan1!F943,"AAAAAHfkd8E=")</f>
        <v>#VALUE!</v>
      </c>
      <c r="GM26">
        <f>IF(Plan1!944:944,"AAAAAHfkd8I=",0)</f>
        <v>0</v>
      </c>
      <c r="GN26" t="e">
        <f>AND(Plan1!A944,"AAAAAHfkd8M=")</f>
        <v>#VALUE!</v>
      </c>
      <c r="GO26" t="e">
        <f>AND(Plan1!B944,"AAAAAHfkd8Q=")</f>
        <v>#VALUE!</v>
      </c>
      <c r="GP26" t="e">
        <f>AND(Plan1!C944,"AAAAAHfkd8U=")</f>
        <v>#VALUE!</v>
      </c>
      <c r="GQ26" t="e">
        <f>AND(Plan1!D944,"AAAAAHfkd8Y=")</f>
        <v>#VALUE!</v>
      </c>
      <c r="GR26" t="e">
        <f>AND(Plan1!E944,"AAAAAHfkd8c=")</f>
        <v>#VALUE!</v>
      </c>
      <c r="GS26" t="e">
        <f>AND(Plan1!F944,"AAAAAHfkd8g=")</f>
        <v>#VALUE!</v>
      </c>
      <c r="GT26">
        <f>IF(Plan1!945:945,"AAAAAHfkd8k=",0)</f>
        <v>0</v>
      </c>
      <c r="GU26" t="e">
        <f>AND(Plan1!A945,"AAAAAHfkd8o=")</f>
        <v>#VALUE!</v>
      </c>
      <c r="GV26" t="e">
        <f>AND(Plan1!B945,"AAAAAHfkd8s=")</f>
        <v>#VALUE!</v>
      </c>
      <c r="GW26" t="e">
        <f>AND(Plan1!C945,"AAAAAHfkd8w=")</f>
        <v>#VALUE!</v>
      </c>
      <c r="GX26" t="e">
        <f>AND(Plan1!D945,"AAAAAHfkd80=")</f>
        <v>#VALUE!</v>
      </c>
      <c r="GY26" t="e">
        <f>AND(Plan1!E945,"AAAAAHfkd84=")</f>
        <v>#VALUE!</v>
      </c>
      <c r="GZ26" t="e">
        <f>AND(Plan1!F945,"AAAAAHfkd88=")</f>
        <v>#VALUE!</v>
      </c>
      <c r="HA26">
        <f>IF(Plan1!946:946,"AAAAAHfkd9A=",0)</f>
        <v>0</v>
      </c>
      <c r="HB26" t="e">
        <f>AND(Plan1!A946,"AAAAAHfkd9E=")</f>
        <v>#VALUE!</v>
      </c>
      <c r="HC26" t="e">
        <f>AND(Plan1!B946,"AAAAAHfkd9I=")</f>
        <v>#VALUE!</v>
      </c>
      <c r="HD26" t="e">
        <f>AND(Plan1!C946,"AAAAAHfkd9M=")</f>
        <v>#VALUE!</v>
      </c>
      <c r="HE26" t="e">
        <f>AND(Plan1!D946,"AAAAAHfkd9Q=")</f>
        <v>#VALUE!</v>
      </c>
      <c r="HF26" t="e">
        <f>AND(Plan1!E946,"AAAAAHfkd9U=")</f>
        <v>#VALUE!</v>
      </c>
      <c r="HG26" t="e">
        <f>AND(Plan1!F946,"AAAAAHfkd9Y=")</f>
        <v>#VALUE!</v>
      </c>
      <c r="HH26">
        <f>IF(Plan1!947:947,"AAAAAHfkd9c=",0)</f>
        <v>0</v>
      </c>
      <c r="HI26" t="e">
        <f>AND(Plan1!A947,"AAAAAHfkd9g=")</f>
        <v>#VALUE!</v>
      </c>
      <c r="HJ26" t="e">
        <f>AND(Plan1!B947,"AAAAAHfkd9k=")</f>
        <v>#VALUE!</v>
      </c>
      <c r="HK26" t="e">
        <f>AND(Plan1!C947,"AAAAAHfkd9o=")</f>
        <v>#VALUE!</v>
      </c>
      <c r="HL26" t="e">
        <f>AND(Plan1!D947,"AAAAAHfkd9s=")</f>
        <v>#VALUE!</v>
      </c>
      <c r="HM26" t="e">
        <f>AND(Plan1!E947,"AAAAAHfkd9w=")</f>
        <v>#VALUE!</v>
      </c>
      <c r="HN26" t="e">
        <f>AND(Plan1!F947,"AAAAAHfkd90=")</f>
        <v>#VALUE!</v>
      </c>
      <c r="HO26">
        <f>IF(Plan1!948:948,"AAAAAHfkd94=",0)</f>
        <v>0</v>
      </c>
      <c r="HP26" t="e">
        <f>AND(Plan1!A948,"AAAAAHfkd98=")</f>
        <v>#VALUE!</v>
      </c>
      <c r="HQ26" t="e">
        <f>AND(Plan1!B948,"AAAAAHfkd+A=")</f>
        <v>#VALUE!</v>
      </c>
      <c r="HR26" t="e">
        <f>AND(Plan1!C948,"AAAAAHfkd+E=")</f>
        <v>#VALUE!</v>
      </c>
      <c r="HS26" t="e">
        <f>AND(Plan1!D948,"AAAAAHfkd+I=")</f>
        <v>#VALUE!</v>
      </c>
      <c r="HT26" t="e">
        <f>AND(Plan1!E948,"AAAAAHfkd+M=")</f>
        <v>#VALUE!</v>
      </c>
      <c r="HU26" t="e">
        <f>AND(Plan1!F948,"AAAAAHfkd+Q=")</f>
        <v>#VALUE!</v>
      </c>
      <c r="HV26">
        <f>IF(Plan1!949:949,"AAAAAHfkd+U=",0)</f>
        <v>0</v>
      </c>
      <c r="HW26" t="e">
        <f>AND(Plan1!A949,"AAAAAHfkd+Y=")</f>
        <v>#VALUE!</v>
      </c>
      <c r="HX26" t="e">
        <f>AND(Plan1!B949,"AAAAAHfkd+c=")</f>
        <v>#VALUE!</v>
      </c>
      <c r="HY26" t="e">
        <f>AND(Plan1!C949,"AAAAAHfkd+g=")</f>
        <v>#VALUE!</v>
      </c>
      <c r="HZ26" t="e">
        <f>AND(Plan1!D949,"AAAAAHfkd+k=")</f>
        <v>#VALUE!</v>
      </c>
      <c r="IA26" t="e">
        <f>AND(Plan1!E949,"AAAAAHfkd+o=")</f>
        <v>#VALUE!</v>
      </c>
      <c r="IB26" t="e">
        <f>AND(Plan1!F949,"AAAAAHfkd+s=")</f>
        <v>#VALUE!</v>
      </c>
      <c r="IC26">
        <f>IF(Plan1!950:950,"AAAAAHfkd+w=",0)</f>
        <v>0</v>
      </c>
      <c r="ID26" t="e">
        <f>AND(Plan1!A950,"AAAAAHfkd+0=")</f>
        <v>#VALUE!</v>
      </c>
      <c r="IE26" t="e">
        <f>AND(Plan1!B950,"AAAAAHfkd+4=")</f>
        <v>#VALUE!</v>
      </c>
      <c r="IF26" t="e">
        <f>AND(Plan1!C950,"AAAAAHfkd+8=")</f>
        <v>#VALUE!</v>
      </c>
      <c r="IG26" t="e">
        <f>AND(Plan1!D950,"AAAAAHfkd/A=")</f>
        <v>#VALUE!</v>
      </c>
      <c r="IH26" t="e">
        <f>AND(Plan1!E950,"AAAAAHfkd/E=")</f>
        <v>#VALUE!</v>
      </c>
      <c r="II26" t="e">
        <f>AND(Plan1!F950,"AAAAAHfkd/I=")</f>
        <v>#VALUE!</v>
      </c>
      <c r="IJ26">
        <f>IF(Plan1!951:951,"AAAAAHfkd/M=",0)</f>
        <v>0</v>
      </c>
      <c r="IK26" t="e">
        <f>AND(Plan1!A951,"AAAAAHfkd/Q=")</f>
        <v>#VALUE!</v>
      </c>
      <c r="IL26" t="e">
        <f>AND(Plan1!B951,"AAAAAHfkd/U=")</f>
        <v>#VALUE!</v>
      </c>
      <c r="IM26" t="e">
        <f>AND(Plan1!C951,"AAAAAHfkd/Y=")</f>
        <v>#VALUE!</v>
      </c>
      <c r="IN26" t="e">
        <f>AND(Plan1!D951,"AAAAAHfkd/c=")</f>
        <v>#VALUE!</v>
      </c>
      <c r="IO26" t="e">
        <f>AND(Plan1!E951,"AAAAAHfkd/g=")</f>
        <v>#VALUE!</v>
      </c>
      <c r="IP26" t="e">
        <f>AND(Plan1!F951,"AAAAAHfkd/k=")</f>
        <v>#VALUE!</v>
      </c>
      <c r="IQ26">
        <f>IF(Plan1!952:952,"AAAAAHfkd/o=",0)</f>
        <v>0</v>
      </c>
      <c r="IR26" t="e">
        <f>AND(Plan1!A952,"AAAAAHfkd/s=")</f>
        <v>#VALUE!</v>
      </c>
      <c r="IS26" t="e">
        <f>AND(Plan1!B952,"AAAAAHfkd/w=")</f>
        <v>#VALUE!</v>
      </c>
      <c r="IT26" t="e">
        <f>AND(Plan1!C952,"AAAAAHfkd/0=")</f>
        <v>#VALUE!</v>
      </c>
      <c r="IU26" t="e">
        <f>AND(Plan1!D952,"AAAAAHfkd/4=")</f>
        <v>#VALUE!</v>
      </c>
      <c r="IV26" t="e">
        <f>AND(Plan1!E952,"AAAAAHfkd/8=")</f>
        <v>#VALUE!</v>
      </c>
    </row>
    <row r="27" spans="1:256">
      <c r="A27" t="e">
        <f>AND(Plan1!F952,"AAAAAB6k5gA=")</f>
        <v>#VALUE!</v>
      </c>
      <c r="B27" t="e">
        <f>IF(Plan1!953:953,"AAAAAB6k5gE=",0)</f>
        <v>#VALUE!</v>
      </c>
      <c r="C27" t="e">
        <f>AND(Plan1!A953,"AAAAAB6k5gI=")</f>
        <v>#VALUE!</v>
      </c>
      <c r="D27" t="e">
        <f>AND(Plan1!B953,"AAAAAB6k5gM=")</f>
        <v>#VALUE!</v>
      </c>
      <c r="E27" t="e">
        <f>AND(Plan1!C953,"AAAAAB6k5gQ=")</f>
        <v>#VALUE!</v>
      </c>
      <c r="F27" t="e">
        <f>AND(Plan1!D953,"AAAAAB6k5gU=")</f>
        <v>#VALUE!</v>
      </c>
      <c r="G27" t="e">
        <f>AND(Plan1!E953,"AAAAAB6k5gY=")</f>
        <v>#VALUE!</v>
      </c>
      <c r="H27" t="e">
        <f>AND(Plan1!F953,"AAAAAB6k5gc=")</f>
        <v>#VALUE!</v>
      </c>
      <c r="I27">
        <f>IF(Plan1!954:954,"AAAAAB6k5gg=",0)</f>
        <v>0</v>
      </c>
      <c r="J27" t="e">
        <f>AND(Plan1!A954,"AAAAAB6k5gk=")</f>
        <v>#VALUE!</v>
      </c>
      <c r="K27" t="e">
        <f>AND(Plan1!B954,"AAAAAB6k5go=")</f>
        <v>#VALUE!</v>
      </c>
      <c r="L27" t="e">
        <f>AND(Plan1!C954,"AAAAAB6k5gs=")</f>
        <v>#VALUE!</v>
      </c>
      <c r="M27" t="e">
        <f>AND(Plan1!D954,"AAAAAB6k5gw=")</f>
        <v>#VALUE!</v>
      </c>
      <c r="N27" t="e">
        <f>AND(Plan1!E954,"AAAAAB6k5g0=")</f>
        <v>#VALUE!</v>
      </c>
      <c r="O27" t="e">
        <f>AND(Plan1!F954,"AAAAAB6k5g4=")</f>
        <v>#VALUE!</v>
      </c>
      <c r="P27">
        <f>IF(Plan1!955:955,"AAAAAB6k5g8=",0)</f>
        <v>0</v>
      </c>
      <c r="Q27" t="e">
        <f>AND(Plan1!A955,"AAAAAB6k5hA=")</f>
        <v>#VALUE!</v>
      </c>
      <c r="R27" t="e">
        <f>AND(Plan1!B955,"AAAAAB6k5hE=")</f>
        <v>#VALUE!</v>
      </c>
      <c r="S27" t="e">
        <f>AND(Plan1!C955,"AAAAAB6k5hI=")</f>
        <v>#VALUE!</v>
      </c>
      <c r="T27" t="e">
        <f>AND(Plan1!D955,"AAAAAB6k5hM=")</f>
        <v>#VALUE!</v>
      </c>
      <c r="U27" t="e">
        <f>AND(Plan1!E955,"AAAAAB6k5hQ=")</f>
        <v>#VALUE!</v>
      </c>
      <c r="V27" t="e">
        <f>AND(Plan1!F955,"AAAAAB6k5hU=")</f>
        <v>#VALUE!</v>
      </c>
      <c r="W27">
        <f>IF(Plan1!956:956,"AAAAAB6k5hY=",0)</f>
        <v>0</v>
      </c>
      <c r="X27" t="e">
        <f>AND(Plan1!A956,"AAAAAB6k5hc=")</f>
        <v>#VALUE!</v>
      </c>
      <c r="Y27" t="e">
        <f>AND(Plan1!B956,"AAAAAB6k5hg=")</f>
        <v>#VALUE!</v>
      </c>
      <c r="Z27" t="e">
        <f>AND(Plan1!C956,"AAAAAB6k5hk=")</f>
        <v>#VALUE!</v>
      </c>
      <c r="AA27" t="e">
        <f>AND(Plan1!D956,"AAAAAB6k5ho=")</f>
        <v>#VALUE!</v>
      </c>
      <c r="AB27" t="e">
        <f>AND(Plan1!E956,"AAAAAB6k5hs=")</f>
        <v>#VALUE!</v>
      </c>
      <c r="AC27" t="e">
        <f>AND(Plan1!F956,"AAAAAB6k5hw=")</f>
        <v>#VALUE!</v>
      </c>
      <c r="AD27">
        <f>IF(Plan1!957:957,"AAAAAB6k5h0=",0)</f>
        <v>0</v>
      </c>
      <c r="AE27" t="e">
        <f>AND(Plan1!A957,"AAAAAB6k5h4=")</f>
        <v>#VALUE!</v>
      </c>
      <c r="AF27" t="e">
        <f>AND(Plan1!B957,"AAAAAB6k5h8=")</f>
        <v>#VALUE!</v>
      </c>
      <c r="AG27" t="e">
        <f>AND(Plan1!C957,"AAAAAB6k5iA=")</f>
        <v>#VALUE!</v>
      </c>
      <c r="AH27" t="e">
        <f>AND(Plan1!D957,"AAAAAB6k5iE=")</f>
        <v>#VALUE!</v>
      </c>
      <c r="AI27" t="e">
        <f>AND(Plan1!E957,"AAAAAB6k5iI=")</f>
        <v>#VALUE!</v>
      </c>
      <c r="AJ27" t="e">
        <f>AND(Plan1!F957,"AAAAAB6k5iM=")</f>
        <v>#VALUE!</v>
      </c>
      <c r="AK27">
        <f>IF(Plan1!958:958,"AAAAAB6k5iQ=",0)</f>
        <v>0</v>
      </c>
      <c r="AL27" t="e">
        <f>AND(Plan1!A958,"AAAAAB6k5iU=")</f>
        <v>#VALUE!</v>
      </c>
      <c r="AM27" t="e">
        <f>AND(Plan1!B958,"AAAAAB6k5iY=")</f>
        <v>#VALUE!</v>
      </c>
      <c r="AN27" t="e">
        <f>AND(Plan1!C958,"AAAAAB6k5ic=")</f>
        <v>#VALUE!</v>
      </c>
      <c r="AO27" t="e">
        <f>AND(Plan1!D958,"AAAAAB6k5ig=")</f>
        <v>#VALUE!</v>
      </c>
      <c r="AP27" t="e">
        <f>AND(Plan1!E958,"AAAAAB6k5ik=")</f>
        <v>#VALUE!</v>
      </c>
      <c r="AQ27" t="e">
        <f>AND(Plan1!F958,"AAAAAB6k5io=")</f>
        <v>#VALUE!</v>
      </c>
      <c r="AR27">
        <f>IF(Plan1!959:959,"AAAAAB6k5is=",0)</f>
        <v>0</v>
      </c>
      <c r="AS27" t="e">
        <f>AND(Plan1!A959,"AAAAAB6k5iw=")</f>
        <v>#VALUE!</v>
      </c>
      <c r="AT27" t="e">
        <f>AND(Plan1!B959,"AAAAAB6k5i0=")</f>
        <v>#VALUE!</v>
      </c>
      <c r="AU27" t="e">
        <f>AND(Plan1!C959,"AAAAAB6k5i4=")</f>
        <v>#VALUE!</v>
      </c>
      <c r="AV27" t="e">
        <f>AND(Plan1!D959,"AAAAAB6k5i8=")</f>
        <v>#VALUE!</v>
      </c>
      <c r="AW27" t="e">
        <f>AND(Plan1!E959,"AAAAAB6k5jA=")</f>
        <v>#VALUE!</v>
      </c>
      <c r="AX27" t="e">
        <f>AND(Plan1!F959,"AAAAAB6k5jE=")</f>
        <v>#VALUE!</v>
      </c>
      <c r="AY27">
        <f>IF(Plan1!960:960,"AAAAAB6k5jI=",0)</f>
        <v>0</v>
      </c>
      <c r="AZ27" t="e">
        <f>AND(Plan1!A960,"AAAAAB6k5jM=")</f>
        <v>#VALUE!</v>
      </c>
      <c r="BA27" t="e">
        <f>AND(Plan1!B960,"AAAAAB6k5jQ=")</f>
        <v>#VALUE!</v>
      </c>
      <c r="BB27" t="e">
        <f>AND(Plan1!C960,"AAAAAB6k5jU=")</f>
        <v>#VALUE!</v>
      </c>
      <c r="BC27" t="e">
        <f>AND(Plan1!D960,"AAAAAB6k5jY=")</f>
        <v>#VALUE!</v>
      </c>
      <c r="BD27" t="e">
        <f>AND(Plan1!E960,"AAAAAB6k5jc=")</f>
        <v>#VALUE!</v>
      </c>
      <c r="BE27" t="e">
        <f>AND(Plan1!F960,"AAAAAB6k5jg=")</f>
        <v>#VALUE!</v>
      </c>
      <c r="BF27">
        <f>IF(Plan1!961:961,"AAAAAB6k5jk=",0)</f>
        <v>0</v>
      </c>
      <c r="BG27" t="e">
        <f>AND(Plan1!A961,"AAAAAB6k5jo=")</f>
        <v>#VALUE!</v>
      </c>
      <c r="BH27" t="e">
        <f>AND(Plan1!B961,"AAAAAB6k5js=")</f>
        <v>#VALUE!</v>
      </c>
      <c r="BI27" t="e">
        <f>AND(Plan1!C961,"AAAAAB6k5jw=")</f>
        <v>#VALUE!</v>
      </c>
      <c r="BJ27" t="e">
        <f>AND(Plan1!D961,"AAAAAB6k5j0=")</f>
        <v>#VALUE!</v>
      </c>
      <c r="BK27" t="e">
        <f>AND(Plan1!E961,"AAAAAB6k5j4=")</f>
        <v>#VALUE!</v>
      </c>
      <c r="BL27" t="e">
        <f>AND(Plan1!F961,"AAAAAB6k5j8=")</f>
        <v>#VALUE!</v>
      </c>
      <c r="BM27">
        <f>IF(Plan1!962:962,"AAAAAB6k5kA=",0)</f>
        <v>0</v>
      </c>
      <c r="BN27" t="e">
        <f>AND(Plan1!A962,"AAAAAB6k5kE=")</f>
        <v>#VALUE!</v>
      </c>
      <c r="BO27" t="e">
        <f>AND(Plan1!B962,"AAAAAB6k5kI=")</f>
        <v>#VALUE!</v>
      </c>
      <c r="BP27" t="e">
        <f>AND(Plan1!C962,"AAAAAB6k5kM=")</f>
        <v>#VALUE!</v>
      </c>
      <c r="BQ27" t="e">
        <f>AND(Plan1!D962,"AAAAAB6k5kQ=")</f>
        <v>#VALUE!</v>
      </c>
      <c r="BR27" t="e">
        <f>AND(Plan1!E962,"AAAAAB6k5kU=")</f>
        <v>#VALUE!</v>
      </c>
      <c r="BS27" t="e">
        <f>AND(Plan1!F962,"AAAAAB6k5kY=")</f>
        <v>#VALUE!</v>
      </c>
      <c r="BT27">
        <f>IF(Plan1!963:963,"AAAAAB6k5kc=",0)</f>
        <v>0</v>
      </c>
      <c r="BU27" t="e">
        <f>AND(Plan1!A963,"AAAAAB6k5kg=")</f>
        <v>#VALUE!</v>
      </c>
      <c r="BV27" t="e">
        <f>AND(Plan1!B963,"AAAAAB6k5kk=")</f>
        <v>#VALUE!</v>
      </c>
      <c r="BW27" t="e">
        <f>AND(Plan1!C963,"AAAAAB6k5ko=")</f>
        <v>#VALUE!</v>
      </c>
      <c r="BX27" t="e">
        <f>AND(Plan1!D963,"AAAAAB6k5ks=")</f>
        <v>#VALUE!</v>
      </c>
      <c r="BY27" t="e">
        <f>AND(Plan1!E963,"AAAAAB6k5kw=")</f>
        <v>#VALUE!</v>
      </c>
      <c r="BZ27" t="e">
        <f>AND(Plan1!F963,"AAAAAB6k5k0=")</f>
        <v>#VALUE!</v>
      </c>
      <c r="CA27">
        <f>IF(Plan1!964:964,"AAAAAB6k5k4=",0)</f>
        <v>0</v>
      </c>
      <c r="CB27" t="e">
        <f>AND(Plan1!A964,"AAAAAB6k5k8=")</f>
        <v>#VALUE!</v>
      </c>
      <c r="CC27" t="e">
        <f>AND(Plan1!B964,"AAAAAB6k5lA=")</f>
        <v>#VALUE!</v>
      </c>
      <c r="CD27" t="e">
        <f>AND(Plan1!C964,"AAAAAB6k5lE=")</f>
        <v>#VALUE!</v>
      </c>
      <c r="CE27" t="e">
        <f>AND(Plan1!D964,"AAAAAB6k5lI=")</f>
        <v>#VALUE!</v>
      </c>
      <c r="CF27" t="e">
        <f>AND(Plan1!E964,"AAAAAB6k5lM=")</f>
        <v>#VALUE!</v>
      </c>
      <c r="CG27" t="e">
        <f>AND(Plan1!F964,"AAAAAB6k5lQ=")</f>
        <v>#VALUE!</v>
      </c>
      <c r="CH27">
        <f>IF(Plan1!965:965,"AAAAAB6k5lU=",0)</f>
        <v>0</v>
      </c>
      <c r="CI27" t="e">
        <f>AND(Plan1!A965,"AAAAAB6k5lY=")</f>
        <v>#VALUE!</v>
      </c>
      <c r="CJ27" t="e">
        <f>AND(Plan1!B965,"AAAAAB6k5lc=")</f>
        <v>#VALUE!</v>
      </c>
      <c r="CK27" t="e">
        <f>AND(Plan1!C965,"AAAAAB6k5lg=")</f>
        <v>#VALUE!</v>
      </c>
      <c r="CL27" t="e">
        <f>AND(Plan1!D965,"AAAAAB6k5lk=")</f>
        <v>#VALUE!</v>
      </c>
      <c r="CM27" t="e">
        <f>AND(Plan1!E965,"AAAAAB6k5lo=")</f>
        <v>#VALUE!</v>
      </c>
      <c r="CN27" t="e">
        <f>AND(Plan1!F965,"AAAAAB6k5ls=")</f>
        <v>#VALUE!</v>
      </c>
      <c r="CO27">
        <f>IF(Plan1!966:966,"AAAAAB6k5lw=",0)</f>
        <v>0</v>
      </c>
      <c r="CP27" t="e">
        <f>AND(Plan1!A966,"AAAAAB6k5l0=")</f>
        <v>#VALUE!</v>
      </c>
      <c r="CQ27" t="e">
        <f>AND(Plan1!B966,"AAAAAB6k5l4=")</f>
        <v>#VALUE!</v>
      </c>
      <c r="CR27" t="e">
        <f>AND(Plan1!C966,"AAAAAB6k5l8=")</f>
        <v>#VALUE!</v>
      </c>
      <c r="CS27" t="e">
        <f>AND(Plan1!D966,"AAAAAB6k5mA=")</f>
        <v>#VALUE!</v>
      </c>
      <c r="CT27" t="e">
        <f>AND(Plan1!E966,"AAAAAB6k5mE=")</f>
        <v>#VALUE!</v>
      </c>
      <c r="CU27" t="e">
        <f>AND(Plan1!F966,"AAAAAB6k5mI=")</f>
        <v>#VALUE!</v>
      </c>
      <c r="CV27">
        <f>IF(Plan1!967:967,"AAAAAB6k5mM=",0)</f>
        <v>0</v>
      </c>
      <c r="CW27" t="e">
        <f>AND(Plan1!A967,"AAAAAB6k5mQ=")</f>
        <v>#VALUE!</v>
      </c>
      <c r="CX27" t="e">
        <f>AND(Plan1!B967,"AAAAAB6k5mU=")</f>
        <v>#VALUE!</v>
      </c>
      <c r="CY27" t="e">
        <f>AND(Plan1!C967,"AAAAAB6k5mY=")</f>
        <v>#VALUE!</v>
      </c>
      <c r="CZ27" t="e">
        <f>AND(Plan1!D967,"AAAAAB6k5mc=")</f>
        <v>#VALUE!</v>
      </c>
      <c r="DA27" t="e">
        <f>AND(Plan1!E967,"AAAAAB6k5mg=")</f>
        <v>#VALUE!</v>
      </c>
      <c r="DB27" t="e">
        <f>AND(Plan1!F967,"AAAAAB6k5mk=")</f>
        <v>#VALUE!</v>
      </c>
      <c r="DC27">
        <f>IF(Plan1!968:968,"AAAAAB6k5mo=",0)</f>
        <v>0</v>
      </c>
      <c r="DD27" t="e">
        <f>AND(Plan1!A968,"AAAAAB6k5ms=")</f>
        <v>#VALUE!</v>
      </c>
      <c r="DE27" t="e">
        <f>AND(Plan1!B968,"AAAAAB6k5mw=")</f>
        <v>#VALUE!</v>
      </c>
      <c r="DF27" t="e">
        <f>AND(Plan1!C968,"AAAAAB6k5m0=")</f>
        <v>#VALUE!</v>
      </c>
      <c r="DG27" t="e">
        <f>AND(Plan1!D968,"AAAAAB6k5m4=")</f>
        <v>#VALUE!</v>
      </c>
      <c r="DH27" t="e">
        <f>AND(Plan1!E968,"AAAAAB6k5m8=")</f>
        <v>#VALUE!</v>
      </c>
      <c r="DI27" t="e">
        <f>AND(Plan1!F968,"AAAAAB6k5nA=")</f>
        <v>#VALUE!</v>
      </c>
      <c r="DJ27">
        <f>IF(Plan1!969:969,"AAAAAB6k5nE=",0)</f>
        <v>0</v>
      </c>
      <c r="DK27" t="e">
        <f>AND(Plan1!A969,"AAAAAB6k5nI=")</f>
        <v>#VALUE!</v>
      </c>
      <c r="DL27" t="e">
        <f>AND(Plan1!B969,"AAAAAB6k5nM=")</f>
        <v>#VALUE!</v>
      </c>
      <c r="DM27" t="e">
        <f>AND(Plan1!C969,"AAAAAB6k5nQ=")</f>
        <v>#VALUE!</v>
      </c>
      <c r="DN27" t="e">
        <f>AND(Plan1!D969,"AAAAAB6k5nU=")</f>
        <v>#VALUE!</v>
      </c>
      <c r="DO27" t="e">
        <f>AND(Plan1!E969,"AAAAAB6k5nY=")</f>
        <v>#VALUE!</v>
      </c>
      <c r="DP27" t="e">
        <f>AND(Plan1!F969,"AAAAAB6k5nc=")</f>
        <v>#VALUE!</v>
      </c>
      <c r="DQ27">
        <f>IF(Plan1!970:970,"AAAAAB6k5ng=",0)</f>
        <v>0</v>
      </c>
      <c r="DR27" t="e">
        <f>AND(Plan1!A970,"AAAAAB6k5nk=")</f>
        <v>#VALUE!</v>
      </c>
      <c r="DS27" t="e">
        <f>AND(Plan1!B970,"AAAAAB6k5no=")</f>
        <v>#VALUE!</v>
      </c>
      <c r="DT27" t="e">
        <f>AND(Plan1!C970,"AAAAAB6k5ns=")</f>
        <v>#VALUE!</v>
      </c>
      <c r="DU27" t="e">
        <f>AND(Plan1!D970,"AAAAAB6k5nw=")</f>
        <v>#VALUE!</v>
      </c>
      <c r="DV27" t="e">
        <f>AND(Plan1!E970,"AAAAAB6k5n0=")</f>
        <v>#VALUE!</v>
      </c>
      <c r="DW27" t="e">
        <f>AND(Plan1!F970,"AAAAAB6k5n4=")</f>
        <v>#VALUE!</v>
      </c>
      <c r="DX27">
        <f>IF(Plan1!971:971,"AAAAAB6k5n8=",0)</f>
        <v>0</v>
      </c>
      <c r="DY27" t="e">
        <f>AND(Plan1!A971,"AAAAAB6k5oA=")</f>
        <v>#VALUE!</v>
      </c>
      <c r="DZ27" t="e">
        <f>AND(Plan1!B971,"AAAAAB6k5oE=")</f>
        <v>#VALUE!</v>
      </c>
      <c r="EA27" t="e">
        <f>AND(Plan1!C971,"AAAAAB6k5oI=")</f>
        <v>#VALUE!</v>
      </c>
      <c r="EB27" t="e">
        <f>AND(Plan1!D971,"AAAAAB6k5oM=")</f>
        <v>#VALUE!</v>
      </c>
      <c r="EC27" t="e">
        <f>AND(Plan1!E971,"AAAAAB6k5oQ=")</f>
        <v>#VALUE!</v>
      </c>
      <c r="ED27" t="e">
        <f>AND(Plan1!F971,"AAAAAB6k5oU=")</f>
        <v>#VALUE!</v>
      </c>
      <c r="EE27">
        <f>IF(Plan1!972:972,"AAAAAB6k5oY=",0)</f>
        <v>0</v>
      </c>
      <c r="EF27" t="e">
        <f>AND(Plan1!A972,"AAAAAB6k5oc=")</f>
        <v>#VALUE!</v>
      </c>
      <c r="EG27" t="e">
        <f>AND(Plan1!B972,"AAAAAB6k5og=")</f>
        <v>#VALUE!</v>
      </c>
      <c r="EH27" t="e">
        <f>AND(Plan1!C972,"AAAAAB6k5ok=")</f>
        <v>#VALUE!</v>
      </c>
      <c r="EI27" t="e">
        <f>AND(Plan1!D972,"AAAAAB6k5oo=")</f>
        <v>#VALUE!</v>
      </c>
      <c r="EJ27" t="e">
        <f>AND(Plan1!E972,"AAAAAB6k5os=")</f>
        <v>#VALUE!</v>
      </c>
      <c r="EK27" t="e">
        <f>AND(Plan1!F972,"AAAAAB6k5ow=")</f>
        <v>#VALUE!</v>
      </c>
      <c r="EL27">
        <f>IF(Plan1!973:973,"AAAAAB6k5o0=",0)</f>
        <v>0</v>
      </c>
      <c r="EM27" t="e">
        <f>AND(Plan1!A973,"AAAAAB6k5o4=")</f>
        <v>#VALUE!</v>
      </c>
      <c r="EN27" t="e">
        <f>AND(Plan1!B973,"AAAAAB6k5o8=")</f>
        <v>#VALUE!</v>
      </c>
      <c r="EO27" t="e">
        <f>AND(Plan1!C973,"AAAAAB6k5pA=")</f>
        <v>#VALUE!</v>
      </c>
      <c r="EP27" t="e">
        <f>AND(Plan1!D973,"AAAAAB6k5pE=")</f>
        <v>#VALUE!</v>
      </c>
      <c r="EQ27" t="e">
        <f>AND(Plan1!E973,"AAAAAB6k5pI=")</f>
        <v>#VALUE!</v>
      </c>
      <c r="ER27" t="e">
        <f>AND(Plan1!F973,"AAAAAB6k5pM=")</f>
        <v>#VALUE!</v>
      </c>
      <c r="ES27">
        <f>IF(Plan1!974:974,"AAAAAB6k5pQ=",0)</f>
        <v>0</v>
      </c>
      <c r="ET27" t="e">
        <f>AND(Plan1!A974,"AAAAAB6k5pU=")</f>
        <v>#VALUE!</v>
      </c>
      <c r="EU27" t="e">
        <f>AND(Plan1!B974,"AAAAAB6k5pY=")</f>
        <v>#VALUE!</v>
      </c>
      <c r="EV27" t="e">
        <f>AND(Plan1!C974,"AAAAAB6k5pc=")</f>
        <v>#VALUE!</v>
      </c>
      <c r="EW27" t="e">
        <f>AND(Plan1!D974,"AAAAAB6k5pg=")</f>
        <v>#VALUE!</v>
      </c>
      <c r="EX27" t="e">
        <f>AND(Plan1!E974,"AAAAAB6k5pk=")</f>
        <v>#VALUE!</v>
      </c>
      <c r="EY27" t="e">
        <f>AND(Plan1!F974,"AAAAAB6k5po=")</f>
        <v>#VALUE!</v>
      </c>
      <c r="EZ27">
        <f>IF(Plan1!975:975,"AAAAAB6k5ps=",0)</f>
        <v>0</v>
      </c>
      <c r="FA27" t="e">
        <f>AND(Plan1!A975,"AAAAAB6k5pw=")</f>
        <v>#VALUE!</v>
      </c>
      <c r="FB27" t="e">
        <f>AND(Plan1!B975,"AAAAAB6k5p0=")</f>
        <v>#VALUE!</v>
      </c>
      <c r="FC27" t="e">
        <f>AND(Plan1!C975,"AAAAAB6k5p4=")</f>
        <v>#VALUE!</v>
      </c>
      <c r="FD27" t="e">
        <f>AND(Plan1!D975,"AAAAAB6k5p8=")</f>
        <v>#VALUE!</v>
      </c>
      <c r="FE27" t="e">
        <f>AND(Plan1!E975,"AAAAAB6k5qA=")</f>
        <v>#VALUE!</v>
      </c>
      <c r="FF27" t="e">
        <f>AND(Plan1!F975,"AAAAAB6k5qE=")</f>
        <v>#VALUE!</v>
      </c>
      <c r="FG27">
        <f>IF(Plan1!976:976,"AAAAAB6k5qI=",0)</f>
        <v>0</v>
      </c>
      <c r="FH27" t="e">
        <f>AND(Plan1!A976,"AAAAAB6k5qM=")</f>
        <v>#VALUE!</v>
      </c>
      <c r="FI27" t="e">
        <f>AND(Plan1!B976,"AAAAAB6k5qQ=")</f>
        <v>#VALUE!</v>
      </c>
      <c r="FJ27" t="e">
        <f>AND(Plan1!C976,"AAAAAB6k5qU=")</f>
        <v>#VALUE!</v>
      </c>
      <c r="FK27" t="e">
        <f>AND(Plan1!D976,"AAAAAB6k5qY=")</f>
        <v>#VALUE!</v>
      </c>
      <c r="FL27" t="e">
        <f>AND(Plan1!E976,"AAAAAB6k5qc=")</f>
        <v>#VALUE!</v>
      </c>
      <c r="FM27" t="e">
        <f>AND(Plan1!F976,"AAAAAB6k5qg=")</f>
        <v>#VALUE!</v>
      </c>
      <c r="FN27">
        <f>IF(Plan1!977:977,"AAAAAB6k5qk=",0)</f>
        <v>0</v>
      </c>
      <c r="FO27" t="e">
        <f>AND(Plan1!A977,"AAAAAB6k5qo=")</f>
        <v>#VALUE!</v>
      </c>
      <c r="FP27" t="e">
        <f>AND(Plan1!B977,"AAAAAB6k5qs=")</f>
        <v>#VALUE!</v>
      </c>
      <c r="FQ27" t="e">
        <f>AND(Plan1!C977,"AAAAAB6k5qw=")</f>
        <v>#VALUE!</v>
      </c>
      <c r="FR27" t="e">
        <f>AND(Plan1!D977,"AAAAAB6k5q0=")</f>
        <v>#VALUE!</v>
      </c>
      <c r="FS27" t="e">
        <f>AND(Plan1!E977,"AAAAAB6k5q4=")</f>
        <v>#VALUE!</v>
      </c>
      <c r="FT27" t="e">
        <f>AND(Plan1!F977,"AAAAAB6k5q8=")</f>
        <v>#VALUE!</v>
      </c>
      <c r="FU27">
        <f>IF(Plan1!978:978,"AAAAAB6k5rA=",0)</f>
        <v>0</v>
      </c>
      <c r="FV27" t="e">
        <f>AND(Plan1!A978,"AAAAAB6k5rE=")</f>
        <v>#VALUE!</v>
      </c>
      <c r="FW27" t="e">
        <f>AND(Plan1!B978,"AAAAAB6k5rI=")</f>
        <v>#VALUE!</v>
      </c>
      <c r="FX27" t="e">
        <f>AND(Plan1!C978,"AAAAAB6k5rM=")</f>
        <v>#VALUE!</v>
      </c>
      <c r="FY27" t="e">
        <f>AND(Plan1!D978,"AAAAAB6k5rQ=")</f>
        <v>#VALUE!</v>
      </c>
      <c r="FZ27" t="e">
        <f>AND(Plan1!E978,"AAAAAB6k5rU=")</f>
        <v>#VALUE!</v>
      </c>
      <c r="GA27" t="e">
        <f>AND(Plan1!F978,"AAAAAB6k5rY=")</f>
        <v>#VALUE!</v>
      </c>
      <c r="GB27">
        <f>IF(Plan1!979:979,"AAAAAB6k5rc=",0)</f>
        <v>0</v>
      </c>
      <c r="GC27" t="e">
        <f>AND(Plan1!A979,"AAAAAB6k5rg=")</f>
        <v>#VALUE!</v>
      </c>
      <c r="GD27" t="e">
        <f>AND(Plan1!B979,"AAAAAB6k5rk=")</f>
        <v>#VALUE!</v>
      </c>
      <c r="GE27" t="e">
        <f>AND(Plan1!C979,"AAAAAB6k5ro=")</f>
        <v>#VALUE!</v>
      </c>
      <c r="GF27" t="e">
        <f>AND(Plan1!D979,"AAAAAB6k5rs=")</f>
        <v>#VALUE!</v>
      </c>
      <c r="GG27" t="e">
        <f>AND(Plan1!E979,"AAAAAB6k5rw=")</f>
        <v>#VALUE!</v>
      </c>
      <c r="GH27" t="e">
        <f>AND(Plan1!F979,"AAAAAB6k5r0=")</f>
        <v>#VALUE!</v>
      </c>
      <c r="GI27">
        <f>IF(Plan1!980:980,"AAAAAB6k5r4=",0)</f>
        <v>0</v>
      </c>
      <c r="GJ27" t="e">
        <f>AND(Plan1!A980,"AAAAAB6k5r8=")</f>
        <v>#VALUE!</v>
      </c>
      <c r="GK27" t="e">
        <f>AND(Plan1!B980,"AAAAAB6k5sA=")</f>
        <v>#VALUE!</v>
      </c>
      <c r="GL27" t="e">
        <f>AND(Plan1!C980,"AAAAAB6k5sE=")</f>
        <v>#VALUE!</v>
      </c>
      <c r="GM27" t="e">
        <f>AND(Plan1!D980,"AAAAAB6k5sI=")</f>
        <v>#VALUE!</v>
      </c>
      <c r="GN27" t="e">
        <f>AND(Plan1!E980,"AAAAAB6k5sM=")</f>
        <v>#VALUE!</v>
      </c>
      <c r="GO27" t="e">
        <f>AND(Plan1!F980,"AAAAAB6k5sQ=")</f>
        <v>#VALUE!</v>
      </c>
      <c r="GP27">
        <f>IF(Plan1!981:981,"AAAAAB6k5sU=",0)</f>
        <v>0</v>
      </c>
      <c r="GQ27" t="e">
        <f>AND(Plan1!A981,"AAAAAB6k5sY=")</f>
        <v>#VALUE!</v>
      </c>
      <c r="GR27" t="e">
        <f>AND(Plan1!B981,"AAAAAB6k5sc=")</f>
        <v>#VALUE!</v>
      </c>
      <c r="GS27" t="e">
        <f>AND(Plan1!C981,"AAAAAB6k5sg=")</f>
        <v>#VALUE!</v>
      </c>
      <c r="GT27" t="e">
        <f>AND(Plan1!D981,"AAAAAB6k5sk=")</f>
        <v>#VALUE!</v>
      </c>
      <c r="GU27" t="e">
        <f>AND(Plan1!E981,"AAAAAB6k5so=")</f>
        <v>#VALUE!</v>
      </c>
      <c r="GV27" t="e">
        <f>AND(Plan1!F981,"AAAAAB6k5ss=")</f>
        <v>#VALUE!</v>
      </c>
      <c r="GW27">
        <f>IF(Plan1!982:982,"AAAAAB6k5sw=",0)</f>
        <v>0</v>
      </c>
      <c r="GX27" t="e">
        <f>AND(Plan1!A982,"AAAAAB6k5s0=")</f>
        <v>#VALUE!</v>
      </c>
      <c r="GY27" t="e">
        <f>AND(Plan1!B982,"AAAAAB6k5s4=")</f>
        <v>#VALUE!</v>
      </c>
      <c r="GZ27" t="e">
        <f>AND(Plan1!C982,"AAAAAB6k5s8=")</f>
        <v>#VALUE!</v>
      </c>
      <c r="HA27" t="e">
        <f>AND(Plan1!D982,"AAAAAB6k5tA=")</f>
        <v>#VALUE!</v>
      </c>
      <c r="HB27" t="e">
        <f>AND(Plan1!E982,"AAAAAB6k5tE=")</f>
        <v>#VALUE!</v>
      </c>
      <c r="HC27" t="e">
        <f>AND(Plan1!F982,"AAAAAB6k5tI=")</f>
        <v>#VALUE!</v>
      </c>
      <c r="HD27">
        <f>IF(Plan1!983:983,"AAAAAB6k5tM=",0)</f>
        <v>0</v>
      </c>
      <c r="HE27" t="e">
        <f>AND(Plan1!A983,"AAAAAB6k5tQ=")</f>
        <v>#VALUE!</v>
      </c>
      <c r="HF27" t="e">
        <f>AND(Plan1!B983,"AAAAAB6k5tU=")</f>
        <v>#VALUE!</v>
      </c>
      <c r="HG27" t="e">
        <f>AND(Plan1!C983,"AAAAAB6k5tY=")</f>
        <v>#VALUE!</v>
      </c>
      <c r="HH27" t="e">
        <f>AND(Plan1!D983,"AAAAAB6k5tc=")</f>
        <v>#VALUE!</v>
      </c>
      <c r="HI27" t="e">
        <f>AND(Plan1!E983,"AAAAAB6k5tg=")</f>
        <v>#VALUE!</v>
      </c>
      <c r="HJ27" t="e">
        <f>AND(Plan1!F983,"AAAAAB6k5tk=")</f>
        <v>#VALUE!</v>
      </c>
      <c r="HK27">
        <f>IF(Plan1!984:984,"AAAAAB6k5to=",0)</f>
        <v>0</v>
      </c>
      <c r="HL27" t="e">
        <f>AND(Plan1!A984,"AAAAAB6k5ts=")</f>
        <v>#VALUE!</v>
      </c>
      <c r="HM27" t="e">
        <f>AND(Plan1!B984,"AAAAAB6k5tw=")</f>
        <v>#VALUE!</v>
      </c>
      <c r="HN27" t="e">
        <f>AND(Plan1!C984,"AAAAAB6k5t0=")</f>
        <v>#VALUE!</v>
      </c>
      <c r="HO27" t="e">
        <f>AND(Plan1!D984,"AAAAAB6k5t4=")</f>
        <v>#VALUE!</v>
      </c>
      <c r="HP27" t="e">
        <f>AND(Plan1!E984,"AAAAAB6k5t8=")</f>
        <v>#VALUE!</v>
      </c>
      <c r="HQ27" t="e">
        <f>AND(Plan1!F984,"AAAAAB6k5uA=")</f>
        <v>#VALUE!</v>
      </c>
      <c r="HR27">
        <f>IF(Plan1!985:985,"AAAAAB6k5uE=",0)</f>
        <v>0</v>
      </c>
      <c r="HS27" t="e">
        <f>AND(Plan1!A985,"AAAAAB6k5uI=")</f>
        <v>#VALUE!</v>
      </c>
      <c r="HT27" t="e">
        <f>AND(Plan1!B985,"AAAAAB6k5uM=")</f>
        <v>#VALUE!</v>
      </c>
      <c r="HU27" t="e">
        <f>AND(Plan1!C985,"AAAAAB6k5uQ=")</f>
        <v>#VALUE!</v>
      </c>
      <c r="HV27" t="e">
        <f>AND(Plan1!D985,"AAAAAB6k5uU=")</f>
        <v>#VALUE!</v>
      </c>
      <c r="HW27" t="e">
        <f>AND(Plan1!E985,"AAAAAB6k5uY=")</f>
        <v>#VALUE!</v>
      </c>
      <c r="HX27" t="e">
        <f>AND(Plan1!F985,"AAAAAB6k5uc=")</f>
        <v>#VALUE!</v>
      </c>
      <c r="HY27">
        <f>IF(Plan1!986:986,"AAAAAB6k5ug=",0)</f>
        <v>0</v>
      </c>
      <c r="HZ27" t="e">
        <f>AND(Plan1!A986,"AAAAAB6k5uk=")</f>
        <v>#VALUE!</v>
      </c>
      <c r="IA27" t="e">
        <f>AND(Plan1!B986,"AAAAAB6k5uo=")</f>
        <v>#VALUE!</v>
      </c>
      <c r="IB27" t="e">
        <f>AND(Plan1!C986,"AAAAAB6k5us=")</f>
        <v>#VALUE!</v>
      </c>
      <c r="IC27" t="e">
        <f>AND(Plan1!D986,"AAAAAB6k5uw=")</f>
        <v>#VALUE!</v>
      </c>
      <c r="ID27" t="e">
        <f>AND(Plan1!E986,"AAAAAB6k5u0=")</f>
        <v>#VALUE!</v>
      </c>
      <c r="IE27" t="e">
        <f>AND(Plan1!F986,"AAAAAB6k5u4=")</f>
        <v>#VALUE!</v>
      </c>
      <c r="IF27">
        <f>IF(Plan1!987:987,"AAAAAB6k5u8=",0)</f>
        <v>0</v>
      </c>
      <c r="IG27" t="e">
        <f>AND(Plan1!A987,"AAAAAB6k5vA=")</f>
        <v>#VALUE!</v>
      </c>
      <c r="IH27" t="e">
        <f>AND(Plan1!B987,"AAAAAB6k5vE=")</f>
        <v>#VALUE!</v>
      </c>
      <c r="II27" t="e">
        <f>AND(Plan1!C987,"AAAAAB6k5vI=")</f>
        <v>#VALUE!</v>
      </c>
      <c r="IJ27" t="e">
        <f>AND(Plan1!D987,"AAAAAB6k5vM=")</f>
        <v>#VALUE!</v>
      </c>
      <c r="IK27" t="e">
        <f>AND(Plan1!E987,"AAAAAB6k5vQ=")</f>
        <v>#VALUE!</v>
      </c>
      <c r="IL27" t="e">
        <f>AND(Plan1!F987,"AAAAAB6k5vU=")</f>
        <v>#VALUE!</v>
      </c>
      <c r="IM27">
        <f>IF(Plan1!988:988,"AAAAAB6k5vY=",0)</f>
        <v>0</v>
      </c>
      <c r="IN27" t="e">
        <f>AND(Plan1!A988,"AAAAAB6k5vc=")</f>
        <v>#VALUE!</v>
      </c>
      <c r="IO27" t="e">
        <f>AND(Plan1!B988,"AAAAAB6k5vg=")</f>
        <v>#VALUE!</v>
      </c>
      <c r="IP27" t="e">
        <f>AND(Plan1!C988,"AAAAAB6k5vk=")</f>
        <v>#VALUE!</v>
      </c>
      <c r="IQ27" t="e">
        <f>AND(Plan1!D988,"AAAAAB6k5vo=")</f>
        <v>#VALUE!</v>
      </c>
      <c r="IR27" t="e">
        <f>AND(Plan1!E988,"AAAAAB6k5vs=")</f>
        <v>#VALUE!</v>
      </c>
      <c r="IS27" t="e">
        <f>AND(Plan1!F988,"AAAAAB6k5vw=")</f>
        <v>#VALUE!</v>
      </c>
      <c r="IT27">
        <f>IF(Plan1!989:989,"AAAAAB6k5v0=",0)</f>
        <v>0</v>
      </c>
      <c r="IU27" t="e">
        <f>AND(Plan1!A989,"AAAAAB6k5v4=")</f>
        <v>#VALUE!</v>
      </c>
      <c r="IV27" t="e">
        <f>AND(Plan1!B989,"AAAAAB6k5v8=")</f>
        <v>#VALUE!</v>
      </c>
    </row>
    <row r="28" spans="1:256">
      <c r="A28" t="e">
        <f>AND(Plan1!C989,"AAAAAH6fbwA=")</f>
        <v>#VALUE!</v>
      </c>
      <c r="B28" t="e">
        <f>AND(Plan1!D989,"AAAAAH6fbwE=")</f>
        <v>#VALUE!</v>
      </c>
      <c r="C28" t="e">
        <f>AND(Plan1!E989,"AAAAAH6fbwI=")</f>
        <v>#VALUE!</v>
      </c>
      <c r="D28" t="e">
        <f>AND(Plan1!F989,"AAAAAH6fbwM=")</f>
        <v>#VALUE!</v>
      </c>
      <c r="E28" t="e">
        <f>IF(Plan1!990:990,"AAAAAH6fbwQ=",0)</f>
        <v>#VALUE!</v>
      </c>
      <c r="F28" t="e">
        <f>AND(Plan1!A990,"AAAAAH6fbwU=")</f>
        <v>#VALUE!</v>
      </c>
      <c r="G28" t="e">
        <f>AND(Plan1!B990,"AAAAAH6fbwY=")</f>
        <v>#VALUE!</v>
      </c>
      <c r="H28" t="e">
        <f>AND(Plan1!C990,"AAAAAH6fbwc=")</f>
        <v>#VALUE!</v>
      </c>
      <c r="I28" t="e">
        <f>AND(Plan1!D990,"AAAAAH6fbwg=")</f>
        <v>#VALUE!</v>
      </c>
      <c r="J28" t="e">
        <f>AND(Plan1!E990,"AAAAAH6fbwk=")</f>
        <v>#VALUE!</v>
      </c>
      <c r="K28" t="e">
        <f>AND(Plan1!F990,"AAAAAH6fbwo=")</f>
        <v>#VALUE!</v>
      </c>
      <c r="L28">
        <f>IF(Plan1!991:991,"AAAAAH6fbws=",0)</f>
        <v>0</v>
      </c>
      <c r="M28" t="e">
        <f>AND(Plan1!A991,"AAAAAH6fbww=")</f>
        <v>#VALUE!</v>
      </c>
      <c r="N28" t="e">
        <f>AND(Plan1!B991,"AAAAAH6fbw0=")</f>
        <v>#VALUE!</v>
      </c>
      <c r="O28" t="e">
        <f>AND(Plan1!C991,"AAAAAH6fbw4=")</f>
        <v>#VALUE!</v>
      </c>
      <c r="P28" t="e">
        <f>AND(Plan1!D991,"AAAAAH6fbw8=")</f>
        <v>#VALUE!</v>
      </c>
      <c r="Q28" t="e">
        <f>AND(Plan1!E991,"AAAAAH6fbxA=")</f>
        <v>#VALUE!</v>
      </c>
      <c r="R28" t="e">
        <f>AND(Plan1!F991,"AAAAAH6fbxE=")</f>
        <v>#VALUE!</v>
      </c>
      <c r="S28">
        <f>IF(Plan1!992:992,"AAAAAH6fbxI=",0)</f>
        <v>0</v>
      </c>
      <c r="T28" t="e">
        <f>AND(Plan1!A992,"AAAAAH6fbxM=")</f>
        <v>#VALUE!</v>
      </c>
      <c r="U28" t="e">
        <f>AND(Plan1!B992,"AAAAAH6fbxQ=")</f>
        <v>#VALUE!</v>
      </c>
      <c r="V28" t="e">
        <f>AND(Plan1!C992,"AAAAAH6fbxU=")</f>
        <v>#VALUE!</v>
      </c>
      <c r="W28" t="e">
        <f>AND(Plan1!D992,"AAAAAH6fbxY=")</f>
        <v>#VALUE!</v>
      </c>
      <c r="X28" t="e">
        <f>AND(Plan1!E992,"AAAAAH6fbxc=")</f>
        <v>#VALUE!</v>
      </c>
      <c r="Y28" t="e">
        <f>AND(Plan1!F992,"AAAAAH6fbxg=")</f>
        <v>#VALUE!</v>
      </c>
      <c r="Z28">
        <f>IF(Plan1!993:993,"AAAAAH6fbxk=",0)</f>
        <v>0</v>
      </c>
      <c r="AA28" t="e">
        <f>AND(Plan1!A993,"AAAAAH6fbxo=")</f>
        <v>#VALUE!</v>
      </c>
      <c r="AB28" t="e">
        <f>AND(Plan1!B993,"AAAAAH6fbxs=")</f>
        <v>#VALUE!</v>
      </c>
      <c r="AC28" t="e">
        <f>AND(Plan1!C993,"AAAAAH6fbxw=")</f>
        <v>#VALUE!</v>
      </c>
      <c r="AD28" t="e">
        <f>AND(Plan1!D993,"AAAAAH6fbx0=")</f>
        <v>#VALUE!</v>
      </c>
      <c r="AE28" t="e">
        <f>AND(Plan1!E993,"AAAAAH6fbx4=")</f>
        <v>#VALUE!</v>
      </c>
      <c r="AF28" t="e">
        <f>AND(Plan1!F993,"AAAAAH6fbx8=")</f>
        <v>#VALUE!</v>
      </c>
      <c r="AG28">
        <f>IF(Plan1!994:994,"AAAAAH6fbyA=",0)</f>
        <v>0</v>
      </c>
      <c r="AH28" t="e">
        <f>AND(Plan1!A994,"AAAAAH6fbyE=")</f>
        <v>#VALUE!</v>
      </c>
      <c r="AI28" t="e">
        <f>AND(Plan1!B994,"AAAAAH6fbyI=")</f>
        <v>#VALUE!</v>
      </c>
      <c r="AJ28" t="e">
        <f>AND(Plan1!C994,"AAAAAH6fbyM=")</f>
        <v>#VALUE!</v>
      </c>
      <c r="AK28" t="e">
        <f>AND(Plan1!D994,"AAAAAH6fbyQ=")</f>
        <v>#VALUE!</v>
      </c>
      <c r="AL28" t="e">
        <f>AND(Plan1!E994,"AAAAAH6fbyU=")</f>
        <v>#VALUE!</v>
      </c>
      <c r="AM28" t="e">
        <f>AND(Plan1!F994,"AAAAAH6fbyY=")</f>
        <v>#VALUE!</v>
      </c>
      <c r="AN28">
        <f>IF(Plan1!995:995,"AAAAAH6fbyc=",0)</f>
        <v>0</v>
      </c>
      <c r="AO28" t="e">
        <f>AND(Plan1!A995,"AAAAAH6fbyg=")</f>
        <v>#VALUE!</v>
      </c>
      <c r="AP28" t="e">
        <f>AND(Plan1!B995,"AAAAAH6fbyk=")</f>
        <v>#VALUE!</v>
      </c>
      <c r="AQ28" t="e">
        <f>AND(Plan1!C995,"AAAAAH6fbyo=")</f>
        <v>#VALUE!</v>
      </c>
      <c r="AR28" t="e">
        <f>AND(Plan1!D995,"AAAAAH6fbys=")</f>
        <v>#VALUE!</v>
      </c>
      <c r="AS28" t="e">
        <f>AND(Plan1!E995,"AAAAAH6fbyw=")</f>
        <v>#VALUE!</v>
      </c>
      <c r="AT28" t="e">
        <f>AND(Plan1!F995,"AAAAAH6fby0=")</f>
        <v>#VALUE!</v>
      </c>
      <c r="AU28">
        <f>IF(Plan1!996:996,"AAAAAH6fby4=",0)</f>
        <v>0</v>
      </c>
      <c r="AV28" t="e">
        <f>AND(Plan1!A996,"AAAAAH6fby8=")</f>
        <v>#VALUE!</v>
      </c>
      <c r="AW28" t="e">
        <f>AND(Plan1!B996,"AAAAAH6fbzA=")</f>
        <v>#VALUE!</v>
      </c>
      <c r="AX28" t="e">
        <f>AND(Plan1!C996,"AAAAAH6fbzE=")</f>
        <v>#VALUE!</v>
      </c>
      <c r="AY28" t="e">
        <f>AND(Plan1!D996,"AAAAAH6fbzI=")</f>
        <v>#VALUE!</v>
      </c>
      <c r="AZ28" t="e">
        <f>AND(Plan1!E996,"AAAAAH6fbzM=")</f>
        <v>#VALUE!</v>
      </c>
      <c r="BA28" t="e">
        <f>AND(Plan1!F996,"AAAAAH6fbzQ=")</f>
        <v>#VALUE!</v>
      </c>
      <c r="BB28">
        <f>IF(Plan1!997:997,"AAAAAH6fbzU=",0)</f>
        <v>0</v>
      </c>
      <c r="BC28" t="e">
        <f>AND(Plan1!A997,"AAAAAH6fbzY=")</f>
        <v>#VALUE!</v>
      </c>
      <c r="BD28" t="e">
        <f>AND(Plan1!B997,"AAAAAH6fbzc=")</f>
        <v>#VALUE!</v>
      </c>
      <c r="BE28" t="e">
        <f>AND(Plan1!C997,"AAAAAH6fbzg=")</f>
        <v>#VALUE!</v>
      </c>
      <c r="BF28" t="e">
        <f>AND(Plan1!D997,"AAAAAH6fbzk=")</f>
        <v>#VALUE!</v>
      </c>
      <c r="BG28" t="e">
        <f>AND(Plan1!E997,"AAAAAH6fbzo=")</f>
        <v>#VALUE!</v>
      </c>
      <c r="BH28" t="e">
        <f>AND(Plan1!F997,"AAAAAH6fbzs=")</f>
        <v>#VALUE!</v>
      </c>
      <c r="BI28">
        <f>IF(Plan1!998:998,"AAAAAH6fbzw=",0)</f>
        <v>0</v>
      </c>
      <c r="BJ28" t="e">
        <f>AND(Plan1!A998,"AAAAAH6fbz0=")</f>
        <v>#VALUE!</v>
      </c>
      <c r="BK28" t="e">
        <f>AND(Plan1!B998,"AAAAAH6fbz4=")</f>
        <v>#VALUE!</v>
      </c>
      <c r="BL28" t="e">
        <f>AND(Plan1!C998,"AAAAAH6fbz8=")</f>
        <v>#VALUE!</v>
      </c>
      <c r="BM28" t="e">
        <f>AND(Plan1!D998,"AAAAAH6fb0A=")</f>
        <v>#VALUE!</v>
      </c>
      <c r="BN28" t="e">
        <f>AND(Plan1!E998,"AAAAAH6fb0E=")</f>
        <v>#VALUE!</v>
      </c>
      <c r="BO28" t="e">
        <f>AND(Plan1!F998,"AAAAAH6fb0I=")</f>
        <v>#VALUE!</v>
      </c>
      <c r="BP28">
        <f>IF(Plan1!999:999,"AAAAAH6fb0M=",0)</f>
        <v>0</v>
      </c>
      <c r="BQ28" t="e">
        <f>AND(Plan1!A999,"AAAAAH6fb0Q=")</f>
        <v>#VALUE!</v>
      </c>
      <c r="BR28" t="e">
        <f>AND(Plan1!B999,"AAAAAH6fb0U=")</f>
        <v>#VALUE!</v>
      </c>
      <c r="BS28" t="e">
        <f>AND(Plan1!C999,"AAAAAH6fb0Y=")</f>
        <v>#VALUE!</v>
      </c>
      <c r="BT28" t="e">
        <f>AND(Plan1!D999,"AAAAAH6fb0c=")</f>
        <v>#VALUE!</v>
      </c>
      <c r="BU28" t="e">
        <f>AND(Plan1!E999,"AAAAAH6fb0g=")</f>
        <v>#VALUE!</v>
      </c>
      <c r="BV28" t="e">
        <f>AND(Plan1!F999,"AAAAAH6fb0k=")</f>
        <v>#VALUE!</v>
      </c>
      <c r="BW28">
        <f>IF(Plan1!1000:1000,"AAAAAH6fb0o=",0)</f>
        <v>0</v>
      </c>
      <c r="BX28" t="e">
        <f>AND(Plan1!A1000,"AAAAAH6fb0s=")</f>
        <v>#VALUE!</v>
      </c>
      <c r="BY28" t="e">
        <f>AND(Plan1!B1000,"AAAAAH6fb0w=")</f>
        <v>#VALUE!</v>
      </c>
      <c r="BZ28" t="e">
        <f>AND(Plan1!C1000,"AAAAAH6fb00=")</f>
        <v>#VALUE!</v>
      </c>
      <c r="CA28" t="e">
        <f>AND(Plan1!D1000,"AAAAAH6fb04=")</f>
        <v>#VALUE!</v>
      </c>
      <c r="CB28" t="e">
        <f>AND(Plan1!E1000,"AAAAAH6fb08=")</f>
        <v>#VALUE!</v>
      </c>
      <c r="CC28" t="e">
        <f>AND(Plan1!F1000,"AAAAAH6fb1A=")</f>
        <v>#VALUE!</v>
      </c>
      <c r="CD28">
        <f>IF(Plan1!1001:1001,"AAAAAH6fb1E=",0)</f>
        <v>0</v>
      </c>
      <c r="CE28" t="e">
        <f>AND(Plan1!A1001,"AAAAAH6fb1I=")</f>
        <v>#VALUE!</v>
      </c>
      <c r="CF28" t="e">
        <f>AND(Plan1!B1001,"AAAAAH6fb1M=")</f>
        <v>#VALUE!</v>
      </c>
      <c r="CG28" t="e">
        <f>AND(Plan1!C1001,"AAAAAH6fb1Q=")</f>
        <v>#VALUE!</v>
      </c>
      <c r="CH28" t="e">
        <f>AND(Plan1!D1001,"AAAAAH6fb1U=")</f>
        <v>#VALUE!</v>
      </c>
      <c r="CI28" t="e">
        <f>AND(Plan1!E1001,"AAAAAH6fb1Y=")</f>
        <v>#VALUE!</v>
      </c>
      <c r="CJ28" t="e">
        <f>AND(Plan1!F1001,"AAAAAH6fb1c=")</f>
        <v>#VALUE!</v>
      </c>
      <c r="CK28">
        <f>IF(Plan1!1002:1002,"AAAAAH6fb1g=",0)</f>
        <v>0</v>
      </c>
      <c r="CL28" t="e">
        <f>AND(Plan1!A1002,"AAAAAH6fb1k=")</f>
        <v>#VALUE!</v>
      </c>
      <c r="CM28" t="e">
        <f>AND(Plan1!B1002,"AAAAAH6fb1o=")</f>
        <v>#VALUE!</v>
      </c>
      <c r="CN28" t="e">
        <f>AND(Plan1!C1002,"AAAAAH6fb1s=")</f>
        <v>#VALUE!</v>
      </c>
      <c r="CO28" t="e">
        <f>AND(Plan1!D1002,"AAAAAH6fb1w=")</f>
        <v>#VALUE!</v>
      </c>
      <c r="CP28" t="e">
        <f>AND(Plan1!E1002,"AAAAAH6fb10=")</f>
        <v>#VALUE!</v>
      </c>
      <c r="CQ28" t="e">
        <f>AND(Plan1!F1002,"AAAAAH6fb14=")</f>
        <v>#VALUE!</v>
      </c>
      <c r="CR28">
        <f>IF(Plan1!1003:1003,"AAAAAH6fb18=",0)</f>
        <v>0</v>
      </c>
      <c r="CS28" t="e">
        <f>AND(Plan1!A1003,"AAAAAH6fb2A=")</f>
        <v>#VALUE!</v>
      </c>
      <c r="CT28" t="e">
        <f>AND(Plan1!B1003,"AAAAAH6fb2E=")</f>
        <v>#VALUE!</v>
      </c>
      <c r="CU28" t="e">
        <f>AND(Plan1!C1003,"AAAAAH6fb2I=")</f>
        <v>#VALUE!</v>
      </c>
      <c r="CV28" t="e">
        <f>AND(Plan1!D1003,"AAAAAH6fb2M=")</f>
        <v>#VALUE!</v>
      </c>
      <c r="CW28" t="e">
        <f>AND(Plan1!E1003,"AAAAAH6fb2Q=")</f>
        <v>#VALUE!</v>
      </c>
      <c r="CX28" t="e">
        <f>AND(Plan1!F1003,"AAAAAH6fb2U=")</f>
        <v>#VALUE!</v>
      </c>
      <c r="CY28">
        <f>IF(Plan1!1004:1004,"AAAAAH6fb2Y=",0)</f>
        <v>0</v>
      </c>
      <c r="CZ28" t="e">
        <f>AND(Plan1!A1004,"AAAAAH6fb2c=")</f>
        <v>#VALUE!</v>
      </c>
      <c r="DA28" t="e">
        <f>AND(Plan1!B1004,"AAAAAH6fb2g=")</f>
        <v>#VALUE!</v>
      </c>
      <c r="DB28" t="e">
        <f>AND(Plan1!C1004,"AAAAAH6fb2k=")</f>
        <v>#VALUE!</v>
      </c>
      <c r="DC28" t="e">
        <f>AND(Plan1!D1004,"AAAAAH6fb2o=")</f>
        <v>#VALUE!</v>
      </c>
      <c r="DD28" t="e">
        <f>AND(Plan1!E1004,"AAAAAH6fb2s=")</f>
        <v>#VALUE!</v>
      </c>
      <c r="DE28" t="e">
        <f>AND(Plan1!F1004,"AAAAAH6fb2w=")</f>
        <v>#VALUE!</v>
      </c>
      <c r="DF28">
        <f>IF(Plan1!1005:1005,"AAAAAH6fb20=",0)</f>
        <v>0</v>
      </c>
      <c r="DG28" t="e">
        <f>AND(Plan1!A1005,"AAAAAH6fb24=")</f>
        <v>#VALUE!</v>
      </c>
      <c r="DH28" t="e">
        <f>AND(Plan1!B1005,"AAAAAH6fb28=")</f>
        <v>#VALUE!</v>
      </c>
      <c r="DI28" t="e">
        <f>AND(Plan1!C1005,"AAAAAH6fb3A=")</f>
        <v>#VALUE!</v>
      </c>
      <c r="DJ28" t="e">
        <f>AND(Plan1!D1005,"AAAAAH6fb3E=")</f>
        <v>#VALUE!</v>
      </c>
      <c r="DK28" t="e">
        <f>AND(Plan1!E1005,"AAAAAH6fb3I=")</f>
        <v>#VALUE!</v>
      </c>
      <c r="DL28" t="e">
        <f>AND(Plan1!F1005,"AAAAAH6fb3M=")</f>
        <v>#VALUE!</v>
      </c>
      <c r="DM28">
        <f>IF(Plan1!1006:1006,"AAAAAH6fb3Q=",0)</f>
        <v>0</v>
      </c>
      <c r="DN28" t="e">
        <f>AND(Plan1!A1006,"AAAAAH6fb3U=")</f>
        <v>#VALUE!</v>
      </c>
      <c r="DO28" t="e">
        <f>AND(Plan1!B1006,"AAAAAH6fb3Y=")</f>
        <v>#VALUE!</v>
      </c>
      <c r="DP28" t="e">
        <f>AND(Plan1!C1006,"AAAAAH6fb3c=")</f>
        <v>#VALUE!</v>
      </c>
      <c r="DQ28" t="e">
        <f>AND(Plan1!D1006,"AAAAAH6fb3g=")</f>
        <v>#VALUE!</v>
      </c>
      <c r="DR28" t="e">
        <f>AND(Plan1!E1006,"AAAAAH6fb3k=")</f>
        <v>#VALUE!</v>
      </c>
      <c r="DS28" t="e">
        <f>AND(Plan1!F1006,"AAAAAH6fb3o=")</f>
        <v>#VALUE!</v>
      </c>
      <c r="DT28">
        <f>IF(Plan1!1007:1007,"AAAAAH6fb3s=",0)</f>
        <v>0</v>
      </c>
      <c r="DU28" t="e">
        <f>AND(Plan1!A1007,"AAAAAH6fb3w=")</f>
        <v>#VALUE!</v>
      </c>
      <c r="DV28" t="e">
        <f>AND(Plan1!B1007,"AAAAAH6fb30=")</f>
        <v>#VALUE!</v>
      </c>
      <c r="DW28" t="e">
        <f>AND(Plan1!C1007,"AAAAAH6fb34=")</f>
        <v>#VALUE!</v>
      </c>
      <c r="DX28" t="e">
        <f>AND(Plan1!D1007,"AAAAAH6fb38=")</f>
        <v>#VALUE!</v>
      </c>
      <c r="DY28" t="e">
        <f>AND(Plan1!E1007,"AAAAAH6fb4A=")</f>
        <v>#VALUE!</v>
      </c>
      <c r="DZ28" t="e">
        <f>AND(Plan1!F1007,"AAAAAH6fb4E=")</f>
        <v>#VALUE!</v>
      </c>
      <c r="EA28">
        <f>IF(Plan1!1008:1008,"AAAAAH6fb4I=",0)</f>
        <v>0</v>
      </c>
      <c r="EB28" t="e">
        <f>AND(Plan1!A1008,"AAAAAH6fb4M=")</f>
        <v>#VALUE!</v>
      </c>
      <c r="EC28" t="e">
        <f>AND(Plan1!B1008,"AAAAAH6fb4Q=")</f>
        <v>#VALUE!</v>
      </c>
      <c r="ED28" t="e">
        <f>AND(Plan1!C1008,"AAAAAH6fb4U=")</f>
        <v>#VALUE!</v>
      </c>
      <c r="EE28" t="e">
        <f>AND(Plan1!D1008,"AAAAAH6fb4Y=")</f>
        <v>#VALUE!</v>
      </c>
      <c r="EF28" t="e">
        <f>AND(Plan1!E1008,"AAAAAH6fb4c=")</f>
        <v>#VALUE!</v>
      </c>
      <c r="EG28" t="e">
        <f>AND(Plan1!F1008,"AAAAAH6fb4g=")</f>
        <v>#VALUE!</v>
      </c>
      <c r="EH28">
        <f>IF(Plan1!1009:1009,"AAAAAH6fb4k=",0)</f>
        <v>0</v>
      </c>
      <c r="EI28" t="e">
        <f>AND(Plan1!A1009,"AAAAAH6fb4o=")</f>
        <v>#VALUE!</v>
      </c>
      <c r="EJ28" t="e">
        <f>AND(Plan1!B1009,"AAAAAH6fb4s=")</f>
        <v>#VALUE!</v>
      </c>
      <c r="EK28" t="e">
        <f>AND(Plan1!C1009,"AAAAAH6fb4w=")</f>
        <v>#VALUE!</v>
      </c>
      <c r="EL28" t="e">
        <f>AND(Plan1!D1009,"AAAAAH6fb40=")</f>
        <v>#VALUE!</v>
      </c>
      <c r="EM28" t="e">
        <f>AND(Plan1!E1009,"AAAAAH6fb44=")</f>
        <v>#VALUE!</v>
      </c>
      <c r="EN28" t="e">
        <f>AND(Plan1!F1009,"AAAAAH6fb48=")</f>
        <v>#VALUE!</v>
      </c>
      <c r="EO28">
        <f>IF(Plan1!1010:1010,"AAAAAH6fb5A=",0)</f>
        <v>0</v>
      </c>
      <c r="EP28" t="e">
        <f>AND(Plan1!A1010,"AAAAAH6fb5E=")</f>
        <v>#VALUE!</v>
      </c>
      <c r="EQ28" t="e">
        <f>AND(Plan1!B1010,"AAAAAH6fb5I=")</f>
        <v>#VALUE!</v>
      </c>
      <c r="ER28" t="e">
        <f>AND(Plan1!C1010,"AAAAAH6fb5M=")</f>
        <v>#VALUE!</v>
      </c>
      <c r="ES28" t="e">
        <f>AND(Plan1!D1010,"AAAAAH6fb5Q=")</f>
        <v>#VALUE!</v>
      </c>
      <c r="ET28" t="e">
        <f>AND(Plan1!E1010,"AAAAAH6fb5U=")</f>
        <v>#VALUE!</v>
      </c>
      <c r="EU28" t="e">
        <f>AND(Plan1!F1010,"AAAAAH6fb5Y=")</f>
        <v>#VALUE!</v>
      </c>
      <c r="EV28">
        <f>IF(Plan1!1011:1011,"AAAAAH6fb5c=",0)</f>
        <v>0</v>
      </c>
      <c r="EW28" t="e">
        <f>AND(Plan1!A1011,"AAAAAH6fb5g=")</f>
        <v>#VALUE!</v>
      </c>
      <c r="EX28" t="e">
        <f>AND(Plan1!B1011,"AAAAAH6fb5k=")</f>
        <v>#VALUE!</v>
      </c>
      <c r="EY28" t="e">
        <f>AND(Plan1!C1011,"AAAAAH6fb5o=")</f>
        <v>#VALUE!</v>
      </c>
      <c r="EZ28" t="e">
        <f>AND(Plan1!D1011,"AAAAAH6fb5s=")</f>
        <v>#VALUE!</v>
      </c>
      <c r="FA28" t="e">
        <f>AND(Plan1!E1011,"AAAAAH6fb5w=")</f>
        <v>#VALUE!</v>
      </c>
      <c r="FB28" t="e">
        <f>AND(Plan1!F1011,"AAAAAH6fb50=")</f>
        <v>#VALUE!</v>
      </c>
      <c r="FC28">
        <f>IF(Plan1!1012:1012,"AAAAAH6fb54=",0)</f>
        <v>0</v>
      </c>
      <c r="FD28" t="e">
        <f>AND(Plan1!A1012,"AAAAAH6fb58=")</f>
        <v>#VALUE!</v>
      </c>
      <c r="FE28" t="e">
        <f>AND(Plan1!B1012,"AAAAAH6fb6A=")</f>
        <v>#VALUE!</v>
      </c>
      <c r="FF28" t="e">
        <f>AND(Plan1!C1012,"AAAAAH6fb6E=")</f>
        <v>#VALUE!</v>
      </c>
      <c r="FG28" t="e">
        <f>AND(Plan1!D1012,"AAAAAH6fb6I=")</f>
        <v>#VALUE!</v>
      </c>
      <c r="FH28" t="e">
        <f>AND(Plan1!E1012,"AAAAAH6fb6M=")</f>
        <v>#VALUE!</v>
      </c>
      <c r="FI28" t="e">
        <f>AND(Plan1!F1012,"AAAAAH6fb6Q=")</f>
        <v>#VALUE!</v>
      </c>
      <c r="FJ28">
        <f>IF(Plan1!1013:1013,"AAAAAH6fb6U=",0)</f>
        <v>0</v>
      </c>
      <c r="FK28" t="e">
        <f>AND(Plan1!A1013,"AAAAAH6fb6Y=")</f>
        <v>#VALUE!</v>
      </c>
      <c r="FL28" t="e">
        <f>AND(Plan1!B1013,"AAAAAH6fb6c=")</f>
        <v>#VALUE!</v>
      </c>
      <c r="FM28" t="e">
        <f>AND(Plan1!C1013,"AAAAAH6fb6g=")</f>
        <v>#VALUE!</v>
      </c>
      <c r="FN28" t="e">
        <f>AND(Plan1!D1013,"AAAAAH6fb6k=")</f>
        <v>#VALUE!</v>
      </c>
      <c r="FO28" t="e">
        <f>AND(Plan1!E1013,"AAAAAH6fb6o=")</f>
        <v>#VALUE!</v>
      </c>
      <c r="FP28" t="e">
        <f>AND(Plan1!F1013,"AAAAAH6fb6s=")</f>
        <v>#VALUE!</v>
      </c>
      <c r="FQ28">
        <f>IF(Plan1!1014:1014,"AAAAAH6fb6w=",0)</f>
        <v>0</v>
      </c>
      <c r="FR28" t="e">
        <f>AND(Plan1!A1014,"AAAAAH6fb60=")</f>
        <v>#VALUE!</v>
      </c>
      <c r="FS28" t="e">
        <f>AND(Plan1!B1014,"AAAAAH6fb64=")</f>
        <v>#VALUE!</v>
      </c>
      <c r="FT28" t="e">
        <f>AND(Plan1!C1014,"AAAAAH6fb68=")</f>
        <v>#VALUE!</v>
      </c>
      <c r="FU28" t="e">
        <f>AND(Plan1!D1014,"AAAAAH6fb7A=")</f>
        <v>#VALUE!</v>
      </c>
      <c r="FV28" t="e">
        <f>AND(Plan1!E1014,"AAAAAH6fb7E=")</f>
        <v>#VALUE!</v>
      </c>
      <c r="FW28" t="e">
        <f>AND(Plan1!F1014,"AAAAAH6fb7I=")</f>
        <v>#VALUE!</v>
      </c>
      <c r="FX28">
        <f>IF(Plan1!1015:1015,"AAAAAH6fb7M=",0)</f>
        <v>0</v>
      </c>
      <c r="FY28" t="e">
        <f>AND(Plan1!A1015,"AAAAAH6fb7Q=")</f>
        <v>#VALUE!</v>
      </c>
      <c r="FZ28" t="e">
        <f>AND(Plan1!B1015,"AAAAAH6fb7U=")</f>
        <v>#VALUE!</v>
      </c>
      <c r="GA28" t="e">
        <f>AND(Plan1!C1015,"AAAAAH6fb7Y=")</f>
        <v>#VALUE!</v>
      </c>
      <c r="GB28" t="e">
        <f>AND(Plan1!D1015,"AAAAAH6fb7c=")</f>
        <v>#VALUE!</v>
      </c>
      <c r="GC28" t="e">
        <f>AND(Plan1!E1015,"AAAAAH6fb7g=")</f>
        <v>#VALUE!</v>
      </c>
      <c r="GD28" t="e">
        <f>AND(Plan1!F1015,"AAAAAH6fb7k=")</f>
        <v>#VALUE!</v>
      </c>
      <c r="GE28">
        <f>IF(Plan1!1016:1016,"AAAAAH6fb7o=",0)</f>
        <v>0</v>
      </c>
      <c r="GF28" t="e">
        <f>AND(Plan1!A1016,"AAAAAH6fb7s=")</f>
        <v>#VALUE!</v>
      </c>
      <c r="GG28" t="e">
        <f>AND(Plan1!B1016,"AAAAAH6fb7w=")</f>
        <v>#VALUE!</v>
      </c>
      <c r="GH28" t="e">
        <f>AND(Plan1!C1016,"AAAAAH6fb70=")</f>
        <v>#VALUE!</v>
      </c>
      <c r="GI28" t="e">
        <f>AND(Plan1!D1016,"AAAAAH6fb74=")</f>
        <v>#VALUE!</v>
      </c>
      <c r="GJ28" t="e">
        <f>AND(Plan1!E1016,"AAAAAH6fb78=")</f>
        <v>#VALUE!</v>
      </c>
      <c r="GK28" t="e">
        <f>AND(Plan1!F1016,"AAAAAH6fb8A=")</f>
        <v>#VALUE!</v>
      </c>
      <c r="GL28">
        <f>IF(Plan1!1017:1017,"AAAAAH6fb8E=",0)</f>
        <v>0</v>
      </c>
      <c r="GM28" t="e">
        <f>AND(Plan1!A1017,"AAAAAH6fb8I=")</f>
        <v>#VALUE!</v>
      </c>
      <c r="GN28" t="e">
        <f>AND(Plan1!B1017,"AAAAAH6fb8M=")</f>
        <v>#VALUE!</v>
      </c>
      <c r="GO28" t="e">
        <f>AND(Plan1!C1017,"AAAAAH6fb8Q=")</f>
        <v>#VALUE!</v>
      </c>
      <c r="GP28" t="e">
        <f>AND(Plan1!D1017,"AAAAAH6fb8U=")</f>
        <v>#VALUE!</v>
      </c>
      <c r="GQ28" t="e">
        <f>AND(Plan1!E1017,"AAAAAH6fb8Y=")</f>
        <v>#VALUE!</v>
      </c>
      <c r="GR28" t="e">
        <f>AND(Plan1!F1017,"AAAAAH6fb8c=")</f>
        <v>#VALUE!</v>
      </c>
      <c r="GS28">
        <f>IF(Plan1!1018:1018,"AAAAAH6fb8g=",0)</f>
        <v>0</v>
      </c>
      <c r="GT28" t="e">
        <f>AND(Plan1!A1018,"AAAAAH6fb8k=")</f>
        <v>#VALUE!</v>
      </c>
      <c r="GU28" t="e">
        <f>AND(Plan1!B1018,"AAAAAH6fb8o=")</f>
        <v>#VALUE!</v>
      </c>
      <c r="GV28" t="e">
        <f>AND(Plan1!C1018,"AAAAAH6fb8s=")</f>
        <v>#VALUE!</v>
      </c>
      <c r="GW28" t="e">
        <f>AND(Plan1!D1018,"AAAAAH6fb8w=")</f>
        <v>#VALUE!</v>
      </c>
      <c r="GX28" t="e">
        <f>AND(Plan1!E1018,"AAAAAH6fb80=")</f>
        <v>#VALUE!</v>
      </c>
      <c r="GY28" t="e">
        <f>AND(Plan1!F1018,"AAAAAH6fb84=")</f>
        <v>#VALUE!</v>
      </c>
      <c r="GZ28">
        <f>IF(Plan1!1019:1019,"AAAAAH6fb88=",0)</f>
        <v>0</v>
      </c>
      <c r="HA28" t="e">
        <f>AND(Plan1!A1019,"AAAAAH6fb9A=")</f>
        <v>#VALUE!</v>
      </c>
      <c r="HB28" t="e">
        <f>AND(Plan1!B1019,"AAAAAH6fb9E=")</f>
        <v>#VALUE!</v>
      </c>
      <c r="HC28" t="e">
        <f>AND(Plan1!C1019,"AAAAAH6fb9I=")</f>
        <v>#VALUE!</v>
      </c>
      <c r="HD28" t="e">
        <f>AND(Plan1!D1019,"AAAAAH6fb9M=")</f>
        <v>#VALUE!</v>
      </c>
      <c r="HE28" t="e">
        <f>AND(Plan1!E1019,"AAAAAH6fb9Q=")</f>
        <v>#VALUE!</v>
      </c>
      <c r="HF28" t="e">
        <f>AND(Plan1!F1019,"AAAAAH6fb9U=")</f>
        <v>#VALUE!</v>
      </c>
      <c r="HG28">
        <f>IF(Plan1!1020:1020,"AAAAAH6fb9Y=",0)</f>
        <v>0</v>
      </c>
      <c r="HH28" t="e">
        <f>AND(Plan1!A1020,"AAAAAH6fb9c=")</f>
        <v>#VALUE!</v>
      </c>
      <c r="HI28" t="e">
        <f>AND(Plan1!B1020,"AAAAAH6fb9g=")</f>
        <v>#VALUE!</v>
      </c>
      <c r="HJ28" t="e">
        <f>AND(Plan1!C1020,"AAAAAH6fb9k=")</f>
        <v>#VALUE!</v>
      </c>
      <c r="HK28" t="e">
        <f>AND(Plan1!D1020,"AAAAAH6fb9o=")</f>
        <v>#VALUE!</v>
      </c>
      <c r="HL28" t="e">
        <f>AND(Plan1!E1020,"AAAAAH6fb9s=")</f>
        <v>#VALUE!</v>
      </c>
      <c r="HM28" t="e">
        <f>AND(Plan1!F1020,"AAAAAH6fb9w=")</f>
        <v>#VALUE!</v>
      </c>
      <c r="HN28">
        <f>IF(Plan1!1021:1021,"AAAAAH6fb90=",0)</f>
        <v>0</v>
      </c>
      <c r="HO28" t="e">
        <f>AND(Plan1!A1021,"AAAAAH6fb94=")</f>
        <v>#VALUE!</v>
      </c>
      <c r="HP28" t="e">
        <f>AND(Plan1!B1021,"AAAAAH6fb98=")</f>
        <v>#VALUE!</v>
      </c>
      <c r="HQ28" t="e">
        <f>AND(Plan1!C1021,"AAAAAH6fb+A=")</f>
        <v>#VALUE!</v>
      </c>
      <c r="HR28" t="e">
        <f>AND(Plan1!D1021,"AAAAAH6fb+E=")</f>
        <v>#VALUE!</v>
      </c>
      <c r="HS28" t="e">
        <f>AND(Plan1!E1021,"AAAAAH6fb+I=")</f>
        <v>#VALUE!</v>
      </c>
      <c r="HT28" t="e">
        <f>AND(Plan1!F1021,"AAAAAH6fb+M=")</f>
        <v>#VALUE!</v>
      </c>
      <c r="HU28">
        <f>IF(Plan1!1022:1022,"AAAAAH6fb+Q=",0)</f>
        <v>0</v>
      </c>
      <c r="HV28" t="e">
        <f>AND(Plan1!A1022,"AAAAAH6fb+U=")</f>
        <v>#VALUE!</v>
      </c>
      <c r="HW28" t="e">
        <f>AND(Plan1!B1022,"AAAAAH6fb+Y=")</f>
        <v>#VALUE!</v>
      </c>
      <c r="HX28" t="e">
        <f>AND(Plan1!C1022,"AAAAAH6fb+c=")</f>
        <v>#VALUE!</v>
      </c>
      <c r="HY28" t="e">
        <f>AND(Plan1!D1022,"AAAAAH6fb+g=")</f>
        <v>#VALUE!</v>
      </c>
      <c r="HZ28" t="e">
        <f>AND(Plan1!E1022,"AAAAAH6fb+k=")</f>
        <v>#VALUE!</v>
      </c>
      <c r="IA28" t="e">
        <f>AND(Plan1!F1022,"AAAAAH6fb+o=")</f>
        <v>#VALUE!</v>
      </c>
      <c r="IB28">
        <f>IF(Plan1!1023:1023,"AAAAAH6fb+s=",0)</f>
        <v>0</v>
      </c>
      <c r="IC28" t="e">
        <f>AND(Plan1!A1023,"AAAAAH6fb+w=")</f>
        <v>#VALUE!</v>
      </c>
      <c r="ID28" t="e">
        <f>AND(Plan1!B1023,"AAAAAH6fb+0=")</f>
        <v>#VALUE!</v>
      </c>
      <c r="IE28" t="e">
        <f>AND(Plan1!C1023,"AAAAAH6fb+4=")</f>
        <v>#VALUE!</v>
      </c>
      <c r="IF28" t="e">
        <f>AND(Plan1!D1023,"AAAAAH6fb+8=")</f>
        <v>#VALUE!</v>
      </c>
      <c r="IG28" t="e">
        <f>AND(Plan1!E1023,"AAAAAH6fb/A=")</f>
        <v>#VALUE!</v>
      </c>
      <c r="IH28" t="e">
        <f>AND(Plan1!F1023,"AAAAAH6fb/E=")</f>
        <v>#VALUE!</v>
      </c>
      <c r="II28">
        <f>IF(Plan1!1024:1024,"AAAAAH6fb/I=",0)</f>
        <v>0</v>
      </c>
      <c r="IJ28" t="e">
        <f>AND(Plan1!A1024,"AAAAAH6fb/M=")</f>
        <v>#VALUE!</v>
      </c>
      <c r="IK28" t="e">
        <f>AND(Plan1!B1024,"AAAAAH6fb/Q=")</f>
        <v>#VALUE!</v>
      </c>
      <c r="IL28" t="e">
        <f>AND(Plan1!C1024,"AAAAAH6fb/U=")</f>
        <v>#VALUE!</v>
      </c>
      <c r="IM28" t="e">
        <f>AND(Plan1!D1024,"AAAAAH6fb/Y=")</f>
        <v>#VALUE!</v>
      </c>
      <c r="IN28" t="e">
        <f>AND(Plan1!E1024,"AAAAAH6fb/c=")</f>
        <v>#VALUE!</v>
      </c>
      <c r="IO28" t="e">
        <f>AND(Plan1!F1024,"AAAAAH6fb/g=")</f>
        <v>#VALUE!</v>
      </c>
      <c r="IP28">
        <f>IF(Plan1!1025:1025,"AAAAAH6fb/k=",0)</f>
        <v>0</v>
      </c>
      <c r="IQ28" t="e">
        <f>AND(Plan1!A1025,"AAAAAH6fb/o=")</f>
        <v>#VALUE!</v>
      </c>
      <c r="IR28" t="e">
        <f>AND(Plan1!B1025,"AAAAAH6fb/s=")</f>
        <v>#VALUE!</v>
      </c>
      <c r="IS28" t="e">
        <f>AND(Plan1!C1025,"AAAAAH6fb/w=")</f>
        <v>#VALUE!</v>
      </c>
      <c r="IT28" t="e">
        <f>AND(Plan1!D1025,"AAAAAH6fb/0=")</f>
        <v>#VALUE!</v>
      </c>
      <c r="IU28" t="e">
        <f>AND(Plan1!E1025,"AAAAAH6fb/4=")</f>
        <v>#VALUE!</v>
      </c>
      <c r="IV28" t="e">
        <f>AND(Plan1!F1025,"AAAAAH6fb/8=")</f>
        <v>#VALUE!</v>
      </c>
    </row>
    <row r="29" spans="1:256">
      <c r="A29" t="e">
        <f>IF(Plan1!1026:1026,"AAAAAHb9/wA=",0)</f>
        <v>#VALUE!</v>
      </c>
      <c r="B29" t="e">
        <f>AND(Plan1!A1026,"AAAAAHb9/wE=")</f>
        <v>#VALUE!</v>
      </c>
      <c r="C29" t="e">
        <f>AND(Plan1!B1026,"AAAAAHb9/wI=")</f>
        <v>#VALUE!</v>
      </c>
      <c r="D29" t="e">
        <f>AND(Plan1!C1026,"AAAAAHb9/wM=")</f>
        <v>#VALUE!</v>
      </c>
      <c r="E29" t="e">
        <f>AND(Plan1!D1026,"AAAAAHb9/wQ=")</f>
        <v>#VALUE!</v>
      </c>
      <c r="F29" t="e">
        <f>AND(Plan1!E1026,"AAAAAHb9/wU=")</f>
        <v>#VALUE!</v>
      </c>
      <c r="G29" t="e">
        <f>AND(Plan1!F1026,"AAAAAHb9/wY=")</f>
        <v>#VALUE!</v>
      </c>
      <c r="H29">
        <f>IF(Plan1!1027:1027,"AAAAAHb9/wc=",0)</f>
        <v>0</v>
      </c>
      <c r="I29" t="e">
        <f>AND(Plan1!A1027,"AAAAAHb9/wg=")</f>
        <v>#VALUE!</v>
      </c>
      <c r="J29" t="e">
        <f>AND(Plan1!B1027,"AAAAAHb9/wk=")</f>
        <v>#VALUE!</v>
      </c>
      <c r="K29" t="e">
        <f>AND(Plan1!C1027,"AAAAAHb9/wo=")</f>
        <v>#VALUE!</v>
      </c>
      <c r="L29" t="e">
        <f>AND(Plan1!D1027,"AAAAAHb9/ws=")</f>
        <v>#VALUE!</v>
      </c>
      <c r="M29" t="e">
        <f>AND(Plan1!E1027,"AAAAAHb9/ww=")</f>
        <v>#VALUE!</v>
      </c>
      <c r="N29" t="e">
        <f>AND(Plan1!F1027,"AAAAAHb9/w0=")</f>
        <v>#VALUE!</v>
      </c>
      <c r="O29">
        <f>IF(Plan1!1028:1028,"AAAAAHb9/w4=",0)</f>
        <v>0</v>
      </c>
      <c r="P29" t="e">
        <f>AND(Plan1!A1028,"AAAAAHb9/w8=")</f>
        <v>#VALUE!</v>
      </c>
      <c r="Q29" t="e">
        <f>AND(Plan1!B1028,"AAAAAHb9/xA=")</f>
        <v>#VALUE!</v>
      </c>
      <c r="R29" t="e">
        <f>AND(Plan1!C1028,"AAAAAHb9/xE=")</f>
        <v>#VALUE!</v>
      </c>
      <c r="S29" t="e">
        <f>AND(Plan1!D1028,"AAAAAHb9/xI=")</f>
        <v>#VALUE!</v>
      </c>
      <c r="T29" t="e">
        <f>AND(Plan1!E1028,"AAAAAHb9/xM=")</f>
        <v>#VALUE!</v>
      </c>
      <c r="U29" t="e">
        <f>AND(Plan1!F1028,"AAAAAHb9/xQ=")</f>
        <v>#VALUE!</v>
      </c>
      <c r="V29">
        <f>IF(Plan1!1029:1029,"AAAAAHb9/xU=",0)</f>
        <v>0</v>
      </c>
      <c r="W29" t="e">
        <f>AND(Plan1!A1029,"AAAAAHb9/xY=")</f>
        <v>#VALUE!</v>
      </c>
      <c r="X29" t="e">
        <f>AND(Plan1!B1029,"AAAAAHb9/xc=")</f>
        <v>#VALUE!</v>
      </c>
      <c r="Y29" t="e">
        <f>AND(Plan1!C1029,"AAAAAHb9/xg=")</f>
        <v>#VALUE!</v>
      </c>
      <c r="Z29" t="e">
        <f>AND(Plan1!D1029,"AAAAAHb9/xk=")</f>
        <v>#VALUE!</v>
      </c>
      <c r="AA29" t="e">
        <f>AND(Plan1!E1029,"AAAAAHb9/xo=")</f>
        <v>#VALUE!</v>
      </c>
      <c r="AB29" t="e">
        <f>AND(Plan1!F1029,"AAAAAHb9/xs=")</f>
        <v>#VALUE!</v>
      </c>
      <c r="AC29">
        <f>IF(Plan1!1030:1030,"AAAAAHb9/xw=",0)</f>
        <v>0</v>
      </c>
      <c r="AD29" t="e">
        <f>AND(Plan1!A1030,"AAAAAHb9/x0=")</f>
        <v>#VALUE!</v>
      </c>
      <c r="AE29" t="e">
        <f>AND(Plan1!B1030,"AAAAAHb9/x4=")</f>
        <v>#VALUE!</v>
      </c>
      <c r="AF29" t="e">
        <f>AND(Plan1!C1030,"AAAAAHb9/x8=")</f>
        <v>#VALUE!</v>
      </c>
      <c r="AG29" t="e">
        <f>AND(Plan1!D1030,"AAAAAHb9/yA=")</f>
        <v>#VALUE!</v>
      </c>
      <c r="AH29" t="e">
        <f>AND(Plan1!E1030,"AAAAAHb9/yE=")</f>
        <v>#VALUE!</v>
      </c>
      <c r="AI29" t="e">
        <f>AND(Plan1!F1030,"AAAAAHb9/yI=")</f>
        <v>#VALUE!</v>
      </c>
      <c r="AJ29">
        <f>IF(Plan1!1031:1031,"AAAAAHb9/yM=",0)</f>
        <v>0</v>
      </c>
      <c r="AK29" t="e">
        <f>AND(Plan1!A1031,"AAAAAHb9/yQ=")</f>
        <v>#VALUE!</v>
      </c>
      <c r="AL29" t="e">
        <f>AND(Plan1!B1031,"AAAAAHb9/yU=")</f>
        <v>#VALUE!</v>
      </c>
      <c r="AM29" t="e">
        <f>AND(Plan1!C1031,"AAAAAHb9/yY=")</f>
        <v>#VALUE!</v>
      </c>
      <c r="AN29" t="e">
        <f>AND(Plan1!D1031,"AAAAAHb9/yc=")</f>
        <v>#VALUE!</v>
      </c>
      <c r="AO29" t="e">
        <f>AND(Plan1!E1031,"AAAAAHb9/yg=")</f>
        <v>#VALUE!</v>
      </c>
      <c r="AP29" t="e">
        <f>AND(Plan1!F1031,"AAAAAHb9/yk=")</f>
        <v>#VALUE!</v>
      </c>
      <c r="AQ29">
        <f>IF(Plan1!1032:1032,"AAAAAHb9/yo=",0)</f>
        <v>0</v>
      </c>
      <c r="AR29" t="e">
        <f>AND(Plan1!A1032,"AAAAAHb9/ys=")</f>
        <v>#VALUE!</v>
      </c>
      <c r="AS29" t="e">
        <f>AND(Plan1!B1032,"AAAAAHb9/yw=")</f>
        <v>#VALUE!</v>
      </c>
      <c r="AT29" t="e">
        <f>AND(Plan1!C1032,"AAAAAHb9/y0=")</f>
        <v>#VALUE!</v>
      </c>
      <c r="AU29" t="e">
        <f>AND(Plan1!D1032,"AAAAAHb9/y4=")</f>
        <v>#VALUE!</v>
      </c>
      <c r="AV29" t="e">
        <f>AND(Plan1!E1032,"AAAAAHb9/y8=")</f>
        <v>#VALUE!</v>
      </c>
      <c r="AW29" t="e">
        <f>AND(Plan1!F1032,"AAAAAHb9/zA=")</f>
        <v>#VALUE!</v>
      </c>
      <c r="AX29">
        <f>IF(Plan1!1033:1033,"AAAAAHb9/zE=",0)</f>
        <v>0</v>
      </c>
      <c r="AY29" t="e">
        <f>AND(Plan1!A1033,"AAAAAHb9/zI=")</f>
        <v>#VALUE!</v>
      </c>
      <c r="AZ29" t="e">
        <f>AND(Plan1!B1033,"AAAAAHb9/zM=")</f>
        <v>#VALUE!</v>
      </c>
      <c r="BA29" t="e">
        <f>AND(Plan1!C1033,"AAAAAHb9/zQ=")</f>
        <v>#VALUE!</v>
      </c>
      <c r="BB29" t="e">
        <f>AND(Plan1!D1033,"AAAAAHb9/zU=")</f>
        <v>#VALUE!</v>
      </c>
      <c r="BC29" t="e">
        <f>AND(Plan1!E1033,"AAAAAHb9/zY=")</f>
        <v>#VALUE!</v>
      </c>
      <c r="BD29" t="e">
        <f>AND(Plan1!F1033,"AAAAAHb9/zc=")</f>
        <v>#VALUE!</v>
      </c>
      <c r="BE29">
        <f>IF(Plan1!1034:1034,"AAAAAHb9/zg=",0)</f>
        <v>0</v>
      </c>
      <c r="BF29" t="e">
        <f>AND(Plan1!A1034,"AAAAAHb9/zk=")</f>
        <v>#VALUE!</v>
      </c>
      <c r="BG29" t="e">
        <f>AND(Plan1!B1034,"AAAAAHb9/zo=")</f>
        <v>#VALUE!</v>
      </c>
      <c r="BH29" t="e">
        <f>AND(Plan1!C1034,"AAAAAHb9/zs=")</f>
        <v>#VALUE!</v>
      </c>
      <c r="BI29" t="e">
        <f>AND(Plan1!D1034,"AAAAAHb9/zw=")</f>
        <v>#VALUE!</v>
      </c>
      <c r="BJ29" t="e">
        <f>AND(Plan1!E1034,"AAAAAHb9/z0=")</f>
        <v>#VALUE!</v>
      </c>
      <c r="BK29" t="e">
        <f>AND(Plan1!F1034,"AAAAAHb9/z4=")</f>
        <v>#VALUE!</v>
      </c>
      <c r="BL29">
        <f>IF(Plan1!1035:1035,"AAAAAHb9/z8=",0)</f>
        <v>0</v>
      </c>
      <c r="BM29" t="e">
        <f>AND(Plan1!A1035,"AAAAAHb9/0A=")</f>
        <v>#VALUE!</v>
      </c>
      <c r="BN29" t="e">
        <f>AND(Plan1!B1035,"AAAAAHb9/0E=")</f>
        <v>#VALUE!</v>
      </c>
      <c r="BO29" t="e">
        <f>AND(Plan1!C1035,"AAAAAHb9/0I=")</f>
        <v>#VALUE!</v>
      </c>
      <c r="BP29" t="e">
        <f>AND(Plan1!D1035,"AAAAAHb9/0M=")</f>
        <v>#VALUE!</v>
      </c>
      <c r="BQ29" t="e">
        <f>AND(Plan1!E1035,"AAAAAHb9/0Q=")</f>
        <v>#VALUE!</v>
      </c>
      <c r="BR29" t="e">
        <f>AND(Plan1!F1035,"AAAAAHb9/0U=")</f>
        <v>#VALUE!</v>
      </c>
      <c r="BS29">
        <f>IF(Plan1!1036:1036,"AAAAAHb9/0Y=",0)</f>
        <v>0</v>
      </c>
      <c r="BT29" t="e">
        <f>AND(Plan1!A1036,"AAAAAHb9/0c=")</f>
        <v>#VALUE!</v>
      </c>
      <c r="BU29" t="e">
        <f>AND(Plan1!B1036,"AAAAAHb9/0g=")</f>
        <v>#VALUE!</v>
      </c>
      <c r="BV29" t="e">
        <f>AND(Plan1!C1036,"AAAAAHb9/0k=")</f>
        <v>#VALUE!</v>
      </c>
      <c r="BW29" t="e">
        <f>AND(Plan1!D1036,"AAAAAHb9/0o=")</f>
        <v>#VALUE!</v>
      </c>
      <c r="BX29" t="e">
        <f>AND(Plan1!E1036,"AAAAAHb9/0s=")</f>
        <v>#VALUE!</v>
      </c>
      <c r="BY29" t="e">
        <f>AND(Plan1!F1036,"AAAAAHb9/0w=")</f>
        <v>#VALUE!</v>
      </c>
      <c r="BZ29">
        <f>IF(Plan1!1037:1037,"AAAAAHb9/00=",0)</f>
        <v>0</v>
      </c>
      <c r="CA29" t="e">
        <f>AND(Plan1!A1037,"AAAAAHb9/04=")</f>
        <v>#VALUE!</v>
      </c>
      <c r="CB29" t="e">
        <f>AND(Plan1!B1037,"AAAAAHb9/08=")</f>
        <v>#VALUE!</v>
      </c>
      <c r="CC29" t="e">
        <f>AND(Plan1!C1037,"AAAAAHb9/1A=")</f>
        <v>#VALUE!</v>
      </c>
      <c r="CD29" t="e">
        <f>AND(Plan1!D1037,"AAAAAHb9/1E=")</f>
        <v>#VALUE!</v>
      </c>
      <c r="CE29" t="e">
        <f>AND(Plan1!E1037,"AAAAAHb9/1I=")</f>
        <v>#VALUE!</v>
      </c>
      <c r="CF29" t="e">
        <f>AND(Plan1!F1037,"AAAAAHb9/1M=")</f>
        <v>#VALUE!</v>
      </c>
      <c r="CG29">
        <f>IF(Plan1!1038:1038,"AAAAAHb9/1Q=",0)</f>
        <v>0</v>
      </c>
      <c r="CH29" t="e">
        <f>AND(Plan1!A1038,"AAAAAHb9/1U=")</f>
        <v>#VALUE!</v>
      </c>
      <c r="CI29" t="e">
        <f>AND(Plan1!B1038,"AAAAAHb9/1Y=")</f>
        <v>#VALUE!</v>
      </c>
      <c r="CJ29" t="e">
        <f>AND(Plan1!C1038,"AAAAAHb9/1c=")</f>
        <v>#VALUE!</v>
      </c>
      <c r="CK29" t="e">
        <f>AND(Plan1!D1038,"AAAAAHb9/1g=")</f>
        <v>#VALUE!</v>
      </c>
      <c r="CL29" t="e">
        <f>AND(Plan1!E1038,"AAAAAHb9/1k=")</f>
        <v>#VALUE!</v>
      </c>
      <c r="CM29" t="e">
        <f>AND(Plan1!F1038,"AAAAAHb9/1o=")</f>
        <v>#VALUE!</v>
      </c>
      <c r="CN29">
        <f>IF(Plan1!1039:1039,"AAAAAHb9/1s=",0)</f>
        <v>0</v>
      </c>
      <c r="CO29" t="e">
        <f>AND(Plan1!A1039,"AAAAAHb9/1w=")</f>
        <v>#VALUE!</v>
      </c>
      <c r="CP29" t="e">
        <f>AND(Plan1!B1039,"AAAAAHb9/10=")</f>
        <v>#VALUE!</v>
      </c>
      <c r="CQ29" t="e">
        <f>AND(Plan1!C1039,"AAAAAHb9/14=")</f>
        <v>#VALUE!</v>
      </c>
      <c r="CR29" t="e">
        <f>AND(Plan1!D1039,"AAAAAHb9/18=")</f>
        <v>#VALUE!</v>
      </c>
      <c r="CS29" t="e">
        <f>AND(Plan1!E1039,"AAAAAHb9/2A=")</f>
        <v>#VALUE!</v>
      </c>
      <c r="CT29" t="e">
        <f>AND(Plan1!F1039,"AAAAAHb9/2E=")</f>
        <v>#VALUE!</v>
      </c>
      <c r="CU29">
        <f>IF(Plan1!1040:1040,"AAAAAHb9/2I=",0)</f>
        <v>0</v>
      </c>
      <c r="CV29" t="e">
        <f>AND(Plan1!A1040,"AAAAAHb9/2M=")</f>
        <v>#VALUE!</v>
      </c>
      <c r="CW29" t="e">
        <f>AND(Plan1!B1040,"AAAAAHb9/2Q=")</f>
        <v>#VALUE!</v>
      </c>
      <c r="CX29" t="e">
        <f>AND(Plan1!C1040,"AAAAAHb9/2U=")</f>
        <v>#VALUE!</v>
      </c>
      <c r="CY29" t="e">
        <f>AND(Plan1!D1040,"AAAAAHb9/2Y=")</f>
        <v>#VALUE!</v>
      </c>
      <c r="CZ29" t="e">
        <f>AND(Plan1!E1040,"AAAAAHb9/2c=")</f>
        <v>#VALUE!</v>
      </c>
      <c r="DA29" t="e">
        <f>AND(Plan1!F1040,"AAAAAHb9/2g=")</f>
        <v>#VALUE!</v>
      </c>
      <c r="DB29">
        <f>IF(Plan1!1041:1041,"AAAAAHb9/2k=",0)</f>
        <v>0</v>
      </c>
      <c r="DC29" t="e">
        <f>AND(Plan1!A1041,"AAAAAHb9/2o=")</f>
        <v>#VALUE!</v>
      </c>
      <c r="DD29" t="e">
        <f>AND(Plan1!B1041,"AAAAAHb9/2s=")</f>
        <v>#VALUE!</v>
      </c>
      <c r="DE29" t="e">
        <f>AND(Plan1!C1041,"AAAAAHb9/2w=")</f>
        <v>#VALUE!</v>
      </c>
      <c r="DF29" t="e">
        <f>AND(Plan1!D1041,"AAAAAHb9/20=")</f>
        <v>#VALUE!</v>
      </c>
      <c r="DG29" t="e">
        <f>AND(Plan1!E1041,"AAAAAHb9/24=")</f>
        <v>#VALUE!</v>
      </c>
      <c r="DH29" t="e">
        <f>AND(Plan1!F1041,"AAAAAHb9/28=")</f>
        <v>#VALUE!</v>
      </c>
      <c r="DI29">
        <f>IF(Plan1!1042:1042,"AAAAAHb9/3A=",0)</f>
        <v>0</v>
      </c>
      <c r="DJ29" t="e">
        <f>AND(Plan1!A1042,"AAAAAHb9/3E=")</f>
        <v>#VALUE!</v>
      </c>
      <c r="DK29" t="e">
        <f>AND(Plan1!B1042,"AAAAAHb9/3I=")</f>
        <v>#VALUE!</v>
      </c>
      <c r="DL29" t="e">
        <f>AND(Plan1!C1042,"AAAAAHb9/3M=")</f>
        <v>#VALUE!</v>
      </c>
      <c r="DM29" t="e">
        <f>AND(Plan1!D1042,"AAAAAHb9/3Q=")</f>
        <v>#VALUE!</v>
      </c>
      <c r="DN29" t="e">
        <f>AND(Plan1!E1042,"AAAAAHb9/3U=")</f>
        <v>#VALUE!</v>
      </c>
      <c r="DO29" t="e">
        <f>AND(Plan1!F1042,"AAAAAHb9/3Y=")</f>
        <v>#VALUE!</v>
      </c>
      <c r="DP29">
        <f>IF(Plan1!1043:1043,"AAAAAHb9/3c=",0)</f>
        <v>0</v>
      </c>
      <c r="DQ29" t="e">
        <f>AND(Plan1!A1043,"AAAAAHb9/3g=")</f>
        <v>#VALUE!</v>
      </c>
      <c r="DR29" t="e">
        <f>AND(Plan1!B1043,"AAAAAHb9/3k=")</f>
        <v>#VALUE!</v>
      </c>
      <c r="DS29" t="e">
        <f>AND(Plan1!C1043,"AAAAAHb9/3o=")</f>
        <v>#VALUE!</v>
      </c>
      <c r="DT29" t="e">
        <f>AND(Plan1!D1043,"AAAAAHb9/3s=")</f>
        <v>#VALUE!</v>
      </c>
      <c r="DU29" t="e">
        <f>AND(Plan1!E1043,"AAAAAHb9/3w=")</f>
        <v>#VALUE!</v>
      </c>
      <c r="DV29" t="e">
        <f>AND(Plan1!F1043,"AAAAAHb9/30=")</f>
        <v>#VALUE!</v>
      </c>
      <c r="DW29">
        <f>IF(Plan1!1044:1044,"AAAAAHb9/34=",0)</f>
        <v>0</v>
      </c>
      <c r="DX29" t="e">
        <f>AND(Plan1!A1044,"AAAAAHb9/38=")</f>
        <v>#VALUE!</v>
      </c>
      <c r="DY29" t="e">
        <f>AND(Plan1!B1044,"AAAAAHb9/4A=")</f>
        <v>#VALUE!</v>
      </c>
      <c r="DZ29" t="e">
        <f>AND(Plan1!C1044,"AAAAAHb9/4E=")</f>
        <v>#VALUE!</v>
      </c>
      <c r="EA29" t="e">
        <f>AND(Plan1!D1044,"AAAAAHb9/4I=")</f>
        <v>#VALUE!</v>
      </c>
      <c r="EB29" t="e">
        <f>AND(Plan1!E1044,"AAAAAHb9/4M=")</f>
        <v>#VALUE!</v>
      </c>
      <c r="EC29" t="e">
        <f>AND(Plan1!F1044,"AAAAAHb9/4Q=")</f>
        <v>#VALUE!</v>
      </c>
      <c r="ED29">
        <f>IF(Plan1!1045:1045,"AAAAAHb9/4U=",0)</f>
        <v>0</v>
      </c>
      <c r="EE29" t="e">
        <f>AND(Plan1!A1045,"AAAAAHb9/4Y=")</f>
        <v>#VALUE!</v>
      </c>
      <c r="EF29" t="e">
        <f>AND(Plan1!B1045,"AAAAAHb9/4c=")</f>
        <v>#VALUE!</v>
      </c>
      <c r="EG29" t="e">
        <f>AND(Plan1!C1045,"AAAAAHb9/4g=")</f>
        <v>#VALUE!</v>
      </c>
      <c r="EH29" t="e">
        <f>AND(Plan1!D1045,"AAAAAHb9/4k=")</f>
        <v>#VALUE!</v>
      </c>
      <c r="EI29" t="e">
        <f>AND(Plan1!E1045,"AAAAAHb9/4o=")</f>
        <v>#VALUE!</v>
      </c>
      <c r="EJ29" t="e">
        <f>AND(Plan1!F1045,"AAAAAHb9/4s=")</f>
        <v>#VALUE!</v>
      </c>
      <c r="EK29">
        <f>IF(Plan1!1046:1046,"AAAAAHb9/4w=",0)</f>
        <v>0</v>
      </c>
      <c r="EL29" t="e">
        <f>AND(Plan1!A1046,"AAAAAHb9/40=")</f>
        <v>#VALUE!</v>
      </c>
      <c r="EM29" t="e">
        <f>AND(Plan1!B1046,"AAAAAHb9/44=")</f>
        <v>#VALUE!</v>
      </c>
      <c r="EN29" t="e">
        <f>AND(Plan1!C1046,"AAAAAHb9/48=")</f>
        <v>#VALUE!</v>
      </c>
      <c r="EO29" t="e">
        <f>AND(Plan1!D1046,"AAAAAHb9/5A=")</f>
        <v>#VALUE!</v>
      </c>
      <c r="EP29" t="e">
        <f>AND(Plan1!E1046,"AAAAAHb9/5E=")</f>
        <v>#VALUE!</v>
      </c>
      <c r="EQ29" t="e">
        <f>AND(Plan1!F1046,"AAAAAHb9/5I=")</f>
        <v>#VALUE!</v>
      </c>
      <c r="ER29">
        <f>IF(Plan1!1047:1047,"AAAAAHb9/5M=",0)</f>
        <v>0</v>
      </c>
      <c r="ES29" t="e">
        <f>AND(Plan1!A1047,"AAAAAHb9/5Q=")</f>
        <v>#VALUE!</v>
      </c>
      <c r="ET29" t="e">
        <f>AND(Plan1!B1047,"AAAAAHb9/5U=")</f>
        <v>#VALUE!</v>
      </c>
      <c r="EU29" t="e">
        <f>AND(Plan1!C1047,"AAAAAHb9/5Y=")</f>
        <v>#VALUE!</v>
      </c>
      <c r="EV29" t="e">
        <f>AND(Plan1!D1047,"AAAAAHb9/5c=")</f>
        <v>#VALUE!</v>
      </c>
      <c r="EW29" t="e">
        <f>AND(Plan1!E1047,"AAAAAHb9/5g=")</f>
        <v>#VALUE!</v>
      </c>
      <c r="EX29" t="e">
        <f>AND(Plan1!F1047,"AAAAAHb9/5k=")</f>
        <v>#VALUE!</v>
      </c>
      <c r="EY29">
        <f>IF(Plan1!1048:1048,"AAAAAHb9/5o=",0)</f>
        <v>0</v>
      </c>
      <c r="EZ29" t="e">
        <f>AND(Plan1!A1048,"AAAAAHb9/5s=")</f>
        <v>#VALUE!</v>
      </c>
      <c r="FA29" t="e">
        <f>AND(Plan1!B1048,"AAAAAHb9/5w=")</f>
        <v>#VALUE!</v>
      </c>
      <c r="FB29" t="e">
        <f>AND(Plan1!C1048,"AAAAAHb9/50=")</f>
        <v>#VALUE!</v>
      </c>
      <c r="FC29" t="e">
        <f>AND(Plan1!D1048,"AAAAAHb9/54=")</f>
        <v>#VALUE!</v>
      </c>
      <c r="FD29" t="e">
        <f>AND(Plan1!E1048,"AAAAAHb9/58=")</f>
        <v>#VALUE!</v>
      </c>
      <c r="FE29" t="e">
        <f>AND(Plan1!F1048,"AAAAAHb9/6A=")</f>
        <v>#VALUE!</v>
      </c>
      <c r="FF29">
        <f>IF(Plan1!1049:1049,"AAAAAHb9/6E=",0)</f>
        <v>0</v>
      </c>
      <c r="FG29" t="e">
        <f>AND(Plan1!A1049,"AAAAAHb9/6I=")</f>
        <v>#VALUE!</v>
      </c>
      <c r="FH29" t="e">
        <f>AND(Plan1!B1049,"AAAAAHb9/6M=")</f>
        <v>#VALUE!</v>
      </c>
      <c r="FI29" t="e">
        <f>AND(Plan1!C1049,"AAAAAHb9/6Q=")</f>
        <v>#VALUE!</v>
      </c>
      <c r="FJ29" t="e">
        <f>AND(Plan1!D1049,"AAAAAHb9/6U=")</f>
        <v>#VALUE!</v>
      </c>
      <c r="FK29" t="e">
        <f>AND(Plan1!E1049,"AAAAAHb9/6Y=")</f>
        <v>#VALUE!</v>
      </c>
      <c r="FL29" t="e">
        <f>AND(Plan1!F1049,"AAAAAHb9/6c=")</f>
        <v>#VALUE!</v>
      </c>
      <c r="FM29">
        <f>IF(Plan1!1050:1050,"AAAAAHb9/6g=",0)</f>
        <v>0</v>
      </c>
      <c r="FN29" t="e">
        <f>AND(Plan1!A1050,"AAAAAHb9/6k=")</f>
        <v>#VALUE!</v>
      </c>
      <c r="FO29" t="e">
        <f>AND(Plan1!B1050,"AAAAAHb9/6o=")</f>
        <v>#VALUE!</v>
      </c>
      <c r="FP29" t="e">
        <f>AND(Plan1!C1050,"AAAAAHb9/6s=")</f>
        <v>#VALUE!</v>
      </c>
      <c r="FQ29" t="e">
        <f>AND(Plan1!D1050,"AAAAAHb9/6w=")</f>
        <v>#VALUE!</v>
      </c>
      <c r="FR29" t="e">
        <f>AND(Plan1!E1050,"AAAAAHb9/60=")</f>
        <v>#VALUE!</v>
      </c>
      <c r="FS29" t="e">
        <f>AND(Plan1!F1050,"AAAAAHb9/64=")</f>
        <v>#VALUE!</v>
      </c>
      <c r="FT29">
        <f>IF(Plan1!1051:1051,"AAAAAHb9/68=",0)</f>
        <v>0</v>
      </c>
      <c r="FU29" t="e">
        <f>AND(Plan1!A1051,"AAAAAHb9/7A=")</f>
        <v>#VALUE!</v>
      </c>
      <c r="FV29" t="e">
        <f>AND(Plan1!B1051,"AAAAAHb9/7E=")</f>
        <v>#VALUE!</v>
      </c>
      <c r="FW29" t="e">
        <f>AND(Plan1!C1051,"AAAAAHb9/7I=")</f>
        <v>#VALUE!</v>
      </c>
      <c r="FX29" t="e">
        <f>AND(Plan1!D1051,"AAAAAHb9/7M=")</f>
        <v>#VALUE!</v>
      </c>
      <c r="FY29" t="e">
        <f>AND(Plan1!E1051,"AAAAAHb9/7Q=")</f>
        <v>#VALUE!</v>
      </c>
      <c r="FZ29" t="e">
        <f>AND(Plan1!F1051,"AAAAAHb9/7U=")</f>
        <v>#VALUE!</v>
      </c>
      <c r="GA29">
        <f>IF(Plan1!1052:1052,"AAAAAHb9/7Y=",0)</f>
        <v>0</v>
      </c>
      <c r="GB29" t="e">
        <f>AND(Plan1!A1052,"AAAAAHb9/7c=")</f>
        <v>#VALUE!</v>
      </c>
      <c r="GC29" t="e">
        <f>AND(Plan1!B1052,"AAAAAHb9/7g=")</f>
        <v>#VALUE!</v>
      </c>
      <c r="GD29" t="e">
        <f>AND(Plan1!C1052,"AAAAAHb9/7k=")</f>
        <v>#VALUE!</v>
      </c>
      <c r="GE29" t="e">
        <f>AND(Plan1!D1052,"AAAAAHb9/7o=")</f>
        <v>#VALUE!</v>
      </c>
      <c r="GF29" t="e">
        <f>AND(Plan1!E1052,"AAAAAHb9/7s=")</f>
        <v>#VALUE!</v>
      </c>
      <c r="GG29" t="e">
        <f>AND(Plan1!F1052,"AAAAAHb9/7w=")</f>
        <v>#VALUE!</v>
      </c>
      <c r="GH29">
        <f>IF(Plan1!1053:1053,"AAAAAHb9/70=",0)</f>
        <v>0</v>
      </c>
      <c r="GI29" t="e">
        <f>AND(Plan1!A1053,"AAAAAHb9/74=")</f>
        <v>#VALUE!</v>
      </c>
      <c r="GJ29" t="e">
        <f>AND(Plan1!B1053,"AAAAAHb9/78=")</f>
        <v>#VALUE!</v>
      </c>
      <c r="GK29" t="e">
        <f>AND(Plan1!C1053,"AAAAAHb9/8A=")</f>
        <v>#VALUE!</v>
      </c>
      <c r="GL29" t="e">
        <f>AND(Plan1!D1053,"AAAAAHb9/8E=")</f>
        <v>#VALUE!</v>
      </c>
      <c r="GM29" t="e">
        <f>AND(Plan1!E1053,"AAAAAHb9/8I=")</f>
        <v>#VALUE!</v>
      </c>
      <c r="GN29" t="e">
        <f>AND(Plan1!F1053,"AAAAAHb9/8M=")</f>
        <v>#VALUE!</v>
      </c>
      <c r="GO29">
        <f>IF(Plan1!1054:1054,"AAAAAHb9/8Q=",0)</f>
        <v>0</v>
      </c>
      <c r="GP29" t="e">
        <f>AND(Plan1!A1054,"AAAAAHb9/8U=")</f>
        <v>#VALUE!</v>
      </c>
      <c r="GQ29" t="e">
        <f>AND(Plan1!B1054,"AAAAAHb9/8Y=")</f>
        <v>#VALUE!</v>
      </c>
      <c r="GR29" t="e">
        <f>AND(Plan1!C1054,"AAAAAHb9/8c=")</f>
        <v>#VALUE!</v>
      </c>
      <c r="GS29" t="e">
        <f>AND(Plan1!D1054,"AAAAAHb9/8g=")</f>
        <v>#VALUE!</v>
      </c>
      <c r="GT29" t="e">
        <f>AND(Plan1!E1054,"AAAAAHb9/8k=")</f>
        <v>#VALUE!</v>
      </c>
      <c r="GU29" t="e">
        <f>AND(Plan1!F1054,"AAAAAHb9/8o=")</f>
        <v>#VALUE!</v>
      </c>
      <c r="GV29">
        <f>IF(Plan1!1055:1055,"AAAAAHb9/8s=",0)</f>
        <v>0</v>
      </c>
      <c r="GW29" t="e">
        <f>AND(Plan1!A1055,"AAAAAHb9/8w=")</f>
        <v>#VALUE!</v>
      </c>
      <c r="GX29" t="e">
        <f>AND(Plan1!B1055,"AAAAAHb9/80=")</f>
        <v>#VALUE!</v>
      </c>
      <c r="GY29" t="e">
        <f>AND(Plan1!C1055,"AAAAAHb9/84=")</f>
        <v>#VALUE!</v>
      </c>
      <c r="GZ29" t="e">
        <f>AND(Plan1!D1055,"AAAAAHb9/88=")</f>
        <v>#VALUE!</v>
      </c>
      <c r="HA29" t="e">
        <f>AND(Plan1!E1055,"AAAAAHb9/9A=")</f>
        <v>#VALUE!</v>
      </c>
      <c r="HB29" t="e">
        <f>AND(Plan1!F1055,"AAAAAHb9/9E=")</f>
        <v>#VALUE!</v>
      </c>
      <c r="HC29">
        <f>IF(Plan1!1056:1056,"AAAAAHb9/9I=",0)</f>
        <v>0</v>
      </c>
      <c r="HD29" t="e">
        <f>AND(Plan1!A1056,"AAAAAHb9/9M=")</f>
        <v>#VALUE!</v>
      </c>
      <c r="HE29" t="e">
        <f>AND(Plan1!B1056,"AAAAAHb9/9Q=")</f>
        <v>#VALUE!</v>
      </c>
      <c r="HF29" t="e">
        <f>AND(Plan1!C1056,"AAAAAHb9/9U=")</f>
        <v>#VALUE!</v>
      </c>
      <c r="HG29" t="e">
        <f>AND(Plan1!D1056,"AAAAAHb9/9Y=")</f>
        <v>#VALUE!</v>
      </c>
      <c r="HH29" t="e">
        <f>AND(Plan1!E1056,"AAAAAHb9/9c=")</f>
        <v>#VALUE!</v>
      </c>
      <c r="HI29" t="e">
        <f>AND(Plan1!F1056,"AAAAAHb9/9g=")</f>
        <v>#VALUE!</v>
      </c>
      <c r="HJ29">
        <f>IF(Plan1!1057:1057,"AAAAAHb9/9k=",0)</f>
        <v>0</v>
      </c>
      <c r="HK29" t="e">
        <f>AND(Plan1!A1057,"AAAAAHb9/9o=")</f>
        <v>#VALUE!</v>
      </c>
      <c r="HL29" t="e">
        <f>AND(Plan1!B1057,"AAAAAHb9/9s=")</f>
        <v>#VALUE!</v>
      </c>
      <c r="HM29" t="e">
        <f>AND(Plan1!C1057,"AAAAAHb9/9w=")</f>
        <v>#VALUE!</v>
      </c>
      <c r="HN29" t="e">
        <f>AND(Plan1!D1057,"AAAAAHb9/90=")</f>
        <v>#VALUE!</v>
      </c>
      <c r="HO29" t="e">
        <f>AND(Plan1!E1057,"AAAAAHb9/94=")</f>
        <v>#VALUE!</v>
      </c>
      <c r="HP29" t="e">
        <f>AND(Plan1!F1057,"AAAAAHb9/98=")</f>
        <v>#VALUE!</v>
      </c>
      <c r="HQ29">
        <f>IF(Plan1!1058:1058,"AAAAAHb9/+A=",0)</f>
        <v>0</v>
      </c>
      <c r="HR29" t="e">
        <f>AND(Plan1!A1058,"AAAAAHb9/+E=")</f>
        <v>#VALUE!</v>
      </c>
      <c r="HS29" t="e">
        <f>AND(Plan1!B1058,"AAAAAHb9/+I=")</f>
        <v>#VALUE!</v>
      </c>
      <c r="HT29" t="e">
        <f>AND(Plan1!C1058,"AAAAAHb9/+M=")</f>
        <v>#VALUE!</v>
      </c>
      <c r="HU29" t="e">
        <f>AND(Plan1!D1058,"AAAAAHb9/+Q=")</f>
        <v>#VALUE!</v>
      </c>
      <c r="HV29" t="e">
        <f>AND(Plan1!E1058,"AAAAAHb9/+U=")</f>
        <v>#VALUE!</v>
      </c>
      <c r="HW29" t="e">
        <f>AND(Plan1!F1058,"AAAAAHb9/+Y=")</f>
        <v>#VALUE!</v>
      </c>
      <c r="HX29">
        <f>IF(Plan1!1059:1059,"AAAAAHb9/+c=",0)</f>
        <v>0</v>
      </c>
      <c r="HY29" t="e">
        <f>AND(Plan1!A1059,"AAAAAHb9/+g=")</f>
        <v>#VALUE!</v>
      </c>
      <c r="HZ29" t="e">
        <f>AND(Plan1!B1059,"AAAAAHb9/+k=")</f>
        <v>#VALUE!</v>
      </c>
      <c r="IA29" t="e">
        <f>AND(Plan1!C1059,"AAAAAHb9/+o=")</f>
        <v>#VALUE!</v>
      </c>
      <c r="IB29" t="e">
        <f>AND(Plan1!D1059,"AAAAAHb9/+s=")</f>
        <v>#VALUE!</v>
      </c>
      <c r="IC29" t="e">
        <f>AND(Plan1!E1059,"AAAAAHb9/+w=")</f>
        <v>#VALUE!</v>
      </c>
      <c r="ID29" t="e">
        <f>AND(Plan1!F1059,"AAAAAHb9/+0=")</f>
        <v>#VALUE!</v>
      </c>
      <c r="IE29">
        <f>IF(Plan1!1060:1060,"AAAAAHb9/+4=",0)</f>
        <v>0</v>
      </c>
      <c r="IF29" t="e">
        <f>AND(Plan1!A1060,"AAAAAHb9/+8=")</f>
        <v>#VALUE!</v>
      </c>
      <c r="IG29" t="e">
        <f>AND(Plan1!B1060,"AAAAAHb9//A=")</f>
        <v>#VALUE!</v>
      </c>
      <c r="IH29" t="e">
        <f>AND(Plan1!C1060,"AAAAAHb9//E=")</f>
        <v>#VALUE!</v>
      </c>
      <c r="II29" t="e">
        <f>AND(Plan1!D1060,"AAAAAHb9//I=")</f>
        <v>#VALUE!</v>
      </c>
      <c r="IJ29" t="e">
        <f>AND(Plan1!E1060,"AAAAAHb9//M=")</f>
        <v>#VALUE!</v>
      </c>
      <c r="IK29" t="e">
        <f>AND(Plan1!F1060,"AAAAAHb9//Q=")</f>
        <v>#VALUE!</v>
      </c>
      <c r="IL29">
        <f>IF(Plan1!1061:1061,"AAAAAHb9//U=",0)</f>
        <v>0</v>
      </c>
      <c r="IM29" t="e">
        <f>AND(Plan1!A1061,"AAAAAHb9//Y=")</f>
        <v>#VALUE!</v>
      </c>
      <c r="IN29" t="e">
        <f>AND(Plan1!B1061,"AAAAAHb9//c=")</f>
        <v>#VALUE!</v>
      </c>
      <c r="IO29" t="e">
        <f>AND(Plan1!C1061,"AAAAAHb9//g=")</f>
        <v>#VALUE!</v>
      </c>
      <c r="IP29" t="e">
        <f>AND(Plan1!D1061,"AAAAAHb9//k=")</f>
        <v>#VALUE!</v>
      </c>
      <c r="IQ29" t="e">
        <f>AND(Plan1!E1061,"AAAAAHb9//o=")</f>
        <v>#VALUE!</v>
      </c>
      <c r="IR29" t="e">
        <f>AND(Plan1!F1061,"AAAAAHb9//s=")</f>
        <v>#VALUE!</v>
      </c>
      <c r="IS29">
        <f>IF(Plan1!1062:1062,"AAAAAHb9//w=",0)</f>
        <v>0</v>
      </c>
      <c r="IT29" t="e">
        <f>AND(Plan1!A1062,"AAAAAHb9//0=")</f>
        <v>#VALUE!</v>
      </c>
      <c r="IU29" t="e">
        <f>AND(Plan1!B1062,"AAAAAHb9//4=")</f>
        <v>#VALUE!</v>
      </c>
      <c r="IV29" t="e">
        <f>AND(Plan1!C1062,"AAAAAHb9//8=")</f>
        <v>#VALUE!</v>
      </c>
    </row>
    <row r="30" spans="1:256">
      <c r="A30" t="e">
        <f>AND(Plan1!D1062,"AAAAAH/v9QA=")</f>
        <v>#VALUE!</v>
      </c>
      <c r="B30" t="e">
        <f>AND(Plan1!E1062,"AAAAAH/v9QE=")</f>
        <v>#VALUE!</v>
      </c>
      <c r="C30" t="e">
        <f>AND(Plan1!F1062,"AAAAAH/v9QI=")</f>
        <v>#VALUE!</v>
      </c>
      <c r="D30" t="str">
        <f>IF(Plan1!1063:1063,"AAAAAH/v9QM=",0)</f>
        <v>AAAAAH/v9QM=</v>
      </c>
      <c r="E30" t="e">
        <f>AND(Plan1!A1063,"AAAAAH/v9QQ=")</f>
        <v>#VALUE!</v>
      </c>
      <c r="F30" t="e">
        <f>AND(Plan1!B1063,"AAAAAH/v9QU=")</f>
        <v>#VALUE!</v>
      </c>
      <c r="G30" t="e">
        <f>AND(Plan1!C1063,"AAAAAH/v9QY=")</f>
        <v>#VALUE!</v>
      </c>
      <c r="H30" t="e">
        <f>AND(Plan1!D1063,"AAAAAH/v9Qc=")</f>
        <v>#VALUE!</v>
      </c>
      <c r="I30" t="e">
        <f>AND(Plan1!E1063,"AAAAAH/v9Qg=")</f>
        <v>#VALUE!</v>
      </c>
      <c r="J30" t="e">
        <f>AND(Plan1!F1063,"AAAAAH/v9Qk=")</f>
        <v>#VALUE!</v>
      </c>
      <c r="K30">
        <f>IF(Plan1!1064:1064,"AAAAAH/v9Qo=",0)</f>
        <v>0</v>
      </c>
      <c r="L30" t="e">
        <f>AND(Plan1!A1064,"AAAAAH/v9Qs=")</f>
        <v>#VALUE!</v>
      </c>
      <c r="M30" t="e">
        <f>AND(Plan1!B1064,"AAAAAH/v9Qw=")</f>
        <v>#VALUE!</v>
      </c>
      <c r="N30" t="e">
        <f>AND(Plan1!C1064,"AAAAAH/v9Q0=")</f>
        <v>#VALUE!</v>
      </c>
      <c r="O30" t="e">
        <f>AND(Plan1!D1064,"AAAAAH/v9Q4=")</f>
        <v>#VALUE!</v>
      </c>
      <c r="P30" t="e">
        <f>AND(Plan1!E1064,"AAAAAH/v9Q8=")</f>
        <v>#VALUE!</v>
      </c>
      <c r="Q30" t="e">
        <f>AND(Plan1!F1064,"AAAAAH/v9RA=")</f>
        <v>#VALUE!</v>
      </c>
      <c r="R30">
        <f>IF(Plan1!1065:1065,"AAAAAH/v9RE=",0)</f>
        <v>0</v>
      </c>
      <c r="S30" t="e">
        <f>AND(Plan1!A1065,"AAAAAH/v9RI=")</f>
        <v>#VALUE!</v>
      </c>
      <c r="T30" t="e">
        <f>AND(Plan1!B1065,"AAAAAH/v9RM=")</f>
        <v>#VALUE!</v>
      </c>
      <c r="U30" t="e">
        <f>AND(Plan1!C1065,"AAAAAH/v9RQ=")</f>
        <v>#VALUE!</v>
      </c>
      <c r="V30" t="e">
        <f>AND(Plan1!D1065,"AAAAAH/v9RU=")</f>
        <v>#VALUE!</v>
      </c>
      <c r="W30" t="e">
        <f>AND(Plan1!E1065,"AAAAAH/v9RY=")</f>
        <v>#VALUE!</v>
      </c>
      <c r="X30" t="e">
        <f>AND(Plan1!F1065,"AAAAAH/v9Rc=")</f>
        <v>#VALUE!</v>
      </c>
      <c r="Y30">
        <f>IF(Plan1!1066:1066,"AAAAAH/v9Rg=",0)</f>
        <v>0</v>
      </c>
      <c r="Z30" t="e">
        <f>AND(Plan1!A1066,"AAAAAH/v9Rk=")</f>
        <v>#VALUE!</v>
      </c>
      <c r="AA30" t="e">
        <f>AND(Plan1!B1066,"AAAAAH/v9Ro=")</f>
        <v>#VALUE!</v>
      </c>
      <c r="AB30" t="e">
        <f>AND(Plan1!C1066,"AAAAAH/v9Rs=")</f>
        <v>#VALUE!</v>
      </c>
      <c r="AC30" t="e">
        <f>AND(Plan1!D1066,"AAAAAH/v9Rw=")</f>
        <v>#VALUE!</v>
      </c>
      <c r="AD30" t="e">
        <f>AND(Plan1!E1066,"AAAAAH/v9R0=")</f>
        <v>#VALUE!</v>
      </c>
      <c r="AE30" t="e">
        <f>AND(Plan1!F1066,"AAAAAH/v9R4=")</f>
        <v>#VALUE!</v>
      </c>
      <c r="AF30">
        <f>IF(Plan1!1067:1067,"AAAAAH/v9R8=",0)</f>
        <v>0</v>
      </c>
      <c r="AG30" t="e">
        <f>AND(Plan1!A1067,"AAAAAH/v9SA=")</f>
        <v>#VALUE!</v>
      </c>
      <c r="AH30" t="e">
        <f>AND(Plan1!B1067,"AAAAAH/v9SE=")</f>
        <v>#VALUE!</v>
      </c>
      <c r="AI30" t="e">
        <f>AND(Plan1!C1067,"AAAAAH/v9SI=")</f>
        <v>#VALUE!</v>
      </c>
      <c r="AJ30" t="e">
        <f>AND(Plan1!D1067,"AAAAAH/v9SM=")</f>
        <v>#VALUE!</v>
      </c>
      <c r="AK30" t="e">
        <f>AND(Plan1!E1067,"AAAAAH/v9SQ=")</f>
        <v>#VALUE!</v>
      </c>
      <c r="AL30" t="e">
        <f>AND(Plan1!F1067,"AAAAAH/v9SU=")</f>
        <v>#VALUE!</v>
      </c>
      <c r="AM30">
        <f>IF(Plan1!1068:1068,"AAAAAH/v9SY=",0)</f>
        <v>0</v>
      </c>
      <c r="AN30" t="e">
        <f>AND(Plan1!A1068,"AAAAAH/v9Sc=")</f>
        <v>#VALUE!</v>
      </c>
      <c r="AO30" t="e">
        <f>AND(Plan1!B1068,"AAAAAH/v9Sg=")</f>
        <v>#VALUE!</v>
      </c>
      <c r="AP30" t="e">
        <f>AND(Plan1!C1068,"AAAAAH/v9Sk=")</f>
        <v>#VALUE!</v>
      </c>
      <c r="AQ30" t="e">
        <f>AND(Plan1!D1068,"AAAAAH/v9So=")</f>
        <v>#VALUE!</v>
      </c>
      <c r="AR30" t="e">
        <f>AND(Plan1!E1068,"AAAAAH/v9Ss=")</f>
        <v>#VALUE!</v>
      </c>
      <c r="AS30" t="e">
        <f>AND(Plan1!F1068,"AAAAAH/v9Sw=")</f>
        <v>#VALUE!</v>
      </c>
      <c r="AT30">
        <f>IF(Plan1!1069:1069,"AAAAAH/v9S0=",0)</f>
        <v>0</v>
      </c>
      <c r="AU30" t="e">
        <f>AND(Plan1!A1069,"AAAAAH/v9S4=")</f>
        <v>#VALUE!</v>
      </c>
      <c r="AV30" t="e">
        <f>AND(Plan1!B1069,"AAAAAH/v9S8=")</f>
        <v>#VALUE!</v>
      </c>
      <c r="AW30" t="e">
        <f>AND(Plan1!C1069,"AAAAAH/v9TA=")</f>
        <v>#VALUE!</v>
      </c>
      <c r="AX30" t="e">
        <f>AND(Plan1!D1069,"AAAAAH/v9TE=")</f>
        <v>#VALUE!</v>
      </c>
      <c r="AY30" t="e">
        <f>AND(Plan1!E1069,"AAAAAH/v9TI=")</f>
        <v>#VALUE!</v>
      </c>
      <c r="AZ30" t="e">
        <f>AND(Plan1!F1069,"AAAAAH/v9TM=")</f>
        <v>#VALUE!</v>
      </c>
      <c r="BA30">
        <f>IF(Plan1!1070:1070,"AAAAAH/v9TQ=",0)</f>
        <v>0</v>
      </c>
      <c r="BB30" t="e">
        <f>AND(Plan1!A1070,"AAAAAH/v9TU=")</f>
        <v>#VALUE!</v>
      </c>
      <c r="BC30" t="e">
        <f>AND(Plan1!B1070,"AAAAAH/v9TY=")</f>
        <v>#VALUE!</v>
      </c>
      <c r="BD30" t="e">
        <f>AND(Plan1!C1070,"AAAAAH/v9Tc=")</f>
        <v>#VALUE!</v>
      </c>
      <c r="BE30" t="e">
        <f>AND(Plan1!D1070,"AAAAAH/v9Tg=")</f>
        <v>#VALUE!</v>
      </c>
      <c r="BF30" t="e">
        <f>AND(Plan1!E1070,"AAAAAH/v9Tk=")</f>
        <v>#VALUE!</v>
      </c>
      <c r="BG30" t="e">
        <f>AND(Plan1!F1070,"AAAAAH/v9To=")</f>
        <v>#VALUE!</v>
      </c>
      <c r="BH30">
        <f>IF(Plan1!1071:1071,"AAAAAH/v9Ts=",0)</f>
        <v>0</v>
      </c>
      <c r="BI30" t="e">
        <f>AND(Plan1!A1071,"AAAAAH/v9Tw=")</f>
        <v>#VALUE!</v>
      </c>
      <c r="BJ30" t="e">
        <f>AND(Plan1!B1071,"AAAAAH/v9T0=")</f>
        <v>#VALUE!</v>
      </c>
      <c r="BK30" t="e">
        <f>AND(Plan1!C1071,"AAAAAH/v9T4=")</f>
        <v>#VALUE!</v>
      </c>
      <c r="BL30" t="e">
        <f>AND(Plan1!D1071,"AAAAAH/v9T8=")</f>
        <v>#VALUE!</v>
      </c>
      <c r="BM30" t="e">
        <f>AND(Plan1!E1071,"AAAAAH/v9UA=")</f>
        <v>#VALUE!</v>
      </c>
      <c r="BN30" t="e">
        <f>AND(Plan1!F1071,"AAAAAH/v9UE=")</f>
        <v>#VALUE!</v>
      </c>
      <c r="BO30">
        <f>IF(Plan1!1072:1072,"AAAAAH/v9UI=",0)</f>
        <v>0</v>
      </c>
      <c r="BP30" t="e">
        <f>AND(Plan1!A1072,"AAAAAH/v9UM=")</f>
        <v>#VALUE!</v>
      </c>
      <c r="BQ30" t="e">
        <f>AND(Plan1!B1072,"AAAAAH/v9UQ=")</f>
        <v>#VALUE!</v>
      </c>
      <c r="BR30" t="e">
        <f>AND(Plan1!C1072,"AAAAAH/v9UU=")</f>
        <v>#VALUE!</v>
      </c>
      <c r="BS30" t="e">
        <f>AND(Plan1!D1072,"AAAAAH/v9UY=")</f>
        <v>#VALUE!</v>
      </c>
      <c r="BT30" t="e">
        <f>AND(Plan1!E1072,"AAAAAH/v9Uc=")</f>
        <v>#VALUE!</v>
      </c>
      <c r="BU30" t="e">
        <f>AND(Plan1!F1072,"AAAAAH/v9Ug=")</f>
        <v>#VALUE!</v>
      </c>
      <c r="BV30">
        <f>IF(Plan1!1073:1073,"AAAAAH/v9Uk=",0)</f>
        <v>0</v>
      </c>
      <c r="BW30" t="e">
        <f>AND(Plan1!A1073,"AAAAAH/v9Uo=")</f>
        <v>#VALUE!</v>
      </c>
      <c r="BX30" t="e">
        <f>AND(Plan1!B1073,"AAAAAH/v9Us=")</f>
        <v>#VALUE!</v>
      </c>
      <c r="BY30" t="e">
        <f>AND(Plan1!C1073,"AAAAAH/v9Uw=")</f>
        <v>#VALUE!</v>
      </c>
      <c r="BZ30" t="e">
        <f>AND(Plan1!D1073,"AAAAAH/v9U0=")</f>
        <v>#VALUE!</v>
      </c>
      <c r="CA30" t="e">
        <f>AND(Plan1!E1073,"AAAAAH/v9U4=")</f>
        <v>#VALUE!</v>
      </c>
      <c r="CB30" t="e">
        <f>AND(Plan1!F1073,"AAAAAH/v9U8=")</f>
        <v>#VALUE!</v>
      </c>
      <c r="CC30">
        <f>IF(Plan1!1074:1074,"AAAAAH/v9VA=",0)</f>
        <v>0</v>
      </c>
      <c r="CD30" t="e">
        <f>AND(Plan1!A1074,"AAAAAH/v9VE=")</f>
        <v>#VALUE!</v>
      </c>
      <c r="CE30" t="e">
        <f>AND(Plan1!B1074,"AAAAAH/v9VI=")</f>
        <v>#VALUE!</v>
      </c>
      <c r="CF30" t="e">
        <f>AND(Plan1!C1074,"AAAAAH/v9VM=")</f>
        <v>#VALUE!</v>
      </c>
      <c r="CG30" t="e">
        <f>AND(Plan1!D1074,"AAAAAH/v9VQ=")</f>
        <v>#VALUE!</v>
      </c>
      <c r="CH30" t="e">
        <f>AND(Plan1!E1074,"AAAAAH/v9VU=")</f>
        <v>#VALUE!</v>
      </c>
      <c r="CI30" t="e">
        <f>AND(Plan1!F1074,"AAAAAH/v9VY=")</f>
        <v>#VALUE!</v>
      </c>
      <c r="CJ30">
        <f>IF(Plan1!1075:1075,"AAAAAH/v9Vc=",0)</f>
        <v>0</v>
      </c>
      <c r="CK30" t="e">
        <f>AND(Plan1!A1075,"AAAAAH/v9Vg=")</f>
        <v>#VALUE!</v>
      </c>
      <c r="CL30" t="e">
        <f>AND(Plan1!B1075,"AAAAAH/v9Vk=")</f>
        <v>#VALUE!</v>
      </c>
      <c r="CM30" t="e">
        <f>AND(Plan1!C1075,"AAAAAH/v9Vo=")</f>
        <v>#VALUE!</v>
      </c>
      <c r="CN30" t="e">
        <f>AND(Plan1!D1075,"AAAAAH/v9Vs=")</f>
        <v>#VALUE!</v>
      </c>
      <c r="CO30" t="e">
        <f>AND(Plan1!E1075,"AAAAAH/v9Vw=")</f>
        <v>#VALUE!</v>
      </c>
      <c r="CP30" t="e">
        <f>AND(Plan1!F1075,"AAAAAH/v9V0=")</f>
        <v>#VALUE!</v>
      </c>
      <c r="CQ30">
        <f>IF(Plan1!1076:1076,"AAAAAH/v9V4=",0)</f>
        <v>0</v>
      </c>
      <c r="CR30" t="e">
        <f>AND(Plan1!A1076,"AAAAAH/v9V8=")</f>
        <v>#VALUE!</v>
      </c>
      <c r="CS30" t="e">
        <f>AND(Plan1!B1076,"AAAAAH/v9WA=")</f>
        <v>#VALUE!</v>
      </c>
      <c r="CT30" t="e">
        <f>AND(Plan1!C1076,"AAAAAH/v9WE=")</f>
        <v>#VALUE!</v>
      </c>
      <c r="CU30" t="e">
        <f>AND(Plan1!D1076,"AAAAAH/v9WI=")</f>
        <v>#VALUE!</v>
      </c>
      <c r="CV30" t="e">
        <f>AND(Plan1!E1076,"AAAAAH/v9WM=")</f>
        <v>#VALUE!</v>
      </c>
      <c r="CW30" t="e">
        <f>AND(Plan1!F1076,"AAAAAH/v9WQ=")</f>
        <v>#VALUE!</v>
      </c>
      <c r="CX30">
        <f>IF(Plan1!1077:1077,"AAAAAH/v9WU=",0)</f>
        <v>0</v>
      </c>
      <c r="CY30" t="e">
        <f>AND(Plan1!A1077,"AAAAAH/v9WY=")</f>
        <v>#VALUE!</v>
      </c>
      <c r="CZ30" t="e">
        <f>AND(Plan1!B1077,"AAAAAH/v9Wc=")</f>
        <v>#VALUE!</v>
      </c>
      <c r="DA30" t="e">
        <f>AND(Plan1!C1077,"AAAAAH/v9Wg=")</f>
        <v>#VALUE!</v>
      </c>
      <c r="DB30" t="e">
        <f>AND(Plan1!D1077,"AAAAAH/v9Wk=")</f>
        <v>#VALUE!</v>
      </c>
      <c r="DC30" t="e">
        <f>AND(Plan1!E1077,"AAAAAH/v9Wo=")</f>
        <v>#VALUE!</v>
      </c>
      <c r="DD30" t="e">
        <f>AND(Plan1!F1077,"AAAAAH/v9Ws=")</f>
        <v>#VALUE!</v>
      </c>
      <c r="DE30">
        <f>IF(Plan1!1078:1078,"AAAAAH/v9Ww=",0)</f>
        <v>0</v>
      </c>
      <c r="DF30" t="e">
        <f>AND(Plan1!A1078,"AAAAAH/v9W0=")</f>
        <v>#VALUE!</v>
      </c>
      <c r="DG30" t="e">
        <f>AND(Plan1!B1078,"AAAAAH/v9W4=")</f>
        <v>#VALUE!</v>
      </c>
      <c r="DH30" t="e">
        <f>AND(Plan1!C1078,"AAAAAH/v9W8=")</f>
        <v>#VALUE!</v>
      </c>
      <c r="DI30" t="e">
        <f>AND(Plan1!D1078,"AAAAAH/v9XA=")</f>
        <v>#VALUE!</v>
      </c>
      <c r="DJ30" t="e">
        <f>AND(Plan1!E1078,"AAAAAH/v9XE=")</f>
        <v>#VALUE!</v>
      </c>
      <c r="DK30" t="e">
        <f>AND(Plan1!F1078,"AAAAAH/v9XI=")</f>
        <v>#VALUE!</v>
      </c>
      <c r="DL30">
        <f>IF(Plan1!1079:1079,"AAAAAH/v9XM=",0)</f>
        <v>0</v>
      </c>
      <c r="DM30" t="e">
        <f>AND(Plan1!A1079,"AAAAAH/v9XQ=")</f>
        <v>#VALUE!</v>
      </c>
      <c r="DN30" t="e">
        <f>AND(Plan1!B1079,"AAAAAH/v9XU=")</f>
        <v>#VALUE!</v>
      </c>
      <c r="DO30" t="e">
        <f>AND(Plan1!C1079,"AAAAAH/v9XY=")</f>
        <v>#VALUE!</v>
      </c>
      <c r="DP30" t="e">
        <f>AND(Plan1!D1079,"AAAAAH/v9Xc=")</f>
        <v>#VALUE!</v>
      </c>
      <c r="DQ30" t="e">
        <f>AND(Plan1!E1079,"AAAAAH/v9Xg=")</f>
        <v>#VALUE!</v>
      </c>
      <c r="DR30" t="e">
        <f>AND(Plan1!F1079,"AAAAAH/v9Xk=")</f>
        <v>#VALUE!</v>
      </c>
      <c r="DS30">
        <f>IF(Plan1!1080:1080,"AAAAAH/v9Xo=",0)</f>
        <v>0</v>
      </c>
      <c r="DT30" t="e">
        <f>AND(Plan1!A1080,"AAAAAH/v9Xs=")</f>
        <v>#VALUE!</v>
      </c>
      <c r="DU30" t="e">
        <f>AND(Plan1!B1080,"AAAAAH/v9Xw=")</f>
        <v>#VALUE!</v>
      </c>
      <c r="DV30" t="e">
        <f>AND(Plan1!C1080,"AAAAAH/v9X0=")</f>
        <v>#VALUE!</v>
      </c>
      <c r="DW30" t="e">
        <f>AND(Plan1!D1080,"AAAAAH/v9X4=")</f>
        <v>#VALUE!</v>
      </c>
      <c r="DX30" t="e">
        <f>AND(Plan1!E1080,"AAAAAH/v9X8=")</f>
        <v>#VALUE!</v>
      </c>
      <c r="DY30" t="e">
        <f>AND(Plan1!F1080,"AAAAAH/v9YA=")</f>
        <v>#VALUE!</v>
      </c>
      <c r="DZ30">
        <f>IF(Plan1!1081:1081,"AAAAAH/v9YE=",0)</f>
        <v>0</v>
      </c>
      <c r="EA30" t="e">
        <f>AND(Plan1!A1081,"AAAAAH/v9YI=")</f>
        <v>#VALUE!</v>
      </c>
      <c r="EB30" t="e">
        <f>AND(Plan1!B1081,"AAAAAH/v9YM=")</f>
        <v>#VALUE!</v>
      </c>
      <c r="EC30" t="e">
        <f>AND(Plan1!C1081,"AAAAAH/v9YQ=")</f>
        <v>#VALUE!</v>
      </c>
      <c r="ED30" t="e">
        <f>AND(Plan1!D1081,"AAAAAH/v9YU=")</f>
        <v>#VALUE!</v>
      </c>
      <c r="EE30" t="e">
        <f>AND(Plan1!E1081,"AAAAAH/v9YY=")</f>
        <v>#VALUE!</v>
      </c>
      <c r="EF30" t="e">
        <f>AND(Plan1!F1081,"AAAAAH/v9Yc=")</f>
        <v>#VALUE!</v>
      </c>
      <c r="EG30">
        <f>IF(Plan1!1082:1082,"AAAAAH/v9Yg=",0)</f>
        <v>0</v>
      </c>
      <c r="EH30" t="e">
        <f>AND(Plan1!A1082,"AAAAAH/v9Yk=")</f>
        <v>#VALUE!</v>
      </c>
      <c r="EI30" t="e">
        <f>AND(Plan1!B1082,"AAAAAH/v9Yo=")</f>
        <v>#VALUE!</v>
      </c>
      <c r="EJ30" t="e">
        <f>AND(Plan1!C1082,"AAAAAH/v9Ys=")</f>
        <v>#VALUE!</v>
      </c>
      <c r="EK30" t="e">
        <f>AND(Plan1!D1082,"AAAAAH/v9Yw=")</f>
        <v>#VALUE!</v>
      </c>
      <c r="EL30" t="e">
        <f>AND(Plan1!E1082,"AAAAAH/v9Y0=")</f>
        <v>#VALUE!</v>
      </c>
      <c r="EM30" t="e">
        <f>AND(Plan1!F1082,"AAAAAH/v9Y4=")</f>
        <v>#VALUE!</v>
      </c>
      <c r="EN30">
        <f>IF(Plan1!1083:1083,"AAAAAH/v9Y8=",0)</f>
        <v>0</v>
      </c>
      <c r="EO30" t="e">
        <f>AND(Plan1!A1083,"AAAAAH/v9ZA=")</f>
        <v>#VALUE!</v>
      </c>
      <c r="EP30" t="e">
        <f>AND(Plan1!B1083,"AAAAAH/v9ZE=")</f>
        <v>#VALUE!</v>
      </c>
      <c r="EQ30" t="e">
        <f>AND(Plan1!C1083,"AAAAAH/v9ZI=")</f>
        <v>#VALUE!</v>
      </c>
      <c r="ER30" t="e">
        <f>AND(Plan1!D1083,"AAAAAH/v9ZM=")</f>
        <v>#VALUE!</v>
      </c>
      <c r="ES30" t="e">
        <f>AND(Plan1!E1083,"AAAAAH/v9ZQ=")</f>
        <v>#VALUE!</v>
      </c>
      <c r="ET30" t="e">
        <f>AND(Plan1!F1083,"AAAAAH/v9ZU=")</f>
        <v>#VALUE!</v>
      </c>
      <c r="EU30">
        <f>IF(Plan1!1084:1084,"AAAAAH/v9ZY=",0)</f>
        <v>0</v>
      </c>
      <c r="EV30" t="e">
        <f>AND(Plan1!A1084,"AAAAAH/v9Zc=")</f>
        <v>#VALUE!</v>
      </c>
      <c r="EW30" t="e">
        <f>AND(Plan1!B1084,"AAAAAH/v9Zg=")</f>
        <v>#VALUE!</v>
      </c>
      <c r="EX30" t="e">
        <f>AND(Plan1!C1084,"AAAAAH/v9Zk=")</f>
        <v>#VALUE!</v>
      </c>
      <c r="EY30" t="e">
        <f>AND(Plan1!D1084,"AAAAAH/v9Zo=")</f>
        <v>#VALUE!</v>
      </c>
      <c r="EZ30" t="e">
        <f>AND(Plan1!E1084,"AAAAAH/v9Zs=")</f>
        <v>#VALUE!</v>
      </c>
      <c r="FA30" t="e">
        <f>AND(Plan1!F1084,"AAAAAH/v9Zw=")</f>
        <v>#VALUE!</v>
      </c>
      <c r="FB30">
        <f>IF(Plan1!1085:1085,"AAAAAH/v9Z0=",0)</f>
        <v>0</v>
      </c>
      <c r="FC30" t="e">
        <f>AND(Plan1!A1085,"AAAAAH/v9Z4=")</f>
        <v>#VALUE!</v>
      </c>
      <c r="FD30" t="e">
        <f>AND(Plan1!B1085,"AAAAAH/v9Z8=")</f>
        <v>#VALUE!</v>
      </c>
      <c r="FE30" t="e">
        <f>AND(Plan1!C1085,"AAAAAH/v9aA=")</f>
        <v>#VALUE!</v>
      </c>
      <c r="FF30" t="e">
        <f>AND(Plan1!D1085,"AAAAAH/v9aE=")</f>
        <v>#VALUE!</v>
      </c>
      <c r="FG30" t="e">
        <f>AND(Plan1!E1085,"AAAAAH/v9aI=")</f>
        <v>#VALUE!</v>
      </c>
      <c r="FH30" t="e">
        <f>AND(Plan1!F1085,"AAAAAH/v9aM=")</f>
        <v>#VALUE!</v>
      </c>
      <c r="FI30">
        <f>IF(Plan1!1086:1086,"AAAAAH/v9aQ=",0)</f>
        <v>0</v>
      </c>
      <c r="FJ30" t="e">
        <f>AND(Plan1!A1086,"AAAAAH/v9aU=")</f>
        <v>#VALUE!</v>
      </c>
      <c r="FK30" t="e">
        <f>AND(Plan1!B1086,"AAAAAH/v9aY=")</f>
        <v>#VALUE!</v>
      </c>
      <c r="FL30" t="e">
        <f>AND(Plan1!C1086,"AAAAAH/v9ac=")</f>
        <v>#VALUE!</v>
      </c>
      <c r="FM30" t="e">
        <f>AND(Plan1!D1086,"AAAAAH/v9ag=")</f>
        <v>#VALUE!</v>
      </c>
      <c r="FN30" t="e">
        <f>AND(Plan1!E1086,"AAAAAH/v9ak=")</f>
        <v>#VALUE!</v>
      </c>
      <c r="FO30" t="e">
        <f>AND(Plan1!F1086,"AAAAAH/v9ao=")</f>
        <v>#VALUE!</v>
      </c>
      <c r="FP30">
        <f>IF(Plan1!1087:1087,"AAAAAH/v9as=",0)</f>
        <v>0</v>
      </c>
      <c r="FQ30" t="e">
        <f>AND(Plan1!A1087,"AAAAAH/v9aw=")</f>
        <v>#VALUE!</v>
      </c>
      <c r="FR30" t="e">
        <f>AND(Plan1!B1087,"AAAAAH/v9a0=")</f>
        <v>#VALUE!</v>
      </c>
      <c r="FS30" t="e">
        <f>AND(Plan1!C1087,"AAAAAH/v9a4=")</f>
        <v>#VALUE!</v>
      </c>
      <c r="FT30" t="e">
        <f>AND(Plan1!D1087,"AAAAAH/v9a8=")</f>
        <v>#VALUE!</v>
      </c>
      <c r="FU30" t="e">
        <f>AND(Plan1!E1087,"AAAAAH/v9bA=")</f>
        <v>#VALUE!</v>
      </c>
      <c r="FV30" t="e">
        <f>AND(Plan1!F1087,"AAAAAH/v9bE=")</f>
        <v>#VALUE!</v>
      </c>
      <c r="FW30">
        <f>IF(Plan1!1088:1088,"AAAAAH/v9bI=",0)</f>
        <v>0</v>
      </c>
      <c r="FX30" t="e">
        <f>AND(Plan1!A1088,"AAAAAH/v9bM=")</f>
        <v>#VALUE!</v>
      </c>
      <c r="FY30" t="e">
        <f>AND(Plan1!B1088,"AAAAAH/v9bQ=")</f>
        <v>#VALUE!</v>
      </c>
      <c r="FZ30" t="e">
        <f>AND(Plan1!C1088,"AAAAAH/v9bU=")</f>
        <v>#VALUE!</v>
      </c>
      <c r="GA30" t="e">
        <f>AND(Plan1!D1088,"AAAAAH/v9bY=")</f>
        <v>#VALUE!</v>
      </c>
      <c r="GB30" t="e">
        <f>AND(Plan1!E1088,"AAAAAH/v9bc=")</f>
        <v>#VALUE!</v>
      </c>
      <c r="GC30" t="e">
        <f>AND(Plan1!F1088,"AAAAAH/v9bg=")</f>
        <v>#VALUE!</v>
      </c>
      <c r="GD30">
        <f>IF(Plan1!1089:1089,"AAAAAH/v9bk=",0)</f>
        <v>0</v>
      </c>
      <c r="GE30" t="e">
        <f>AND(Plan1!A1089,"AAAAAH/v9bo=")</f>
        <v>#VALUE!</v>
      </c>
      <c r="GF30" t="e">
        <f>AND(Plan1!B1089,"AAAAAH/v9bs=")</f>
        <v>#VALUE!</v>
      </c>
      <c r="GG30" t="e">
        <f>AND(Plan1!C1089,"AAAAAH/v9bw=")</f>
        <v>#VALUE!</v>
      </c>
      <c r="GH30" t="e">
        <f>AND(Plan1!D1089,"AAAAAH/v9b0=")</f>
        <v>#VALUE!</v>
      </c>
      <c r="GI30" t="e">
        <f>AND(Plan1!E1089,"AAAAAH/v9b4=")</f>
        <v>#VALUE!</v>
      </c>
      <c r="GJ30" t="e">
        <f>AND(Plan1!F1089,"AAAAAH/v9b8=")</f>
        <v>#VALUE!</v>
      </c>
      <c r="GK30">
        <f>IF(Plan1!1090:1090,"AAAAAH/v9cA=",0)</f>
        <v>0</v>
      </c>
      <c r="GL30" t="e">
        <f>AND(Plan1!A1090,"AAAAAH/v9cE=")</f>
        <v>#VALUE!</v>
      </c>
      <c r="GM30" t="e">
        <f>AND(Plan1!B1090,"AAAAAH/v9cI=")</f>
        <v>#VALUE!</v>
      </c>
      <c r="GN30" t="e">
        <f>AND(Plan1!C1090,"AAAAAH/v9cM=")</f>
        <v>#VALUE!</v>
      </c>
      <c r="GO30" t="e">
        <f>AND(Plan1!D1090,"AAAAAH/v9cQ=")</f>
        <v>#VALUE!</v>
      </c>
      <c r="GP30" t="e">
        <f>AND(Plan1!E1090,"AAAAAH/v9cU=")</f>
        <v>#VALUE!</v>
      </c>
      <c r="GQ30" t="e">
        <f>AND(Plan1!F1090,"AAAAAH/v9cY=")</f>
        <v>#VALUE!</v>
      </c>
      <c r="GR30">
        <f>IF(Plan1!1091:1091,"AAAAAH/v9cc=",0)</f>
        <v>0</v>
      </c>
      <c r="GS30" t="e">
        <f>AND(Plan1!A1091,"AAAAAH/v9cg=")</f>
        <v>#VALUE!</v>
      </c>
      <c r="GT30" t="e">
        <f>AND(Plan1!B1091,"AAAAAH/v9ck=")</f>
        <v>#VALUE!</v>
      </c>
      <c r="GU30" t="e">
        <f>AND(Plan1!C1091,"AAAAAH/v9co=")</f>
        <v>#VALUE!</v>
      </c>
      <c r="GV30" t="e">
        <f>AND(Plan1!D1091,"AAAAAH/v9cs=")</f>
        <v>#VALUE!</v>
      </c>
      <c r="GW30" t="e">
        <f>AND(Plan1!E1091,"AAAAAH/v9cw=")</f>
        <v>#VALUE!</v>
      </c>
      <c r="GX30" t="e">
        <f>AND(Plan1!F1091,"AAAAAH/v9c0=")</f>
        <v>#VALUE!</v>
      </c>
      <c r="GY30">
        <f>IF(Plan1!1092:1092,"AAAAAH/v9c4=",0)</f>
        <v>0</v>
      </c>
      <c r="GZ30" t="e">
        <f>AND(Plan1!A1092,"AAAAAH/v9c8=")</f>
        <v>#VALUE!</v>
      </c>
      <c r="HA30" t="e">
        <f>AND(Plan1!B1092,"AAAAAH/v9dA=")</f>
        <v>#VALUE!</v>
      </c>
      <c r="HB30" t="e">
        <f>AND(Plan1!C1092,"AAAAAH/v9dE=")</f>
        <v>#VALUE!</v>
      </c>
      <c r="HC30" t="e">
        <f>AND(Plan1!D1092,"AAAAAH/v9dI=")</f>
        <v>#VALUE!</v>
      </c>
      <c r="HD30" t="e">
        <f>AND(Plan1!E1092,"AAAAAH/v9dM=")</f>
        <v>#VALUE!</v>
      </c>
      <c r="HE30" t="e">
        <f>AND(Plan1!F1092,"AAAAAH/v9dQ=")</f>
        <v>#VALUE!</v>
      </c>
      <c r="HF30">
        <f>IF(Plan1!1093:1093,"AAAAAH/v9dU=",0)</f>
        <v>0</v>
      </c>
      <c r="HG30" t="e">
        <f>AND(Plan1!A1093,"AAAAAH/v9dY=")</f>
        <v>#VALUE!</v>
      </c>
      <c r="HH30" t="e">
        <f>AND(Plan1!B1093,"AAAAAH/v9dc=")</f>
        <v>#VALUE!</v>
      </c>
      <c r="HI30" t="e">
        <f>AND(Plan1!C1093,"AAAAAH/v9dg=")</f>
        <v>#VALUE!</v>
      </c>
      <c r="HJ30" t="e">
        <f>AND(Plan1!D1093,"AAAAAH/v9dk=")</f>
        <v>#VALUE!</v>
      </c>
      <c r="HK30" t="e">
        <f>AND(Plan1!E1093,"AAAAAH/v9do=")</f>
        <v>#VALUE!</v>
      </c>
      <c r="HL30" t="e">
        <f>AND(Plan1!F1093,"AAAAAH/v9ds=")</f>
        <v>#VALUE!</v>
      </c>
      <c r="HM30">
        <f>IF(Plan1!1094:1094,"AAAAAH/v9dw=",0)</f>
        <v>0</v>
      </c>
      <c r="HN30" t="e">
        <f>AND(Plan1!A1094,"AAAAAH/v9d0=")</f>
        <v>#VALUE!</v>
      </c>
      <c r="HO30" t="e">
        <f>AND(Plan1!B1094,"AAAAAH/v9d4=")</f>
        <v>#VALUE!</v>
      </c>
      <c r="HP30" t="e">
        <f>AND(Plan1!C1094,"AAAAAH/v9d8=")</f>
        <v>#VALUE!</v>
      </c>
      <c r="HQ30" t="e">
        <f>AND(Plan1!D1094,"AAAAAH/v9eA=")</f>
        <v>#VALUE!</v>
      </c>
      <c r="HR30" t="e">
        <f>AND(Plan1!E1094,"AAAAAH/v9eE=")</f>
        <v>#VALUE!</v>
      </c>
      <c r="HS30" t="e">
        <f>AND(Plan1!F1094,"AAAAAH/v9eI=")</f>
        <v>#VALUE!</v>
      </c>
      <c r="HT30">
        <f>IF(Plan1!1095:1095,"AAAAAH/v9eM=",0)</f>
        <v>0</v>
      </c>
      <c r="HU30" t="e">
        <f>AND(Plan1!A1095,"AAAAAH/v9eQ=")</f>
        <v>#VALUE!</v>
      </c>
      <c r="HV30" t="e">
        <f>AND(Plan1!B1095,"AAAAAH/v9eU=")</f>
        <v>#VALUE!</v>
      </c>
      <c r="HW30" t="e">
        <f>AND(Plan1!C1095,"AAAAAH/v9eY=")</f>
        <v>#VALUE!</v>
      </c>
      <c r="HX30" t="e">
        <f>AND(Plan1!D1095,"AAAAAH/v9ec=")</f>
        <v>#VALUE!</v>
      </c>
      <c r="HY30" t="e">
        <f>AND(Plan1!E1095,"AAAAAH/v9eg=")</f>
        <v>#VALUE!</v>
      </c>
      <c r="HZ30" t="e">
        <f>AND(Plan1!F1095,"AAAAAH/v9ek=")</f>
        <v>#VALUE!</v>
      </c>
      <c r="IA30">
        <f>IF(Plan1!1096:1096,"AAAAAH/v9eo=",0)</f>
        <v>0</v>
      </c>
      <c r="IB30" t="e">
        <f>AND(Plan1!A1096,"AAAAAH/v9es=")</f>
        <v>#VALUE!</v>
      </c>
      <c r="IC30" t="e">
        <f>AND(Plan1!B1096,"AAAAAH/v9ew=")</f>
        <v>#VALUE!</v>
      </c>
      <c r="ID30" t="e">
        <f>AND(Plan1!C1096,"AAAAAH/v9e0=")</f>
        <v>#VALUE!</v>
      </c>
      <c r="IE30" t="e">
        <f>AND(Plan1!D1096,"AAAAAH/v9e4=")</f>
        <v>#VALUE!</v>
      </c>
      <c r="IF30" t="e">
        <f>AND(Plan1!E1096,"AAAAAH/v9e8=")</f>
        <v>#VALUE!</v>
      </c>
      <c r="IG30" t="e">
        <f>AND(Plan1!F1096,"AAAAAH/v9fA=")</f>
        <v>#VALUE!</v>
      </c>
      <c r="IH30">
        <f>IF(Plan1!1097:1097,"AAAAAH/v9fE=",0)</f>
        <v>0</v>
      </c>
      <c r="II30" t="e">
        <f>AND(Plan1!A1097,"AAAAAH/v9fI=")</f>
        <v>#VALUE!</v>
      </c>
      <c r="IJ30" t="e">
        <f>AND(Plan1!B1097,"AAAAAH/v9fM=")</f>
        <v>#VALUE!</v>
      </c>
      <c r="IK30" t="e">
        <f>AND(Plan1!C1097,"AAAAAH/v9fQ=")</f>
        <v>#VALUE!</v>
      </c>
      <c r="IL30" t="e">
        <f>AND(Plan1!D1097,"AAAAAH/v9fU=")</f>
        <v>#VALUE!</v>
      </c>
      <c r="IM30" t="e">
        <f>AND(Plan1!E1097,"AAAAAH/v9fY=")</f>
        <v>#VALUE!</v>
      </c>
      <c r="IN30" t="e">
        <f>AND(Plan1!F1097,"AAAAAH/v9fc=")</f>
        <v>#VALUE!</v>
      </c>
      <c r="IO30">
        <f>IF(Plan1!1098:1098,"AAAAAH/v9fg=",0)</f>
        <v>0</v>
      </c>
      <c r="IP30" t="e">
        <f>AND(Plan1!A1098,"AAAAAH/v9fk=")</f>
        <v>#VALUE!</v>
      </c>
      <c r="IQ30" t="e">
        <f>AND(Plan1!B1098,"AAAAAH/v9fo=")</f>
        <v>#VALUE!</v>
      </c>
      <c r="IR30" t="e">
        <f>AND(Plan1!C1098,"AAAAAH/v9fs=")</f>
        <v>#VALUE!</v>
      </c>
      <c r="IS30" t="e">
        <f>AND(Plan1!D1098,"AAAAAH/v9fw=")</f>
        <v>#VALUE!</v>
      </c>
      <c r="IT30" t="e">
        <f>AND(Plan1!E1098,"AAAAAH/v9f0=")</f>
        <v>#VALUE!</v>
      </c>
      <c r="IU30" t="e">
        <f>AND(Plan1!F1098,"AAAAAH/v9f4=")</f>
        <v>#VALUE!</v>
      </c>
      <c r="IV30">
        <f>IF(Plan1!1099:1099,"AAAAAH/v9f8=",0)</f>
        <v>0</v>
      </c>
    </row>
    <row r="31" spans="1:256">
      <c r="A31" t="e">
        <f>AND(Plan1!A1099,"AAAAADXHvgA=")</f>
        <v>#VALUE!</v>
      </c>
      <c r="B31" t="e">
        <f>AND(Plan1!B1099,"AAAAADXHvgE=")</f>
        <v>#VALUE!</v>
      </c>
      <c r="C31" t="e">
        <f>AND(Plan1!C1099,"AAAAADXHvgI=")</f>
        <v>#VALUE!</v>
      </c>
      <c r="D31" t="e">
        <f>AND(Plan1!D1099,"AAAAADXHvgM=")</f>
        <v>#VALUE!</v>
      </c>
      <c r="E31" t="e">
        <f>AND(Plan1!E1099,"AAAAADXHvgQ=")</f>
        <v>#VALUE!</v>
      </c>
      <c r="F31" t="e">
        <f>AND(Plan1!F1099,"AAAAADXHvgU=")</f>
        <v>#VALUE!</v>
      </c>
      <c r="G31">
        <f>IF(Plan1!1100:1100,"AAAAADXHvgY=",0)</f>
        <v>0</v>
      </c>
      <c r="H31" t="e">
        <f>AND(Plan1!A1100,"AAAAADXHvgc=")</f>
        <v>#VALUE!</v>
      </c>
      <c r="I31" t="e">
        <f>AND(Plan1!B1100,"AAAAADXHvgg=")</f>
        <v>#VALUE!</v>
      </c>
      <c r="J31" t="e">
        <f>AND(Plan1!C1100,"AAAAADXHvgk=")</f>
        <v>#VALUE!</v>
      </c>
      <c r="K31" t="e">
        <f>AND(Plan1!D1100,"AAAAADXHvgo=")</f>
        <v>#VALUE!</v>
      </c>
      <c r="L31" t="e">
        <f>AND(Plan1!E1100,"AAAAADXHvgs=")</f>
        <v>#VALUE!</v>
      </c>
      <c r="M31" t="e">
        <f>AND(Plan1!F1100,"AAAAADXHvgw=")</f>
        <v>#VALUE!</v>
      </c>
      <c r="N31">
        <f>IF(Plan1!1101:1101,"AAAAADXHvg0=",0)</f>
        <v>0</v>
      </c>
      <c r="O31" t="e">
        <f>AND(Plan1!A1101,"AAAAADXHvg4=")</f>
        <v>#VALUE!</v>
      </c>
      <c r="P31" t="e">
        <f>AND(Plan1!B1101,"AAAAADXHvg8=")</f>
        <v>#VALUE!</v>
      </c>
      <c r="Q31" t="e">
        <f>AND(Plan1!C1101,"AAAAADXHvhA=")</f>
        <v>#VALUE!</v>
      </c>
      <c r="R31" t="e">
        <f>AND(Plan1!D1101,"AAAAADXHvhE=")</f>
        <v>#VALUE!</v>
      </c>
      <c r="S31" t="e">
        <f>AND(Plan1!E1101,"AAAAADXHvhI=")</f>
        <v>#VALUE!</v>
      </c>
      <c r="T31" t="e">
        <f>AND(Plan1!F1101,"AAAAADXHvhM=")</f>
        <v>#VALUE!</v>
      </c>
      <c r="U31">
        <f>IF(Plan1!1102:1102,"AAAAADXHvhQ=",0)</f>
        <v>0</v>
      </c>
      <c r="V31" t="e">
        <f>AND(Plan1!A1102,"AAAAADXHvhU=")</f>
        <v>#VALUE!</v>
      </c>
      <c r="W31" t="e">
        <f>AND(Plan1!B1102,"AAAAADXHvhY=")</f>
        <v>#VALUE!</v>
      </c>
      <c r="X31" t="e">
        <f>AND(Plan1!C1102,"AAAAADXHvhc=")</f>
        <v>#VALUE!</v>
      </c>
      <c r="Y31" t="e">
        <f>AND(Plan1!D1102,"AAAAADXHvhg=")</f>
        <v>#VALUE!</v>
      </c>
      <c r="Z31" t="e">
        <f>AND(Plan1!E1102,"AAAAADXHvhk=")</f>
        <v>#VALUE!</v>
      </c>
      <c r="AA31" t="e">
        <f>AND(Plan1!F1102,"AAAAADXHvho=")</f>
        <v>#VALUE!</v>
      </c>
      <c r="AB31">
        <f>IF(Plan1!1103:1103,"AAAAADXHvhs=",0)</f>
        <v>0</v>
      </c>
      <c r="AC31" t="e">
        <f>AND(Plan1!A1103,"AAAAADXHvhw=")</f>
        <v>#VALUE!</v>
      </c>
      <c r="AD31" t="e">
        <f>AND(Plan1!B1103,"AAAAADXHvh0=")</f>
        <v>#VALUE!</v>
      </c>
      <c r="AE31" t="e">
        <f>AND(Plan1!C1103,"AAAAADXHvh4=")</f>
        <v>#VALUE!</v>
      </c>
      <c r="AF31" t="e">
        <f>AND(Plan1!D1103,"AAAAADXHvh8=")</f>
        <v>#VALUE!</v>
      </c>
      <c r="AG31" t="e">
        <f>AND(Plan1!E1103,"AAAAADXHviA=")</f>
        <v>#VALUE!</v>
      </c>
      <c r="AH31" t="e">
        <f>AND(Plan1!F1103,"AAAAADXHviE=")</f>
        <v>#VALUE!</v>
      </c>
      <c r="AI31">
        <f>IF(Plan1!1104:1104,"AAAAADXHviI=",0)</f>
        <v>0</v>
      </c>
      <c r="AJ31" t="e">
        <f>AND(Plan1!A1104,"AAAAADXHviM=")</f>
        <v>#VALUE!</v>
      </c>
      <c r="AK31" t="e">
        <f>AND(Plan1!B1104,"AAAAADXHviQ=")</f>
        <v>#VALUE!</v>
      </c>
      <c r="AL31" t="e">
        <f>AND(Plan1!C1104,"AAAAADXHviU=")</f>
        <v>#VALUE!</v>
      </c>
      <c r="AM31" t="e">
        <f>AND(Plan1!D1104,"AAAAADXHviY=")</f>
        <v>#VALUE!</v>
      </c>
      <c r="AN31" t="e">
        <f>AND(Plan1!E1104,"AAAAADXHvic=")</f>
        <v>#VALUE!</v>
      </c>
      <c r="AO31" t="e">
        <f>AND(Plan1!F1104,"AAAAADXHvig=")</f>
        <v>#VALUE!</v>
      </c>
      <c r="AP31">
        <f>IF(Plan1!1105:1105,"AAAAADXHvik=",0)</f>
        <v>0</v>
      </c>
      <c r="AQ31" t="e">
        <f>AND(Plan1!A1105,"AAAAADXHvio=")</f>
        <v>#VALUE!</v>
      </c>
      <c r="AR31" t="e">
        <f>AND(Plan1!B1105,"AAAAADXHvis=")</f>
        <v>#VALUE!</v>
      </c>
      <c r="AS31" t="e">
        <f>AND(Plan1!C1105,"AAAAADXHviw=")</f>
        <v>#VALUE!</v>
      </c>
      <c r="AT31" t="e">
        <f>AND(Plan1!D1105,"AAAAADXHvi0=")</f>
        <v>#VALUE!</v>
      </c>
      <c r="AU31" t="e">
        <f>AND(Plan1!E1105,"AAAAADXHvi4=")</f>
        <v>#VALUE!</v>
      </c>
      <c r="AV31" t="e">
        <f>AND(Plan1!F1105,"AAAAADXHvi8=")</f>
        <v>#VALUE!</v>
      </c>
      <c r="AW31">
        <f>IF(Plan1!1106:1106,"AAAAADXHvjA=",0)</f>
        <v>0</v>
      </c>
      <c r="AX31" t="e">
        <f>AND(Plan1!A1106,"AAAAADXHvjE=")</f>
        <v>#VALUE!</v>
      </c>
      <c r="AY31" t="e">
        <f>AND(Plan1!B1106,"AAAAADXHvjI=")</f>
        <v>#VALUE!</v>
      </c>
      <c r="AZ31" t="e">
        <f>AND(Plan1!C1106,"AAAAADXHvjM=")</f>
        <v>#VALUE!</v>
      </c>
      <c r="BA31" t="e">
        <f>AND(Plan1!D1106,"AAAAADXHvjQ=")</f>
        <v>#VALUE!</v>
      </c>
      <c r="BB31" t="e">
        <f>AND(Plan1!E1106,"AAAAADXHvjU=")</f>
        <v>#VALUE!</v>
      </c>
      <c r="BC31" t="e">
        <f>AND(Plan1!F1106,"AAAAADXHvjY=")</f>
        <v>#VALUE!</v>
      </c>
      <c r="BD31">
        <f>IF(Plan1!1107:1107,"AAAAADXHvjc=",0)</f>
        <v>0</v>
      </c>
      <c r="BE31" t="e">
        <f>AND(Plan1!A1107,"AAAAADXHvjg=")</f>
        <v>#VALUE!</v>
      </c>
      <c r="BF31" t="e">
        <f>AND(Plan1!B1107,"AAAAADXHvjk=")</f>
        <v>#VALUE!</v>
      </c>
      <c r="BG31" t="e">
        <f>AND(Plan1!C1107,"AAAAADXHvjo=")</f>
        <v>#VALUE!</v>
      </c>
      <c r="BH31" t="e">
        <f>AND(Plan1!D1107,"AAAAADXHvjs=")</f>
        <v>#VALUE!</v>
      </c>
      <c r="BI31" t="e">
        <f>AND(Plan1!E1107,"AAAAADXHvjw=")</f>
        <v>#VALUE!</v>
      </c>
      <c r="BJ31" t="e">
        <f>AND(Plan1!F1107,"AAAAADXHvj0=")</f>
        <v>#VALUE!</v>
      </c>
      <c r="BK31">
        <f>IF(Plan1!1108:1108,"AAAAADXHvj4=",0)</f>
        <v>0</v>
      </c>
      <c r="BL31" t="e">
        <f>AND(Plan1!A1108,"AAAAADXHvj8=")</f>
        <v>#VALUE!</v>
      </c>
      <c r="BM31" t="e">
        <f>AND(Plan1!B1108,"AAAAADXHvkA=")</f>
        <v>#VALUE!</v>
      </c>
      <c r="BN31" t="e">
        <f>AND(Plan1!C1108,"AAAAADXHvkE=")</f>
        <v>#VALUE!</v>
      </c>
      <c r="BO31" t="e">
        <f>AND(Plan1!D1108,"AAAAADXHvkI=")</f>
        <v>#VALUE!</v>
      </c>
      <c r="BP31" t="e">
        <f>AND(Plan1!E1108,"AAAAADXHvkM=")</f>
        <v>#VALUE!</v>
      </c>
      <c r="BQ31" t="e">
        <f>AND(Plan1!F1108,"AAAAADXHvkQ=")</f>
        <v>#VALUE!</v>
      </c>
      <c r="BR31">
        <f>IF(Plan1!1109:1109,"AAAAADXHvkU=",0)</f>
        <v>0</v>
      </c>
      <c r="BS31" t="e">
        <f>AND(Plan1!A1109,"AAAAADXHvkY=")</f>
        <v>#VALUE!</v>
      </c>
      <c r="BT31" t="e">
        <f>AND(Plan1!B1109,"AAAAADXHvkc=")</f>
        <v>#VALUE!</v>
      </c>
      <c r="BU31" t="e">
        <f>AND(Plan1!C1109,"AAAAADXHvkg=")</f>
        <v>#VALUE!</v>
      </c>
      <c r="BV31" t="e">
        <f>AND(Plan1!D1109,"AAAAADXHvkk=")</f>
        <v>#VALUE!</v>
      </c>
      <c r="BW31" t="e">
        <f>AND(Plan1!E1109,"AAAAADXHvko=")</f>
        <v>#VALUE!</v>
      </c>
      <c r="BX31" t="e">
        <f>AND(Plan1!F1109,"AAAAADXHvks=")</f>
        <v>#VALUE!</v>
      </c>
      <c r="BY31">
        <f>IF(Plan1!1110:1110,"AAAAADXHvkw=",0)</f>
        <v>0</v>
      </c>
      <c r="BZ31" t="e">
        <f>AND(Plan1!A1110,"AAAAADXHvk0=")</f>
        <v>#VALUE!</v>
      </c>
      <c r="CA31" t="e">
        <f>AND(Plan1!B1110,"AAAAADXHvk4=")</f>
        <v>#VALUE!</v>
      </c>
      <c r="CB31" t="e">
        <f>AND(Plan1!C1110,"AAAAADXHvk8=")</f>
        <v>#VALUE!</v>
      </c>
      <c r="CC31" t="e">
        <f>AND(Plan1!D1110,"AAAAADXHvlA=")</f>
        <v>#VALUE!</v>
      </c>
      <c r="CD31" t="e">
        <f>AND(Plan1!E1110,"AAAAADXHvlE=")</f>
        <v>#VALUE!</v>
      </c>
      <c r="CE31" t="e">
        <f>AND(Plan1!F1110,"AAAAADXHvlI=")</f>
        <v>#VALUE!</v>
      </c>
      <c r="CF31">
        <f>IF(Plan1!1111:1111,"AAAAADXHvlM=",0)</f>
        <v>0</v>
      </c>
      <c r="CG31" t="e">
        <f>AND(Plan1!A1111,"AAAAADXHvlQ=")</f>
        <v>#VALUE!</v>
      </c>
      <c r="CH31" t="e">
        <f>AND(Plan1!B1111,"AAAAADXHvlU=")</f>
        <v>#VALUE!</v>
      </c>
      <c r="CI31" t="e">
        <f>AND(Plan1!C1111,"AAAAADXHvlY=")</f>
        <v>#VALUE!</v>
      </c>
      <c r="CJ31" t="e">
        <f>AND(Plan1!D1111,"AAAAADXHvlc=")</f>
        <v>#VALUE!</v>
      </c>
      <c r="CK31" t="e">
        <f>AND(Plan1!E1111,"AAAAADXHvlg=")</f>
        <v>#VALUE!</v>
      </c>
      <c r="CL31" t="e">
        <f>AND(Plan1!F1111,"AAAAADXHvlk=")</f>
        <v>#VALUE!</v>
      </c>
      <c r="CM31">
        <f>IF(Plan1!1112:1112,"AAAAADXHvlo=",0)</f>
        <v>0</v>
      </c>
      <c r="CN31" t="e">
        <f>AND(Plan1!A1112,"AAAAADXHvls=")</f>
        <v>#VALUE!</v>
      </c>
      <c r="CO31" t="e">
        <f>AND(Plan1!B1112,"AAAAADXHvlw=")</f>
        <v>#VALUE!</v>
      </c>
      <c r="CP31" t="e">
        <f>AND(Plan1!C1112,"AAAAADXHvl0=")</f>
        <v>#VALUE!</v>
      </c>
      <c r="CQ31" t="e">
        <f>AND(Plan1!D1112,"AAAAADXHvl4=")</f>
        <v>#VALUE!</v>
      </c>
      <c r="CR31" t="e">
        <f>AND(Plan1!E1112,"AAAAADXHvl8=")</f>
        <v>#VALUE!</v>
      </c>
      <c r="CS31" t="e">
        <f>AND(Plan1!F1112,"AAAAADXHvmA=")</f>
        <v>#VALUE!</v>
      </c>
      <c r="CT31">
        <f>IF(Plan1!1113:1113,"AAAAADXHvmE=",0)</f>
        <v>0</v>
      </c>
      <c r="CU31" t="e">
        <f>AND(Plan1!A1113,"AAAAADXHvmI=")</f>
        <v>#VALUE!</v>
      </c>
      <c r="CV31" t="e">
        <f>AND(Plan1!B1113,"AAAAADXHvmM=")</f>
        <v>#VALUE!</v>
      </c>
      <c r="CW31" t="e">
        <f>AND(Plan1!C1113,"AAAAADXHvmQ=")</f>
        <v>#VALUE!</v>
      </c>
      <c r="CX31" t="e">
        <f>AND(Plan1!D1113,"AAAAADXHvmU=")</f>
        <v>#VALUE!</v>
      </c>
      <c r="CY31" t="e">
        <f>AND(Plan1!E1113,"AAAAADXHvmY=")</f>
        <v>#VALUE!</v>
      </c>
      <c r="CZ31" t="e">
        <f>AND(Plan1!F1113,"AAAAADXHvmc=")</f>
        <v>#VALUE!</v>
      </c>
      <c r="DA31">
        <f>IF(Plan1!1114:1114,"AAAAADXHvmg=",0)</f>
        <v>0</v>
      </c>
      <c r="DB31" t="e">
        <f>AND(Plan1!A1114,"AAAAADXHvmk=")</f>
        <v>#VALUE!</v>
      </c>
      <c r="DC31" t="e">
        <f>AND(Plan1!B1114,"AAAAADXHvmo=")</f>
        <v>#VALUE!</v>
      </c>
      <c r="DD31" t="e">
        <f>AND(Plan1!C1114,"AAAAADXHvms=")</f>
        <v>#VALUE!</v>
      </c>
      <c r="DE31" t="e">
        <f>AND(Plan1!D1114,"AAAAADXHvmw=")</f>
        <v>#VALUE!</v>
      </c>
      <c r="DF31" t="e">
        <f>AND(Plan1!E1114,"AAAAADXHvm0=")</f>
        <v>#VALUE!</v>
      </c>
      <c r="DG31" t="e">
        <f>AND(Plan1!F1114,"AAAAADXHvm4=")</f>
        <v>#VALUE!</v>
      </c>
      <c r="DH31">
        <f>IF(Plan1!1115:1115,"AAAAADXHvm8=",0)</f>
        <v>0</v>
      </c>
      <c r="DI31" t="e">
        <f>AND(Plan1!A1115,"AAAAADXHvnA=")</f>
        <v>#VALUE!</v>
      </c>
      <c r="DJ31" t="e">
        <f>AND(Plan1!B1115,"AAAAADXHvnE=")</f>
        <v>#VALUE!</v>
      </c>
      <c r="DK31" t="e">
        <f>AND(Plan1!C1115,"AAAAADXHvnI=")</f>
        <v>#VALUE!</v>
      </c>
      <c r="DL31" t="e">
        <f>AND(Plan1!D1115,"AAAAADXHvnM=")</f>
        <v>#VALUE!</v>
      </c>
      <c r="DM31" t="e">
        <f>AND(Plan1!E1115,"AAAAADXHvnQ=")</f>
        <v>#VALUE!</v>
      </c>
      <c r="DN31" t="e">
        <f>AND(Plan1!F1115,"AAAAADXHvnU=")</f>
        <v>#VALUE!</v>
      </c>
      <c r="DO31">
        <f>IF(Plan1!1116:1116,"AAAAADXHvnY=",0)</f>
        <v>0</v>
      </c>
      <c r="DP31" t="e">
        <f>AND(Plan1!A1116,"AAAAADXHvnc=")</f>
        <v>#VALUE!</v>
      </c>
      <c r="DQ31" t="e">
        <f>AND(Plan1!B1116,"AAAAADXHvng=")</f>
        <v>#VALUE!</v>
      </c>
      <c r="DR31" t="e">
        <f>AND(Plan1!C1116,"AAAAADXHvnk=")</f>
        <v>#VALUE!</v>
      </c>
      <c r="DS31" t="e">
        <f>AND(Plan1!D1116,"AAAAADXHvno=")</f>
        <v>#VALUE!</v>
      </c>
      <c r="DT31" t="e">
        <f>AND(Plan1!E1116,"AAAAADXHvns=")</f>
        <v>#VALUE!</v>
      </c>
      <c r="DU31" t="e">
        <f>AND(Plan1!F1116,"AAAAADXHvnw=")</f>
        <v>#VALUE!</v>
      </c>
      <c r="DV31">
        <f>IF(Plan1!1117:1117,"AAAAADXHvn0=",0)</f>
        <v>0</v>
      </c>
      <c r="DW31" t="e">
        <f>AND(Plan1!A1117,"AAAAADXHvn4=")</f>
        <v>#VALUE!</v>
      </c>
      <c r="DX31" t="e">
        <f>AND(Plan1!B1117,"AAAAADXHvn8=")</f>
        <v>#VALUE!</v>
      </c>
      <c r="DY31" t="e">
        <f>AND(Plan1!C1117,"AAAAADXHvoA=")</f>
        <v>#VALUE!</v>
      </c>
      <c r="DZ31" t="e">
        <f>AND(Plan1!D1117,"AAAAADXHvoE=")</f>
        <v>#VALUE!</v>
      </c>
      <c r="EA31" t="e">
        <f>AND(Plan1!E1117,"AAAAADXHvoI=")</f>
        <v>#VALUE!</v>
      </c>
      <c r="EB31" t="e">
        <f>AND(Plan1!F1117,"AAAAADXHvoM=")</f>
        <v>#VALUE!</v>
      </c>
      <c r="EC31">
        <f>IF(Plan1!1118:1118,"AAAAADXHvoQ=",0)</f>
        <v>0</v>
      </c>
      <c r="ED31" t="e">
        <f>AND(Plan1!A1118,"AAAAADXHvoU=")</f>
        <v>#VALUE!</v>
      </c>
      <c r="EE31" t="e">
        <f>AND(Plan1!B1118,"AAAAADXHvoY=")</f>
        <v>#VALUE!</v>
      </c>
      <c r="EF31" t="e">
        <f>AND(Plan1!C1118,"AAAAADXHvoc=")</f>
        <v>#VALUE!</v>
      </c>
      <c r="EG31" t="e">
        <f>AND(Plan1!D1118,"AAAAADXHvog=")</f>
        <v>#VALUE!</v>
      </c>
      <c r="EH31" t="e">
        <f>AND(Plan1!E1118,"AAAAADXHvok=")</f>
        <v>#VALUE!</v>
      </c>
      <c r="EI31" t="e">
        <f>AND(Plan1!F1118,"AAAAADXHvoo=")</f>
        <v>#VALUE!</v>
      </c>
      <c r="EJ31">
        <f>IF(Plan1!1119:1119,"AAAAADXHvos=",0)</f>
        <v>0</v>
      </c>
      <c r="EK31" t="e">
        <f>AND(Plan1!A1119,"AAAAADXHvow=")</f>
        <v>#VALUE!</v>
      </c>
      <c r="EL31" t="e">
        <f>AND(Plan1!B1119,"AAAAADXHvo0=")</f>
        <v>#VALUE!</v>
      </c>
      <c r="EM31" t="e">
        <f>AND(Plan1!C1119,"AAAAADXHvo4=")</f>
        <v>#VALUE!</v>
      </c>
      <c r="EN31" t="e">
        <f>AND(Plan1!D1119,"AAAAADXHvo8=")</f>
        <v>#VALUE!</v>
      </c>
      <c r="EO31" t="e">
        <f>AND(Plan1!E1119,"AAAAADXHvpA=")</f>
        <v>#VALUE!</v>
      </c>
      <c r="EP31" t="e">
        <f>AND(Plan1!F1119,"AAAAADXHvpE=")</f>
        <v>#VALUE!</v>
      </c>
      <c r="EQ31">
        <f>IF(Plan1!1120:1120,"AAAAADXHvpI=",0)</f>
        <v>0</v>
      </c>
      <c r="ER31" t="e">
        <f>AND(Plan1!A1120,"AAAAADXHvpM=")</f>
        <v>#VALUE!</v>
      </c>
      <c r="ES31" t="e">
        <f>AND(Plan1!B1120,"AAAAADXHvpQ=")</f>
        <v>#VALUE!</v>
      </c>
      <c r="ET31" t="e">
        <f>AND(Plan1!C1120,"AAAAADXHvpU=")</f>
        <v>#VALUE!</v>
      </c>
      <c r="EU31" t="e">
        <f>AND(Plan1!D1120,"AAAAADXHvpY=")</f>
        <v>#VALUE!</v>
      </c>
      <c r="EV31" t="e">
        <f>AND(Plan1!E1120,"AAAAADXHvpc=")</f>
        <v>#VALUE!</v>
      </c>
      <c r="EW31" t="e">
        <f>AND(Plan1!F1120,"AAAAADXHvpg=")</f>
        <v>#VALUE!</v>
      </c>
      <c r="EX31">
        <f>IF(Plan1!1121:1121,"AAAAADXHvpk=",0)</f>
        <v>0</v>
      </c>
      <c r="EY31" t="e">
        <f>AND(Plan1!A1121,"AAAAADXHvpo=")</f>
        <v>#VALUE!</v>
      </c>
      <c r="EZ31" t="e">
        <f>AND(Plan1!B1121,"AAAAADXHvps=")</f>
        <v>#VALUE!</v>
      </c>
      <c r="FA31" t="e">
        <f>AND(Plan1!C1121,"AAAAADXHvpw=")</f>
        <v>#VALUE!</v>
      </c>
      <c r="FB31" t="e">
        <f>AND(Plan1!D1121,"AAAAADXHvp0=")</f>
        <v>#VALUE!</v>
      </c>
      <c r="FC31" t="e">
        <f>AND(Plan1!E1121,"AAAAADXHvp4=")</f>
        <v>#VALUE!</v>
      </c>
      <c r="FD31" t="e">
        <f>AND(Plan1!F1121,"AAAAADXHvp8=")</f>
        <v>#VALUE!</v>
      </c>
      <c r="FE31">
        <f>IF(Plan1!1122:1122,"AAAAADXHvqA=",0)</f>
        <v>0</v>
      </c>
      <c r="FF31" t="e">
        <f>AND(Plan1!A1122,"AAAAADXHvqE=")</f>
        <v>#VALUE!</v>
      </c>
      <c r="FG31" t="e">
        <f>AND(Plan1!B1122,"AAAAADXHvqI=")</f>
        <v>#VALUE!</v>
      </c>
      <c r="FH31" t="e">
        <f>AND(Plan1!C1122,"AAAAADXHvqM=")</f>
        <v>#VALUE!</v>
      </c>
      <c r="FI31" t="e">
        <f>AND(Plan1!D1122,"AAAAADXHvqQ=")</f>
        <v>#VALUE!</v>
      </c>
      <c r="FJ31" t="e">
        <f>AND(Plan1!E1122,"AAAAADXHvqU=")</f>
        <v>#VALUE!</v>
      </c>
      <c r="FK31" t="e">
        <f>AND(Plan1!F1122,"AAAAADXHvqY=")</f>
        <v>#VALUE!</v>
      </c>
      <c r="FL31">
        <f>IF(Plan1!1123:1123,"AAAAADXHvqc=",0)</f>
        <v>0</v>
      </c>
      <c r="FM31" t="e">
        <f>AND(Plan1!A1123,"AAAAADXHvqg=")</f>
        <v>#VALUE!</v>
      </c>
      <c r="FN31" t="e">
        <f>AND(Plan1!B1123,"AAAAADXHvqk=")</f>
        <v>#VALUE!</v>
      </c>
      <c r="FO31" t="e">
        <f>AND(Plan1!C1123,"AAAAADXHvqo=")</f>
        <v>#VALUE!</v>
      </c>
      <c r="FP31" t="e">
        <f>AND(Plan1!D1123,"AAAAADXHvqs=")</f>
        <v>#VALUE!</v>
      </c>
      <c r="FQ31" t="e">
        <f>AND(Plan1!E1123,"AAAAADXHvqw=")</f>
        <v>#VALUE!</v>
      </c>
      <c r="FR31" t="e">
        <f>AND(Plan1!F1123,"AAAAADXHvq0=")</f>
        <v>#VALUE!</v>
      </c>
      <c r="FS31">
        <f>IF(Plan1!1124:1124,"AAAAADXHvq4=",0)</f>
        <v>0</v>
      </c>
      <c r="FT31" t="e">
        <f>AND(Plan1!A1124,"AAAAADXHvq8=")</f>
        <v>#VALUE!</v>
      </c>
      <c r="FU31" t="e">
        <f>AND(Plan1!B1124,"AAAAADXHvrA=")</f>
        <v>#VALUE!</v>
      </c>
      <c r="FV31" t="e">
        <f>AND(Plan1!C1124,"AAAAADXHvrE=")</f>
        <v>#VALUE!</v>
      </c>
      <c r="FW31" t="e">
        <f>AND(Plan1!D1124,"AAAAADXHvrI=")</f>
        <v>#VALUE!</v>
      </c>
      <c r="FX31" t="e">
        <f>AND(Plan1!E1124,"AAAAADXHvrM=")</f>
        <v>#VALUE!</v>
      </c>
      <c r="FY31" t="e">
        <f>AND(Plan1!F1124,"AAAAADXHvrQ=")</f>
        <v>#VALUE!</v>
      </c>
      <c r="FZ31">
        <f>IF(Plan1!1125:1125,"AAAAADXHvrU=",0)</f>
        <v>0</v>
      </c>
      <c r="GA31" t="e">
        <f>AND(Plan1!A1125,"AAAAADXHvrY=")</f>
        <v>#VALUE!</v>
      </c>
      <c r="GB31" t="e">
        <f>AND(Plan1!B1125,"AAAAADXHvrc=")</f>
        <v>#VALUE!</v>
      </c>
      <c r="GC31" t="e">
        <f>AND(Plan1!C1125,"AAAAADXHvrg=")</f>
        <v>#VALUE!</v>
      </c>
      <c r="GD31" t="e">
        <f>AND(Plan1!D1125,"AAAAADXHvrk=")</f>
        <v>#VALUE!</v>
      </c>
      <c r="GE31" t="e">
        <f>AND(Plan1!E1125,"AAAAADXHvro=")</f>
        <v>#VALUE!</v>
      </c>
      <c r="GF31" t="e">
        <f>AND(Plan1!F1125,"AAAAADXHvrs=")</f>
        <v>#VALUE!</v>
      </c>
      <c r="GG31">
        <f>IF(Plan1!1126:1126,"AAAAADXHvrw=",0)</f>
        <v>0</v>
      </c>
      <c r="GH31" t="e">
        <f>AND(Plan1!A1126,"AAAAADXHvr0=")</f>
        <v>#VALUE!</v>
      </c>
      <c r="GI31" t="e">
        <f>AND(Plan1!B1126,"AAAAADXHvr4=")</f>
        <v>#VALUE!</v>
      </c>
      <c r="GJ31" t="e">
        <f>AND(Plan1!C1126,"AAAAADXHvr8=")</f>
        <v>#VALUE!</v>
      </c>
      <c r="GK31" t="e">
        <f>AND(Plan1!D1126,"AAAAADXHvsA=")</f>
        <v>#VALUE!</v>
      </c>
      <c r="GL31" t="e">
        <f>AND(Plan1!E1126,"AAAAADXHvsE=")</f>
        <v>#VALUE!</v>
      </c>
      <c r="GM31" t="e">
        <f>AND(Plan1!F1126,"AAAAADXHvsI=")</f>
        <v>#VALUE!</v>
      </c>
      <c r="GN31">
        <f>IF(Plan1!1127:1127,"AAAAADXHvsM=",0)</f>
        <v>0</v>
      </c>
      <c r="GO31" t="e">
        <f>AND(Plan1!A1127,"AAAAADXHvsQ=")</f>
        <v>#VALUE!</v>
      </c>
      <c r="GP31" t="e">
        <f>AND(Plan1!B1127,"AAAAADXHvsU=")</f>
        <v>#VALUE!</v>
      </c>
      <c r="GQ31" t="e">
        <f>AND(Plan1!C1127,"AAAAADXHvsY=")</f>
        <v>#VALUE!</v>
      </c>
      <c r="GR31" t="e">
        <f>AND(Plan1!D1127,"AAAAADXHvsc=")</f>
        <v>#VALUE!</v>
      </c>
      <c r="GS31" t="e">
        <f>AND(Plan1!E1127,"AAAAADXHvsg=")</f>
        <v>#VALUE!</v>
      </c>
      <c r="GT31" t="e">
        <f>AND(Plan1!F1127,"AAAAADXHvsk=")</f>
        <v>#VALUE!</v>
      </c>
      <c r="GU31">
        <f>IF(Plan1!1128:1128,"AAAAADXHvso=",0)</f>
        <v>0</v>
      </c>
      <c r="GV31" t="e">
        <f>AND(Plan1!A1128,"AAAAADXHvss=")</f>
        <v>#VALUE!</v>
      </c>
      <c r="GW31" t="e">
        <f>AND(Plan1!B1128,"AAAAADXHvsw=")</f>
        <v>#VALUE!</v>
      </c>
      <c r="GX31" t="e">
        <f>AND(Plan1!C1128,"AAAAADXHvs0=")</f>
        <v>#VALUE!</v>
      </c>
      <c r="GY31" t="e">
        <f>AND(Plan1!D1128,"AAAAADXHvs4=")</f>
        <v>#VALUE!</v>
      </c>
      <c r="GZ31" t="e">
        <f>AND(Plan1!E1128,"AAAAADXHvs8=")</f>
        <v>#VALUE!</v>
      </c>
      <c r="HA31" t="e">
        <f>AND(Plan1!F1128,"AAAAADXHvtA=")</f>
        <v>#VALUE!</v>
      </c>
      <c r="HB31">
        <f>IF(Plan1!1129:1129,"AAAAADXHvtE=",0)</f>
        <v>0</v>
      </c>
      <c r="HC31" t="e">
        <f>AND(Plan1!A1129,"AAAAADXHvtI=")</f>
        <v>#VALUE!</v>
      </c>
      <c r="HD31" t="e">
        <f>AND(Plan1!B1129,"AAAAADXHvtM=")</f>
        <v>#VALUE!</v>
      </c>
      <c r="HE31" t="e">
        <f>AND(Plan1!C1129,"AAAAADXHvtQ=")</f>
        <v>#VALUE!</v>
      </c>
      <c r="HF31" t="e">
        <f>AND(Plan1!D1129,"AAAAADXHvtU=")</f>
        <v>#VALUE!</v>
      </c>
      <c r="HG31" t="e">
        <f>AND(Plan1!E1129,"AAAAADXHvtY=")</f>
        <v>#VALUE!</v>
      </c>
      <c r="HH31" t="e">
        <f>AND(Plan1!F1129,"AAAAADXHvtc=")</f>
        <v>#VALUE!</v>
      </c>
      <c r="HI31">
        <f>IF(Plan1!1130:1130,"AAAAADXHvtg=",0)</f>
        <v>0</v>
      </c>
      <c r="HJ31" t="e">
        <f>AND(Plan1!A1130,"AAAAADXHvtk=")</f>
        <v>#VALUE!</v>
      </c>
      <c r="HK31" t="e">
        <f>AND(Plan1!B1130,"AAAAADXHvto=")</f>
        <v>#VALUE!</v>
      </c>
      <c r="HL31" t="e">
        <f>AND(Plan1!C1130,"AAAAADXHvts=")</f>
        <v>#VALUE!</v>
      </c>
      <c r="HM31" t="e">
        <f>AND(Plan1!D1130,"AAAAADXHvtw=")</f>
        <v>#VALUE!</v>
      </c>
      <c r="HN31" t="e">
        <f>AND(Plan1!E1130,"AAAAADXHvt0=")</f>
        <v>#VALUE!</v>
      </c>
      <c r="HO31" t="e">
        <f>AND(Plan1!F1130,"AAAAADXHvt4=")</f>
        <v>#VALUE!</v>
      </c>
      <c r="HP31">
        <f>IF(Plan1!1131:1131,"AAAAADXHvt8=",0)</f>
        <v>0</v>
      </c>
      <c r="HQ31" t="e">
        <f>AND(Plan1!A1131,"AAAAADXHvuA=")</f>
        <v>#VALUE!</v>
      </c>
      <c r="HR31" t="e">
        <f>AND(Plan1!B1131,"AAAAADXHvuE=")</f>
        <v>#VALUE!</v>
      </c>
      <c r="HS31" t="e">
        <f>AND(Plan1!C1131,"AAAAADXHvuI=")</f>
        <v>#VALUE!</v>
      </c>
      <c r="HT31" t="e">
        <f>AND(Plan1!D1131,"AAAAADXHvuM=")</f>
        <v>#VALUE!</v>
      </c>
      <c r="HU31" t="e">
        <f>AND(Plan1!E1131,"AAAAADXHvuQ=")</f>
        <v>#VALUE!</v>
      </c>
      <c r="HV31" t="e">
        <f>AND(Plan1!F1131,"AAAAADXHvuU=")</f>
        <v>#VALUE!</v>
      </c>
      <c r="HW31">
        <f>IF(Plan1!1132:1132,"AAAAADXHvuY=",0)</f>
        <v>0</v>
      </c>
      <c r="HX31" t="e">
        <f>AND(Plan1!A1132,"AAAAADXHvuc=")</f>
        <v>#VALUE!</v>
      </c>
      <c r="HY31" t="e">
        <f>AND(Plan1!B1132,"AAAAADXHvug=")</f>
        <v>#VALUE!</v>
      </c>
      <c r="HZ31" t="e">
        <f>AND(Plan1!C1132,"AAAAADXHvuk=")</f>
        <v>#VALUE!</v>
      </c>
      <c r="IA31" t="e">
        <f>AND(Plan1!D1132,"AAAAADXHvuo=")</f>
        <v>#VALUE!</v>
      </c>
      <c r="IB31" t="e">
        <f>AND(Plan1!E1132,"AAAAADXHvus=")</f>
        <v>#VALUE!</v>
      </c>
      <c r="IC31" t="e">
        <f>AND(Plan1!F1132,"AAAAADXHvuw=")</f>
        <v>#VALUE!</v>
      </c>
      <c r="ID31">
        <f>IF(Plan1!1133:1133,"AAAAADXHvu0=",0)</f>
        <v>0</v>
      </c>
      <c r="IE31" t="e">
        <f>AND(Plan1!A1133,"AAAAADXHvu4=")</f>
        <v>#VALUE!</v>
      </c>
      <c r="IF31" t="e">
        <f>AND(Plan1!B1133,"AAAAADXHvu8=")</f>
        <v>#VALUE!</v>
      </c>
      <c r="IG31" t="e">
        <f>AND(Plan1!C1133,"AAAAADXHvvA=")</f>
        <v>#VALUE!</v>
      </c>
      <c r="IH31" t="e">
        <f>AND(Plan1!D1133,"AAAAADXHvvE=")</f>
        <v>#VALUE!</v>
      </c>
      <c r="II31" t="e">
        <f>AND(Plan1!E1133,"AAAAADXHvvI=")</f>
        <v>#VALUE!</v>
      </c>
      <c r="IJ31" t="e">
        <f>AND(Plan1!F1133,"AAAAADXHvvM=")</f>
        <v>#VALUE!</v>
      </c>
      <c r="IK31">
        <f>IF(Plan1!1134:1134,"AAAAADXHvvQ=",0)</f>
        <v>0</v>
      </c>
      <c r="IL31" t="e">
        <f>AND(Plan1!A1134,"AAAAADXHvvU=")</f>
        <v>#VALUE!</v>
      </c>
      <c r="IM31" t="e">
        <f>AND(Plan1!B1134,"AAAAADXHvvY=")</f>
        <v>#VALUE!</v>
      </c>
      <c r="IN31" t="e">
        <f>AND(Plan1!C1134,"AAAAADXHvvc=")</f>
        <v>#VALUE!</v>
      </c>
      <c r="IO31" t="e">
        <f>AND(Plan1!D1134,"AAAAADXHvvg=")</f>
        <v>#VALUE!</v>
      </c>
      <c r="IP31" t="e">
        <f>AND(Plan1!E1134,"AAAAADXHvvk=")</f>
        <v>#VALUE!</v>
      </c>
      <c r="IQ31" t="e">
        <f>AND(Plan1!F1134,"AAAAADXHvvo=")</f>
        <v>#VALUE!</v>
      </c>
      <c r="IR31">
        <f>IF(Plan1!1135:1135,"AAAAADXHvvs=",0)</f>
        <v>0</v>
      </c>
      <c r="IS31" t="e">
        <f>AND(Plan1!A1135,"AAAAADXHvvw=")</f>
        <v>#VALUE!</v>
      </c>
      <c r="IT31" t="e">
        <f>AND(Plan1!B1135,"AAAAADXHvv0=")</f>
        <v>#VALUE!</v>
      </c>
      <c r="IU31" t="e">
        <f>AND(Plan1!C1135,"AAAAADXHvv4=")</f>
        <v>#VALUE!</v>
      </c>
      <c r="IV31" t="e">
        <f>AND(Plan1!D1135,"AAAAADXHvv8=")</f>
        <v>#VALUE!</v>
      </c>
    </row>
    <row r="32" spans="1:256">
      <c r="A32" t="e">
        <f>AND(Plan1!E1135,"AAAAAAsB3QA=")</f>
        <v>#VALUE!</v>
      </c>
      <c r="B32" t="e">
        <f>AND(Plan1!F1135,"AAAAAAsB3QE=")</f>
        <v>#VALUE!</v>
      </c>
      <c r="C32" t="e">
        <f>IF(Plan1!1136:1136,"AAAAAAsB3QI=",0)</f>
        <v>#VALUE!</v>
      </c>
      <c r="D32" t="e">
        <f>AND(Plan1!A1136,"AAAAAAsB3QM=")</f>
        <v>#VALUE!</v>
      </c>
      <c r="E32" t="e">
        <f>AND(Plan1!B1136,"AAAAAAsB3QQ=")</f>
        <v>#VALUE!</v>
      </c>
      <c r="F32" t="e">
        <f>AND(Plan1!C1136,"AAAAAAsB3QU=")</f>
        <v>#VALUE!</v>
      </c>
      <c r="G32" t="e">
        <f>AND(Plan1!D1136,"AAAAAAsB3QY=")</f>
        <v>#VALUE!</v>
      </c>
      <c r="H32" t="e">
        <f>AND(Plan1!E1136,"AAAAAAsB3Qc=")</f>
        <v>#VALUE!</v>
      </c>
      <c r="I32" t="e">
        <f>AND(Plan1!F1136,"AAAAAAsB3Qg=")</f>
        <v>#VALUE!</v>
      </c>
      <c r="J32">
        <f>IF(Plan1!1137:1137,"AAAAAAsB3Qk=",0)</f>
        <v>0</v>
      </c>
      <c r="K32" t="e">
        <f>AND(Plan1!A1137,"AAAAAAsB3Qo=")</f>
        <v>#VALUE!</v>
      </c>
      <c r="L32" t="e">
        <f>AND(Plan1!B1137,"AAAAAAsB3Qs=")</f>
        <v>#VALUE!</v>
      </c>
      <c r="M32" t="e">
        <f>AND(Plan1!C1137,"AAAAAAsB3Qw=")</f>
        <v>#VALUE!</v>
      </c>
      <c r="N32" t="e">
        <f>AND(Plan1!D1137,"AAAAAAsB3Q0=")</f>
        <v>#VALUE!</v>
      </c>
      <c r="O32" t="e">
        <f>AND(Plan1!E1137,"AAAAAAsB3Q4=")</f>
        <v>#VALUE!</v>
      </c>
      <c r="P32" t="e">
        <f>AND(Plan1!F1137,"AAAAAAsB3Q8=")</f>
        <v>#VALUE!</v>
      </c>
      <c r="Q32">
        <f>IF(Plan1!1138:1138,"AAAAAAsB3RA=",0)</f>
        <v>0</v>
      </c>
      <c r="R32" t="e">
        <f>AND(Plan1!A1138,"AAAAAAsB3RE=")</f>
        <v>#VALUE!</v>
      </c>
      <c r="S32" t="e">
        <f>AND(Plan1!B1138,"AAAAAAsB3RI=")</f>
        <v>#VALUE!</v>
      </c>
      <c r="T32" t="e">
        <f>AND(Plan1!C1138,"AAAAAAsB3RM=")</f>
        <v>#VALUE!</v>
      </c>
      <c r="U32" t="e">
        <f>AND(Plan1!D1138,"AAAAAAsB3RQ=")</f>
        <v>#VALUE!</v>
      </c>
      <c r="V32" t="e">
        <f>AND(Plan1!E1138,"AAAAAAsB3RU=")</f>
        <v>#VALUE!</v>
      </c>
      <c r="W32" t="e">
        <f>AND(Plan1!F1138,"AAAAAAsB3RY=")</f>
        <v>#VALUE!</v>
      </c>
      <c r="X32">
        <f>IF(Plan1!1139:1139,"AAAAAAsB3Rc=",0)</f>
        <v>0</v>
      </c>
      <c r="Y32" t="e">
        <f>AND(Plan1!A1139,"AAAAAAsB3Rg=")</f>
        <v>#VALUE!</v>
      </c>
      <c r="Z32" t="e">
        <f>AND(Plan1!B1139,"AAAAAAsB3Rk=")</f>
        <v>#VALUE!</v>
      </c>
      <c r="AA32" t="e">
        <f>AND(Plan1!C1139,"AAAAAAsB3Ro=")</f>
        <v>#VALUE!</v>
      </c>
      <c r="AB32" t="e">
        <f>AND(Plan1!D1139,"AAAAAAsB3Rs=")</f>
        <v>#VALUE!</v>
      </c>
      <c r="AC32" t="e">
        <f>AND(Plan1!E1139,"AAAAAAsB3Rw=")</f>
        <v>#VALUE!</v>
      </c>
      <c r="AD32" t="e">
        <f>AND(Plan1!F1139,"AAAAAAsB3R0=")</f>
        <v>#VALUE!</v>
      </c>
      <c r="AE32">
        <f>IF(Plan1!1140:1140,"AAAAAAsB3R4=",0)</f>
        <v>0</v>
      </c>
      <c r="AF32" t="e">
        <f>AND(Plan1!A1140,"AAAAAAsB3R8=")</f>
        <v>#VALUE!</v>
      </c>
      <c r="AG32" t="e">
        <f>AND(Plan1!B1140,"AAAAAAsB3SA=")</f>
        <v>#VALUE!</v>
      </c>
      <c r="AH32" t="e">
        <f>AND(Plan1!C1140,"AAAAAAsB3SE=")</f>
        <v>#VALUE!</v>
      </c>
      <c r="AI32" t="e">
        <f>AND(Plan1!D1140,"AAAAAAsB3SI=")</f>
        <v>#VALUE!</v>
      </c>
      <c r="AJ32" t="e">
        <f>AND(Plan1!E1140,"AAAAAAsB3SM=")</f>
        <v>#VALUE!</v>
      </c>
      <c r="AK32" t="e">
        <f>AND(Plan1!F1140,"AAAAAAsB3SQ=")</f>
        <v>#VALUE!</v>
      </c>
      <c r="AL32">
        <f>IF(Plan1!1141:1141,"AAAAAAsB3SU=",0)</f>
        <v>0</v>
      </c>
      <c r="AM32" t="e">
        <f>AND(Plan1!A1141,"AAAAAAsB3SY=")</f>
        <v>#VALUE!</v>
      </c>
      <c r="AN32" t="e">
        <f>AND(Plan1!B1141,"AAAAAAsB3Sc=")</f>
        <v>#VALUE!</v>
      </c>
      <c r="AO32" t="e">
        <f>AND(Plan1!C1141,"AAAAAAsB3Sg=")</f>
        <v>#VALUE!</v>
      </c>
      <c r="AP32" t="e">
        <f>AND(Plan1!D1141,"AAAAAAsB3Sk=")</f>
        <v>#VALUE!</v>
      </c>
      <c r="AQ32" t="e">
        <f>AND(Plan1!E1141,"AAAAAAsB3So=")</f>
        <v>#VALUE!</v>
      </c>
      <c r="AR32" t="e">
        <f>AND(Plan1!F1141,"AAAAAAsB3Ss=")</f>
        <v>#VALUE!</v>
      </c>
      <c r="AS32">
        <f>IF(Plan1!1142:1142,"AAAAAAsB3Sw=",0)</f>
        <v>0</v>
      </c>
      <c r="AT32" t="e">
        <f>AND(Plan1!A1142,"AAAAAAsB3S0=")</f>
        <v>#VALUE!</v>
      </c>
      <c r="AU32" t="e">
        <f>AND(Plan1!B1142,"AAAAAAsB3S4=")</f>
        <v>#VALUE!</v>
      </c>
      <c r="AV32" t="e">
        <f>AND(Plan1!C1142,"AAAAAAsB3S8=")</f>
        <v>#VALUE!</v>
      </c>
      <c r="AW32" t="e">
        <f>AND(Plan1!D1142,"AAAAAAsB3TA=")</f>
        <v>#VALUE!</v>
      </c>
      <c r="AX32" t="e">
        <f>AND(Plan1!E1142,"AAAAAAsB3TE=")</f>
        <v>#VALUE!</v>
      </c>
      <c r="AY32" t="e">
        <f>AND(Plan1!F1142,"AAAAAAsB3TI=")</f>
        <v>#VALUE!</v>
      </c>
      <c r="AZ32">
        <f>IF(Plan1!1143:1143,"AAAAAAsB3TM=",0)</f>
        <v>0</v>
      </c>
      <c r="BA32" t="e">
        <f>AND(Plan1!A1143,"AAAAAAsB3TQ=")</f>
        <v>#VALUE!</v>
      </c>
      <c r="BB32" t="e">
        <f>AND(Plan1!B1143,"AAAAAAsB3TU=")</f>
        <v>#VALUE!</v>
      </c>
      <c r="BC32" t="e">
        <f>AND(Plan1!C1143,"AAAAAAsB3TY=")</f>
        <v>#VALUE!</v>
      </c>
      <c r="BD32" t="e">
        <f>AND(Plan1!D1143,"AAAAAAsB3Tc=")</f>
        <v>#VALUE!</v>
      </c>
      <c r="BE32" t="e">
        <f>AND(Plan1!E1143,"AAAAAAsB3Tg=")</f>
        <v>#VALUE!</v>
      </c>
      <c r="BF32" t="e">
        <f>AND(Plan1!F1143,"AAAAAAsB3Tk=")</f>
        <v>#VALUE!</v>
      </c>
      <c r="BG32">
        <f>IF(Plan1!1144:1144,"AAAAAAsB3To=",0)</f>
        <v>0</v>
      </c>
      <c r="BH32" t="e">
        <f>AND(Plan1!A1144,"AAAAAAsB3Ts=")</f>
        <v>#VALUE!</v>
      </c>
      <c r="BI32" t="e">
        <f>AND(Plan1!B1144,"AAAAAAsB3Tw=")</f>
        <v>#VALUE!</v>
      </c>
      <c r="BJ32" t="e">
        <f>AND(Plan1!C1144,"AAAAAAsB3T0=")</f>
        <v>#VALUE!</v>
      </c>
      <c r="BK32" t="e">
        <f>AND(Plan1!D1144,"AAAAAAsB3T4=")</f>
        <v>#VALUE!</v>
      </c>
      <c r="BL32" t="e">
        <f>AND(Plan1!E1144,"AAAAAAsB3T8=")</f>
        <v>#VALUE!</v>
      </c>
      <c r="BM32" t="e">
        <f>AND(Plan1!F1144,"AAAAAAsB3UA=")</f>
        <v>#VALUE!</v>
      </c>
      <c r="BN32">
        <f>IF(Plan1!1145:1145,"AAAAAAsB3UE=",0)</f>
        <v>0</v>
      </c>
      <c r="BO32" t="e">
        <f>AND(Plan1!A1145,"AAAAAAsB3UI=")</f>
        <v>#VALUE!</v>
      </c>
      <c r="BP32" t="e">
        <f>AND(Plan1!B1145,"AAAAAAsB3UM=")</f>
        <v>#VALUE!</v>
      </c>
      <c r="BQ32" t="e">
        <f>AND(Plan1!C1145,"AAAAAAsB3UQ=")</f>
        <v>#VALUE!</v>
      </c>
      <c r="BR32" t="e">
        <f>AND(Plan1!D1145,"AAAAAAsB3UU=")</f>
        <v>#VALUE!</v>
      </c>
      <c r="BS32" t="e">
        <f>AND(Plan1!E1145,"AAAAAAsB3UY=")</f>
        <v>#VALUE!</v>
      </c>
      <c r="BT32" t="e">
        <f>AND(Plan1!F1145,"AAAAAAsB3Uc=")</f>
        <v>#VALUE!</v>
      </c>
      <c r="BU32">
        <f>IF(Plan1!1146:1146,"AAAAAAsB3Ug=",0)</f>
        <v>0</v>
      </c>
      <c r="BV32" t="e">
        <f>AND(Plan1!A1146,"AAAAAAsB3Uk=")</f>
        <v>#VALUE!</v>
      </c>
      <c r="BW32" t="e">
        <f>AND(Plan1!B1146,"AAAAAAsB3Uo=")</f>
        <v>#VALUE!</v>
      </c>
      <c r="BX32" t="e">
        <f>AND(Plan1!C1146,"AAAAAAsB3Us=")</f>
        <v>#VALUE!</v>
      </c>
      <c r="BY32" t="e">
        <f>AND(Plan1!D1146,"AAAAAAsB3Uw=")</f>
        <v>#VALUE!</v>
      </c>
      <c r="BZ32" t="e">
        <f>AND(Plan1!E1146,"AAAAAAsB3U0=")</f>
        <v>#VALUE!</v>
      </c>
      <c r="CA32" t="e">
        <f>AND(Plan1!F1146,"AAAAAAsB3U4=")</f>
        <v>#VALUE!</v>
      </c>
      <c r="CB32">
        <f>IF(Plan1!1147:1147,"AAAAAAsB3U8=",0)</f>
        <v>0</v>
      </c>
      <c r="CC32" t="e">
        <f>AND(Plan1!A1147,"AAAAAAsB3VA=")</f>
        <v>#VALUE!</v>
      </c>
      <c r="CD32" t="e">
        <f>AND(Plan1!B1147,"AAAAAAsB3VE=")</f>
        <v>#VALUE!</v>
      </c>
      <c r="CE32" t="e">
        <f>AND(Plan1!C1147,"AAAAAAsB3VI=")</f>
        <v>#VALUE!</v>
      </c>
      <c r="CF32" t="e">
        <f>AND(Plan1!D1147,"AAAAAAsB3VM=")</f>
        <v>#VALUE!</v>
      </c>
      <c r="CG32" t="e">
        <f>AND(Plan1!E1147,"AAAAAAsB3VQ=")</f>
        <v>#VALUE!</v>
      </c>
      <c r="CH32" t="e">
        <f>AND(Plan1!F1147,"AAAAAAsB3VU=")</f>
        <v>#VALUE!</v>
      </c>
      <c r="CI32">
        <f>IF(Plan1!1148:1148,"AAAAAAsB3VY=",0)</f>
        <v>0</v>
      </c>
      <c r="CJ32" t="e">
        <f>AND(Plan1!A1148,"AAAAAAsB3Vc=")</f>
        <v>#VALUE!</v>
      </c>
      <c r="CK32" t="e">
        <f>AND(Plan1!B1148,"AAAAAAsB3Vg=")</f>
        <v>#VALUE!</v>
      </c>
      <c r="CL32" t="e">
        <f>AND(Plan1!C1148,"AAAAAAsB3Vk=")</f>
        <v>#VALUE!</v>
      </c>
      <c r="CM32" t="e">
        <f>AND(Plan1!D1148,"AAAAAAsB3Vo=")</f>
        <v>#VALUE!</v>
      </c>
      <c r="CN32" t="e">
        <f>AND(Plan1!E1148,"AAAAAAsB3Vs=")</f>
        <v>#VALUE!</v>
      </c>
      <c r="CO32" t="e">
        <f>AND(Plan1!F1148,"AAAAAAsB3Vw=")</f>
        <v>#VALUE!</v>
      </c>
      <c r="CP32">
        <f>IF(Plan1!1149:1149,"AAAAAAsB3V0=",0)</f>
        <v>0</v>
      </c>
      <c r="CQ32" t="e">
        <f>AND(Plan1!A1149,"AAAAAAsB3V4=")</f>
        <v>#VALUE!</v>
      </c>
      <c r="CR32" t="e">
        <f>AND(Plan1!B1149,"AAAAAAsB3V8=")</f>
        <v>#VALUE!</v>
      </c>
      <c r="CS32" t="e">
        <f>AND(Plan1!C1149,"AAAAAAsB3WA=")</f>
        <v>#VALUE!</v>
      </c>
      <c r="CT32" t="e">
        <f>AND(Plan1!D1149,"AAAAAAsB3WE=")</f>
        <v>#VALUE!</v>
      </c>
      <c r="CU32" t="e">
        <f>AND(Plan1!E1149,"AAAAAAsB3WI=")</f>
        <v>#VALUE!</v>
      </c>
      <c r="CV32" t="e">
        <f>AND(Plan1!F1149,"AAAAAAsB3WM=")</f>
        <v>#VALUE!</v>
      </c>
      <c r="CW32">
        <f>IF(Plan1!1150:1150,"AAAAAAsB3WQ=",0)</f>
        <v>0</v>
      </c>
      <c r="CX32" t="e">
        <f>AND(Plan1!A1150,"AAAAAAsB3WU=")</f>
        <v>#VALUE!</v>
      </c>
      <c r="CY32" t="e">
        <f>AND(Plan1!B1150,"AAAAAAsB3WY=")</f>
        <v>#VALUE!</v>
      </c>
      <c r="CZ32" t="e">
        <f>AND(Plan1!C1150,"AAAAAAsB3Wc=")</f>
        <v>#VALUE!</v>
      </c>
      <c r="DA32" t="e">
        <f>AND(Plan1!D1150,"AAAAAAsB3Wg=")</f>
        <v>#VALUE!</v>
      </c>
      <c r="DB32" t="e">
        <f>AND(Plan1!E1150,"AAAAAAsB3Wk=")</f>
        <v>#VALUE!</v>
      </c>
      <c r="DC32" t="e">
        <f>AND(Plan1!F1150,"AAAAAAsB3Wo=")</f>
        <v>#VALUE!</v>
      </c>
      <c r="DD32">
        <f>IF(Plan1!1151:1151,"AAAAAAsB3Ws=",0)</f>
        <v>0</v>
      </c>
      <c r="DE32" t="e">
        <f>AND(Plan1!A1151,"AAAAAAsB3Ww=")</f>
        <v>#VALUE!</v>
      </c>
      <c r="DF32" t="e">
        <f>AND(Plan1!B1151,"AAAAAAsB3W0=")</f>
        <v>#VALUE!</v>
      </c>
      <c r="DG32" t="e">
        <f>AND(Plan1!C1151,"AAAAAAsB3W4=")</f>
        <v>#VALUE!</v>
      </c>
      <c r="DH32" t="e">
        <f>AND(Plan1!D1151,"AAAAAAsB3W8=")</f>
        <v>#VALUE!</v>
      </c>
      <c r="DI32" t="e">
        <f>AND(Plan1!E1151,"AAAAAAsB3XA=")</f>
        <v>#VALUE!</v>
      </c>
      <c r="DJ32" t="e">
        <f>AND(Plan1!F1151,"AAAAAAsB3XE=")</f>
        <v>#VALUE!</v>
      </c>
      <c r="DK32">
        <f>IF(Plan1!1152:1152,"AAAAAAsB3XI=",0)</f>
        <v>0</v>
      </c>
      <c r="DL32" t="e">
        <f>AND(Plan1!A1152,"AAAAAAsB3XM=")</f>
        <v>#VALUE!</v>
      </c>
      <c r="DM32" t="e">
        <f>AND(Plan1!B1152,"AAAAAAsB3XQ=")</f>
        <v>#VALUE!</v>
      </c>
      <c r="DN32" t="e">
        <f>AND(Plan1!C1152,"AAAAAAsB3XU=")</f>
        <v>#VALUE!</v>
      </c>
      <c r="DO32" t="e">
        <f>AND(Plan1!D1152,"AAAAAAsB3XY=")</f>
        <v>#VALUE!</v>
      </c>
      <c r="DP32" t="e">
        <f>AND(Plan1!E1152,"AAAAAAsB3Xc=")</f>
        <v>#VALUE!</v>
      </c>
      <c r="DQ32" t="e">
        <f>AND(Plan1!F1152,"AAAAAAsB3Xg=")</f>
        <v>#VALUE!</v>
      </c>
      <c r="DR32">
        <f>IF(Plan1!1153:1153,"AAAAAAsB3Xk=",0)</f>
        <v>0</v>
      </c>
      <c r="DS32" t="e">
        <f>AND(Plan1!A1153,"AAAAAAsB3Xo=")</f>
        <v>#VALUE!</v>
      </c>
      <c r="DT32" t="e">
        <f>AND(Plan1!B1153,"AAAAAAsB3Xs=")</f>
        <v>#VALUE!</v>
      </c>
      <c r="DU32" t="e">
        <f>AND(Plan1!C1153,"AAAAAAsB3Xw=")</f>
        <v>#VALUE!</v>
      </c>
      <c r="DV32" t="e">
        <f>AND(Plan1!D1153,"AAAAAAsB3X0=")</f>
        <v>#VALUE!</v>
      </c>
      <c r="DW32" t="e">
        <f>AND(Plan1!E1153,"AAAAAAsB3X4=")</f>
        <v>#VALUE!</v>
      </c>
      <c r="DX32" t="e">
        <f>AND(Plan1!F1153,"AAAAAAsB3X8=")</f>
        <v>#VALUE!</v>
      </c>
      <c r="DY32">
        <f>IF(Plan1!1154:1154,"AAAAAAsB3YA=",0)</f>
        <v>0</v>
      </c>
      <c r="DZ32" t="e">
        <f>AND(Plan1!A1154,"AAAAAAsB3YE=")</f>
        <v>#VALUE!</v>
      </c>
      <c r="EA32" t="e">
        <f>AND(Plan1!B1154,"AAAAAAsB3YI=")</f>
        <v>#VALUE!</v>
      </c>
      <c r="EB32" t="e">
        <f>AND(Plan1!C1154,"AAAAAAsB3YM=")</f>
        <v>#VALUE!</v>
      </c>
      <c r="EC32" t="e">
        <f>AND(Plan1!D1154,"AAAAAAsB3YQ=")</f>
        <v>#VALUE!</v>
      </c>
      <c r="ED32" t="e">
        <f>AND(Plan1!E1154,"AAAAAAsB3YU=")</f>
        <v>#VALUE!</v>
      </c>
      <c r="EE32" t="e">
        <f>AND(Plan1!F1154,"AAAAAAsB3YY=")</f>
        <v>#VALUE!</v>
      </c>
      <c r="EF32">
        <f>IF(Plan1!1155:1155,"AAAAAAsB3Yc=",0)</f>
        <v>0</v>
      </c>
      <c r="EG32" t="e">
        <f>AND(Plan1!A1155,"AAAAAAsB3Yg=")</f>
        <v>#VALUE!</v>
      </c>
      <c r="EH32" t="e">
        <f>AND(Plan1!B1155,"AAAAAAsB3Yk=")</f>
        <v>#VALUE!</v>
      </c>
      <c r="EI32" t="e">
        <f>AND(Plan1!C1155,"AAAAAAsB3Yo=")</f>
        <v>#VALUE!</v>
      </c>
      <c r="EJ32" t="e">
        <f>AND(Plan1!D1155,"AAAAAAsB3Ys=")</f>
        <v>#VALUE!</v>
      </c>
      <c r="EK32" t="e">
        <f>AND(Plan1!E1155,"AAAAAAsB3Yw=")</f>
        <v>#VALUE!</v>
      </c>
      <c r="EL32" t="e">
        <f>AND(Plan1!F1155,"AAAAAAsB3Y0=")</f>
        <v>#VALUE!</v>
      </c>
      <c r="EM32">
        <f>IF(Plan1!1156:1156,"AAAAAAsB3Y4=",0)</f>
        <v>0</v>
      </c>
      <c r="EN32" t="e">
        <f>AND(Plan1!A1156,"AAAAAAsB3Y8=")</f>
        <v>#VALUE!</v>
      </c>
      <c r="EO32" t="e">
        <f>AND(Plan1!B1156,"AAAAAAsB3ZA=")</f>
        <v>#VALUE!</v>
      </c>
      <c r="EP32" t="e">
        <f>AND(Plan1!C1156,"AAAAAAsB3ZE=")</f>
        <v>#VALUE!</v>
      </c>
      <c r="EQ32" t="e">
        <f>AND(Plan1!D1156,"AAAAAAsB3ZI=")</f>
        <v>#VALUE!</v>
      </c>
      <c r="ER32" t="e">
        <f>AND(Plan1!E1156,"AAAAAAsB3ZM=")</f>
        <v>#VALUE!</v>
      </c>
      <c r="ES32" t="e">
        <f>AND(Plan1!F1156,"AAAAAAsB3ZQ=")</f>
        <v>#VALUE!</v>
      </c>
      <c r="ET32">
        <f>IF(Plan1!1157:1157,"AAAAAAsB3ZU=",0)</f>
        <v>0</v>
      </c>
      <c r="EU32" t="e">
        <f>AND(Plan1!A1157,"AAAAAAsB3ZY=")</f>
        <v>#VALUE!</v>
      </c>
      <c r="EV32" t="e">
        <f>AND(Plan1!B1157,"AAAAAAsB3Zc=")</f>
        <v>#VALUE!</v>
      </c>
      <c r="EW32" t="e">
        <f>AND(Plan1!C1157,"AAAAAAsB3Zg=")</f>
        <v>#VALUE!</v>
      </c>
      <c r="EX32" t="e">
        <f>AND(Plan1!D1157,"AAAAAAsB3Zk=")</f>
        <v>#VALUE!</v>
      </c>
      <c r="EY32" t="e">
        <f>AND(Plan1!E1157,"AAAAAAsB3Zo=")</f>
        <v>#VALUE!</v>
      </c>
      <c r="EZ32" t="e">
        <f>AND(Plan1!F1157,"AAAAAAsB3Zs=")</f>
        <v>#VALUE!</v>
      </c>
      <c r="FA32">
        <f>IF(Plan1!1158:1158,"AAAAAAsB3Zw=",0)</f>
        <v>0</v>
      </c>
      <c r="FB32" t="e">
        <f>AND(Plan1!A1158,"AAAAAAsB3Z0=")</f>
        <v>#VALUE!</v>
      </c>
      <c r="FC32" t="e">
        <f>AND(Plan1!B1158,"AAAAAAsB3Z4=")</f>
        <v>#VALUE!</v>
      </c>
      <c r="FD32" t="e">
        <f>AND(Plan1!C1158,"AAAAAAsB3Z8=")</f>
        <v>#VALUE!</v>
      </c>
      <c r="FE32" t="e">
        <f>AND(Plan1!D1158,"AAAAAAsB3aA=")</f>
        <v>#VALUE!</v>
      </c>
      <c r="FF32" t="e">
        <f>AND(Plan1!E1158,"AAAAAAsB3aE=")</f>
        <v>#VALUE!</v>
      </c>
      <c r="FG32" t="e">
        <f>AND(Plan1!F1158,"AAAAAAsB3aI=")</f>
        <v>#VALUE!</v>
      </c>
      <c r="FH32">
        <f>IF(Plan1!1159:1159,"AAAAAAsB3aM=",0)</f>
        <v>0</v>
      </c>
      <c r="FI32" t="e">
        <f>AND(Plan1!A1159,"AAAAAAsB3aQ=")</f>
        <v>#VALUE!</v>
      </c>
      <c r="FJ32" t="e">
        <f>AND(Plan1!B1159,"AAAAAAsB3aU=")</f>
        <v>#VALUE!</v>
      </c>
      <c r="FK32" t="e">
        <f>AND(Plan1!C1159,"AAAAAAsB3aY=")</f>
        <v>#VALUE!</v>
      </c>
      <c r="FL32" t="e">
        <f>AND(Plan1!D1159,"AAAAAAsB3ac=")</f>
        <v>#VALUE!</v>
      </c>
      <c r="FM32" t="e">
        <f>AND(Plan1!E1159,"AAAAAAsB3ag=")</f>
        <v>#VALUE!</v>
      </c>
      <c r="FN32" t="e">
        <f>AND(Plan1!F1159,"AAAAAAsB3ak=")</f>
        <v>#VALUE!</v>
      </c>
      <c r="FO32">
        <f>IF(Plan1!1160:1160,"AAAAAAsB3ao=",0)</f>
        <v>0</v>
      </c>
      <c r="FP32" t="e">
        <f>AND(Plan1!A1160,"AAAAAAsB3as=")</f>
        <v>#VALUE!</v>
      </c>
      <c r="FQ32" t="e">
        <f>AND(Plan1!B1160,"AAAAAAsB3aw=")</f>
        <v>#VALUE!</v>
      </c>
      <c r="FR32" t="e">
        <f>AND(Plan1!C1160,"AAAAAAsB3a0=")</f>
        <v>#VALUE!</v>
      </c>
      <c r="FS32" t="e">
        <f>AND(Plan1!D1160,"AAAAAAsB3a4=")</f>
        <v>#VALUE!</v>
      </c>
      <c r="FT32" t="e">
        <f>AND(Plan1!E1160,"AAAAAAsB3a8=")</f>
        <v>#VALUE!</v>
      </c>
      <c r="FU32" t="e">
        <f>AND(Plan1!F1160,"AAAAAAsB3bA=")</f>
        <v>#VALUE!</v>
      </c>
      <c r="FV32">
        <f>IF(Plan1!1161:1161,"AAAAAAsB3bE=",0)</f>
        <v>0</v>
      </c>
      <c r="FW32" t="e">
        <f>AND(Plan1!A1161,"AAAAAAsB3bI=")</f>
        <v>#VALUE!</v>
      </c>
      <c r="FX32" t="e">
        <f>AND(Plan1!B1161,"AAAAAAsB3bM=")</f>
        <v>#VALUE!</v>
      </c>
      <c r="FY32" t="e">
        <f>AND(Plan1!C1161,"AAAAAAsB3bQ=")</f>
        <v>#VALUE!</v>
      </c>
      <c r="FZ32" t="e">
        <f>AND(Plan1!D1161,"AAAAAAsB3bU=")</f>
        <v>#VALUE!</v>
      </c>
      <c r="GA32" t="e">
        <f>AND(Plan1!E1161,"AAAAAAsB3bY=")</f>
        <v>#VALUE!</v>
      </c>
      <c r="GB32" t="e">
        <f>AND(Plan1!F1161,"AAAAAAsB3bc=")</f>
        <v>#VALUE!</v>
      </c>
      <c r="GC32">
        <f>IF(Plan1!1162:1162,"AAAAAAsB3bg=",0)</f>
        <v>0</v>
      </c>
      <c r="GD32" t="e">
        <f>AND(Plan1!A1162,"AAAAAAsB3bk=")</f>
        <v>#VALUE!</v>
      </c>
      <c r="GE32" t="e">
        <f>AND(Plan1!B1162,"AAAAAAsB3bo=")</f>
        <v>#VALUE!</v>
      </c>
      <c r="GF32" t="e">
        <f>AND(Plan1!C1162,"AAAAAAsB3bs=")</f>
        <v>#VALUE!</v>
      </c>
      <c r="GG32" t="e">
        <f>AND(Plan1!D1162,"AAAAAAsB3bw=")</f>
        <v>#VALUE!</v>
      </c>
      <c r="GH32" t="e">
        <f>AND(Plan1!E1162,"AAAAAAsB3b0=")</f>
        <v>#VALUE!</v>
      </c>
      <c r="GI32" t="e">
        <f>AND(Plan1!F1162,"AAAAAAsB3b4=")</f>
        <v>#VALUE!</v>
      </c>
      <c r="GJ32">
        <f>IF(Plan1!1163:1163,"AAAAAAsB3b8=",0)</f>
        <v>0</v>
      </c>
      <c r="GK32" t="e">
        <f>AND(Plan1!A1163,"AAAAAAsB3cA=")</f>
        <v>#VALUE!</v>
      </c>
      <c r="GL32" t="e">
        <f>AND(Plan1!B1163,"AAAAAAsB3cE=")</f>
        <v>#VALUE!</v>
      </c>
      <c r="GM32" t="e">
        <f>AND(Plan1!C1163,"AAAAAAsB3cI=")</f>
        <v>#VALUE!</v>
      </c>
      <c r="GN32" t="e">
        <f>AND(Plan1!D1163,"AAAAAAsB3cM=")</f>
        <v>#VALUE!</v>
      </c>
      <c r="GO32" t="e">
        <f>AND(Plan1!E1163,"AAAAAAsB3cQ=")</f>
        <v>#VALUE!</v>
      </c>
      <c r="GP32" t="e">
        <f>AND(Plan1!F1163,"AAAAAAsB3cU=")</f>
        <v>#VALUE!</v>
      </c>
      <c r="GQ32">
        <f>IF(Plan1!1164:1164,"AAAAAAsB3cY=",0)</f>
        <v>0</v>
      </c>
      <c r="GR32" t="e">
        <f>AND(Plan1!A1164,"AAAAAAsB3cc=")</f>
        <v>#VALUE!</v>
      </c>
      <c r="GS32" t="e">
        <f>AND(Plan1!B1164,"AAAAAAsB3cg=")</f>
        <v>#VALUE!</v>
      </c>
      <c r="GT32" t="e">
        <f>AND(Plan1!C1164,"AAAAAAsB3ck=")</f>
        <v>#VALUE!</v>
      </c>
      <c r="GU32" t="e">
        <f>AND(Plan1!D1164,"AAAAAAsB3co=")</f>
        <v>#VALUE!</v>
      </c>
      <c r="GV32" t="e">
        <f>AND(Plan1!E1164,"AAAAAAsB3cs=")</f>
        <v>#VALUE!</v>
      </c>
      <c r="GW32" t="e">
        <f>AND(Plan1!F1164,"AAAAAAsB3cw=")</f>
        <v>#VALUE!</v>
      </c>
      <c r="GX32">
        <f>IF(Plan1!1165:1165,"AAAAAAsB3c0=",0)</f>
        <v>0</v>
      </c>
      <c r="GY32" t="e">
        <f>AND(Plan1!A1165,"AAAAAAsB3c4=")</f>
        <v>#VALUE!</v>
      </c>
      <c r="GZ32" t="e">
        <f>AND(Plan1!B1165,"AAAAAAsB3c8=")</f>
        <v>#VALUE!</v>
      </c>
      <c r="HA32" t="e">
        <f>AND(Plan1!C1165,"AAAAAAsB3dA=")</f>
        <v>#VALUE!</v>
      </c>
      <c r="HB32" t="e">
        <f>AND(Plan1!D1165,"AAAAAAsB3dE=")</f>
        <v>#VALUE!</v>
      </c>
      <c r="HC32" t="e">
        <f>AND(Plan1!E1165,"AAAAAAsB3dI=")</f>
        <v>#VALUE!</v>
      </c>
      <c r="HD32" t="e">
        <f>AND(Plan1!F1165,"AAAAAAsB3dM=")</f>
        <v>#VALUE!</v>
      </c>
      <c r="HE32">
        <f>IF(Plan1!1166:1166,"AAAAAAsB3dQ=",0)</f>
        <v>0</v>
      </c>
      <c r="HF32" t="e">
        <f>AND(Plan1!A1166,"AAAAAAsB3dU=")</f>
        <v>#VALUE!</v>
      </c>
      <c r="HG32" t="e">
        <f>AND(Plan1!B1166,"AAAAAAsB3dY=")</f>
        <v>#VALUE!</v>
      </c>
      <c r="HH32" t="e">
        <f>AND(Plan1!C1166,"AAAAAAsB3dc=")</f>
        <v>#VALUE!</v>
      </c>
      <c r="HI32" t="e">
        <f>AND(Plan1!D1166,"AAAAAAsB3dg=")</f>
        <v>#VALUE!</v>
      </c>
      <c r="HJ32" t="e">
        <f>AND(Plan1!E1166,"AAAAAAsB3dk=")</f>
        <v>#VALUE!</v>
      </c>
      <c r="HK32" t="e">
        <f>AND(Plan1!F1166,"AAAAAAsB3do=")</f>
        <v>#VALUE!</v>
      </c>
      <c r="HL32">
        <f>IF(Plan1!1167:1167,"AAAAAAsB3ds=",0)</f>
        <v>0</v>
      </c>
      <c r="HM32" t="e">
        <f>AND(Plan1!A1167,"AAAAAAsB3dw=")</f>
        <v>#VALUE!</v>
      </c>
      <c r="HN32" t="e">
        <f>AND(Plan1!B1167,"AAAAAAsB3d0=")</f>
        <v>#VALUE!</v>
      </c>
      <c r="HO32" t="e">
        <f>AND(Plan1!C1167,"AAAAAAsB3d4=")</f>
        <v>#VALUE!</v>
      </c>
      <c r="HP32" t="e">
        <f>AND(Plan1!D1167,"AAAAAAsB3d8=")</f>
        <v>#VALUE!</v>
      </c>
      <c r="HQ32" t="e">
        <f>AND(Plan1!E1167,"AAAAAAsB3eA=")</f>
        <v>#VALUE!</v>
      </c>
      <c r="HR32" t="e">
        <f>AND(Plan1!F1167,"AAAAAAsB3eE=")</f>
        <v>#VALUE!</v>
      </c>
      <c r="HS32">
        <f>IF(Plan1!1168:1168,"AAAAAAsB3eI=",0)</f>
        <v>0</v>
      </c>
      <c r="HT32" t="e">
        <f>AND(Plan1!A1168,"AAAAAAsB3eM=")</f>
        <v>#VALUE!</v>
      </c>
      <c r="HU32" t="e">
        <f>AND(Plan1!B1168,"AAAAAAsB3eQ=")</f>
        <v>#VALUE!</v>
      </c>
      <c r="HV32" t="e">
        <f>AND(Plan1!C1168,"AAAAAAsB3eU=")</f>
        <v>#VALUE!</v>
      </c>
      <c r="HW32" t="e">
        <f>AND(Plan1!D1168,"AAAAAAsB3eY=")</f>
        <v>#VALUE!</v>
      </c>
      <c r="HX32" t="e">
        <f>AND(Plan1!E1168,"AAAAAAsB3ec=")</f>
        <v>#VALUE!</v>
      </c>
      <c r="HY32" t="e">
        <f>AND(Plan1!F1168,"AAAAAAsB3eg=")</f>
        <v>#VALUE!</v>
      </c>
      <c r="HZ32">
        <f>IF(Plan1!1169:1169,"AAAAAAsB3ek=",0)</f>
        <v>0</v>
      </c>
      <c r="IA32" t="e">
        <f>AND(Plan1!A1169,"AAAAAAsB3eo=")</f>
        <v>#VALUE!</v>
      </c>
      <c r="IB32" t="e">
        <f>AND(Plan1!B1169,"AAAAAAsB3es=")</f>
        <v>#VALUE!</v>
      </c>
      <c r="IC32" t="e">
        <f>AND(Plan1!C1169,"AAAAAAsB3ew=")</f>
        <v>#VALUE!</v>
      </c>
      <c r="ID32" t="e">
        <f>AND(Plan1!D1169,"AAAAAAsB3e0=")</f>
        <v>#VALUE!</v>
      </c>
      <c r="IE32" t="e">
        <f>AND(Plan1!E1169,"AAAAAAsB3e4=")</f>
        <v>#VALUE!</v>
      </c>
      <c r="IF32" t="e">
        <f>AND(Plan1!F1169,"AAAAAAsB3e8=")</f>
        <v>#VALUE!</v>
      </c>
      <c r="IG32">
        <f>IF(Plan1!1170:1170,"AAAAAAsB3fA=",0)</f>
        <v>0</v>
      </c>
      <c r="IH32" t="e">
        <f>AND(Plan1!A1170,"AAAAAAsB3fE=")</f>
        <v>#VALUE!</v>
      </c>
      <c r="II32" t="e">
        <f>AND(Plan1!B1170,"AAAAAAsB3fI=")</f>
        <v>#VALUE!</v>
      </c>
      <c r="IJ32" t="e">
        <f>AND(Plan1!C1170,"AAAAAAsB3fM=")</f>
        <v>#VALUE!</v>
      </c>
      <c r="IK32" t="e">
        <f>AND(Plan1!D1170,"AAAAAAsB3fQ=")</f>
        <v>#VALUE!</v>
      </c>
      <c r="IL32" t="e">
        <f>AND(Plan1!E1170,"AAAAAAsB3fU=")</f>
        <v>#VALUE!</v>
      </c>
      <c r="IM32" t="e">
        <f>AND(Plan1!F1170,"AAAAAAsB3fY=")</f>
        <v>#VALUE!</v>
      </c>
      <c r="IN32">
        <f>IF(Plan1!1171:1171,"AAAAAAsB3fc=",0)</f>
        <v>0</v>
      </c>
      <c r="IO32" t="e">
        <f>AND(Plan1!A1171,"AAAAAAsB3fg=")</f>
        <v>#VALUE!</v>
      </c>
      <c r="IP32" t="e">
        <f>AND(Plan1!B1171,"AAAAAAsB3fk=")</f>
        <v>#VALUE!</v>
      </c>
      <c r="IQ32" t="e">
        <f>AND(Plan1!C1171,"AAAAAAsB3fo=")</f>
        <v>#VALUE!</v>
      </c>
      <c r="IR32" t="e">
        <f>AND(Plan1!D1171,"AAAAAAsB3fs=")</f>
        <v>#VALUE!</v>
      </c>
      <c r="IS32" t="e">
        <f>AND(Plan1!E1171,"AAAAAAsB3fw=")</f>
        <v>#VALUE!</v>
      </c>
      <c r="IT32" t="e">
        <f>AND(Plan1!F1171,"AAAAAAsB3f0=")</f>
        <v>#VALUE!</v>
      </c>
      <c r="IU32">
        <f>IF(Plan1!1172:1172,"AAAAAAsB3f4=",0)</f>
        <v>0</v>
      </c>
      <c r="IV32" t="e">
        <f>AND(Plan1!A1172,"AAAAAAsB3f8=")</f>
        <v>#VALUE!</v>
      </c>
    </row>
    <row r="33" spans="1:256">
      <c r="A33" t="e">
        <f>AND(Plan1!B1172,"AAAAACfP/AA=")</f>
        <v>#VALUE!</v>
      </c>
      <c r="B33" t="e">
        <f>AND(Plan1!C1172,"AAAAACfP/AE=")</f>
        <v>#VALUE!</v>
      </c>
      <c r="C33" t="e">
        <f>AND(Plan1!D1172,"AAAAACfP/AI=")</f>
        <v>#VALUE!</v>
      </c>
      <c r="D33" t="e">
        <f>AND(Plan1!E1172,"AAAAACfP/AM=")</f>
        <v>#VALUE!</v>
      </c>
      <c r="E33" t="e">
        <f>AND(Plan1!F1172,"AAAAACfP/AQ=")</f>
        <v>#VALUE!</v>
      </c>
      <c r="F33" t="e">
        <f>IF(Plan1!1173:1173,"AAAAACfP/AU=",0)</f>
        <v>#VALUE!</v>
      </c>
      <c r="G33" t="e">
        <f>AND(Plan1!A1173,"AAAAACfP/AY=")</f>
        <v>#VALUE!</v>
      </c>
      <c r="H33" t="e">
        <f>AND(Plan1!B1173,"AAAAACfP/Ac=")</f>
        <v>#VALUE!</v>
      </c>
      <c r="I33" t="e">
        <f>AND(Plan1!C1173,"AAAAACfP/Ag=")</f>
        <v>#VALUE!</v>
      </c>
      <c r="J33" t="e">
        <f>AND(Plan1!D1173,"AAAAACfP/Ak=")</f>
        <v>#VALUE!</v>
      </c>
      <c r="K33" t="e">
        <f>AND(Plan1!E1173,"AAAAACfP/Ao=")</f>
        <v>#VALUE!</v>
      </c>
      <c r="L33" t="e">
        <f>AND(Plan1!F1173,"AAAAACfP/As=")</f>
        <v>#VALUE!</v>
      </c>
      <c r="M33">
        <f>IF(Plan1!1174:1174,"AAAAACfP/Aw=",0)</f>
        <v>0</v>
      </c>
      <c r="N33" t="e">
        <f>AND(Plan1!A1174,"AAAAACfP/A0=")</f>
        <v>#VALUE!</v>
      </c>
      <c r="O33" t="e">
        <f>AND(Plan1!B1174,"AAAAACfP/A4=")</f>
        <v>#VALUE!</v>
      </c>
      <c r="P33" t="e">
        <f>AND(Plan1!C1174,"AAAAACfP/A8=")</f>
        <v>#VALUE!</v>
      </c>
      <c r="Q33" t="e">
        <f>AND(Plan1!D1174,"AAAAACfP/BA=")</f>
        <v>#VALUE!</v>
      </c>
      <c r="R33" t="e">
        <f>AND(Plan1!E1174,"AAAAACfP/BE=")</f>
        <v>#VALUE!</v>
      </c>
      <c r="S33" t="e">
        <f>AND(Plan1!F1174,"AAAAACfP/BI=")</f>
        <v>#VALUE!</v>
      </c>
      <c r="T33">
        <f>IF(Plan1!1175:1175,"AAAAACfP/BM=",0)</f>
        <v>0</v>
      </c>
      <c r="U33" t="e">
        <f>AND(Plan1!A1175,"AAAAACfP/BQ=")</f>
        <v>#VALUE!</v>
      </c>
      <c r="V33" t="e">
        <f>AND(Plan1!B1175,"AAAAACfP/BU=")</f>
        <v>#VALUE!</v>
      </c>
      <c r="W33" t="e">
        <f>AND(Plan1!C1175,"AAAAACfP/BY=")</f>
        <v>#VALUE!</v>
      </c>
      <c r="X33" t="e">
        <f>AND(Plan1!D1175,"AAAAACfP/Bc=")</f>
        <v>#VALUE!</v>
      </c>
      <c r="Y33" t="e">
        <f>AND(Plan1!E1175,"AAAAACfP/Bg=")</f>
        <v>#VALUE!</v>
      </c>
      <c r="Z33" t="e">
        <f>AND(Plan1!F1175,"AAAAACfP/Bk=")</f>
        <v>#VALUE!</v>
      </c>
      <c r="AA33">
        <f>IF(Plan1!1176:1176,"AAAAACfP/Bo=",0)</f>
        <v>0</v>
      </c>
      <c r="AB33" t="e">
        <f>AND(Plan1!A1176,"AAAAACfP/Bs=")</f>
        <v>#VALUE!</v>
      </c>
      <c r="AC33" t="e">
        <f>AND(Plan1!B1176,"AAAAACfP/Bw=")</f>
        <v>#VALUE!</v>
      </c>
      <c r="AD33" t="e">
        <f>AND(Plan1!C1176,"AAAAACfP/B0=")</f>
        <v>#VALUE!</v>
      </c>
      <c r="AE33" t="e">
        <f>AND(Plan1!D1176,"AAAAACfP/B4=")</f>
        <v>#VALUE!</v>
      </c>
      <c r="AF33" t="e">
        <f>AND(Plan1!E1176,"AAAAACfP/B8=")</f>
        <v>#VALUE!</v>
      </c>
      <c r="AG33" t="e">
        <f>AND(Plan1!F1176,"AAAAACfP/CA=")</f>
        <v>#VALUE!</v>
      </c>
      <c r="AH33">
        <f>IF(Plan1!1177:1177,"AAAAACfP/CE=",0)</f>
        <v>0</v>
      </c>
      <c r="AI33" t="e">
        <f>AND(Plan1!A1177,"AAAAACfP/CI=")</f>
        <v>#VALUE!</v>
      </c>
      <c r="AJ33" t="e">
        <f>AND(Plan1!B1177,"AAAAACfP/CM=")</f>
        <v>#VALUE!</v>
      </c>
      <c r="AK33" t="e">
        <f>AND(Plan1!C1177,"AAAAACfP/CQ=")</f>
        <v>#VALUE!</v>
      </c>
      <c r="AL33" t="e">
        <f>AND(Plan1!D1177,"AAAAACfP/CU=")</f>
        <v>#VALUE!</v>
      </c>
      <c r="AM33" t="e">
        <f>AND(Plan1!E1177,"AAAAACfP/CY=")</f>
        <v>#VALUE!</v>
      </c>
      <c r="AN33" t="e">
        <f>AND(Plan1!F1177,"AAAAACfP/Cc=")</f>
        <v>#VALUE!</v>
      </c>
      <c r="AO33">
        <f>IF(Plan1!1178:1178,"AAAAACfP/Cg=",0)</f>
        <v>0</v>
      </c>
      <c r="AP33" t="e">
        <f>AND(Plan1!A1178,"AAAAACfP/Ck=")</f>
        <v>#VALUE!</v>
      </c>
      <c r="AQ33" t="e">
        <f>AND(Plan1!B1178,"AAAAACfP/Co=")</f>
        <v>#VALUE!</v>
      </c>
      <c r="AR33" t="e">
        <f>AND(Plan1!C1178,"AAAAACfP/Cs=")</f>
        <v>#VALUE!</v>
      </c>
      <c r="AS33" t="e">
        <f>AND(Plan1!D1178,"AAAAACfP/Cw=")</f>
        <v>#VALUE!</v>
      </c>
      <c r="AT33" t="e">
        <f>AND(Plan1!E1178,"AAAAACfP/C0=")</f>
        <v>#VALUE!</v>
      </c>
      <c r="AU33" t="e">
        <f>AND(Plan1!F1178,"AAAAACfP/C4=")</f>
        <v>#VALUE!</v>
      </c>
      <c r="AV33">
        <f>IF(Plan1!1179:1179,"AAAAACfP/C8=",0)</f>
        <v>0</v>
      </c>
      <c r="AW33" t="e">
        <f>AND(Plan1!A1179,"AAAAACfP/DA=")</f>
        <v>#VALUE!</v>
      </c>
      <c r="AX33" t="e">
        <f>AND(Plan1!B1179,"AAAAACfP/DE=")</f>
        <v>#VALUE!</v>
      </c>
      <c r="AY33" t="e">
        <f>AND(Plan1!C1179,"AAAAACfP/DI=")</f>
        <v>#VALUE!</v>
      </c>
      <c r="AZ33" t="e">
        <f>AND(Plan1!D1179,"AAAAACfP/DM=")</f>
        <v>#VALUE!</v>
      </c>
      <c r="BA33" t="e">
        <f>AND(Plan1!E1179,"AAAAACfP/DQ=")</f>
        <v>#VALUE!</v>
      </c>
      <c r="BB33" t="e">
        <f>AND(Plan1!F1179,"AAAAACfP/DU=")</f>
        <v>#VALUE!</v>
      </c>
      <c r="BC33">
        <f>IF(Plan1!1180:1180,"AAAAACfP/DY=",0)</f>
        <v>0</v>
      </c>
      <c r="BD33" t="e">
        <f>AND(Plan1!A1180,"AAAAACfP/Dc=")</f>
        <v>#VALUE!</v>
      </c>
      <c r="BE33" t="e">
        <f>AND(Plan1!B1180,"AAAAACfP/Dg=")</f>
        <v>#VALUE!</v>
      </c>
      <c r="BF33" t="e">
        <f>AND(Plan1!C1180,"AAAAACfP/Dk=")</f>
        <v>#VALUE!</v>
      </c>
      <c r="BG33" t="e">
        <f>AND(Plan1!D1180,"AAAAACfP/Do=")</f>
        <v>#VALUE!</v>
      </c>
      <c r="BH33" t="e">
        <f>AND(Plan1!E1180,"AAAAACfP/Ds=")</f>
        <v>#VALUE!</v>
      </c>
      <c r="BI33" t="e">
        <f>AND(Plan1!F1180,"AAAAACfP/Dw=")</f>
        <v>#VALUE!</v>
      </c>
      <c r="BJ33">
        <f>IF(Plan1!1181:1181,"AAAAACfP/D0=",0)</f>
        <v>0</v>
      </c>
      <c r="BK33" t="e">
        <f>AND(Plan1!A1181,"AAAAACfP/D4=")</f>
        <v>#VALUE!</v>
      </c>
      <c r="BL33" t="e">
        <f>AND(Plan1!B1181,"AAAAACfP/D8=")</f>
        <v>#VALUE!</v>
      </c>
      <c r="BM33" t="e">
        <f>AND(Plan1!C1181,"AAAAACfP/EA=")</f>
        <v>#VALUE!</v>
      </c>
      <c r="BN33" t="e">
        <f>AND(Plan1!D1181,"AAAAACfP/EE=")</f>
        <v>#VALUE!</v>
      </c>
      <c r="BO33" t="e">
        <f>AND(Plan1!E1181,"AAAAACfP/EI=")</f>
        <v>#VALUE!</v>
      </c>
      <c r="BP33" t="e">
        <f>AND(Plan1!F1181,"AAAAACfP/EM=")</f>
        <v>#VALUE!</v>
      </c>
      <c r="BQ33">
        <f>IF(Plan1!1182:1182,"AAAAACfP/EQ=",0)</f>
        <v>0</v>
      </c>
      <c r="BR33" t="e">
        <f>AND(Plan1!A1182,"AAAAACfP/EU=")</f>
        <v>#VALUE!</v>
      </c>
      <c r="BS33" t="e">
        <f>AND(Plan1!B1182,"AAAAACfP/EY=")</f>
        <v>#VALUE!</v>
      </c>
      <c r="BT33" t="e">
        <f>AND(Plan1!C1182,"AAAAACfP/Ec=")</f>
        <v>#VALUE!</v>
      </c>
      <c r="BU33" t="e">
        <f>AND(Plan1!D1182,"AAAAACfP/Eg=")</f>
        <v>#VALUE!</v>
      </c>
      <c r="BV33" t="e">
        <f>AND(Plan1!E1182,"AAAAACfP/Ek=")</f>
        <v>#VALUE!</v>
      </c>
      <c r="BW33" t="e">
        <f>AND(Plan1!F1182,"AAAAACfP/Eo=")</f>
        <v>#VALUE!</v>
      </c>
      <c r="BX33">
        <f>IF(Plan1!1183:1183,"AAAAACfP/Es=",0)</f>
        <v>0</v>
      </c>
      <c r="BY33" t="e">
        <f>AND(Plan1!A1183,"AAAAACfP/Ew=")</f>
        <v>#VALUE!</v>
      </c>
      <c r="BZ33" t="e">
        <f>AND(Plan1!B1183,"AAAAACfP/E0=")</f>
        <v>#VALUE!</v>
      </c>
      <c r="CA33" t="e">
        <f>AND(Plan1!C1183,"AAAAACfP/E4=")</f>
        <v>#VALUE!</v>
      </c>
      <c r="CB33" t="e">
        <f>AND(Plan1!D1183,"AAAAACfP/E8=")</f>
        <v>#VALUE!</v>
      </c>
      <c r="CC33" t="e">
        <f>AND(Plan1!E1183,"AAAAACfP/FA=")</f>
        <v>#VALUE!</v>
      </c>
      <c r="CD33" t="e">
        <f>AND(Plan1!F1183,"AAAAACfP/FE=")</f>
        <v>#VALUE!</v>
      </c>
      <c r="CE33">
        <f>IF(Plan1!1184:1184,"AAAAACfP/FI=",0)</f>
        <v>0</v>
      </c>
      <c r="CF33" t="e">
        <f>AND(Plan1!A1184,"AAAAACfP/FM=")</f>
        <v>#VALUE!</v>
      </c>
      <c r="CG33" t="e">
        <f>AND(Plan1!B1184,"AAAAACfP/FQ=")</f>
        <v>#VALUE!</v>
      </c>
      <c r="CH33" t="e">
        <f>AND(Plan1!C1184,"AAAAACfP/FU=")</f>
        <v>#VALUE!</v>
      </c>
      <c r="CI33" t="e">
        <f>AND(Plan1!D1184,"AAAAACfP/FY=")</f>
        <v>#VALUE!</v>
      </c>
      <c r="CJ33" t="e">
        <f>AND(Plan1!E1184,"AAAAACfP/Fc=")</f>
        <v>#VALUE!</v>
      </c>
      <c r="CK33" t="e">
        <f>AND(Plan1!F1184,"AAAAACfP/Fg=")</f>
        <v>#VALUE!</v>
      </c>
      <c r="CL33">
        <f>IF(Plan1!1185:1185,"AAAAACfP/Fk=",0)</f>
        <v>0</v>
      </c>
      <c r="CM33" t="e">
        <f>AND(Plan1!A1185,"AAAAACfP/Fo=")</f>
        <v>#VALUE!</v>
      </c>
      <c r="CN33" t="e">
        <f>AND(Plan1!B1185,"AAAAACfP/Fs=")</f>
        <v>#VALUE!</v>
      </c>
      <c r="CO33" t="e">
        <f>AND(Plan1!C1185,"AAAAACfP/Fw=")</f>
        <v>#VALUE!</v>
      </c>
      <c r="CP33" t="e">
        <f>AND(Plan1!D1185,"AAAAACfP/F0=")</f>
        <v>#VALUE!</v>
      </c>
      <c r="CQ33" t="e">
        <f>AND(Plan1!E1185,"AAAAACfP/F4=")</f>
        <v>#VALUE!</v>
      </c>
      <c r="CR33" t="e">
        <f>AND(Plan1!F1185,"AAAAACfP/F8=")</f>
        <v>#VALUE!</v>
      </c>
      <c r="CS33">
        <f>IF(Plan1!1186:1186,"AAAAACfP/GA=",0)</f>
        <v>0</v>
      </c>
      <c r="CT33" t="e">
        <f>AND(Plan1!A1186,"AAAAACfP/GE=")</f>
        <v>#VALUE!</v>
      </c>
      <c r="CU33" t="e">
        <f>AND(Plan1!B1186,"AAAAACfP/GI=")</f>
        <v>#VALUE!</v>
      </c>
      <c r="CV33" t="e">
        <f>AND(Plan1!C1186,"AAAAACfP/GM=")</f>
        <v>#VALUE!</v>
      </c>
      <c r="CW33" t="e">
        <f>AND(Plan1!D1186,"AAAAACfP/GQ=")</f>
        <v>#VALUE!</v>
      </c>
      <c r="CX33" t="e">
        <f>AND(Plan1!E1186,"AAAAACfP/GU=")</f>
        <v>#VALUE!</v>
      </c>
      <c r="CY33" t="e">
        <f>AND(Plan1!F1186,"AAAAACfP/GY=")</f>
        <v>#VALUE!</v>
      </c>
      <c r="CZ33">
        <f>IF(Plan1!1187:1187,"AAAAACfP/Gc=",0)</f>
        <v>0</v>
      </c>
      <c r="DA33" t="e">
        <f>AND(Plan1!A1187,"AAAAACfP/Gg=")</f>
        <v>#VALUE!</v>
      </c>
      <c r="DB33" t="e">
        <f>AND(Plan1!B1187,"AAAAACfP/Gk=")</f>
        <v>#VALUE!</v>
      </c>
      <c r="DC33" t="e">
        <f>AND(Plan1!C1187,"AAAAACfP/Go=")</f>
        <v>#VALUE!</v>
      </c>
      <c r="DD33" t="e">
        <f>AND(Plan1!D1187,"AAAAACfP/Gs=")</f>
        <v>#VALUE!</v>
      </c>
      <c r="DE33" t="e">
        <f>AND(Plan1!E1187,"AAAAACfP/Gw=")</f>
        <v>#VALUE!</v>
      </c>
      <c r="DF33" t="e">
        <f>AND(Plan1!F1187,"AAAAACfP/G0=")</f>
        <v>#VALUE!</v>
      </c>
      <c r="DG33">
        <f>IF(Plan1!1188:1188,"AAAAACfP/G4=",0)</f>
        <v>0</v>
      </c>
      <c r="DH33" t="e">
        <f>AND(Plan1!A1188,"AAAAACfP/G8=")</f>
        <v>#VALUE!</v>
      </c>
      <c r="DI33" t="e">
        <f>AND(Plan1!B1188,"AAAAACfP/HA=")</f>
        <v>#VALUE!</v>
      </c>
      <c r="DJ33" t="e">
        <f>AND(Plan1!C1188,"AAAAACfP/HE=")</f>
        <v>#VALUE!</v>
      </c>
      <c r="DK33" t="e">
        <f>AND(Plan1!D1188,"AAAAACfP/HI=")</f>
        <v>#VALUE!</v>
      </c>
      <c r="DL33" t="e">
        <f>AND(Plan1!E1188,"AAAAACfP/HM=")</f>
        <v>#VALUE!</v>
      </c>
      <c r="DM33" t="e">
        <f>AND(Plan1!F1188,"AAAAACfP/HQ=")</f>
        <v>#VALUE!</v>
      </c>
      <c r="DN33">
        <f>IF(Plan1!1189:1189,"AAAAACfP/HU=",0)</f>
        <v>0</v>
      </c>
      <c r="DO33" t="e">
        <f>AND(Plan1!A1189,"AAAAACfP/HY=")</f>
        <v>#VALUE!</v>
      </c>
      <c r="DP33" t="e">
        <f>AND(Plan1!B1189,"AAAAACfP/Hc=")</f>
        <v>#VALUE!</v>
      </c>
      <c r="DQ33" t="e">
        <f>AND(Plan1!C1189,"AAAAACfP/Hg=")</f>
        <v>#VALUE!</v>
      </c>
      <c r="DR33" t="e">
        <f>AND(Plan1!D1189,"AAAAACfP/Hk=")</f>
        <v>#VALUE!</v>
      </c>
      <c r="DS33" t="e">
        <f>AND(Plan1!E1189,"AAAAACfP/Ho=")</f>
        <v>#VALUE!</v>
      </c>
      <c r="DT33" t="e">
        <f>AND(Plan1!F1189,"AAAAACfP/Hs=")</f>
        <v>#VALUE!</v>
      </c>
      <c r="DU33">
        <f>IF(Plan1!1190:1190,"AAAAACfP/Hw=",0)</f>
        <v>0</v>
      </c>
      <c r="DV33" t="e">
        <f>AND(Plan1!A1190,"AAAAACfP/H0=")</f>
        <v>#VALUE!</v>
      </c>
      <c r="DW33" t="e">
        <f>AND(Plan1!B1190,"AAAAACfP/H4=")</f>
        <v>#VALUE!</v>
      </c>
      <c r="DX33" t="e">
        <f>AND(Plan1!C1190,"AAAAACfP/H8=")</f>
        <v>#VALUE!</v>
      </c>
      <c r="DY33" t="e">
        <f>AND(Plan1!D1190,"AAAAACfP/IA=")</f>
        <v>#VALUE!</v>
      </c>
      <c r="DZ33" t="e">
        <f>AND(Plan1!E1190,"AAAAACfP/IE=")</f>
        <v>#VALUE!</v>
      </c>
      <c r="EA33" t="e">
        <f>AND(Plan1!F1190,"AAAAACfP/II=")</f>
        <v>#VALUE!</v>
      </c>
      <c r="EB33">
        <f>IF(Plan1!1191:1191,"AAAAACfP/IM=",0)</f>
        <v>0</v>
      </c>
      <c r="EC33" t="e">
        <f>AND(Plan1!A1191,"AAAAACfP/IQ=")</f>
        <v>#VALUE!</v>
      </c>
      <c r="ED33" t="e">
        <f>AND(Plan1!B1191,"AAAAACfP/IU=")</f>
        <v>#VALUE!</v>
      </c>
      <c r="EE33" t="e">
        <f>AND(Plan1!C1191,"AAAAACfP/IY=")</f>
        <v>#VALUE!</v>
      </c>
      <c r="EF33" t="e">
        <f>AND(Plan1!D1191,"AAAAACfP/Ic=")</f>
        <v>#VALUE!</v>
      </c>
      <c r="EG33" t="e">
        <f>AND(Plan1!E1191,"AAAAACfP/Ig=")</f>
        <v>#VALUE!</v>
      </c>
      <c r="EH33" t="e">
        <f>AND(Plan1!F1191,"AAAAACfP/Ik=")</f>
        <v>#VALUE!</v>
      </c>
      <c r="EI33">
        <f>IF(Plan1!1192:1192,"AAAAACfP/Io=",0)</f>
        <v>0</v>
      </c>
      <c r="EJ33" t="e">
        <f>AND(Plan1!A1192,"AAAAACfP/Is=")</f>
        <v>#VALUE!</v>
      </c>
      <c r="EK33" t="e">
        <f>AND(Plan1!B1192,"AAAAACfP/Iw=")</f>
        <v>#VALUE!</v>
      </c>
      <c r="EL33" t="e">
        <f>AND(Plan1!C1192,"AAAAACfP/I0=")</f>
        <v>#VALUE!</v>
      </c>
      <c r="EM33" t="e">
        <f>AND(Plan1!D1192,"AAAAACfP/I4=")</f>
        <v>#VALUE!</v>
      </c>
      <c r="EN33" t="e">
        <f>AND(Plan1!E1192,"AAAAACfP/I8=")</f>
        <v>#VALUE!</v>
      </c>
      <c r="EO33" t="e">
        <f>AND(Plan1!F1192,"AAAAACfP/JA=")</f>
        <v>#VALUE!</v>
      </c>
      <c r="EP33">
        <f>IF(Plan1!1193:1193,"AAAAACfP/JE=",0)</f>
        <v>0</v>
      </c>
      <c r="EQ33" t="e">
        <f>AND(Plan1!A1193,"AAAAACfP/JI=")</f>
        <v>#VALUE!</v>
      </c>
      <c r="ER33" t="e">
        <f>AND(Plan1!B1193,"AAAAACfP/JM=")</f>
        <v>#VALUE!</v>
      </c>
      <c r="ES33" t="e">
        <f>AND(Plan1!C1193,"AAAAACfP/JQ=")</f>
        <v>#VALUE!</v>
      </c>
      <c r="ET33" t="e">
        <f>AND(Plan1!D1193,"AAAAACfP/JU=")</f>
        <v>#VALUE!</v>
      </c>
      <c r="EU33" t="e">
        <f>AND(Plan1!E1193,"AAAAACfP/JY=")</f>
        <v>#VALUE!</v>
      </c>
      <c r="EV33" t="e">
        <f>AND(Plan1!F1193,"AAAAACfP/Jc=")</f>
        <v>#VALUE!</v>
      </c>
      <c r="EW33">
        <f>IF(Plan1!1194:1194,"AAAAACfP/Jg=",0)</f>
        <v>0</v>
      </c>
      <c r="EX33" t="e">
        <f>AND(Plan1!A1194,"AAAAACfP/Jk=")</f>
        <v>#VALUE!</v>
      </c>
      <c r="EY33" t="e">
        <f>AND(Plan1!B1194,"AAAAACfP/Jo=")</f>
        <v>#VALUE!</v>
      </c>
      <c r="EZ33" t="e">
        <f>AND(Plan1!C1194,"AAAAACfP/Js=")</f>
        <v>#VALUE!</v>
      </c>
      <c r="FA33" t="e">
        <f>AND(Plan1!D1194,"AAAAACfP/Jw=")</f>
        <v>#VALUE!</v>
      </c>
      <c r="FB33" t="e">
        <f>AND(Plan1!E1194,"AAAAACfP/J0=")</f>
        <v>#VALUE!</v>
      </c>
      <c r="FC33" t="e">
        <f>AND(Plan1!F1194,"AAAAACfP/J4=")</f>
        <v>#VALUE!</v>
      </c>
      <c r="FD33">
        <f>IF(Plan1!1195:1195,"AAAAACfP/J8=",0)</f>
        <v>0</v>
      </c>
      <c r="FE33" t="e">
        <f>AND(Plan1!A1195,"AAAAACfP/KA=")</f>
        <v>#VALUE!</v>
      </c>
      <c r="FF33" t="e">
        <f>AND(Plan1!B1195,"AAAAACfP/KE=")</f>
        <v>#VALUE!</v>
      </c>
      <c r="FG33" t="e">
        <f>AND(Plan1!C1195,"AAAAACfP/KI=")</f>
        <v>#VALUE!</v>
      </c>
      <c r="FH33" t="e">
        <f>AND(Plan1!D1195,"AAAAACfP/KM=")</f>
        <v>#VALUE!</v>
      </c>
      <c r="FI33" t="e">
        <f>AND(Plan1!E1195,"AAAAACfP/KQ=")</f>
        <v>#VALUE!</v>
      </c>
      <c r="FJ33" t="e">
        <f>AND(Plan1!F1195,"AAAAACfP/KU=")</f>
        <v>#VALUE!</v>
      </c>
      <c r="FK33">
        <f>IF(Plan1!1196:1196,"AAAAACfP/KY=",0)</f>
        <v>0</v>
      </c>
      <c r="FL33" t="e">
        <f>AND(Plan1!A1196,"AAAAACfP/Kc=")</f>
        <v>#VALUE!</v>
      </c>
      <c r="FM33" t="e">
        <f>AND(Plan1!B1196,"AAAAACfP/Kg=")</f>
        <v>#VALUE!</v>
      </c>
      <c r="FN33" t="e">
        <f>AND(Plan1!C1196,"AAAAACfP/Kk=")</f>
        <v>#VALUE!</v>
      </c>
      <c r="FO33" t="e">
        <f>AND(Plan1!D1196,"AAAAACfP/Ko=")</f>
        <v>#VALUE!</v>
      </c>
      <c r="FP33" t="e">
        <f>AND(Plan1!E1196,"AAAAACfP/Ks=")</f>
        <v>#VALUE!</v>
      </c>
      <c r="FQ33" t="e">
        <f>AND(Plan1!F1196,"AAAAACfP/Kw=")</f>
        <v>#VALUE!</v>
      </c>
      <c r="FR33">
        <f>IF(Plan1!1197:1197,"AAAAACfP/K0=",0)</f>
        <v>0</v>
      </c>
      <c r="FS33" t="e">
        <f>AND(Plan1!A1197,"AAAAACfP/K4=")</f>
        <v>#VALUE!</v>
      </c>
      <c r="FT33" t="e">
        <f>AND(Plan1!B1197,"AAAAACfP/K8=")</f>
        <v>#VALUE!</v>
      </c>
      <c r="FU33" t="e">
        <f>AND(Plan1!C1197,"AAAAACfP/LA=")</f>
        <v>#VALUE!</v>
      </c>
      <c r="FV33" t="e">
        <f>AND(Plan1!D1197,"AAAAACfP/LE=")</f>
        <v>#VALUE!</v>
      </c>
      <c r="FW33" t="e">
        <f>AND(Plan1!E1197,"AAAAACfP/LI=")</f>
        <v>#VALUE!</v>
      </c>
      <c r="FX33" t="e">
        <f>AND(Plan1!F1197,"AAAAACfP/LM=")</f>
        <v>#VALUE!</v>
      </c>
      <c r="FY33">
        <f>IF(Plan1!1198:1198,"AAAAACfP/LQ=",0)</f>
        <v>0</v>
      </c>
      <c r="FZ33" t="e">
        <f>AND(Plan1!A1198,"AAAAACfP/LU=")</f>
        <v>#VALUE!</v>
      </c>
      <c r="GA33" t="e">
        <f>AND(Plan1!B1198,"AAAAACfP/LY=")</f>
        <v>#VALUE!</v>
      </c>
      <c r="GB33" t="e">
        <f>AND(Plan1!C1198,"AAAAACfP/Lc=")</f>
        <v>#VALUE!</v>
      </c>
      <c r="GC33" t="e">
        <f>AND(Plan1!D1198,"AAAAACfP/Lg=")</f>
        <v>#VALUE!</v>
      </c>
      <c r="GD33" t="e">
        <f>AND(Plan1!E1198,"AAAAACfP/Lk=")</f>
        <v>#VALUE!</v>
      </c>
      <c r="GE33" t="e">
        <f>AND(Plan1!F1198,"AAAAACfP/Lo=")</f>
        <v>#VALUE!</v>
      </c>
      <c r="GF33">
        <f>IF(Plan1!1199:1199,"AAAAACfP/Ls=",0)</f>
        <v>0</v>
      </c>
      <c r="GG33" t="e">
        <f>AND(Plan1!A1199,"AAAAACfP/Lw=")</f>
        <v>#VALUE!</v>
      </c>
      <c r="GH33" t="e">
        <f>AND(Plan1!B1199,"AAAAACfP/L0=")</f>
        <v>#VALUE!</v>
      </c>
      <c r="GI33" t="e">
        <f>AND(Plan1!C1199,"AAAAACfP/L4=")</f>
        <v>#VALUE!</v>
      </c>
      <c r="GJ33" t="e">
        <f>AND(Plan1!D1199,"AAAAACfP/L8=")</f>
        <v>#VALUE!</v>
      </c>
      <c r="GK33" t="e">
        <f>AND(Plan1!E1199,"AAAAACfP/MA=")</f>
        <v>#VALUE!</v>
      </c>
      <c r="GL33" t="e">
        <f>AND(Plan1!F1199,"AAAAACfP/ME=")</f>
        <v>#VALUE!</v>
      </c>
      <c r="GM33">
        <f>IF(Plan1!1200:1200,"AAAAACfP/MI=",0)</f>
        <v>0</v>
      </c>
      <c r="GN33" t="e">
        <f>AND(Plan1!A1200,"AAAAACfP/MM=")</f>
        <v>#VALUE!</v>
      </c>
      <c r="GO33" t="e">
        <f>AND(Plan1!B1200,"AAAAACfP/MQ=")</f>
        <v>#VALUE!</v>
      </c>
      <c r="GP33" t="e">
        <f>AND(Plan1!C1200,"AAAAACfP/MU=")</f>
        <v>#VALUE!</v>
      </c>
      <c r="GQ33" t="e">
        <f>AND(Plan1!D1200,"AAAAACfP/MY=")</f>
        <v>#VALUE!</v>
      </c>
      <c r="GR33" t="e">
        <f>AND(Plan1!E1200,"AAAAACfP/Mc=")</f>
        <v>#VALUE!</v>
      </c>
      <c r="GS33" t="e">
        <f>AND(Plan1!F1200,"AAAAACfP/Mg=")</f>
        <v>#VALUE!</v>
      </c>
      <c r="GT33">
        <f>IF(Plan1!1201:1201,"AAAAACfP/Mk=",0)</f>
        <v>0</v>
      </c>
      <c r="GU33" t="e">
        <f>AND(Plan1!A1201,"AAAAACfP/Mo=")</f>
        <v>#VALUE!</v>
      </c>
      <c r="GV33" t="e">
        <f>AND(Plan1!B1201,"AAAAACfP/Ms=")</f>
        <v>#VALUE!</v>
      </c>
      <c r="GW33" t="e">
        <f>AND(Plan1!C1201,"AAAAACfP/Mw=")</f>
        <v>#VALUE!</v>
      </c>
      <c r="GX33" t="e">
        <f>AND(Plan1!D1201,"AAAAACfP/M0=")</f>
        <v>#VALUE!</v>
      </c>
      <c r="GY33" t="e">
        <f>AND(Plan1!E1201,"AAAAACfP/M4=")</f>
        <v>#VALUE!</v>
      </c>
      <c r="GZ33" t="e">
        <f>AND(Plan1!F1201,"AAAAACfP/M8=")</f>
        <v>#VALUE!</v>
      </c>
      <c r="HA33">
        <f>IF(Plan1!1202:1202,"AAAAACfP/NA=",0)</f>
        <v>0</v>
      </c>
      <c r="HB33" t="e">
        <f>AND(Plan1!A1202,"AAAAACfP/NE=")</f>
        <v>#VALUE!</v>
      </c>
      <c r="HC33" t="e">
        <f>AND(Plan1!B1202,"AAAAACfP/NI=")</f>
        <v>#VALUE!</v>
      </c>
      <c r="HD33" t="e">
        <f>AND(Plan1!C1202,"AAAAACfP/NM=")</f>
        <v>#VALUE!</v>
      </c>
      <c r="HE33" t="e">
        <f>AND(Plan1!D1202,"AAAAACfP/NQ=")</f>
        <v>#VALUE!</v>
      </c>
      <c r="HF33" t="e">
        <f>AND(Plan1!E1202,"AAAAACfP/NU=")</f>
        <v>#VALUE!</v>
      </c>
      <c r="HG33" t="e">
        <f>AND(Plan1!F1202,"AAAAACfP/NY=")</f>
        <v>#VALUE!</v>
      </c>
      <c r="HH33">
        <f>IF(Plan1!1203:1203,"AAAAACfP/Nc=",0)</f>
        <v>0</v>
      </c>
      <c r="HI33" t="e">
        <f>AND(Plan1!A1203,"AAAAACfP/Ng=")</f>
        <v>#VALUE!</v>
      </c>
      <c r="HJ33" t="e">
        <f>AND(Plan1!B1203,"AAAAACfP/Nk=")</f>
        <v>#VALUE!</v>
      </c>
      <c r="HK33" t="e">
        <f>AND(Plan1!C1203,"AAAAACfP/No=")</f>
        <v>#VALUE!</v>
      </c>
      <c r="HL33" t="e">
        <f>AND(Plan1!D1203,"AAAAACfP/Ns=")</f>
        <v>#VALUE!</v>
      </c>
      <c r="HM33" t="e">
        <f>AND(Plan1!E1203,"AAAAACfP/Nw=")</f>
        <v>#VALUE!</v>
      </c>
      <c r="HN33" t="e">
        <f>AND(Plan1!F1203,"AAAAACfP/N0=")</f>
        <v>#VALUE!</v>
      </c>
      <c r="HO33">
        <f>IF(Plan1!1204:1204,"AAAAACfP/N4=",0)</f>
        <v>0</v>
      </c>
      <c r="HP33" t="e">
        <f>AND(Plan1!A1204,"AAAAACfP/N8=")</f>
        <v>#VALUE!</v>
      </c>
      <c r="HQ33" t="e">
        <f>AND(Plan1!B1204,"AAAAACfP/OA=")</f>
        <v>#VALUE!</v>
      </c>
      <c r="HR33" t="e">
        <f>AND(Plan1!C1204,"AAAAACfP/OE=")</f>
        <v>#VALUE!</v>
      </c>
      <c r="HS33" t="e">
        <f>AND(Plan1!D1204,"AAAAACfP/OI=")</f>
        <v>#VALUE!</v>
      </c>
      <c r="HT33" t="e">
        <f>AND(Plan1!E1204,"AAAAACfP/OM=")</f>
        <v>#VALUE!</v>
      </c>
      <c r="HU33" t="e">
        <f>AND(Plan1!F1204,"AAAAACfP/OQ=")</f>
        <v>#VALUE!</v>
      </c>
      <c r="HV33">
        <f>IF(Plan1!1205:1205,"AAAAACfP/OU=",0)</f>
        <v>0</v>
      </c>
      <c r="HW33" t="e">
        <f>AND(Plan1!A1205,"AAAAACfP/OY=")</f>
        <v>#VALUE!</v>
      </c>
      <c r="HX33" t="e">
        <f>AND(Plan1!B1205,"AAAAACfP/Oc=")</f>
        <v>#VALUE!</v>
      </c>
      <c r="HY33" t="e">
        <f>AND(Plan1!C1205,"AAAAACfP/Og=")</f>
        <v>#VALUE!</v>
      </c>
      <c r="HZ33" t="e">
        <f>AND(Plan1!D1205,"AAAAACfP/Ok=")</f>
        <v>#VALUE!</v>
      </c>
      <c r="IA33" t="e">
        <f>AND(Plan1!E1205,"AAAAACfP/Oo=")</f>
        <v>#VALUE!</v>
      </c>
      <c r="IB33" t="e">
        <f>AND(Plan1!F1205,"AAAAACfP/Os=")</f>
        <v>#VALUE!</v>
      </c>
      <c r="IC33">
        <f>IF(Plan1!1206:1206,"AAAAACfP/Ow=",0)</f>
        <v>0</v>
      </c>
      <c r="ID33" t="e">
        <f>AND(Plan1!A1206,"AAAAACfP/O0=")</f>
        <v>#VALUE!</v>
      </c>
      <c r="IE33" t="e">
        <f>AND(Plan1!B1206,"AAAAACfP/O4=")</f>
        <v>#VALUE!</v>
      </c>
      <c r="IF33" t="e">
        <f>AND(Plan1!C1206,"AAAAACfP/O8=")</f>
        <v>#VALUE!</v>
      </c>
      <c r="IG33" t="e">
        <f>AND(Plan1!D1206,"AAAAACfP/PA=")</f>
        <v>#VALUE!</v>
      </c>
      <c r="IH33" t="e">
        <f>AND(Plan1!E1206,"AAAAACfP/PE=")</f>
        <v>#VALUE!</v>
      </c>
      <c r="II33" t="e">
        <f>AND(Plan1!F1206,"AAAAACfP/PI=")</f>
        <v>#VALUE!</v>
      </c>
      <c r="IJ33">
        <f>IF(Plan1!1207:1207,"AAAAACfP/PM=",0)</f>
        <v>0</v>
      </c>
      <c r="IK33" t="e">
        <f>AND(Plan1!A1207,"AAAAACfP/PQ=")</f>
        <v>#VALUE!</v>
      </c>
      <c r="IL33" t="e">
        <f>AND(Plan1!B1207,"AAAAACfP/PU=")</f>
        <v>#VALUE!</v>
      </c>
      <c r="IM33" t="e">
        <f>AND(Plan1!C1207,"AAAAACfP/PY=")</f>
        <v>#VALUE!</v>
      </c>
      <c r="IN33" t="e">
        <f>AND(Plan1!D1207,"AAAAACfP/Pc=")</f>
        <v>#VALUE!</v>
      </c>
      <c r="IO33" t="e">
        <f>AND(Plan1!E1207,"AAAAACfP/Pg=")</f>
        <v>#VALUE!</v>
      </c>
      <c r="IP33" t="e">
        <f>AND(Plan1!F1207,"AAAAACfP/Pk=")</f>
        <v>#VALUE!</v>
      </c>
      <c r="IQ33">
        <f>IF(Plan1!1208:1208,"AAAAACfP/Po=",0)</f>
        <v>0</v>
      </c>
      <c r="IR33" t="e">
        <f>AND(Plan1!A1208,"AAAAACfP/Ps=")</f>
        <v>#VALUE!</v>
      </c>
      <c r="IS33" t="e">
        <f>AND(Plan1!B1208,"AAAAACfP/Pw=")</f>
        <v>#VALUE!</v>
      </c>
      <c r="IT33" t="e">
        <f>AND(Plan1!C1208,"AAAAACfP/P0=")</f>
        <v>#VALUE!</v>
      </c>
      <c r="IU33" t="e">
        <f>AND(Plan1!D1208,"AAAAACfP/P4=")</f>
        <v>#VALUE!</v>
      </c>
      <c r="IV33" t="e">
        <f>AND(Plan1!E1208,"AAAAACfP/P8=")</f>
        <v>#VALUE!</v>
      </c>
    </row>
    <row r="34" spans="1:256">
      <c r="A34" t="e">
        <f>AND(Plan1!F1208,"AAAAAH1V6QA=")</f>
        <v>#VALUE!</v>
      </c>
      <c r="B34" t="e">
        <f>IF(Plan1!1209:1209,"AAAAAH1V6QE=",0)</f>
        <v>#VALUE!</v>
      </c>
      <c r="C34" t="e">
        <f>AND(Plan1!A1209,"AAAAAH1V6QI=")</f>
        <v>#VALUE!</v>
      </c>
      <c r="D34" t="e">
        <f>AND(Plan1!B1209,"AAAAAH1V6QM=")</f>
        <v>#VALUE!</v>
      </c>
      <c r="E34" t="e">
        <f>AND(Plan1!C1209,"AAAAAH1V6QQ=")</f>
        <v>#VALUE!</v>
      </c>
      <c r="F34" t="e">
        <f>AND(Plan1!D1209,"AAAAAH1V6QU=")</f>
        <v>#VALUE!</v>
      </c>
      <c r="G34" t="e">
        <f>AND(Plan1!E1209,"AAAAAH1V6QY=")</f>
        <v>#VALUE!</v>
      </c>
      <c r="H34" t="e">
        <f>AND(Plan1!F1209,"AAAAAH1V6Qc=")</f>
        <v>#VALUE!</v>
      </c>
      <c r="I34">
        <f>IF(Plan1!1210:1210,"AAAAAH1V6Qg=",0)</f>
        <v>0</v>
      </c>
      <c r="J34" t="e">
        <f>AND(Plan1!A1210,"AAAAAH1V6Qk=")</f>
        <v>#VALUE!</v>
      </c>
      <c r="K34" t="e">
        <f>AND(Plan1!B1210,"AAAAAH1V6Qo=")</f>
        <v>#VALUE!</v>
      </c>
      <c r="L34" t="e">
        <f>AND(Plan1!C1210,"AAAAAH1V6Qs=")</f>
        <v>#VALUE!</v>
      </c>
      <c r="M34" t="e">
        <f>AND(Plan1!D1210,"AAAAAH1V6Qw=")</f>
        <v>#VALUE!</v>
      </c>
      <c r="N34" t="e">
        <f>AND(Plan1!E1210,"AAAAAH1V6Q0=")</f>
        <v>#VALUE!</v>
      </c>
      <c r="O34" t="e">
        <f>AND(Plan1!F1210,"AAAAAH1V6Q4=")</f>
        <v>#VALUE!</v>
      </c>
      <c r="P34">
        <f>IF(Plan1!1211:1211,"AAAAAH1V6Q8=",0)</f>
        <v>0</v>
      </c>
      <c r="Q34" t="e">
        <f>AND(Plan1!A1211,"AAAAAH1V6RA=")</f>
        <v>#VALUE!</v>
      </c>
      <c r="R34" t="e">
        <f>AND(Plan1!B1211,"AAAAAH1V6RE=")</f>
        <v>#VALUE!</v>
      </c>
      <c r="S34" t="e">
        <f>AND(Plan1!C1211,"AAAAAH1V6RI=")</f>
        <v>#VALUE!</v>
      </c>
      <c r="T34" t="e">
        <f>AND(Plan1!D1211,"AAAAAH1V6RM=")</f>
        <v>#VALUE!</v>
      </c>
      <c r="U34" t="e">
        <f>AND(Plan1!E1211,"AAAAAH1V6RQ=")</f>
        <v>#VALUE!</v>
      </c>
      <c r="V34" t="e">
        <f>AND(Plan1!F1211,"AAAAAH1V6RU=")</f>
        <v>#VALUE!</v>
      </c>
      <c r="W34">
        <f>IF(Plan1!1212:1212,"AAAAAH1V6RY=",0)</f>
        <v>0</v>
      </c>
      <c r="X34" t="e">
        <f>AND(Plan1!A1212,"AAAAAH1V6Rc=")</f>
        <v>#VALUE!</v>
      </c>
      <c r="Y34" t="e">
        <f>AND(Plan1!B1212,"AAAAAH1V6Rg=")</f>
        <v>#VALUE!</v>
      </c>
      <c r="Z34" t="e">
        <f>AND(Plan1!C1212,"AAAAAH1V6Rk=")</f>
        <v>#VALUE!</v>
      </c>
      <c r="AA34" t="e">
        <f>AND(Plan1!D1212,"AAAAAH1V6Ro=")</f>
        <v>#VALUE!</v>
      </c>
      <c r="AB34" t="e">
        <f>AND(Plan1!E1212,"AAAAAH1V6Rs=")</f>
        <v>#VALUE!</v>
      </c>
      <c r="AC34" t="e">
        <f>AND(Plan1!F1212,"AAAAAH1V6Rw=")</f>
        <v>#VALUE!</v>
      </c>
      <c r="AD34">
        <f>IF(Plan1!1213:1213,"AAAAAH1V6R0=",0)</f>
        <v>0</v>
      </c>
      <c r="AE34" t="e">
        <f>AND(Plan1!A1213,"AAAAAH1V6R4=")</f>
        <v>#VALUE!</v>
      </c>
      <c r="AF34" t="e">
        <f>AND(Plan1!B1213,"AAAAAH1V6R8=")</f>
        <v>#VALUE!</v>
      </c>
      <c r="AG34" t="e">
        <f>AND(Plan1!C1213,"AAAAAH1V6SA=")</f>
        <v>#VALUE!</v>
      </c>
      <c r="AH34" t="e">
        <f>AND(Plan1!D1213,"AAAAAH1V6SE=")</f>
        <v>#VALUE!</v>
      </c>
      <c r="AI34" t="e">
        <f>AND(Plan1!E1213,"AAAAAH1V6SI=")</f>
        <v>#VALUE!</v>
      </c>
      <c r="AJ34" t="e">
        <f>AND(Plan1!F1213,"AAAAAH1V6SM=")</f>
        <v>#VALUE!</v>
      </c>
      <c r="AK34">
        <f>IF(Plan1!1214:1214,"AAAAAH1V6SQ=",0)</f>
        <v>0</v>
      </c>
      <c r="AL34" t="e">
        <f>AND(Plan1!A1214,"AAAAAH1V6SU=")</f>
        <v>#VALUE!</v>
      </c>
      <c r="AM34" t="e">
        <f>AND(Plan1!B1214,"AAAAAH1V6SY=")</f>
        <v>#VALUE!</v>
      </c>
      <c r="AN34" t="e">
        <f>AND(Plan1!C1214,"AAAAAH1V6Sc=")</f>
        <v>#VALUE!</v>
      </c>
      <c r="AO34" t="e">
        <f>AND(Plan1!D1214,"AAAAAH1V6Sg=")</f>
        <v>#VALUE!</v>
      </c>
      <c r="AP34" t="e">
        <f>AND(Plan1!E1214,"AAAAAH1V6Sk=")</f>
        <v>#VALUE!</v>
      </c>
      <c r="AQ34" t="e">
        <f>AND(Plan1!F1214,"AAAAAH1V6So=")</f>
        <v>#VALUE!</v>
      </c>
      <c r="AR34">
        <f>IF(Plan1!1215:1215,"AAAAAH1V6Ss=",0)</f>
        <v>0</v>
      </c>
      <c r="AS34" t="e">
        <f>AND(Plan1!A1215,"AAAAAH1V6Sw=")</f>
        <v>#VALUE!</v>
      </c>
      <c r="AT34" t="e">
        <f>AND(Plan1!B1215,"AAAAAH1V6S0=")</f>
        <v>#VALUE!</v>
      </c>
      <c r="AU34" t="e">
        <f>AND(Plan1!C1215,"AAAAAH1V6S4=")</f>
        <v>#VALUE!</v>
      </c>
      <c r="AV34" t="e">
        <f>AND(Plan1!D1215,"AAAAAH1V6S8=")</f>
        <v>#VALUE!</v>
      </c>
      <c r="AW34" t="e">
        <f>AND(Plan1!E1215,"AAAAAH1V6TA=")</f>
        <v>#VALUE!</v>
      </c>
      <c r="AX34" t="e">
        <f>AND(Plan1!F1215,"AAAAAH1V6TE=")</f>
        <v>#VALUE!</v>
      </c>
      <c r="AY34">
        <f>IF(Plan1!1216:1216,"AAAAAH1V6TI=",0)</f>
        <v>0</v>
      </c>
      <c r="AZ34" t="e">
        <f>AND(Plan1!A1216,"AAAAAH1V6TM=")</f>
        <v>#VALUE!</v>
      </c>
      <c r="BA34" t="e">
        <f>AND(Plan1!B1216,"AAAAAH1V6TQ=")</f>
        <v>#VALUE!</v>
      </c>
      <c r="BB34" t="e">
        <f>AND(Plan1!C1216,"AAAAAH1V6TU=")</f>
        <v>#VALUE!</v>
      </c>
      <c r="BC34" t="e">
        <f>AND(Plan1!D1216,"AAAAAH1V6TY=")</f>
        <v>#VALUE!</v>
      </c>
      <c r="BD34" t="e">
        <f>AND(Plan1!E1216,"AAAAAH1V6Tc=")</f>
        <v>#VALUE!</v>
      </c>
      <c r="BE34" t="e">
        <f>AND(Plan1!F1216,"AAAAAH1V6Tg=")</f>
        <v>#VALUE!</v>
      </c>
      <c r="BF34">
        <f>IF(Plan1!1217:1217,"AAAAAH1V6Tk=",0)</f>
        <v>0</v>
      </c>
      <c r="BG34" t="e">
        <f>AND(Plan1!A1217,"AAAAAH1V6To=")</f>
        <v>#VALUE!</v>
      </c>
      <c r="BH34" t="e">
        <f>AND(Plan1!B1217,"AAAAAH1V6Ts=")</f>
        <v>#VALUE!</v>
      </c>
      <c r="BI34" t="e">
        <f>AND(Plan1!C1217,"AAAAAH1V6Tw=")</f>
        <v>#VALUE!</v>
      </c>
      <c r="BJ34" t="e">
        <f>AND(Plan1!D1217,"AAAAAH1V6T0=")</f>
        <v>#VALUE!</v>
      </c>
      <c r="BK34" t="e">
        <f>AND(Plan1!E1217,"AAAAAH1V6T4=")</f>
        <v>#VALUE!</v>
      </c>
      <c r="BL34" t="e">
        <f>AND(Plan1!F1217,"AAAAAH1V6T8=")</f>
        <v>#VALUE!</v>
      </c>
      <c r="BM34">
        <f>IF(Plan1!1218:1218,"AAAAAH1V6UA=",0)</f>
        <v>0</v>
      </c>
      <c r="BN34" t="e">
        <f>AND(Plan1!A1218,"AAAAAH1V6UE=")</f>
        <v>#VALUE!</v>
      </c>
      <c r="BO34" t="e">
        <f>AND(Plan1!B1218,"AAAAAH1V6UI=")</f>
        <v>#VALUE!</v>
      </c>
      <c r="BP34" t="e">
        <f>AND(Plan1!C1218,"AAAAAH1V6UM=")</f>
        <v>#VALUE!</v>
      </c>
      <c r="BQ34" t="e">
        <f>AND(Plan1!D1218,"AAAAAH1V6UQ=")</f>
        <v>#VALUE!</v>
      </c>
      <c r="BR34" t="e">
        <f>AND(Plan1!E1218,"AAAAAH1V6UU=")</f>
        <v>#VALUE!</v>
      </c>
      <c r="BS34" t="e">
        <f>AND(Plan1!F1218,"AAAAAH1V6UY=")</f>
        <v>#VALUE!</v>
      </c>
      <c r="BT34">
        <f>IF(Plan1!1219:1219,"AAAAAH1V6Uc=",0)</f>
        <v>0</v>
      </c>
      <c r="BU34" t="e">
        <f>AND(Plan1!A1219,"AAAAAH1V6Ug=")</f>
        <v>#VALUE!</v>
      </c>
      <c r="BV34" t="e">
        <f>AND(Plan1!B1219,"AAAAAH1V6Uk=")</f>
        <v>#VALUE!</v>
      </c>
      <c r="BW34" t="e">
        <f>AND(Plan1!C1219,"AAAAAH1V6Uo=")</f>
        <v>#VALUE!</v>
      </c>
      <c r="BX34" t="e">
        <f>AND(Plan1!D1219,"AAAAAH1V6Us=")</f>
        <v>#VALUE!</v>
      </c>
      <c r="BY34" t="e">
        <f>AND(Plan1!E1219,"AAAAAH1V6Uw=")</f>
        <v>#VALUE!</v>
      </c>
      <c r="BZ34" t="e">
        <f>AND(Plan1!F1219,"AAAAAH1V6U0=")</f>
        <v>#VALUE!</v>
      </c>
      <c r="CA34">
        <f>IF(Plan1!1220:1220,"AAAAAH1V6U4=",0)</f>
        <v>0</v>
      </c>
      <c r="CB34" t="e">
        <f>AND(Plan1!A1220,"AAAAAH1V6U8=")</f>
        <v>#VALUE!</v>
      </c>
      <c r="CC34" t="e">
        <f>AND(Plan1!B1220,"AAAAAH1V6VA=")</f>
        <v>#VALUE!</v>
      </c>
      <c r="CD34" t="e">
        <f>AND(Plan1!C1220,"AAAAAH1V6VE=")</f>
        <v>#VALUE!</v>
      </c>
      <c r="CE34" t="e">
        <f>AND(Plan1!D1220,"AAAAAH1V6VI=")</f>
        <v>#VALUE!</v>
      </c>
      <c r="CF34" t="e">
        <f>AND(Plan1!E1220,"AAAAAH1V6VM=")</f>
        <v>#VALUE!</v>
      </c>
      <c r="CG34" t="e">
        <f>AND(Plan1!F1220,"AAAAAH1V6VQ=")</f>
        <v>#VALUE!</v>
      </c>
      <c r="CH34">
        <f>IF(Plan1!1221:1221,"AAAAAH1V6VU=",0)</f>
        <v>0</v>
      </c>
      <c r="CI34" t="e">
        <f>AND(Plan1!A1221,"AAAAAH1V6VY=")</f>
        <v>#VALUE!</v>
      </c>
      <c r="CJ34" t="e">
        <f>AND(Plan1!B1221,"AAAAAH1V6Vc=")</f>
        <v>#VALUE!</v>
      </c>
      <c r="CK34" t="e">
        <f>AND(Plan1!C1221,"AAAAAH1V6Vg=")</f>
        <v>#VALUE!</v>
      </c>
      <c r="CL34" t="e">
        <f>AND(Plan1!D1221,"AAAAAH1V6Vk=")</f>
        <v>#VALUE!</v>
      </c>
      <c r="CM34" t="e">
        <f>AND(Plan1!E1221,"AAAAAH1V6Vo=")</f>
        <v>#VALUE!</v>
      </c>
      <c r="CN34" t="e">
        <f>AND(Plan1!F1221,"AAAAAH1V6Vs=")</f>
        <v>#VALUE!</v>
      </c>
      <c r="CO34">
        <f>IF(Plan1!1222:1222,"AAAAAH1V6Vw=",0)</f>
        <v>0</v>
      </c>
      <c r="CP34" t="e">
        <f>AND(Plan1!A1222,"AAAAAH1V6V0=")</f>
        <v>#VALUE!</v>
      </c>
      <c r="CQ34" t="e">
        <f>AND(Plan1!B1222,"AAAAAH1V6V4=")</f>
        <v>#VALUE!</v>
      </c>
      <c r="CR34" t="e">
        <f>AND(Plan1!C1222,"AAAAAH1V6V8=")</f>
        <v>#VALUE!</v>
      </c>
      <c r="CS34" t="e">
        <f>AND(Plan1!D1222,"AAAAAH1V6WA=")</f>
        <v>#VALUE!</v>
      </c>
      <c r="CT34" t="e">
        <f>AND(Plan1!E1222,"AAAAAH1V6WE=")</f>
        <v>#VALUE!</v>
      </c>
      <c r="CU34" t="e">
        <f>AND(Plan1!F1222,"AAAAAH1V6WI=")</f>
        <v>#VALUE!</v>
      </c>
      <c r="CV34">
        <f>IF(Plan1!1223:1223,"AAAAAH1V6WM=",0)</f>
        <v>0</v>
      </c>
      <c r="CW34" t="e">
        <f>AND(Plan1!A1223,"AAAAAH1V6WQ=")</f>
        <v>#VALUE!</v>
      </c>
      <c r="CX34" t="e">
        <f>AND(Plan1!B1223,"AAAAAH1V6WU=")</f>
        <v>#VALUE!</v>
      </c>
      <c r="CY34" t="e">
        <f>AND(Plan1!C1223,"AAAAAH1V6WY=")</f>
        <v>#VALUE!</v>
      </c>
      <c r="CZ34" t="e">
        <f>AND(Plan1!D1223,"AAAAAH1V6Wc=")</f>
        <v>#VALUE!</v>
      </c>
      <c r="DA34" t="e">
        <f>AND(Plan1!E1223,"AAAAAH1V6Wg=")</f>
        <v>#VALUE!</v>
      </c>
      <c r="DB34" t="e">
        <f>AND(Plan1!F1223,"AAAAAH1V6Wk=")</f>
        <v>#VALUE!</v>
      </c>
      <c r="DC34">
        <f>IF(Plan1!1224:1224,"AAAAAH1V6Wo=",0)</f>
        <v>0</v>
      </c>
      <c r="DD34" t="e">
        <f>AND(Plan1!A1224,"AAAAAH1V6Ws=")</f>
        <v>#VALUE!</v>
      </c>
      <c r="DE34" t="e">
        <f>AND(Plan1!B1224,"AAAAAH1V6Ww=")</f>
        <v>#VALUE!</v>
      </c>
      <c r="DF34" t="e">
        <f>AND(Plan1!C1224,"AAAAAH1V6W0=")</f>
        <v>#VALUE!</v>
      </c>
      <c r="DG34" t="e">
        <f>AND(Plan1!D1224,"AAAAAH1V6W4=")</f>
        <v>#VALUE!</v>
      </c>
      <c r="DH34" t="e">
        <f>AND(Plan1!E1224,"AAAAAH1V6W8=")</f>
        <v>#VALUE!</v>
      </c>
      <c r="DI34" t="e">
        <f>AND(Plan1!F1224,"AAAAAH1V6XA=")</f>
        <v>#VALUE!</v>
      </c>
      <c r="DJ34">
        <f>IF(Plan1!1225:1225,"AAAAAH1V6XE=",0)</f>
        <v>0</v>
      </c>
      <c r="DK34" t="e">
        <f>AND(Plan1!A1225,"AAAAAH1V6XI=")</f>
        <v>#VALUE!</v>
      </c>
      <c r="DL34" t="e">
        <f>AND(Plan1!B1225,"AAAAAH1V6XM=")</f>
        <v>#VALUE!</v>
      </c>
      <c r="DM34" t="e">
        <f>AND(Plan1!C1225,"AAAAAH1V6XQ=")</f>
        <v>#VALUE!</v>
      </c>
      <c r="DN34" t="e">
        <f>AND(Plan1!D1225,"AAAAAH1V6XU=")</f>
        <v>#VALUE!</v>
      </c>
      <c r="DO34" t="e">
        <f>AND(Plan1!E1225,"AAAAAH1V6XY=")</f>
        <v>#VALUE!</v>
      </c>
      <c r="DP34" t="e">
        <f>AND(Plan1!F1225,"AAAAAH1V6Xc=")</f>
        <v>#VALUE!</v>
      </c>
      <c r="DQ34">
        <f>IF(Plan1!1226:1226,"AAAAAH1V6Xg=",0)</f>
        <v>0</v>
      </c>
      <c r="DR34" t="e">
        <f>AND(Plan1!A1226,"AAAAAH1V6Xk=")</f>
        <v>#VALUE!</v>
      </c>
      <c r="DS34" t="e">
        <f>AND(Plan1!B1226,"AAAAAH1V6Xo=")</f>
        <v>#VALUE!</v>
      </c>
      <c r="DT34" t="e">
        <f>AND(Plan1!C1226,"AAAAAH1V6Xs=")</f>
        <v>#VALUE!</v>
      </c>
      <c r="DU34" t="e">
        <f>AND(Plan1!D1226,"AAAAAH1V6Xw=")</f>
        <v>#VALUE!</v>
      </c>
      <c r="DV34" t="e">
        <f>AND(Plan1!E1226,"AAAAAH1V6X0=")</f>
        <v>#VALUE!</v>
      </c>
      <c r="DW34" t="e">
        <f>AND(Plan1!F1226,"AAAAAH1V6X4=")</f>
        <v>#VALUE!</v>
      </c>
      <c r="DX34">
        <f>IF(Plan1!1227:1227,"AAAAAH1V6X8=",0)</f>
        <v>0</v>
      </c>
      <c r="DY34" t="e">
        <f>AND(Plan1!A1227,"AAAAAH1V6YA=")</f>
        <v>#VALUE!</v>
      </c>
      <c r="DZ34" t="e">
        <f>AND(Plan1!B1227,"AAAAAH1V6YE=")</f>
        <v>#VALUE!</v>
      </c>
      <c r="EA34" t="e">
        <f>AND(Plan1!C1227,"AAAAAH1V6YI=")</f>
        <v>#VALUE!</v>
      </c>
      <c r="EB34" t="e">
        <f>AND(Plan1!D1227,"AAAAAH1V6YM=")</f>
        <v>#VALUE!</v>
      </c>
      <c r="EC34" t="e">
        <f>AND(Plan1!E1227,"AAAAAH1V6YQ=")</f>
        <v>#VALUE!</v>
      </c>
      <c r="ED34" t="e">
        <f>AND(Plan1!F1227,"AAAAAH1V6YU=")</f>
        <v>#VALUE!</v>
      </c>
      <c r="EE34">
        <f>IF(Plan1!1228:1228,"AAAAAH1V6YY=",0)</f>
        <v>0</v>
      </c>
      <c r="EF34" t="e">
        <f>AND(Plan1!A1228,"AAAAAH1V6Yc=")</f>
        <v>#VALUE!</v>
      </c>
      <c r="EG34" t="e">
        <f>AND(Plan1!B1228,"AAAAAH1V6Yg=")</f>
        <v>#VALUE!</v>
      </c>
      <c r="EH34" t="e">
        <f>AND(Plan1!C1228,"AAAAAH1V6Yk=")</f>
        <v>#VALUE!</v>
      </c>
      <c r="EI34" t="e">
        <f>AND(Plan1!D1228,"AAAAAH1V6Yo=")</f>
        <v>#VALUE!</v>
      </c>
      <c r="EJ34" t="e">
        <f>AND(Plan1!E1228,"AAAAAH1V6Ys=")</f>
        <v>#VALUE!</v>
      </c>
      <c r="EK34" t="e">
        <f>AND(Plan1!F1228,"AAAAAH1V6Yw=")</f>
        <v>#VALUE!</v>
      </c>
      <c r="EL34">
        <f>IF(Plan1!1229:1229,"AAAAAH1V6Y0=",0)</f>
        <v>0</v>
      </c>
      <c r="EM34" t="e">
        <f>AND(Plan1!A1229,"AAAAAH1V6Y4=")</f>
        <v>#VALUE!</v>
      </c>
      <c r="EN34" t="e">
        <f>AND(Plan1!B1229,"AAAAAH1V6Y8=")</f>
        <v>#VALUE!</v>
      </c>
      <c r="EO34" t="e">
        <f>AND(Plan1!C1229,"AAAAAH1V6ZA=")</f>
        <v>#VALUE!</v>
      </c>
      <c r="EP34" t="e">
        <f>AND(Plan1!D1229,"AAAAAH1V6ZE=")</f>
        <v>#VALUE!</v>
      </c>
      <c r="EQ34" t="e">
        <f>AND(Plan1!E1229,"AAAAAH1V6ZI=")</f>
        <v>#VALUE!</v>
      </c>
      <c r="ER34" t="e">
        <f>AND(Plan1!F1229,"AAAAAH1V6ZM=")</f>
        <v>#VALUE!</v>
      </c>
      <c r="ES34">
        <f>IF(Plan1!1230:1230,"AAAAAH1V6ZQ=",0)</f>
        <v>0</v>
      </c>
      <c r="ET34" t="e">
        <f>AND(Plan1!A1230,"AAAAAH1V6ZU=")</f>
        <v>#VALUE!</v>
      </c>
      <c r="EU34" t="e">
        <f>AND(Plan1!B1230,"AAAAAH1V6ZY=")</f>
        <v>#VALUE!</v>
      </c>
      <c r="EV34" t="e">
        <f>AND(Plan1!C1230,"AAAAAH1V6Zc=")</f>
        <v>#VALUE!</v>
      </c>
      <c r="EW34" t="e">
        <f>AND(Plan1!D1230,"AAAAAH1V6Zg=")</f>
        <v>#VALUE!</v>
      </c>
      <c r="EX34" t="e">
        <f>AND(Plan1!E1230,"AAAAAH1V6Zk=")</f>
        <v>#VALUE!</v>
      </c>
      <c r="EY34" t="e">
        <f>AND(Plan1!F1230,"AAAAAH1V6Zo=")</f>
        <v>#VALUE!</v>
      </c>
      <c r="EZ34">
        <f>IF(Plan1!1231:1231,"AAAAAH1V6Zs=",0)</f>
        <v>0</v>
      </c>
      <c r="FA34" t="e">
        <f>AND(Plan1!A1231,"AAAAAH1V6Zw=")</f>
        <v>#VALUE!</v>
      </c>
      <c r="FB34" t="e">
        <f>AND(Plan1!B1231,"AAAAAH1V6Z0=")</f>
        <v>#VALUE!</v>
      </c>
      <c r="FC34" t="e">
        <f>AND(Plan1!C1231,"AAAAAH1V6Z4=")</f>
        <v>#VALUE!</v>
      </c>
      <c r="FD34" t="e">
        <f>AND(Plan1!D1231,"AAAAAH1V6Z8=")</f>
        <v>#VALUE!</v>
      </c>
      <c r="FE34" t="e">
        <f>AND(Plan1!E1231,"AAAAAH1V6aA=")</f>
        <v>#VALUE!</v>
      </c>
      <c r="FF34" t="e">
        <f>AND(Plan1!F1231,"AAAAAH1V6aE=")</f>
        <v>#VALUE!</v>
      </c>
      <c r="FG34">
        <f>IF(Plan1!1232:1232,"AAAAAH1V6aI=",0)</f>
        <v>0</v>
      </c>
      <c r="FH34" t="e">
        <f>AND(Plan1!A1232,"AAAAAH1V6aM=")</f>
        <v>#VALUE!</v>
      </c>
      <c r="FI34" t="e">
        <f>AND(Plan1!B1232,"AAAAAH1V6aQ=")</f>
        <v>#VALUE!</v>
      </c>
      <c r="FJ34" t="e">
        <f>AND(Plan1!C1232,"AAAAAH1V6aU=")</f>
        <v>#VALUE!</v>
      </c>
      <c r="FK34" t="e">
        <f>AND(Plan1!D1232,"AAAAAH1V6aY=")</f>
        <v>#VALUE!</v>
      </c>
      <c r="FL34" t="e">
        <f>AND(Plan1!E1232,"AAAAAH1V6ac=")</f>
        <v>#VALUE!</v>
      </c>
      <c r="FM34" t="e">
        <f>AND(Plan1!F1232,"AAAAAH1V6ag=")</f>
        <v>#VALUE!</v>
      </c>
      <c r="FN34">
        <f>IF(Plan1!1233:1233,"AAAAAH1V6ak=",0)</f>
        <v>0</v>
      </c>
      <c r="FO34" t="e">
        <f>AND(Plan1!A1233,"AAAAAH1V6ao=")</f>
        <v>#VALUE!</v>
      </c>
      <c r="FP34" t="e">
        <f>AND(Plan1!B1233,"AAAAAH1V6as=")</f>
        <v>#VALUE!</v>
      </c>
      <c r="FQ34" t="e">
        <f>AND(Plan1!C1233,"AAAAAH1V6aw=")</f>
        <v>#VALUE!</v>
      </c>
      <c r="FR34" t="e">
        <f>AND(Plan1!D1233,"AAAAAH1V6a0=")</f>
        <v>#VALUE!</v>
      </c>
      <c r="FS34" t="e">
        <f>AND(Plan1!E1233,"AAAAAH1V6a4=")</f>
        <v>#VALUE!</v>
      </c>
      <c r="FT34" t="e">
        <f>AND(Plan1!F1233,"AAAAAH1V6a8=")</f>
        <v>#VALUE!</v>
      </c>
      <c r="FU34">
        <f>IF(Plan1!1234:1234,"AAAAAH1V6bA=",0)</f>
        <v>0</v>
      </c>
      <c r="FV34" t="e">
        <f>AND(Plan1!A1234,"AAAAAH1V6bE=")</f>
        <v>#VALUE!</v>
      </c>
      <c r="FW34" t="e">
        <f>AND(Plan1!B1234,"AAAAAH1V6bI=")</f>
        <v>#VALUE!</v>
      </c>
      <c r="FX34" t="e">
        <f>AND(Plan1!C1234,"AAAAAH1V6bM=")</f>
        <v>#VALUE!</v>
      </c>
      <c r="FY34" t="e">
        <f>AND(Plan1!D1234,"AAAAAH1V6bQ=")</f>
        <v>#VALUE!</v>
      </c>
      <c r="FZ34" t="e">
        <f>AND(Plan1!E1234,"AAAAAH1V6bU=")</f>
        <v>#VALUE!</v>
      </c>
      <c r="GA34" t="e">
        <f>AND(Plan1!F1234,"AAAAAH1V6bY=")</f>
        <v>#VALUE!</v>
      </c>
      <c r="GB34">
        <f>IF(Plan1!1235:1235,"AAAAAH1V6bc=",0)</f>
        <v>0</v>
      </c>
      <c r="GC34" t="e">
        <f>AND(Plan1!A1235,"AAAAAH1V6bg=")</f>
        <v>#VALUE!</v>
      </c>
      <c r="GD34" t="e">
        <f>AND(Plan1!B1235,"AAAAAH1V6bk=")</f>
        <v>#VALUE!</v>
      </c>
      <c r="GE34" t="e">
        <f>AND(Plan1!C1235,"AAAAAH1V6bo=")</f>
        <v>#VALUE!</v>
      </c>
      <c r="GF34" t="e">
        <f>AND(Plan1!D1235,"AAAAAH1V6bs=")</f>
        <v>#VALUE!</v>
      </c>
      <c r="GG34" t="e">
        <f>AND(Plan1!E1235,"AAAAAH1V6bw=")</f>
        <v>#VALUE!</v>
      </c>
      <c r="GH34" t="e">
        <f>AND(Plan1!F1235,"AAAAAH1V6b0=")</f>
        <v>#VALUE!</v>
      </c>
      <c r="GI34">
        <f>IF(Plan1!1236:1236,"AAAAAH1V6b4=",0)</f>
        <v>0</v>
      </c>
      <c r="GJ34" t="e">
        <f>AND(Plan1!A1236,"AAAAAH1V6b8=")</f>
        <v>#VALUE!</v>
      </c>
      <c r="GK34" t="e">
        <f>AND(Plan1!B1236,"AAAAAH1V6cA=")</f>
        <v>#VALUE!</v>
      </c>
      <c r="GL34" t="e">
        <f>AND(Plan1!C1236,"AAAAAH1V6cE=")</f>
        <v>#VALUE!</v>
      </c>
      <c r="GM34" t="e">
        <f>AND(Plan1!D1236,"AAAAAH1V6cI=")</f>
        <v>#VALUE!</v>
      </c>
      <c r="GN34" t="e">
        <f>AND(Plan1!E1236,"AAAAAH1V6cM=")</f>
        <v>#VALUE!</v>
      </c>
      <c r="GO34" t="e">
        <f>AND(Plan1!F1236,"AAAAAH1V6cQ=")</f>
        <v>#VALUE!</v>
      </c>
      <c r="GP34">
        <f>IF(Plan1!1237:1237,"AAAAAH1V6cU=",0)</f>
        <v>0</v>
      </c>
      <c r="GQ34" t="e">
        <f>AND(Plan1!A1237,"AAAAAH1V6cY=")</f>
        <v>#VALUE!</v>
      </c>
      <c r="GR34" t="e">
        <f>AND(Plan1!B1237,"AAAAAH1V6cc=")</f>
        <v>#VALUE!</v>
      </c>
      <c r="GS34" t="e">
        <f>AND(Plan1!C1237,"AAAAAH1V6cg=")</f>
        <v>#VALUE!</v>
      </c>
      <c r="GT34" t="e">
        <f>AND(Plan1!D1237,"AAAAAH1V6ck=")</f>
        <v>#VALUE!</v>
      </c>
      <c r="GU34" t="e">
        <f>AND(Plan1!E1237,"AAAAAH1V6co=")</f>
        <v>#VALUE!</v>
      </c>
      <c r="GV34" t="e">
        <f>AND(Plan1!F1237,"AAAAAH1V6cs=")</f>
        <v>#VALUE!</v>
      </c>
      <c r="GW34">
        <f>IF(Plan1!1238:1238,"AAAAAH1V6cw=",0)</f>
        <v>0</v>
      </c>
      <c r="GX34" t="e">
        <f>AND(Plan1!A1238,"AAAAAH1V6c0=")</f>
        <v>#VALUE!</v>
      </c>
      <c r="GY34" t="e">
        <f>AND(Plan1!B1238,"AAAAAH1V6c4=")</f>
        <v>#VALUE!</v>
      </c>
      <c r="GZ34" t="e">
        <f>AND(Plan1!C1238,"AAAAAH1V6c8=")</f>
        <v>#VALUE!</v>
      </c>
      <c r="HA34" t="e">
        <f>AND(Plan1!D1238,"AAAAAH1V6dA=")</f>
        <v>#VALUE!</v>
      </c>
      <c r="HB34" t="e">
        <f>AND(Plan1!E1238,"AAAAAH1V6dE=")</f>
        <v>#VALUE!</v>
      </c>
      <c r="HC34" t="e">
        <f>AND(Plan1!F1238,"AAAAAH1V6dI=")</f>
        <v>#VALUE!</v>
      </c>
      <c r="HD34">
        <f>IF(Plan1!1239:1239,"AAAAAH1V6dM=",0)</f>
        <v>0</v>
      </c>
      <c r="HE34" t="e">
        <f>AND(Plan1!A1239,"AAAAAH1V6dQ=")</f>
        <v>#VALUE!</v>
      </c>
      <c r="HF34" t="e">
        <f>AND(Plan1!B1239,"AAAAAH1V6dU=")</f>
        <v>#VALUE!</v>
      </c>
      <c r="HG34" t="e">
        <f>AND(Plan1!C1239,"AAAAAH1V6dY=")</f>
        <v>#VALUE!</v>
      </c>
      <c r="HH34" t="e">
        <f>AND(Plan1!D1239,"AAAAAH1V6dc=")</f>
        <v>#VALUE!</v>
      </c>
      <c r="HI34" t="e">
        <f>AND(Plan1!E1239,"AAAAAH1V6dg=")</f>
        <v>#VALUE!</v>
      </c>
      <c r="HJ34" t="e">
        <f>AND(Plan1!F1239,"AAAAAH1V6dk=")</f>
        <v>#VALUE!</v>
      </c>
      <c r="HK34">
        <f>IF(Plan1!1240:1240,"AAAAAH1V6do=",0)</f>
        <v>0</v>
      </c>
      <c r="HL34" t="e">
        <f>AND(Plan1!A1240,"AAAAAH1V6ds=")</f>
        <v>#VALUE!</v>
      </c>
      <c r="HM34" t="e">
        <f>AND(Plan1!B1240,"AAAAAH1V6dw=")</f>
        <v>#VALUE!</v>
      </c>
      <c r="HN34" t="e">
        <f>AND(Plan1!C1240,"AAAAAH1V6d0=")</f>
        <v>#VALUE!</v>
      </c>
      <c r="HO34" t="e">
        <f>AND(Plan1!D1240,"AAAAAH1V6d4=")</f>
        <v>#VALUE!</v>
      </c>
      <c r="HP34" t="e">
        <f>AND(Plan1!E1240,"AAAAAH1V6d8=")</f>
        <v>#VALUE!</v>
      </c>
      <c r="HQ34" t="e">
        <f>AND(Plan1!F1240,"AAAAAH1V6eA=")</f>
        <v>#VALUE!</v>
      </c>
      <c r="HR34">
        <f>IF(Plan1!1241:1241,"AAAAAH1V6eE=",0)</f>
        <v>0</v>
      </c>
      <c r="HS34" t="e">
        <f>AND(Plan1!A1241,"AAAAAH1V6eI=")</f>
        <v>#VALUE!</v>
      </c>
      <c r="HT34" t="e">
        <f>AND(Plan1!B1241,"AAAAAH1V6eM=")</f>
        <v>#VALUE!</v>
      </c>
      <c r="HU34" t="e">
        <f>AND(Plan1!C1241,"AAAAAH1V6eQ=")</f>
        <v>#VALUE!</v>
      </c>
      <c r="HV34" t="e">
        <f>AND(Plan1!D1241,"AAAAAH1V6eU=")</f>
        <v>#VALUE!</v>
      </c>
      <c r="HW34" t="e">
        <f>AND(Plan1!E1241,"AAAAAH1V6eY=")</f>
        <v>#VALUE!</v>
      </c>
      <c r="HX34" t="e">
        <f>AND(Plan1!F1241,"AAAAAH1V6ec=")</f>
        <v>#VALUE!</v>
      </c>
      <c r="HY34">
        <f>IF(Plan1!1242:1242,"AAAAAH1V6eg=",0)</f>
        <v>0</v>
      </c>
      <c r="HZ34" t="e">
        <f>AND(Plan1!A1242,"AAAAAH1V6ek=")</f>
        <v>#VALUE!</v>
      </c>
      <c r="IA34" t="e">
        <f>AND(Plan1!B1242,"AAAAAH1V6eo=")</f>
        <v>#VALUE!</v>
      </c>
      <c r="IB34" t="e">
        <f>AND(Plan1!C1242,"AAAAAH1V6es=")</f>
        <v>#VALUE!</v>
      </c>
      <c r="IC34" t="e">
        <f>AND(Plan1!D1242,"AAAAAH1V6ew=")</f>
        <v>#VALUE!</v>
      </c>
      <c r="ID34" t="e">
        <f>AND(Plan1!E1242,"AAAAAH1V6e0=")</f>
        <v>#VALUE!</v>
      </c>
      <c r="IE34" t="e">
        <f>AND(Plan1!F1242,"AAAAAH1V6e4=")</f>
        <v>#VALUE!</v>
      </c>
      <c r="IF34">
        <f>IF(Plan1!1243:1243,"AAAAAH1V6e8=",0)</f>
        <v>0</v>
      </c>
      <c r="IG34" t="e">
        <f>AND(Plan1!A1243,"AAAAAH1V6fA=")</f>
        <v>#VALUE!</v>
      </c>
      <c r="IH34" t="e">
        <f>AND(Plan1!B1243,"AAAAAH1V6fE=")</f>
        <v>#VALUE!</v>
      </c>
      <c r="II34" t="e">
        <f>AND(Plan1!C1243,"AAAAAH1V6fI=")</f>
        <v>#VALUE!</v>
      </c>
      <c r="IJ34" t="e">
        <f>AND(Plan1!D1243,"AAAAAH1V6fM=")</f>
        <v>#VALUE!</v>
      </c>
      <c r="IK34" t="e">
        <f>AND(Plan1!E1243,"AAAAAH1V6fQ=")</f>
        <v>#VALUE!</v>
      </c>
      <c r="IL34" t="e">
        <f>AND(Plan1!F1243,"AAAAAH1V6fU=")</f>
        <v>#VALUE!</v>
      </c>
      <c r="IM34">
        <f>IF(Plan1!1244:1244,"AAAAAH1V6fY=",0)</f>
        <v>0</v>
      </c>
      <c r="IN34" t="e">
        <f>AND(Plan1!A1244,"AAAAAH1V6fc=")</f>
        <v>#VALUE!</v>
      </c>
      <c r="IO34" t="e">
        <f>AND(Plan1!B1244,"AAAAAH1V6fg=")</f>
        <v>#VALUE!</v>
      </c>
      <c r="IP34" t="e">
        <f>AND(Plan1!C1244,"AAAAAH1V6fk=")</f>
        <v>#VALUE!</v>
      </c>
      <c r="IQ34" t="e">
        <f>AND(Plan1!D1244,"AAAAAH1V6fo=")</f>
        <v>#VALUE!</v>
      </c>
      <c r="IR34" t="e">
        <f>AND(Plan1!E1244,"AAAAAH1V6fs=")</f>
        <v>#VALUE!</v>
      </c>
      <c r="IS34" t="e">
        <f>AND(Plan1!F1244,"AAAAAH1V6fw=")</f>
        <v>#VALUE!</v>
      </c>
      <c r="IT34">
        <f>IF(Plan1!1245:1245,"AAAAAH1V6f0=",0)</f>
        <v>0</v>
      </c>
      <c r="IU34" t="e">
        <f>AND(Plan1!A1245,"AAAAAH1V6f4=")</f>
        <v>#VALUE!</v>
      </c>
      <c r="IV34" t="e">
        <f>AND(Plan1!B1245,"AAAAAH1V6f8=")</f>
        <v>#VALUE!</v>
      </c>
    </row>
    <row r="35" spans="1:256">
      <c r="A35" t="e">
        <f>AND(Plan1!C1245,"AAAAAHvvFwA=")</f>
        <v>#VALUE!</v>
      </c>
      <c r="B35" t="e">
        <f>AND(Plan1!D1245,"AAAAAHvvFwE=")</f>
        <v>#VALUE!</v>
      </c>
      <c r="C35" t="e">
        <f>AND(Plan1!E1245,"AAAAAHvvFwI=")</f>
        <v>#VALUE!</v>
      </c>
      <c r="D35" t="e">
        <f>AND(Plan1!F1245,"AAAAAHvvFwM=")</f>
        <v>#VALUE!</v>
      </c>
      <c r="E35" t="e">
        <f>IF(Plan1!1246:1246,"AAAAAHvvFwQ=",0)</f>
        <v>#VALUE!</v>
      </c>
      <c r="F35" t="e">
        <f>AND(Plan1!A1246,"AAAAAHvvFwU=")</f>
        <v>#VALUE!</v>
      </c>
      <c r="G35" t="e">
        <f>AND(Plan1!B1246,"AAAAAHvvFwY=")</f>
        <v>#VALUE!</v>
      </c>
      <c r="H35" t="e">
        <f>AND(Plan1!C1246,"AAAAAHvvFwc=")</f>
        <v>#VALUE!</v>
      </c>
      <c r="I35" t="e">
        <f>AND(Plan1!D1246,"AAAAAHvvFwg=")</f>
        <v>#VALUE!</v>
      </c>
      <c r="J35" t="e">
        <f>AND(Plan1!E1246,"AAAAAHvvFwk=")</f>
        <v>#VALUE!</v>
      </c>
      <c r="K35" t="e">
        <f>AND(Plan1!F1246,"AAAAAHvvFwo=")</f>
        <v>#VALUE!</v>
      </c>
      <c r="L35">
        <f>IF(Plan1!1247:1247,"AAAAAHvvFws=",0)</f>
        <v>0</v>
      </c>
      <c r="M35" t="e">
        <f>AND(Plan1!A1247,"AAAAAHvvFww=")</f>
        <v>#VALUE!</v>
      </c>
      <c r="N35" t="e">
        <f>AND(Plan1!B1247,"AAAAAHvvFw0=")</f>
        <v>#VALUE!</v>
      </c>
      <c r="O35" t="e">
        <f>AND(Plan1!C1247,"AAAAAHvvFw4=")</f>
        <v>#VALUE!</v>
      </c>
      <c r="P35" t="e">
        <f>AND(Plan1!D1247,"AAAAAHvvFw8=")</f>
        <v>#VALUE!</v>
      </c>
      <c r="Q35" t="e">
        <f>AND(Plan1!E1247,"AAAAAHvvFxA=")</f>
        <v>#VALUE!</v>
      </c>
      <c r="R35" t="e">
        <f>AND(Plan1!F1247,"AAAAAHvvFxE=")</f>
        <v>#VALUE!</v>
      </c>
      <c r="S35">
        <f>IF(Plan1!1248:1248,"AAAAAHvvFxI=",0)</f>
        <v>0</v>
      </c>
      <c r="T35" t="e">
        <f>AND(Plan1!A1248,"AAAAAHvvFxM=")</f>
        <v>#VALUE!</v>
      </c>
      <c r="U35" t="e">
        <f>AND(Plan1!B1248,"AAAAAHvvFxQ=")</f>
        <v>#VALUE!</v>
      </c>
      <c r="V35" t="e">
        <f>AND(Plan1!C1248,"AAAAAHvvFxU=")</f>
        <v>#VALUE!</v>
      </c>
      <c r="W35" t="e">
        <f>AND(Plan1!D1248,"AAAAAHvvFxY=")</f>
        <v>#VALUE!</v>
      </c>
      <c r="X35" t="e">
        <f>AND(Plan1!E1248,"AAAAAHvvFxc=")</f>
        <v>#VALUE!</v>
      </c>
      <c r="Y35" t="e">
        <f>AND(Plan1!F1248,"AAAAAHvvFxg=")</f>
        <v>#VALUE!</v>
      </c>
      <c r="Z35">
        <f>IF(Plan1!1249:1249,"AAAAAHvvFxk=",0)</f>
        <v>0</v>
      </c>
      <c r="AA35" t="e">
        <f>AND(Plan1!A1249,"AAAAAHvvFxo=")</f>
        <v>#VALUE!</v>
      </c>
      <c r="AB35" t="e">
        <f>AND(Plan1!B1249,"AAAAAHvvFxs=")</f>
        <v>#VALUE!</v>
      </c>
      <c r="AC35" t="e">
        <f>AND(Plan1!C1249,"AAAAAHvvFxw=")</f>
        <v>#VALUE!</v>
      </c>
      <c r="AD35" t="e">
        <f>AND(Plan1!D1249,"AAAAAHvvFx0=")</f>
        <v>#VALUE!</v>
      </c>
      <c r="AE35" t="e">
        <f>AND(Plan1!E1249,"AAAAAHvvFx4=")</f>
        <v>#VALUE!</v>
      </c>
      <c r="AF35" t="e">
        <f>AND(Plan1!F1249,"AAAAAHvvFx8=")</f>
        <v>#VALUE!</v>
      </c>
      <c r="AG35">
        <f>IF(Plan1!1250:1250,"AAAAAHvvFyA=",0)</f>
        <v>0</v>
      </c>
      <c r="AH35" t="e">
        <f>AND(Plan1!A1250,"AAAAAHvvFyE=")</f>
        <v>#VALUE!</v>
      </c>
      <c r="AI35" t="e">
        <f>AND(Plan1!B1250,"AAAAAHvvFyI=")</f>
        <v>#VALUE!</v>
      </c>
      <c r="AJ35" t="e">
        <f>AND(Plan1!C1250,"AAAAAHvvFyM=")</f>
        <v>#VALUE!</v>
      </c>
      <c r="AK35" t="e">
        <f>AND(Plan1!D1250,"AAAAAHvvFyQ=")</f>
        <v>#VALUE!</v>
      </c>
      <c r="AL35" t="e">
        <f>AND(Plan1!E1250,"AAAAAHvvFyU=")</f>
        <v>#VALUE!</v>
      </c>
      <c r="AM35" t="e">
        <f>AND(Plan1!F1250,"AAAAAHvvFyY=")</f>
        <v>#VALUE!</v>
      </c>
      <c r="AN35">
        <f>IF(Plan1!1251:1251,"AAAAAHvvFyc=",0)</f>
        <v>0</v>
      </c>
      <c r="AO35" t="e">
        <f>AND(Plan1!A1251,"AAAAAHvvFyg=")</f>
        <v>#VALUE!</v>
      </c>
      <c r="AP35" t="e">
        <f>AND(Plan1!B1251,"AAAAAHvvFyk=")</f>
        <v>#VALUE!</v>
      </c>
      <c r="AQ35" t="e">
        <f>AND(Plan1!C1251,"AAAAAHvvFyo=")</f>
        <v>#VALUE!</v>
      </c>
      <c r="AR35" t="e">
        <f>AND(Plan1!D1251,"AAAAAHvvFys=")</f>
        <v>#VALUE!</v>
      </c>
      <c r="AS35" t="e">
        <f>AND(Plan1!E1251,"AAAAAHvvFyw=")</f>
        <v>#VALUE!</v>
      </c>
      <c r="AT35" t="e">
        <f>AND(Plan1!F1251,"AAAAAHvvFy0=")</f>
        <v>#VALUE!</v>
      </c>
      <c r="AU35">
        <f>IF(Plan1!1252:1252,"AAAAAHvvFy4=",0)</f>
        <v>0</v>
      </c>
      <c r="AV35" t="e">
        <f>AND(Plan1!A1252,"AAAAAHvvFy8=")</f>
        <v>#VALUE!</v>
      </c>
      <c r="AW35" t="e">
        <f>AND(Plan1!B1252,"AAAAAHvvFzA=")</f>
        <v>#VALUE!</v>
      </c>
      <c r="AX35" t="e">
        <f>AND(Plan1!C1252,"AAAAAHvvFzE=")</f>
        <v>#VALUE!</v>
      </c>
      <c r="AY35" t="e">
        <f>AND(Plan1!D1252,"AAAAAHvvFzI=")</f>
        <v>#VALUE!</v>
      </c>
      <c r="AZ35" t="e">
        <f>AND(Plan1!E1252,"AAAAAHvvFzM=")</f>
        <v>#VALUE!</v>
      </c>
      <c r="BA35" t="e">
        <f>AND(Plan1!F1252,"AAAAAHvvFzQ=")</f>
        <v>#VALUE!</v>
      </c>
      <c r="BB35">
        <f>IF(Plan1!1253:1253,"AAAAAHvvFzU=",0)</f>
        <v>0</v>
      </c>
      <c r="BC35" t="e">
        <f>AND(Plan1!A1253,"AAAAAHvvFzY=")</f>
        <v>#VALUE!</v>
      </c>
      <c r="BD35" t="e">
        <f>AND(Plan1!B1253,"AAAAAHvvFzc=")</f>
        <v>#VALUE!</v>
      </c>
      <c r="BE35" t="e">
        <f>AND(Plan1!C1253,"AAAAAHvvFzg=")</f>
        <v>#VALUE!</v>
      </c>
      <c r="BF35" t="e">
        <f>AND(Plan1!D1253,"AAAAAHvvFzk=")</f>
        <v>#VALUE!</v>
      </c>
      <c r="BG35" t="e">
        <f>AND(Plan1!E1253,"AAAAAHvvFzo=")</f>
        <v>#VALUE!</v>
      </c>
      <c r="BH35" t="e">
        <f>AND(Plan1!F1253,"AAAAAHvvFzs=")</f>
        <v>#VALUE!</v>
      </c>
      <c r="BI35">
        <f>IF(Plan1!1254:1254,"AAAAAHvvFzw=",0)</f>
        <v>0</v>
      </c>
      <c r="BJ35" t="e">
        <f>AND(Plan1!A1254,"AAAAAHvvFz0=")</f>
        <v>#VALUE!</v>
      </c>
      <c r="BK35" t="e">
        <f>AND(Plan1!B1254,"AAAAAHvvFz4=")</f>
        <v>#VALUE!</v>
      </c>
      <c r="BL35" t="e">
        <f>AND(Plan1!C1254,"AAAAAHvvFz8=")</f>
        <v>#VALUE!</v>
      </c>
      <c r="BM35" t="e">
        <f>AND(Plan1!D1254,"AAAAAHvvF0A=")</f>
        <v>#VALUE!</v>
      </c>
      <c r="BN35" t="e">
        <f>AND(Plan1!E1254,"AAAAAHvvF0E=")</f>
        <v>#VALUE!</v>
      </c>
      <c r="BO35" t="e">
        <f>AND(Plan1!F1254,"AAAAAHvvF0I=")</f>
        <v>#VALUE!</v>
      </c>
      <c r="BP35">
        <f>IF(Plan1!1255:1255,"AAAAAHvvF0M=",0)</f>
        <v>0</v>
      </c>
      <c r="BQ35" t="e">
        <f>AND(Plan1!A1255,"AAAAAHvvF0Q=")</f>
        <v>#VALUE!</v>
      </c>
      <c r="BR35" t="e">
        <f>AND(Plan1!B1255,"AAAAAHvvF0U=")</f>
        <v>#VALUE!</v>
      </c>
      <c r="BS35" t="e">
        <f>AND(Plan1!C1255,"AAAAAHvvF0Y=")</f>
        <v>#VALUE!</v>
      </c>
      <c r="BT35" t="e">
        <f>AND(Plan1!D1255,"AAAAAHvvF0c=")</f>
        <v>#VALUE!</v>
      </c>
      <c r="BU35" t="e">
        <f>AND(Plan1!E1255,"AAAAAHvvF0g=")</f>
        <v>#VALUE!</v>
      </c>
      <c r="BV35" t="e">
        <f>AND(Plan1!F1255,"AAAAAHvvF0k=")</f>
        <v>#VALUE!</v>
      </c>
      <c r="BW35">
        <f>IF(Plan1!1256:1256,"AAAAAHvvF0o=",0)</f>
        <v>0</v>
      </c>
      <c r="BX35" t="e">
        <f>AND(Plan1!A1256,"AAAAAHvvF0s=")</f>
        <v>#VALUE!</v>
      </c>
      <c r="BY35" t="e">
        <f>AND(Plan1!B1256,"AAAAAHvvF0w=")</f>
        <v>#VALUE!</v>
      </c>
      <c r="BZ35" t="e">
        <f>AND(Plan1!C1256,"AAAAAHvvF00=")</f>
        <v>#VALUE!</v>
      </c>
      <c r="CA35" t="e">
        <f>AND(Plan1!D1256,"AAAAAHvvF04=")</f>
        <v>#VALUE!</v>
      </c>
      <c r="CB35" t="e">
        <f>AND(Plan1!E1256,"AAAAAHvvF08=")</f>
        <v>#VALUE!</v>
      </c>
      <c r="CC35" t="e">
        <f>AND(Plan1!F1256,"AAAAAHvvF1A=")</f>
        <v>#VALUE!</v>
      </c>
      <c r="CD35">
        <f>IF(Plan1!1257:1257,"AAAAAHvvF1E=",0)</f>
        <v>0</v>
      </c>
      <c r="CE35" t="e">
        <f>AND(Plan1!A1257,"AAAAAHvvF1I=")</f>
        <v>#VALUE!</v>
      </c>
      <c r="CF35" t="e">
        <f>AND(Plan1!B1257,"AAAAAHvvF1M=")</f>
        <v>#VALUE!</v>
      </c>
      <c r="CG35" t="e">
        <f>AND(Plan1!C1257,"AAAAAHvvF1Q=")</f>
        <v>#VALUE!</v>
      </c>
      <c r="CH35" t="e">
        <f>AND(Plan1!D1257,"AAAAAHvvF1U=")</f>
        <v>#VALUE!</v>
      </c>
      <c r="CI35" t="e">
        <f>AND(Plan1!E1257,"AAAAAHvvF1Y=")</f>
        <v>#VALUE!</v>
      </c>
      <c r="CJ35" t="e">
        <f>AND(Plan1!F1257,"AAAAAHvvF1c=")</f>
        <v>#VALUE!</v>
      </c>
      <c r="CK35">
        <f>IF(Plan1!1258:1258,"AAAAAHvvF1g=",0)</f>
        <v>0</v>
      </c>
      <c r="CL35" t="e">
        <f>AND(Plan1!A1258,"AAAAAHvvF1k=")</f>
        <v>#VALUE!</v>
      </c>
      <c r="CM35" t="e">
        <f>AND(Plan1!B1258,"AAAAAHvvF1o=")</f>
        <v>#VALUE!</v>
      </c>
      <c r="CN35" t="e">
        <f>AND(Plan1!C1258,"AAAAAHvvF1s=")</f>
        <v>#VALUE!</v>
      </c>
      <c r="CO35" t="e">
        <f>AND(Plan1!D1258,"AAAAAHvvF1w=")</f>
        <v>#VALUE!</v>
      </c>
      <c r="CP35" t="e">
        <f>AND(Plan1!E1258,"AAAAAHvvF10=")</f>
        <v>#VALUE!</v>
      </c>
      <c r="CQ35" t="e">
        <f>AND(Plan1!F1258,"AAAAAHvvF14=")</f>
        <v>#VALUE!</v>
      </c>
      <c r="CR35">
        <f>IF(Plan1!1259:1259,"AAAAAHvvF18=",0)</f>
        <v>0</v>
      </c>
      <c r="CS35" t="e">
        <f>AND(Plan1!A1259,"AAAAAHvvF2A=")</f>
        <v>#VALUE!</v>
      </c>
      <c r="CT35" t="e">
        <f>AND(Plan1!B1259,"AAAAAHvvF2E=")</f>
        <v>#VALUE!</v>
      </c>
      <c r="CU35" t="e">
        <f>AND(Plan1!C1259,"AAAAAHvvF2I=")</f>
        <v>#VALUE!</v>
      </c>
      <c r="CV35" t="e">
        <f>AND(Plan1!D1259,"AAAAAHvvF2M=")</f>
        <v>#VALUE!</v>
      </c>
      <c r="CW35" t="e">
        <f>AND(Plan1!E1259,"AAAAAHvvF2Q=")</f>
        <v>#VALUE!</v>
      </c>
      <c r="CX35" t="e">
        <f>AND(Plan1!F1259,"AAAAAHvvF2U=")</f>
        <v>#VALUE!</v>
      </c>
      <c r="CY35">
        <f>IF(Plan1!1260:1260,"AAAAAHvvF2Y=",0)</f>
        <v>0</v>
      </c>
      <c r="CZ35" t="e">
        <f>AND(Plan1!A1260,"AAAAAHvvF2c=")</f>
        <v>#VALUE!</v>
      </c>
      <c r="DA35" t="e">
        <f>AND(Plan1!B1260,"AAAAAHvvF2g=")</f>
        <v>#VALUE!</v>
      </c>
      <c r="DB35" t="e">
        <f>AND(Plan1!C1260,"AAAAAHvvF2k=")</f>
        <v>#VALUE!</v>
      </c>
      <c r="DC35" t="e">
        <f>AND(Plan1!D1260,"AAAAAHvvF2o=")</f>
        <v>#VALUE!</v>
      </c>
      <c r="DD35" t="e">
        <f>AND(Plan1!E1260,"AAAAAHvvF2s=")</f>
        <v>#VALUE!</v>
      </c>
      <c r="DE35" t="e">
        <f>AND(Plan1!F1260,"AAAAAHvvF2w=")</f>
        <v>#VALUE!</v>
      </c>
      <c r="DF35">
        <f>IF(Plan1!1261:1261,"AAAAAHvvF20=",0)</f>
        <v>0</v>
      </c>
      <c r="DG35" t="e">
        <f>AND(Plan1!A1261,"AAAAAHvvF24=")</f>
        <v>#VALUE!</v>
      </c>
      <c r="DH35" t="e">
        <f>AND(Plan1!B1261,"AAAAAHvvF28=")</f>
        <v>#VALUE!</v>
      </c>
      <c r="DI35" t="e">
        <f>AND(Plan1!C1261,"AAAAAHvvF3A=")</f>
        <v>#VALUE!</v>
      </c>
      <c r="DJ35" t="e">
        <f>AND(Plan1!D1261,"AAAAAHvvF3E=")</f>
        <v>#VALUE!</v>
      </c>
      <c r="DK35" t="e">
        <f>AND(Plan1!E1261,"AAAAAHvvF3I=")</f>
        <v>#VALUE!</v>
      </c>
      <c r="DL35" t="e">
        <f>AND(Plan1!F1261,"AAAAAHvvF3M=")</f>
        <v>#VALUE!</v>
      </c>
      <c r="DM35">
        <f>IF(Plan1!1262:1262,"AAAAAHvvF3Q=",0)</f>
        <v>0</v>
      </c>
      <c r="DN35" t="e">
        <f>AND(Plan1!A1262,"AAAAAHvvF3U=")</f>
        <v>#VALUE!</v>
      </c>
      <c r="DO35" t="e">
        <f>AND(Plan1!B1262,"AAAAAHvvF3Y=")</f>
        <v>#VALUE!</v>
      </c>
      <c r="DP35" t="e">
        <f>AND(Plan1!C1262,"AAAAAHvvF3c=")</f>
        <v>#VALUE!</v>
      </c>
      <c r="DQ35" t="e">
        <f>AND(Plan1!D1262,"AAAAAHvvF3g=")</f>
        <v>#VALUE!</v>
      </c>
      <c r="DR35" t="e">
        <f>AND(Plan1!E1262,"AAAAAHvvF3k=")</f>
        <v>#VALUE!</v>
      </c>
      <c r="DS35" t="e">
        <f>AND(Plan1!F1262,"AAAAAHvvF3o=")</f>
        <v>#VALUE!</v>
      </c>
      <c r="DT35">
        <f>IF(Plan1!1263:1263,"AAAAAHvvF3s=",0)</f>
        <v>0</v>
      </c>
      <c r="DU35" t="e">
        <f>AND(Plan1!A1263,"AAAAAHvvF3w=")</f>
        <v>#VALUE!</v>
      </c>
      <c r="DV35" t="e">
        <f>AND(Plan1!B1263,"AAAAAHvvF30=")</f>
        <v>#VALUE!</v>
      </c>
      <c r="DW35" t="e">
        <f>AND(Plan1!C1263,"AAAAAHvvF34=")</f>
        <v>#VALUE!</v>
      </c>
      <c r="DX35" t="e">
        <f>AND(Plan1!D1263,"AAAAAHvvF38=")</f>
        <v>#VALUE!</v>
      </c>
      <c r="DY35" t="e">
        <f>AND(Plan1!E1263,"AAAAAHvvF4A=")</f>
        <v>#VALUE!</v>
      </c>
      <c r="DZ35" t="e">
        <f>AND(Plan1!F1263,"AAAAAHvvF4E=")</f>
        <v>#VALUE!</v>
      </c>
      <c r="EA35">
        <f>IF(Plan1!1264:1264,"AAAAAHvvF4I=",0)</f>
        <v>0</v>
      </c>
      <c r="EB35" t="e">
        <f>AND(Plan1!A1264,"AAAAAHvvF4M=")</f>
        <v>#VALUE!</v>
      </c>
      <c r="EC35" t="e">
        <f>AND(Plan1!B1264,"AAAAAHvvF4Q=")</f>
        <v>#VALUE!</v>
      </c>
      <c r="ED35" t="e">
        <f>AND(Plan1!C1264,"AAAAAHvvF4U=")</f>
        <v>#VALUE!</v>
      </c>
      <c r="EE35" t="e">
        <f>AND(Plan1!D1264,"AAAAAHvvF4Y=")</f>
        <v>#VALUE!</v>
      </c>
      <c r="EF35" t="e">
        <f>AND(Plan1!E1264,"AAAAAHvvF4c=")</f>
        <v>#VALUE!</v>
      </c>
      <c r="EG35" t="e">
        <f>AND(Plan1!F1264,"AAAAAHvvF4g=")</f>
        <v>#VALUE!</v>
      </c>
      <c r="EH35">
        <f>IF(Plan1!1265:1265,"AAAAAHvvF4k=",0)</f>
        <v>0</v>
      </c>
      <c r="EI35" t="e">
        <f>AND(Plan1!A1265,"AAAAAHvvF4o=")</f>
        <v>#VALUE!</v>
      </c>
      <c r="EJ35" t="e">
        <f>AND(Plan1!B1265,"AAAAAHvvF4s=")</f>
        <v>#VALUE!</v>
      </c>
      <c r="EK35" t="e">
        <f>AND(Plan1!C1265,"AAAAAHvvF4w=")</f>
        <v>#VALUE!</v>
      </c>
      <c r="EL35" t="e">
        <f>AND(Plan1!D1265,"AAAAAHvvF40=")</f>
        <v>#VALUE!</v>
      </c>
      <c r="EM35" t="e">
        <f>AND(Plan1!E1265,"AAAAAHvvF44=")</f>
        <v>#VALUE!</v>
      </c>
      <c r="EN35" t="e">
        <f>AND(Plan1!F1265,"AAAAAHvvF48=")</f>
        <v>#VALUE!</v>
      </c>
      <c r="EO35">
        <f>IF(Plan1!1266:1266,"AAAAAHvvF5A=",0)</f>
        <v>0</v>
      </c>
      <c r="EP35" t="e">
        <f>AND(Plan1!A1266,"AAAAAHvvF5E=")</f>
        <v>#VALUE!</v>
      </c>
      <c r="EQ35" t="e">
        <f>AND(Plan1!B1266,"AAAAAHvvF5I=")</f>
        <v>#VALUE!</v>
      </c>
      <c r="ER35" t="e">
        <f>AND(Plan1!C1266,"AAAAAHvvF5M=")</f>
        <v>#VALUE!</v>
      </c>
      <c r="ES35" t="e">
        <f>AND(Plan1!D1266,"AAAAAHvvF5Q=")</f>
        <v>#VALUE!</v>
      </c>
      <c r="ET35" t="e">
        <f>AND(Plan1!E1266,"AAAAAHvvF5U=")</f>
        <v>#VALUE!</v>
      </c>
      <c r="EU35" t="e">
        <f>AND(Plan1!F1266,"AAAAAHvvF5Y=")</f>
        <v>#VALUE!</v>
      </c>
      <c r="EV35">
        <f>IF(Plan1!1267:1267,"AAAAAHvvF5c=",0)</f>
        <v>0</v>
      </c>
      <c r="EW35" t="e">
        <f>AND(Plan1!A1267,"AAAAAHvvF5g=")</f>
        <v>#VALUE!</v>
      </c>
      <c r="EX35" t="e">
        <f>AND(Plan1!B1267,"AAAAAHvvF5k=")</f>
        <v>#VALUE!</v>
      </c>
      <c r="EY35" t="e">
        <f>AND(Plan1!C1267,"AAAAAHvvF5o=")</f>
        <v>#VALUE!</v>
      </c>
      <c r="EZ35" t="e">
        <f>AND(Plan1!D1267,"AAAAAHvvF5s=")</f>
        <v>#VALUE!</v>
      </c>
      <c r="FA35" t="e">
        <f>AND(Plan1!E1267,"AAAAAHvvF5w=")</f>
        <v>#VALUE!</v>
      </c>
      <c r="FB35" t="e">
        <f>AND(Plan1!F1267,"AAAAAHvvF50=")</f>
        <v>#VALUE!</v>
      </c>
      <c r="FC35">
        <f>IF(Plan1!1268:1268,"AAAAAHvvF54=",0)</f>
        <v>0</v>
      </c>
      <c r="FD35" t="e">
        <f>AND(Plan1!A1268,"AAAAAHvvF58=")</f>
        <v>#VALUE!</v>
      </c>
      <c r="FE35" t="e">
        <f>AND(Plan1!B1268,"AAAAAHvvF6A=")</f>
        <v>#VALUE!</v>
      </c>
      <c r="FF35" t="e">
        <f>AND(Plan1!C1268,"AAAAAHvvF6E=")</f>
        <v>#VALUE!</v>
      </c>
      <c r="FG35" t="e">
        <f>AND(Plan1!D1268,"AAAAAHvvF6I=")</f>
        <v>#VALUE!</v>
      </c>
      <c r="FH35" t="e">
        <f>AND(Plan1!E1268,"AAAAAHvvF6M=")</f>
        <v>#VALUE!</v>
      </c>
      <c r="FI35" t="e">
        <f>AND(Plan1!F1268,"AAAAAHvvF6Q=")</f>
        <v>#VALUE!</v>
      </c>
      <c r="FJ35">
        <f>IF(Plan1!1269:1269,"AAAAAHvvF6U=",0)</f>
        <v>0</v>
      </c>
      <c r="FK35" t="e">
        <f>AND(Plan1!A1269,"AAAAAHvvF6Y=")</f>
        <v>#VALUE!</v>
      </c>
      <c r="FL35" t="e">
        <f>AND(Plan1!B1269,"AAAAAHvvF6c=")</f>
        <v>#VALUE!</v>
      </c>
      <c r="FM35" t="e">
        <f>AND(Plan1!C1269,"AAAAAHvvF6g=")</f>
        <v>#VALUE!</v>
      </c>
      <c r="FN35" t="e">
        <f>AND(Plan1!D1269,"AAAAAHvvF6k=")</f>
        <v>#VALUE!</v>
      </c>
      <c r="FO35" t="e">
        <f>AND(Plan1!E1269,"AAAAAHvvF6o=")</f>
        <v>#VALUE!</v>
      </c>
      <c r="FP35" t="e">
        <f>AND(Plan1!F1269,"AAAAAHvvF6s=")</f>
        <v>#VALUE!</v>
      </c>
      <c r="FQ35">
        <f>IF(Plan1!1270:1270,"AAAAAHvvF6w=",0)</f>
        <v>0</v>
      </c>
      <c r="FR35" t="e">
        <f>AND(Plan1!A1270,"AAAAAHvvF60=")</f>
        <v>#VALUE!</v>
      </c>
      <c r="FS35" t="e">
        <f>AND(Plan1!B1270,"AAAAAHvvF64=")</f>
        <v>#VALUE!</v>
      </c>
      <c r="FT35" t="e">
        <f>AND(Plan1!C1270,"AAAAAHvvF68=")</f>
        <v>#VALUE!</v>
      </c>
      <c r="FU35" t="e">
        <f>AND(Plan1!D1270,"AAAAAHvvF7A=")</f>
        <v>#VALUE!</v>
      </c>
      <c r="FV35" t="e">
        <f>AND(Plan1!E1270,"AAAAAHvvF7E=")</f>
        <v>#VALUE!</v>
      </c>
      <c r="FW35" t="e">
        <f>AND(Plan1!F1270,"AAAAAHvvF7I=")</f>
        <v>#VALUE!</v>
      </c>
      <c r="FX35">
        <f>IF(Plan1!1271:1271,"AAAAAHvvF7M=",0)</f>
        <v>0</v>
      </c>
      <c r="FY35" t="e">
        <f>AND(Plan1!A1271,"AAAAAHvvF7Q=")</f>
        <v>#VALUE!</v>
      </c>
      <c r="FZ35" t="e">
        <f>AND(Plan1!B1271,"AAAAAHvvF7U=")</f>
        <v>#VALUE!</v>
      </c>
      <c r="GA35" t="e">
        <f>AND(Plan1!C1271,"AAAAAHvvF7Y=")</f>
        <v>#VALUE!</v>
      </c>
      <c r="GB35" t="e">
        <f>AND(Plan1!D1271,"AAAAAHvvF7c=")</f>
        <v>#VALUE!</v>
      </c>
      <c r="GC35" t="e">
        <f>AND(Plan1!E1271,"AAAAAHvvF7g=")</f>
        <v>#VALUE!</v>
      </c>
      <c r="GD35" t="e">
        <f>AND(Plan1!F1271,"AAAAAHvvF7k=")</f>
        <v>#VALUE!</v>
      </c>
      <c r="GE35">
        <f>IF(Plan1!1272:1272,"AAAAAHvvF7o=",0)</f>
        <v>0</v>
      </c>
      <c r="GF35" t="e">
        <f>AND(Plan1!A1272,"AAAAAHvvF7s=")</f>
        <v>#VALUE!</v>
      </c>
      <c r="GG35" t="e">
        <f>AND(Plan1!B1272,"AAAAAHvvF7w=")</f>
        <v>#VALUE!</v>
      </c>
      <c r="GH35" t="e">
        <f>AND(Plan1!C1272,"AAAAAHvvF70=")</f>
        <v>#VALUE!</v>
      </c>
      <c r="GI35" t="e">
        <f>AND(Plan1!D1272,"AAAAAHvvF74=")</f>
        <v>#VALUE!</v>
      </c>
      <c r="GJ35" t="e">
        <f>AND(Plan1!E1272,"AAAAAHvvF78=")</f>
        <v>#VALUE!</v>
      </c>
      <c r="GK35" t="e">
        <f>AND(Plan1!F1272,"AAAAAHvvF8A=")</f>
        <v>#VALUE!</v>
      </c>
      <c r="GL35">
        <f>IF(Plan1!1273:1273,"AAAAAHvvF8E=",0)</f>
        <v>0</v>
      </c>
      <c r="GM35" t="e">
        <f>AND(Plan1!A1273,"AAAAAHvvF8I=")</f>
        <v>#VALUE!</v>
      </c>
      <c r="GN35" t="e">
        <f>AND(Plan1!B1273,"AAAAAHvvF8M=")</f>
        <v>#VALUE!</v>
      </c>
      <c r="GO35" t="e">
        <f>AND(Plan1!C1273,"AAAAAHvvF8Q=")</f>
        <v>#VALUE!</v>
      </c>
      <c r="GP35" t="e">
        <f>AND(Plan1!D1273,"AAAAAHvvF8U=")</f>
        <v>#VALUE!</v>
      </c>
      <c r="GQ35" t="e">
        <f>AND(Plan1!E1273,"AAAAAHvvF8Y=")</f>
        <v>#VALUE!</v>
      </c>
      <c r="GR35" t="e">
        <f>AND(Plan1!F1273,"AAAAAHvvF8c=")</f>
        <v>#VALUE!</v>
      </c>
      <c r="GS35">
        <f>IF(Plan1!1274:1274,"AAAAAHvvF8g=",0)</f>
        <v>0</v>
      </c>
      <c r="GT35" t="e">
        <f>AND(Plan1!A1274,"AAAAAHvvF8k=")</f>
        <v>#VALUE!</v>
      </c>
      <c r="GU35" t="e">
        <f>AND(Plan1!B1274,"AAAAAHvvF8o=")</f>
        <v>#VALUE!</v>
      </c>
      <c r="GV35" t="e">
        <f>AND(Plan1!C1274,"AAAAAHvvF8s=")</f>
        <v>#VALUE!</v>
      </c>
      <c r="GW35" t="e">
        <f>AND(Plan1!D1274,"AAAAAHvvF8w=")</f>
        <v>#VALUE!</v>
      </c>
      <c r="GX35" t="e">
        <f>AND(Plan1!E1274,"AAAAAHvvF80=")</f>
        <v>#VALUE!</v>
      </c>
      <c r="GY35" t="e">
        <f>AND(Plan1!F1274,"AAAAAHvvF84=")</f>
        <v>#VALUE!</v>
      </c>
      <c r="GZ35">
        <f>IF(Plan1!1275:1275,"AAAAAHvvF88=",0)</f>
        <v>0</v>
      </c>
      <c r="HA35" t="e">
        <f>AND(Plan1!A1275,"AAAAAHvvF9A=")</f>
        <v>#VALUE!</v>
      </c>
      <c r="HB35" t="e">
        <f>AND(Plan1!B1275,"AAAAAHvvF9E=")</f>
        <v>#VALUE!</v>
      </c>
      <c r="HC35" t="e">
        <f>AND(Plan1!C1275,"AAAAAHvvF9I=")</f>
        <v>#VALUE!</v>
      </c>
      <c r="HD35" t="e">
        <f>AND(Plan1!D1275,"AAAAAHvvF9M=")</f>
        <v>#VALUE!</v>
      </c>
      <c r="HE35" t="e">
        <f>AND(Plan1!E1275,"AAAAAHvvF9Q=")</f>
        <v>#VALUE!</v>
      </c>
      <c r="HF35" t="e">
        <f>AND(Plan1!F1275,"AAAAAHvvF9U=")</f>
        <v>#VALUE!</v>
      </c>
      <c r="HG35">
        <f>IF(Plan1!1276:1276,"AAAAAHvvF9Y=",0)</f>
        <v>0</v>
      </c>
      <c r="HH35" t="e">
        <f>AND(Plan1!A1276,"AAAAAHvvF9c=")</f>
        <v>#VALUE!</v>
      </c>
      <c r="HI35" t="e">
        <f>AND(Plan1!B1276,"AAAAAHvvF9g=")</f>
        <v>#VALUE!</v>
      </c>
      <c r="HJ35" t="e">
        <f>AND(Plan1!C1276,"AAAAAHvvF9k=")</f>
        <v>#VALUE!</v>
      </c>
      <c r="HK35" t="e">
        <f>AND(Plan1!D1276,"AAAAAHvvF9o=")</f>
        <v>#VALUE!</v>
      </c>
      <c r="HL35" t="e">
        <f>AND(Plan1!E1276,"AAAAAHvvF9s=")</f>
        <v>#VALUE!</v>
      </c>
      <c r="HM35" t="e">
        <f>AND(Plan1!F1276,"AAAAAHvvF9w=")</f>
        <v>#VALUE!</v>
      </c>
      <c r="HN35">
        <f>IF(Plan1!1277:1277,"AAAAAHvvF90=",0)</f>
        <v>0</v>
      </c>
      <c r="HO35" t="e">
        <f>AND(Plan1!A1277,"AAAAAHvvF94=")</f>
        <v>#VALUE!</v>
      </c>
      <c r="HP35" t="e">
        <f>AND(Plan1!B1277,"AAAAAHvvF98=")</f>
        <v>#VALUE!</v>
      </c>
      <c r="HQ35" t="e">
        <f>AND(Plan1!C1277,"AAAAAHvvF+A=")</f>
        <v>#VALUE!</v>
      </c>
      <c r="HR35" t="e">
        <f>AND(Plan1!D1277,"AAAAAHvvF+E=")</f>
        <v>#VALUE!</v>
      </c>
      <c r="HS35" t="e">
        <f>AND(Plan1!E1277,"AAAAAHvvF+I=")</f>
        <v>#VALUE!</v>
      </c>
      <c r="HT35" t="e">
        <f>AND(Plan1!F1277,"AAAAAHvvF+M=")</f>
        <v>#VALUE!</v>
      </c>
      <c r="HU35">
        <f>IF(Plan1!1278:1278,"AAAAAHvvF+Q=",0)</f>
        <v>0</v>
      </c>
      <c r="HV35" t="e">
        <f>AND(Plan1!A1278,"AAAAAHvvF+U=")</f>
        <v>#VALUE!</v>
      </c>
      <c r="HW35" t="e">
        <f>AND(Plan1!B1278,"AAAAAHvvF+Y=")</f>
        <v>#VALUE!</v>
      </c>
      <c r="HX35" t="e">
        <f>AND(Plan1!C1278,"AAAAAHvvF+c=")</f>
        <v>#VALUE!</v>
      </c>
      <c r="HY35" t="e">
        <f>AND(Plan1!D1278,"AAAAAHvvF+g=")</f>
        <v>#VALUE!</v>
      </c>
      <c r="HZ35" t="e">
        <f>AND(Plan1!E1278,"AAAAAHvvF+k=")</f>
        <v>#VALUE!</v>
      </c>
      <c r="IA35" t="e">
        <f>AND(Plan1!F1278,"AAAAAHvvF+o=")</f>
        <v>#VALUE!</v>
      </c>
      <c r="IB35">
        <f>IF(Plan1!1279:1279,"AAAAAHvvF+s=",0)</f>
        <v>0</v>
      </c>
      <c r="IC35" t="e">
        <f>AND(Plan1!A1279,"AAAAAHvvF+w=")</f>
        <v>#VALUE!</v>
      </c>
      <c r="ID35" t="e">
        <f>AND(Plan1!B1279,"AAAAAHvvF+0=")</f>
        <v>#VALUE!</v>
      </c>
      <c r="IE35" t="e">
        <f>AND(Plan1!C1279,"AAAAAHvvF+4=")</f>
        <v>#VALUE!</v>
      </c>
      <c r="IF35" t="e">
        <f>AND(Plan1!D1279,"AAAAAHvvF+8=")</f>
        <v>#VALUE!</v>
      </c>
      <c r="IG35" t="e">
        <f>AND(Plan1!E1279,"AAAAAHvvF/A=")</f>
        <v>#VALUE!</v>
      </c>
      <c r="IH35" t="e">
        <f>AND(Plan1!F1279,"AAAAAHvvF/E=")</f>
        <v>#VALUE!</v>
      </c>
      <c r="II35">
        <f>IF(Plan1!1280:1280,"AAAAAHvvF/I=",0)</f>
        <v>0</v>
      </c>
      <c r="IJ35" t="e">
        <f>AND(Plan1!A1280,"AAAAAHvvF/M=")</f>
        <v>#VALUE!</v>
      </c>
      <c r="IK35" t="e">
        <f>AND(Plan1!B1280,"AAAAAHvvF/Q=")</f>
        <v>#VALUE!</v>
      </c>
      <c r="IL35" t="e">
        <f>AND(Plan1!C1280,"AAAAAHvvF/U=")</f>
        <v>#VALUE!</v>
      </c>
      <c r="IM35" t="e">
        <f>AND(Plan1!D1280,"AAAAAHvvF/Y=")</f>
        <v>#VALUE!</v>
      </c>
      <c r="IN35" t="e">
        <f>AND(Plan1!E1280,"AAAAAHvvF/c=")</f>
        <v>#VALUE!</v>
      </c>
      <c r="IO35" t="e">
        <f>AND(Plan1!F1280,"AAAAAHvvF/g=")</f>
        <v>#VALUE!</v>
      </c>
      <c r="IP35">
        <f>IF(Plan1!1281:1281,"AAAAAHvvF/k=",0)</f>
        <v>0</v>
      </c>
      <c r="IQ35" t="e">
        <f>AND(Plan1!A1281,"AAAAAHvvF/o=")</f>
        <v>#VALUE!</v>
      </c>
      <c r="IR35" t="e">
        <f>AND(Plan1!B1281,"AAAAAHvvF/s=")</f>
        <v>#VALUE!</v>
      </c>
      <c r="IS35" t="e">
        <f>AND(Plan1!C1281,"AAAAAHvvF/w=")</f>
        <v>#VALUE!</v>
      </c>
      <c r="IT35" t="e">
        <f>AND(Plan1!D1281,"AAAAAHvvF/0=")</f>
        <v>#VALUE!</v>
      </c>
      <c r="IU35" t="e">
        <f>AND(Plan1!E1281,"AAAAAHvvF/4=")</f>
        <v>#VALUE!</v>
      </c>
      <c r="IV35" t="e">
        <f>AND(Plan1!F1281,"AAAAAHvvF/8=")</f>
        <v>#VALUE!</v>
      </c>
    </row>
    <row r="36" spans="1:256">
      <c r="A36" t="e">
        <f>IF(Plan1!1282:1282,"AAAAAH//pwA=",0)</f>
        <v>#VALUE!</v>
      </c>
      <c r="B36" t="e">
        <f>AND(Plan1!A1282,"AAAAAH//pwE=")</f>
        <v>#VALUE!</v>
      </c>
      <c r="C36" t="e">
        <f>AND(Plan1!B1282,"AAAAAH//pwI=")</f>
        <v>#VALUE!</v>
      </c>
      <c r="D36" t="e">
        <f>AND(Plan1!C1282,"AAAAAH//pwM=")</f>
        <v>#VALUE!</v>
      </c>
      <c r="E36" t="e">
        <f>AND(Plan1!D1282,"AAAAAH//pwQ=")</f>
        <v>#VALUE!</v>
      </c>
      <c r="F36" t="e">
        <f>AND(Plan1!E1282,"AAAAAH//pwU=")</f>
        <v>#VALUE!</v>
      </c>
      <c r="G36" t="e">
        <f>AND(Plan1!F1282,"AAAAAH//pwY=")</f>
        <v>#VALUE!</v>
      </c>
      <c r="H36">
        <f>IF(Plan1!1283:1283,"AAAAAH//pwc=",0)</f>
        <v>0</v>
      </c>
      <c r="I36" t="e">
        <f>AND(Plan1!A1283,"AAAAAH//pwg=")</f>
        <v>#VALUE!</v>
      </c>
      <c r="J36" t="e">
        <f>AND(Plan1!B1283,"AAAAAH//pwk=")</f>
        <v>#VALUE!</v>
      </c>
      <c r="K36" t="e">
        <f>AND(Plan1!C1283,"AAAAAH//pwo=")</f>
        <v>#VALUE!</v>
      </c>
      <c r="L36" t="e">
        <f>AND(Plan1!D1283,"AAAAAH//pws=")</f>
        <v>#VALUE!</v>
      </c>
      <c r="M36" t="e">
        <f>AND(Plan1!E1283,"AAAAAH//pww=")</f>
        <v>#VALUE!</v>
      </c>
      <c r="N36" t="e">
        <f>AND(Plan1!F1283,"AAAAAH//pw0=")</f>
        <v>#VALUE!</v>
      </c>
      <c r="O36">
        <f>IF(Plan1!1284:1284,"AAAAAH//pw4=",0)</f>
        <v>0</v>
      </c>
      <c r="P36" t="e">
        <f>AND(Plan1!A1284,"AAAAAH//pw8=")</f>
        <v>#VALUE!</v>
      </c>
      <c r="Q36" t="e">
        <f>AND(Plan1!B1284,"AAAAAH//pxA=")</f>
        <v>#VALUE!</v>
      </c>
      <c r="R36" t="e">
        <f>AND(Plan1!C1284,"AAAAAH//pxE=")</f>
        <v>#VALUE!</v>
      </c>
      <c r="S36" t="e">
        <f>AND(Plan1!D1284,"AAAAAH//pxI=")</f>
        <v>#VALUE!</v>
      </c>
      <c r="T36" t="e">
        <f>AND(Plan1!E1284,"AAAAAH//pxM=")</f>
        <v>#VALUE!</v>
      </c>
      <c r="U36" t="e">
        <f>AND(Plan1!F1284,"AAAAAH//pxQ=")</f>
        <v>#VALUE!</v>
      </c>
      <c r="V36">
        <f>IF(Plan1!1285:1285,"AAAAAH//pxU=",0)</f>
        <v>0</v>
      </c>
      <c r="W36" t="e">
        <f>AND(Plan1!A1285,"AAAAAH//pxY=")</f>
        <v>#VALUE!</v>
      </c>
      <c r="X36" t="e">
        <f>AND(Plan1!B1285,"AAAAAH//pxc=")</f>
        <v>#VALUE!</v>
      </c>
      <c r="Y36" t="e">
        <f>AND(Plan1!C1285,"AAAAAH//pxg=")</f>
        <v>#VALUE!</v>
      </c>
      <c r="Z36" t="e">
        <f>AND(Plan1!D1285,"AAAAAH//pxk=")</f>
        <v>#VALUE!</v>
      </c>
      <c r="AA36" t="e">
        <f>AND(Plan1!E1285,"AAAAAH//pxo=")</f>
        <v>#VALUE!</v>
      </c>
      <c r="AB36" t="e">
        <f>AND(Plan1!F1285,"AAAAAH//pxs=")</f>
        <v>#VALUE!</v>
      </c>
      <c r="AC36">
        <f>IF(Plan1!1286:1286,"AAAAAH//pxw=",0)</f>
        <v>0</v>
      </c>
      <c r="AD36" t="e">
        <f>AND(Plan1!A1286,"AAAAAH//px0=")</f>
        <v>#VALUE!</v>
      </c>
      <c r="AE36" t="e">
        <f>AND(Plan1!B1286,"AAAAAH//px4=")</f>
        <v>#VALUE!</v>
      </c>
      <c r="AF36" t="e">
        <f>AND(Plan1!C1286,"AAAAAH//px8=")</f>
        <v>#VALUE!</v>
      </c>
      <c r="AG36" t="e">
        <f>AND(Plan1!D1286,"AAAAAH//pyA=")</f>
        <v>#VALUE!</v>
      </c>
      <c r="AH36" t="e">
        <f>AND(Plan1!E1286,"AAAAAH//pyE=")</f>
        <v>#VALUE!</v>
      </c>
      <c r="AI36" t="e">
        <f>AND(Plan1!F1286,"AAAAAH//pyI=")</f>
        <v>#VALUE!</v>
      </c>
      <c r="AJ36">
        <f>IF(Plan1!1287:1287,"AAAAAH//pyM=",0)</f>
        <v>0</v>
      </c>
      <c r="AK36" t="e">
        <f>AND(Plan1!A1287,"AAAAAH//pyQ=")</f>
        <v>#VALUE!</v>
      </c>
      <c r="AL36" t="e">
        <f>AND(Plan1!B1287,"AAAAAH//pyU=")</f>
        <v>#VALUE!</v>
      </c>
      <c r="AM36" t="e">
        <f>AND(Plan1!C1287,"AAAAAH//pyY=")</f>
        <v>#VALUE!</v>
      </c>
      <c r="AN36" t="e">
        <f>AND(Plan1!D1287,"AAAAAH//pyc=")</f>
        <v>#VALUE!</v>
      </c>
      <c r="AO36" t="e">
        <f>AND(Plan1!E1287,"AAAAAH//pyg=")</f>
        <v>#VALUE!</v>
      </c>
      <c r="AP36" t="e">
        <f>AND(Plan1!F1287,"AAAAAH//pyk=")</f>
        <v>#VALUE!</v>
      </c>
      <c r="AQ36">
        <f>IF(Plan1!1288:1288,"AAAAAH//pyo=",0)</f>
        <v>0</v>
      </c>
      <c r="AR36" t="e">
        <f>AND(Plan1!A1288,"AAAAAH//pys=")</f>
        <v>#VALUE!</v>
      </c>
      <c r="AS36" t="e">
        <f>AND(Plan1!B1288,"AAAAAH//pyw=")</f>
        <v>#VALUE!</v>
      </c>
      <c r="AT36" t="e">
        <f>AND(Plan1!C1288,"AAAAAH//py0=")</f>
        <v>#VALUE!</v>
      </c>
      <c r="AU36" t="e">
        <f>AND(Plan1!D1288,"AAAAAH//py4=")</f>
        <v>#VALUE!</v>
      </c>
      <c r="AV36" t="e">
        <f>AND(Plan1!E1288,"AAAAAH//py8=")</f>
        <v>#VALUE!</v>
      </c>
      <c r="AW36" t="e">
        <f>AND(Plan1!F1288,"AAAAAH//pzA=")</f>
        <v>#VALUE!</v>
      </c>
      <c r="AX36">
        <f>IF(Plan1!1289:1289,"AAAAAH//pzE=",0)</f>
        <v>0</v>
      </c>
      <c r="AY36" t="e">
        <f>AND(Plan1!A1289,"AAAAAH//pzI=")</f>
        <v>#VALUE!</v>
      </c>
      <c r="AZ36" t="e">
        <f>AND(Plan1!B1289,"AAAAAH//pzM=")</f>
        <v>#VALUE!</v>
      </c>
      <c r="BA36" t="e">
        <f>AND(Plan1!C1289,"AAAAAH//pzQ=")</f>
        <v>#VALUE!</v>
      </c>
      <c r="BB36" t="e">
        <f>AND(Plan1!D1289,"AAAAAH//pzU=")</f>
        <v>#VALUE!</v>
      </c>
      <c r="BC36" t="e">
        <f>AND(Plan1!E1289,"AAAAAH//pzY=")</f>
        <v>#VALUE!</v>
      </c>
      <c r="BD36" t="e">
        <f>AND(Plan1!F1289,"AAAAAH//pzc=")</f>
        <v>#VALUE!</v>
      </c>
      <c r="BE36">
        <f>IF(Plan1!1290:1290,"AAAAAH//pzg=",0)</f>
        <v>0</v>
      </c>
      <c r="BF36" t="e">
        <f>AND(Plan1!A1290,"AAAAAH//pzk=")</f>
        <v>#VALUE!</v>
      </c>
      <c r="BG36" t="e">
        <f>AND(Plan1!B1290,"AAAAAH//pzo=")</f>
        <v>#VALUE!</v>
      </c>
      <c r="BH36" t="e">
        <f>AND(Plan1!C1290,"AAAAAH//pzs=")</f>
        <v>#VALUE!</v>
      </c>
      <c r="BI36" t="e">
        <f>AND(Plan1!D1290,"AAAAAH//pzw=")</f>
        <v>#VALUE!</v>
      </c>
      <c r="BJ36" t="e">
        <f>AND(Plan1!E1290,"AAAAAH//pz0=")</f>
        <v>#VALUE!</v>
      </c>
      <c r="BK36" t="e">
        <f>AND(Plan1!F1290,"AAAAAH//pz4=")</f>
        <v>#VALUE!</v>
      </c>
      <c r="BL36">
        <f>IF(Plan1!1291:1291,"AAAAAH//pz8=",0)</f>
        <v>0</v>
      </c>
      <c r="BM36" t="e">
        <f>AND(Plan1!A1291,"AAAAAH//p0A=")</f>
        <v>#VALUE!</v>
      </c>
      <c r="BN36" t="e">
        <f>AND(Plan1!B1291,"AAAAAH//p0E=")</f>
        <v>#VALUE!</v>
      </c>
      <c r="BO36" t="e">
        <f>AND(Plan1!C1291,"AAAAAH//p0I=")</f>
        <v>#VALUE!</v>
      </c>
      <c r="BP36" t="e">
        <f>AND(Plan1!D1291,"AAAAAH//p0M=")</f>
        <v>#VALUE!</v>
      </c>
      <c r="BQ36" t="e">
        <f>AND(Plan1!E1291,"AAAAAH//p0Q=")</f>
        <v>#VALUE!</v>
      </c>
      <c r="BR36" t="e">
        <f>AND(Plan1!F1291,"AAAAAH//p0U=")</f>
        <v>#VALUE!</v>
      </c>
      <c r="BS36">
        <f>IF(Plan1!1292:1292,"AAAAAH//p0Y=",0)</f>
        <v>0</v>
      </c>
      <c r="BT36" t="e">
        <f>AND(Plan1!A1292,"AAAAAH//p0c=")</f>
        <v>#VALUE!</v>
      </c>
      <c r="BU36" t="e">
        <f>AND(Plan1!B1292,"AAAAAH//p0g=")</f>
        <v>#VALUE!</v>
      </c>
      <c r="BV36" t="e">
        <f>AND(Plan1!C1292,"AAAAAH//p0k=")</f>
        <v>#VALUE!</v>
      </c>
      <c r="BW36" t="e">
        <f>AND(Plan1!D1292,"AAAAAH//p0o=")</f>
        <v>#VALUE!</v>
      </c>
      <c r="BX36" t="e">
        <f>AND(Plan1!E1292,"AAAAAH//p0s=")</f>
        <v>#VALUE!</v>
      </c>
      <c r="BY36" t="e">
        <f>AND(Plan1!F1292,"AAAAAH//p0w=")</f>
        <v>#VALUE!</v>
      </c>
      <c r="BZ36">
        <f>IF(Plan1!1293:1293,"AAAAAH//p00=",0)</f>
        <v>0</v>
      </c>
      <c r="CA36" t="e">
        <f>AND(Plan1!A1293,"AAAAAH//p04=")</f>
        <v>#VALUE!</v>
      </c>
      <c r="CB36" t="e">
        <f>AND(Plan1!B1293,"AAAAAH//p08=")</f>
        <v>#VALUE!</v>
      </c>
      <c r="CC36" t="e">
        <f>AND(Plan1!C1293,"AAAAAH//p1A=")</f>
        <v>#VALUE!</v>
      </c>
      <c r="CD36" t="e">
        <f>AND(Plan1!D1293,"AAAAAH//p1E=")</f>
        <v>#VALUE!</v>
      </c>
      <c r="CE36" t="e">
        <f>AND(Plan1!E1293,"AAAAAH//p1I=")</f>
        <v>#VALUE!</v>
      </c>
      <c r="CF36" t="e">
        <f>AND(Plan1!F1293,"AAAAAH//p1M=")</f>
        <v>#VALUE!</v>
      </c>
      <c r="CG36">
        <f>IF(Plan1!1294:1294,"AAAAAH//p1Q=",0)</f>
        <v>0</v>
      </c>
      <c r="CH36" t="e">
        <f>AND(Plan1!A1294,"AAAAAH//p1U=")</f>
        <v>#VALUE!</v>
      </c>
      <c r="CI36" t="e">
        <f>AND(Plan1!B1294,"AAAAAH//p1Y=")</f>
        <v>#VALUE!</v>
      </c>
      <c r="CJ36" t="e">
        <f>AND(Plan1!C1294,"AAAAAH//p1c=")</f>
        <v>#VALUE!</v>
      </c>
      <c r="CK36" t="e">
        <f>AND(Plan1!D1294,"AAAAAH//p1g=")</f>
        <v>#VALUE!</v>
      </c>
      <c r="CL36" t="e">
        <f>AND(Plan1!E1294,"AAAAAH//p1k=")</f>
        <v>#VALUE!</v>
      </c>
      <c r="CM36" t="e">
        <f>AND(Plan1!F1294,"AAAAAH//p1o=")</f>
        <v>#VALUE!</v>
      </c>
      <c r="CN36">
        <f>IF(Plan1!1295:1295,"AAAAAH//p1s=",0)</f>
        <v>0</v>
      </c>
      <c r="CO36" t="e">
        <f>AND(Plan1!A1295,"AAAAAH//p1w=")</f>
        <v>#VALUE!</v>
      </c>
      <c r="CP36" t="e">
        <f>AND(Plan1!B1295,"AAAAAH//p10=")</f>
        <v>#VALUE!</v>
      </c>
      <c r="CQ36" t="e">
        <f>AND(Plan1!C1295,"AAAAAH//p14=")</f>
        <v>#VALUE!</v>
      </c>
      <c r="CR36" t="e">
        <f>AND(Plan1!D1295,"AAAAAH//p18=")</f>
        <v>#VALUE!</v>
      </c>
      <c r="CS36" t="e">
        <f>AND(Plan1!E1295,"AAAAAH//p2A=")</f>
        <v>#VALUE!</v>
      </c>
      <c r="CT36" t="e">
        <f>AND(Plan1!F1295,"AAAAAH//p2E=")</f>
        <v>#VALUE!</v>
      </c>
      <c r="CU36">
        <f>IF(Plan1!1296:1296,"AAAAAH//p2I=",0)</f>
        <v>0</v>
      </c>
      <c r="CV36" t="e">
        <f>AND(Plan1!A1296,"AAAAAH//p2M=")</f>
        <v>#VALUE!</v>
      </c>
      <c r="CW36" t="e">
        <f>AND(Plan1!B1296,"AAAAAH//p2Q=")</f>
        <v>#VALUE!</v>
      </c>
      <c r="CX36" t="e">
        <f>AND(Plan1!C1296,"AAAAAH//p2U=")</f>
        <v>#VALUE!</v>
      </c>
      <c r="CY36" t="e">
        <f>AND(Plan1!D1296,"AAAAAH//p2Y=")</f>
        <v>#VALUE!</v>
      </c>
      <c r="CZ36" t="e">
        <f>AND(Plan1!E1296,"AAAAAH//p2c=")</f>
        <v>#VALUE!</v>
      </c>
      <c r="DA36" t="e">
        <f>AND(Plan1!F1296,"AAAAAH//p2g=")</f>
        <v>#VALUE!</v>
      </c>
      <c r="DB36">
        <f>IF(Plan1!1297:1297,"AAAAAH//p2k=",0)</f>
        <v>0</v>
      </c>
      <c r="DC36" t="e">
        <f>AND(Plan1!A1297,"AAAAAH//p2o=")</f>
        <v>#VALUE!</v>
      </c>
      <c r="DD36" t="e">
        <f>AND(Plan1!B1297,"AAAAAH//p2s=")</f>
        <v>#VALUE!</v>
      </c>
      <c r="DE36" t="e">
        <f>AND(Plan1!C1297,"AAAAAH//p2w=")</f>
        <v>#VALUE!</v>
      </c>
      <c r="DF36" t="e">
        <f>AND(Plan1!D1297,"AAAAAH//p20=")</f>
        <v>#VALUE!</v>
      </c>
      <c r="DG36" t="e">
        <f>AND(Plan1!E1297,"AAAAAH//p24=")</f>
        <v>#VALUE!</v>
      </c>
      <c r="DH36" t="e">
        <f>AND(Plan1!F1297,"AAAAAH//p28=")</f>
        <v>#VALUE!</v>
      </c>
      <c r="DI36">
        <f>IF(Plan1!1298:1298,"AAAAAH//p3A=",0)</f>
        <v>0</v>
      </c>
      <c r="DJ36" t="e">
        <f>AND(Plan1!A1298,"AAAAAH//p3E=")</f>
        <v>#VALUE!</v>
      </c>
      <c r="DK36" t="e">
        <f>AND(Plan1!B1298,"AAAAAH//p3I=")</f>
        <v>#VALUE!</v>
      </c>
      <c r="DL36" t="e">
        <f>AND(Plan1!C1298,"AAAAAH//p3M=")</f>
        <v>#VALUE!</v>
      </c>
      <c r="DM36" t="e">
        <f>AND(Plan1!D1298,"AAAAAH//p3Q=")</f>
        <v>#VALUE!</v>
      </c>
      <c r="DN36" t="e">
        <f>AND(Plan1!E1298,"AAAAAH//p3U=")</f>
        <v>#VALUE!</v>
      </c>
      <c r="DO36" t="e">
        <f>AND(Plan1!F1298,"AAAAAH//p3Y=")</f>
        <v>#VALUE!</v>
      </c>
      <c r="DP36">
        <f>IF(Plan1!1299:1299,"AAAAAH//p3c=",0)</f>
        <v>0</v>
      </c>
      <c r="DQ36" t="e">
        <f>AND(Plan1!A1299,"AAAAAH//p3g=")</f>
        <v>#VALUE!</v>
      </c>
      <c r="DR36" t="e">
        <f>AND(Plan1!B1299,"AAAAAH//p3k=")</f>
        <v>#VALUE!</v>
      </c>
      <c r="DS36" t="e">
        <f>AND(Plan1!C1299,"AAAAAH//p3o=")</f>
        <v>#VALUE!</v>
      </c>
      <c r="DT36" t="e">
        <f>AND(Plan1!D1299,"AAAAAH//p3s=")</f>
        <v>#VALUE!</v>
      </c>
      <c r="DU36" t="e">
        <f>AND(Plan1!E1299,"AAAAAH//p3w=")</f>
        <v>#VALUE!</v>
      </c>
      <c r="DV36" t="e">
        <f>AND(Plan1!F1299,"AAAAAH//p30=")</f>
        <v>#VALUE!</v>
      </c>
      <c r="DW36">
        <f>IF(Plan1!1300:1300,"AAAAAH//p34=",0)</f>
        <v>0</v>
      </c>
      <c r="DX36" t="e">
        <f>AND(Plan1!A1300,"AAAAAH//p38=")</f>
        <v>#VALUE!</v>
      </c>
      <c r="DY36" t="e">
        <f>AND(Plan1!B1300,"AAAAAH//p4A=")</f>
        <v>#VALUE!</v>
      </c>
      <c r="DZ36" t="e">
        <f>AND(Plan1!C1300,"AAAAAH//p4E=")</f>
        <v>#VALUE!</v>
      </c>
      <c r="EA36" t="e">
        <f>AND(Plan1!D1300,"AAAAAH//p4I=")</f>
        <v>#VALUE!</v>
      </c>
      <c r="EB36" t="e">
        <f>AND(Plan1!E1300,"AAAAAH//p4M=")</f>
        <v>#VALUE!</v>
      </c>
      <c r="EC36" t="e">
        <f>AND(Plan1!F1300,"AAAAAH//p4Q=")</f>
        <v>#VALUE!</v>
      </c>
      <c r="ED36">
        <f>IF(Plan1!1301:1301,"AAAAAH//p4U=",0)</f>
        <v>0</v>
      </c>
      <c r="EE36" t="e">
        <f>AND(Plan1!A1301,"AAAAAH//p4Y=")</f>
        <v>#VALUE!</v>
      </c>
      <c r="EF36" t="e">
        <f>AND(Plan1!B1301,"AAAAAH//p4c=")</f>
        <v>#VALUE!</v>
      </c>
      <c r="EG36" t="e">
        <f>AND(Plan1!C1301,"AAAAAH//p4g=")</f>
        <v>#VALUE!</v>
      </c>
      <c r="EH36" t="e">
        <f>AND(Plan1!D1301,"AAAAAH//p4k=")</f>
        <v>#VALUE!</v>
      </c>
      <c r="EI36" t="e">
        <f>AND(Plan1!E1301,"AAAAAH//p4o=")</f>
        <v>#VALUE!</v>
      </c>
      <c r="EJ36" t="e">
        <f>AND(Plan1!F1301,"AAAAAH//p4s=")</f>
        <v>#VALUE!</v>
      </c>
      <c r="EK36">
        <f>IF(Plan1!1302:1302,"AAAAAH//p4w=",0)</f>
        <v>0</v>
      </c>
      <c r="EL36" t="e">
        <f>AND(Plan1!A1302,"AAAAAH//p40=")</f>
        <v>#VALUE!</v>
      </c>
      <c r="EM36" t="e">
        <f>AND(Plan1!B1302,"AAAAAH//p44=")</f>
        <v>#VALUE!</v>
      </c>
      <c r="EN36" t="e">
        <f>AND(Plan1!C1302,"AAAAAH//p48=")</f>
        <v>#VALUE!</v>
      </c>
      <c r="EO36" t="e">
        <f>AND(Plan1!D1302,"AAAAAH//p5A=")</f>
        <v>#VALUE!</v>
      </c>
      <c r="EP36" t="e">
        <f>AND(Plan1!E1302,"AAAAAH//p5E=")</f>
        <v>#VALUE!</v>
      </c>
      <c r="EQ36" t="e">
        <f>AND(Plan1!F1302,"AAAAAH//p5I=")</f>
        <v>#VALUE!</v>
      </c>
      <c r="ER36">
        <f>IF(Plan1!1303:1303,"AAAAAH//p5M=",0)</f>
        <v>0</v>
      </c>
      <c r="ES36" t="e">
        <f>AND(Plan1!A1303,"AAAAAH//p5Q=")</f>
        <v>#VALUE!</v>
      </c>
      <c r="ET36" t="e">
        <f>AND(Plan1!B1303,"AAAAAH//p5U=")</f>
        <v>#VALUE!</v>
      </c>
      <c r="EU36" t="e">
        <f>AND(Plan1!C1303,"AAAAAH//p5Y=")</f>
        <v>#VALUE!</v>
      </c>
      <c r="EV36" t="e">
        <f>AND(Plan1!D1303,"AAAAAH//p5c=")</f>
        <v>#VALUE!</v>
      </c>
      <c r="EW36" t="e">
        <f>AND(Plan1!E1303,"AAAAAH//p5g=")</f>
        <v>#VALUE!</v>
      </c>
      <c r="EX36" t="e">
        <f>AND(Plan1!F1303,"AAAAAH//p5k=")</f>
        <v>#VALUE!</v>
      </c>
      <c r="EY36">
        <f>IF(Plan1!1304:1304,"AAAAAH//p5o=",0)</f>
        <v>0</v>
      </c>
      <c r="EZ36" t="e">
        <f>AND(Plan1!A1304,"AAAAAH//p5s=")</f>
        <v>#VALUE!</v>
      </c>
      <c r="FA36" t="e">
        <f>AND(Plan1!B1304,"AAAAAH//p5w=")</f>
        <v>#VALUE!</v>
      </c>
      <c r="FB36" t="e">
        <f>AND(Plan1!C1304,"AAAAAH//p50=")</f>
        <v>#VALUE!</v>
      </c>
      <c r="FC36" t="e">
        <f>AND(Plan1!D1304,"AAAAAH//p54=")</f>
        <v>#VALUE!</v>
      </c>
      <c r="FD36" t="e">
        <f>AND(Plan1!E1304,"AAAAAH//p58=")</f>
        <v>#VALUE!</v>
      </c>
      <c r="FE36" t="e">
        <f>AND(Plan1!F1304,"AAAAAH//p6A=")</f>
        <v>#VALUE!</v>
      </c>
      <c r="FF36">
        <f>IF(Plan1!1305:1305,"AAAAAH//p6E=",0)</f>
        <v>0</v>
      </c>
      <c r="FG36" t="e">
        <f>AND(Plan1!A1305,"AAAAAH//p6I=")</f>
        <v>#VALUE!</v>
      </c>
      <c r="FH36" t="e">
        <f>AND(Plan1!B1305,"AAAAAH//p6M=")</f>
        <v>#VALUE!</v>
      </c>
      <c r="FI36" t="e">
        <f>AND(Plan1!C1305,"AAAAAH//p6Q=")</f>
        <v>#VALUE!</v>
      </c>
      <c r="FJ36" t="e">
        <f>AND(Plan1!D1305,"AAAAAH//p6U=")</f>
        <v>#VALUE!</v>
      </c>
      <c r="FK36" t="e">
        <f>AND(Plan1!E1305,"AAAAAH//p6Y=")</f>
        <v>#VALUE!</v>
      </c>
      <c r="FL36" t="e">
        <f>AND(Plan1!F1305,"AAAAAH//p6c=")</f>
        <v>#VALUE!</v>
      </c>
      <c r="FM36">
        <f>IF(Plan1!1306:1306,"AAAAAH//p6g=",0)</f>
        <v>0</v>
      </c>
      <c r="FN36" t="e">
        <f>AND(Plan1!A1306,"AAAAAH//p6k=")</f>
        <v>#VALUE!</v>
      </c>
      <c r="FO36" t="e">
        <f>AND(Plan1!B1306,"AAAAAH//p6o=")</f>
        <v>#VALUE!</v>
      </c>
      <c r="FP36" t="e">
        <f>AND(Plan1!C1306,"AAAAAH//p6s=")</f>
        <v>#VALUE!</v>
      </c>
      <c r="FQ36" t="e">
        <f>AND(Plan1!D1306,"AAAAAH//p6w=")</f>
        <v>#VALUE!</v>
      </c>
      <c r="FR36" t="e">
        <f>AND(Plan1!E1306,"AAAAAH//p60=")</f>
        <v>#VALUE!</v>
      </c>
      <c r="FS36" t="e">
        <f>AND(Plan1!F1306,"AAAAAH//p64=")</f>
        <v>#VALUE!</v>
      </c>
      <c r="FT36">
        <f>IF(Plan1!1307:1307,"AAAAAH//p68=",0)</f>
        <v>0</v>
      </c>
      <c r="FU36" t="e">
        <f>AND(Plan1!A1307,"AAAAAH//p7A=")</f>
        <v>#VALUE!</v>
      </c>
      <c r="FV36" t="e">
        <f>AND(Plan1!B1307,"AAAAAH//p7E=")</f>
        <v>#VALUE!</v>
      </c>
      <c r="FW36" t="e">
        <f>AND(Plan1!C1307,"AAAAAH//p7I=")</f>
        <v>#VALUE!</v>
      </c>
      <c r="FX36" t="e">
        <f>AND(Plan1!D1307,"AAAAAH//p7M=")</f>
        <v>#VALUE!</v>
      </c>
      <c r="FY36" t="e">
        <f>AND(Plan1!E1307,"AAAAAH//p7Q=")</f>
        <v>#VALUE!</v>
      </c>
      <c r="FZ36" t="e">
        <f>AND(Plan1!F1307,"AAAAAH//p7U=")</f>
        <v>#VALUE!</v>
      </c>
      <c r="GA36">
        <f>IF(Plan1!1308:1308,"AAAAAH//p7Y=",0)</f>
        <v>0</v>
      </c>
      <c r="GB36" t="e">
        <f>AND(Plan1!A1308,"AAAAAH//p7c=")</f>
        <v>#VALUE!</v>
      </c>
      <c r="GC36" t="e">
        <f>AND(Plan1!B1308,"AAAAAH//p7g=")</f>
        <v>#VALUE!</v>
      </c>
      <c r="GD36" t="e">
        <f>AND(Plan1!C1308,"AAAAAH//p7k=")</f>
        <v>#VALUE!</v>
      </c>
      <c r="GE36" t="e">
        <f>AND(Plan1!D1308,"AAAAAH//p7o=")</f>
        <v>#VALUE!</v>
      </c>
      <c r="GF36" t="e">
        <f>AND(Plan1!E1308,"AAAAAH//p7s=")</f>
        <v>#VALUE!</v>
      </c>
      <c r="GG36" t="e">
        <f>AND(Plan1!F1308,"AAAAAH//p7w=")</f>
        <v>#VALUE!</v>
      </c>
      <c r="GH36">
        <f>IF(Plan1!1309:1309,"AAAAAH//p70=",0)</f>
        <v>0</v>
      </c>
      <c r="GI36" t="e">
        <f>AND(Plan1!A1309,"AAAAAH//p74=")</f>
        <v>#VALUE!</v>
      </c>
      <c r="GJ36" t="e">
        <f>AND(Plan1!B1309,"AAAAAH//p78=")</f>
        <v>#VALUE!</v>
      </c>
      <c r="GK36" t="e">
        <f>AND(Plan1!C1309,"AAAAAH//p8A=")</f>
        <v>#VALUE!</v>
      </c>
      <c r="GL36" t="e">
        <f>AND(Plan1!D1309,"AAAAAH//p8E=")</f>
        <v>#VALUE!</v>
      </c>
      <c r="GM36" t="e">
        <f>AND(Plan1!E1309,"AAAAAH//p8I=")</f>
        <v>#VALUE!</v>
      </c>
      <c r="GN36" t="e">
        <f>AND(Plan1!F1309,"AAAAAH//p8M=")</f>
        <v>#VALUE!</v>
      </c>
      <c r="GO36">
        <f>IF(Plan1!1310:1310,"AAAAAH//p8Q=",0)</f>
        <v>0</v>
      </c>
      <c r="GP36" t="e">
        <f>AND(Plan1!A1310,"AAAAAH//p8U=")</f>
        <v>#VALUE!</v>
      </c>
      <c r="GQ36" t="e">
        <f>AND(Plan1!B1310,"AAAAAH//p8Y=")</f>
        <v>#VALUE!</v>
      </c>
      <c r="GR36" t="e">
        <f>AND(Plan1!C1310,"AAAAAH//p8c=")</f>
        <v>#VALUE!</v>
      </c>
      <c r="GS36" t="e">
        <f>AND(Plan1!D1310,"AAAAAH//p8g=")</f>
        <v>#VALUE!</v>
      </c>
      <c r="GT36" t="e">
        <f>AND(Plan1!E1310,"AAAAAH//p8k=")</f>
        <v>#VALUE!</v>
      </c>
      <c r="GU36" t="e">
        <f>AND(Plan1!F1310,"AAAAAH//p8o=")</f>
        <v>#VALUE!</v>
      </c>
      <c r="GV36">
        <f>IF(Plan1!1311:1311,"AAAAAH//p8s=",0)</f>
        <v>0</v>
      </c>
      <c r="GW36" t="e">
        <f>AND(Plan1!A1311,"AAAAAH//p8w=")</f>
        <v>#VALUE!</v>
      </c>
      <c r="GX36" t="e">
        <f>AND(Plan1!B1311,"AAAAAH//p80=")</f>
        <v>#VALUE!</v>
      </c>
      <c r="GY36" t="e">
        <f>AND(Plan1!C1311,"AAAAAH//p84=")</f>
        <v>#VALUE!</v>
      </c>
      <c r="GZ36" t="e">
        <f>AND(Plan1!D1311,"AAAAAH//p88=")</f>
        <v>#VALUE!</v>
      </c>
      <c r="HA36" t="e">
        <f>AND(Plan1!E1311,"AAAAAH//p9A=")</f>
        <v>#VALUE!</v>
      </c>
      <c r="HB36" t="e">
        <f>AND(Plan1!F1311,"AAAAAH//p9E=")</f>
        <v>#VALUE!</v>
      </c>
      <c r="HC36">
        <f>IF(Plan1!1312:1312,"AAAAAH//p9I=",0)</f>
        <v>0</v>
      </c>
      <c r="HD36" t="e">
        <f>AND(Plan1!A1312,"AAAAAH//p9M=")</f>
        <v>#VALUE!</v>
      </c>
      <c r="HE36" t="e">
        <f>AND(Plan1!B1312,"AAAAAH//p9Q=")</f>
        <v>#VALUE!</v>
      </c>
      <c r="HF36" t="e">
        <f>AND(Plan1!C1312,"AAAAAH//p9U=")</f>
        <v>#VALUE!</v>
      </c>
      <c r="HG36" t="e">
        <f>AND(Plan1!D1312,"AAAAAH//p9Y=")</f>
        <v>#VALUE!</v>
      </c>
      <c r="HH36" t="e">
        <f>AND(Plan1!E1312,"AAAAAH//p9c=")</f>
        <v>#VALUE!</v>
      </c>
      <c r="HI36" t="e">
        <f>AND(Plan1!F1312,"AAAAAH//p9g=")</f>
        <v>#VALUE!</v>
      </c>
      <c r="HJ36">
        <f>IF(Plan1!1313:1313,"AAAAAH//p9k=",0)</f>
        <v>0</v>
      </c>
      <c r="HK36" t="e">
        <f>AND(Plan1!A1313,"AAAAAH//p9o=")</f>
        <v>#VALUE!</v>
      </c>
      <c r="HL36" t="e">
        <f>AND(Plan1!B1313,"AAAAAH//p9s=")</f>
        <v>#VALUE!</v>
      </c>
      <c r="HM36" t="e">
        <f>AND(Plan1!C1313,"AAAAAH//p9w=")</f>
        <v>#VALUE!</v>
      </c>
      <c r="HN36" t="e">
        <f>AND(Plan1!D1313,"AAAAAH//p90=")</f>
        <v>#VALUE!</v>
      </c>
      <c r="HO36" t="e">
        <f>AND(Plan1!E1313,"AAAAAH//p94=")</f>
        <v>#VALUE!</v>
      </c>
      <c r="HP36" t="e">
        <f>AND(Plan1!F1313,"AAAAAH//p98=")</f>
        <v>#VALUE!</v>
      </c>
      <c r="HQ36">
        <f>IF(Plan1!1314:1314,"AAAAAH//p+A=",0)</f>
        <v>0</v>
      </c>
      <c r="HR36" t="e">
        <f>AND(Plan1!A1314,"AAAAAH//p+E=")</f>
        <v>#VALUE!</v>
      </c>
      <c r="HS36" t="e">
        <f>AND(Plan1!B1314,"AAAAAH//p+I=")</f>
        <v>#VALUE!</v>
      </c>
      <c r="HT36" t="e">
        <f>AND(Plan1!C1314,"AAAAAH//p+M=")</f>
        <v>#VALUE!</v>
      </c>
      <c r="HU36" t="e">
        <f>AND(Plan1!D1314,"AAAAAH//p+Q=")</f>
        <v>#VALUE!</v>
      </c>
      <c r="HV36" t="e">
        <f>AND(Plan1!E1314,"AAAAAH//p+U=")</f>
        <v>#VALUE!</v>
      </c>
      <c r="HW36" t="e">
        <f>AND(Plan1!F1314,"AAAAAH//p+Y=")</f>
        <v>#VALUE!</v>
      </c>
      <c r="HX36">
        <f>IF(Plan1!1315:1315,"AAAAAH//p+c=",0)</f>
        <v>0</v>
      </c>
      <c r="HY36" t="e">
        <f>AND(Plan1!A1315,"AAAAAH//p+g=")</f>
        <v>#VALUE!</v>
      </c>
      <c r="HZ36" t="e">
        <f>AND(Plan1!B1315,"AAAAAH//p+k=")</f>
        <v>#VALUE!</v>
      </c>
      <c r="IA36" t="e">
        <f>AND(Plan1!C1315,"AAAAAH//p+o=")</f>
        <v>#VALUE!</v>
      </c>
      <c r="IB36" t="e">
        <f>AND(Plan1!D1315,"AAAAAH//p+s=")</f>
        <v>#VALUE!</v>
      </c>
      <c r="IC36" t="e">
        <f>AND(Plan1!E1315,"AAAAAH//p+w=")</f>
        <v>#VALUE!</v>
      </c>
      <c r="ID36" t="e">
        <f>AND(Plan1!F1315,"AAAAAH//p+0=")</f>
        <v>#VALUE!</v>
      </c>
      <c r="IE36">
        <f>IF(Plan1!1316:1316,"AAAAAH//p+4=",0)</f>
        <v>0</v>
      </c>
      <c r="IF36" t="e">
        <f>AND(Plan1!A1316,"AAAAAH//p+8=")</f>
        <v>#VALUE!</v>
      </c>
      <c r="IG36" t="e">
        <f>AND(Plan1!B1316,"AAAAAH//p/A=")</f>
        <v>#VALUE!</v>
      </c>
      <c r="IH36" t="e">
        <f>AND(Plan1!C1316,"AAAAAH//p/E=")</f>
        <v>#VALUE!</v>
      </c>
      <c r="II36" t="e">
        <f>AND(Plan1!D1316,"AAAAAH//p/I=")</f>
        <v>#VALUE!</v>
      </c>
      <c r="IJ36" t="e">
        <f>AND(Plan1!E1316,"AAAAAH//p/M=")</f>
        <v>#VALUE!</v>
      </c>
      <c r="IK36" t="e">
        <f>AND(Plan1!F1316,"AAAAAH//p/Q=")</f>
        <v>#VALUE!</v>
      </c>
      <c r="IL36">
        <f>IF(Plan1!1317:1317,"AAAAAH//p/U=",0)</f>
        <v>0</v>
      </c>
      <c r="IM36" t="e">
        <f>AND(Plan1!A1317,"AAAAAH//p/Y=")</f>
        <v>#VALUE!</v>
      </c>
      <c r="IN36" t="e">
        <f>AND(Plan1!B1317,"AAAAAH//p/c=")</f>
        <v>#VALUE!</v>
      </c>
      <c r="IO36" t="e">
        <f>AND(Plan1!C1317,"AAAAAH//p/g=")</f>
        <v>#VALUE!</v>
      </c>
      <c r="IP36" t="e">
        <f>AND(Plan1!D1317,"AAAAAH//p/k=")</f>
        <v>#VALUE!</v>
      </c>
      <c r="IQ36" t="e">
        <f>AND(Plan1!E1317,"AAAAAH//p/o=")</f>
        <v>#VALUE!</v>
      </c>
      <c r="IR36" t="e">
        <f>AND(Plan1!F1317,"AAAAAH//p/s=")</f>
        <v>#VALUE!</v>
      </c>
      <c r="IS36">
        <f>IF(Plan1!1318:1318,"AAAAAH//p/w=",0)</f>
        <v>0</v>
      </c>
      <c r="IT36" t="e">
        <f>AND(Plan1!A1318,"AAAAAH//p/0=")</f>
        <v>#VALUE!</v>
      </c>
      <c r="IU36" t="e">
        <f>AND(Plan1!B1318,"AAAAAH//p/4=")</f>
        <v>#VALUE!</v>
      </c>
      <c r="IV36" t="e">
        <f>AND(Plan1!C1318,"AAAAAH//p/8=")</f>
        <v>#VALUE!</v>
      </c>
    </row>
    <row r="37" spans="1:256">
      <c r="A37" t="e">
        <f>AND(Plan1!D1318,"AAAAAHf1bwA=")</f>
        <v>#VALUE!</v>
      </c>
      <c r="B37" t="e">
        <f>AND(Plan1!E1318,"AAAAAHf1bwE=")</f>
        <v>#VALUE!</v>
      </c>
      <c r="C37" t="e">
        <f>AND(Plan1!F1318,"AAAAAHf1bwI=")</f>
        <v>#VALUE!</v>
      </c>
      <c r="D37" t="str">
        <f>IF(Plan1!1319:1319,"AAAAAHf1bwM=",0)</f>
        <v>AAAAAHf1bwM=</v>
      </c>
      <c r="E37" t="e">
        <f>AND(Plan1!A1319,"AAAAAHf1bwQ=")</f>
        <v>#VALUE!</v>
      </c>
      <c r="F37" t="e">
        <f>AND(Plan1!B1319,"AAAAAHf1bwU=")</f>
        <v>#VALUE!</v>
      </c>
      <c r="G37" t="e">
        <f>AND(Plan1!C1319,"AAAAAHf1bwY=")</f>
        <v>#VALUE!</v>
      </c>
      <c r="H37" t="e">
        <f>AND(Plan1!D1319,"AAAAAHf1bwc=")</f>
        <v>#VALUE!</v>
      </c>
      <c r="I37" t="e">
        <f>AND(Plan1!E1319,"AAAAAHf1bwg=")</f>
        <v>#VALUE!</v>
      </c>
      <c r="J37" t="e">
        <f>AND(Plan1!F1319,"AAAAAHf1bwk=")</f>
        <v>#VALUE!</v>
      </c>
      <c r="K37">
        <f>IF(Plan1!1320:1320,"AAAAAHf1bwo=",0)</f>
        <v>0</v>
      </c>
      <c r="L37" t="e">
        <f>AND(Plan1!A1320,"AAAAAHf1bws=")</f>
        <v>#VALUE!</v>
      </c>
      <c r="M37" t="e">
        <f>AND(Plan1!B1320,"AAAAAHf1bww=")</f>
        <v>#VALUE!</v>
      </c>
      <c r="N37" t="e">
        <f>AND(Plan1!C1320,"AAAAAHf1bw0=")</f>
        <v>#VALUE!</v>
      </c>
      <c r="O37" t="e">
        <f>AND(Plan1!D1320,"AAAAAHf1bw4=")</f>
        <v>#VALUE!</v>
      </c>
      <c r="P37" t="e">
        <f>AND(Plan1!E1320,"AAAAAHf1bw8=")</f>
        <v>#VALUE!</v>
      </c>
      <c r="Q37" t="e">
        <f>AND(Plan1!F1320,"AAAAAHf1bxA=")</f>
        <v>#VALUE!</v>
      </c>
      <c r="R37">
        <f>IF(Plan1!1321:1321,"AAAAAHf1bxE=",0)</f>
        <v>0</v>
      </c>
      <c r="S37" t="e">
        <f>AND(Plan1!A1321,"AAAAAHf1bxI=")</f>
        <v>#VALUE!</v>
      </c>
      <c r="T37" t="e">
        <f>AND(Plan1!B1321,"AAAAAHf1bxM=")</f>
        <v>#VALUE!</v>
      </c>
      <c r="U37" t="e">
        <f>AND(Plan1!C1321,"AAAAAHf1bxQ=")</f>
        <v>#VALUE!</v>
      </c>
      <c r="V37" t="e">
        <f>AND(Plan1!D1321,"AAAAAHf1bxU=")</f>
        <v>#VALUE!</v>
      </c>
      <c r="W37" t="e">
        <f>AND(Plan1!E1321,"AAAAAHf1bxY=")</f>
        <v>#VALUE!</v>
      </c>
      <c r="X37" t="e">
        <f>AND(Plan1!F1321,"AAAAAHf1bxc=")</f>
        <v>#VALUE!</v>
      </c>
      <c r="Y37">
        <f>IF(Plan1!1322:1322,"AAAAAHf1bxg=",0)</f>
        <v>0</v>
      </c>
      <c r="Z37" t="e">
        <f>AND(Plan1!A1322,"AAAAAHf1bxk=")</f>
        <v>#VALUE!</v>
      </c>
      <c r="AA37" t="e">
        <f>AND(Plan1!B1322,"AAAAAHf1bxo=")</f>
        <v>#VALUE!</v>
      </c>
      <c r="AB37" t="e">
        <f>AND(Plan1!C1322,"AAAAAHf1bxs=")</f>
        <v>#VALUE!</v>
      </c>
      <c r="AC37" t="e">
        <f>AND(Plan1!D1322,"AAAAAHf1bxw=")</f>
        <v>#VALUE!</v>
      </c>
      <c r="AD37" t="e">
        <f>AND(Plan1!E1322,"AAAAAHf1bx0=")</f>
        <v>#VALUE!</v>
      </c>
      <c r="AE37" t="e">
        <f>AND(Plan1!F1322,"AAAAAHf1bx4=")</f>
        <v>#VALUE!</v>
      </c>
      <c r="AF37">
        <f>IF(Plan1!1323:1323,"AAAAAHf1bx8=",0)</f>
        <v>0</v>
      </c>
      <c r="AG37" t="e">
        <f>AND(Plan1!A1323,"AAAAAHf1byA=")</f>
        <v>#VALUE!</v>
      </c>
      <c r="AH37" t="e">
        <f>AND(Plan1!B1323,"AAAAAHf1byE=")</f>
        <v>#VALUE!</v>
      </c>
      <c r="AI37" t="e">
        <f>AND(Plan1!C1323,"AAAAAHf1byI=")</f>
        <v>#VALUE!</v>
      </c>
      <c r="AJ37" t="e">
        <f>AND(Plan1!D1323,"AAAAAHf1byM=")</f>
        <v>#VALUE!</v>
      </c>
      <c r="AK37" t="e">
        <f>AND(Plan1!E1323,"AAAAAHf1byQ=")</f>
        <v>#VALUE!</v>
      </c>
      <c r="AL37" t="e">
        <f>AND(Plan1!F1323,"AAAAAHf1byU=")</f>
        <v>#VALUE!</v>
      </c>
      <c r="AM37">
        <f>IF(Plan1!1324:1324,"AAAAAHf1byY=",0)</f>
        <v>0</v>
      </c>
      <c r="AN37" t="e">
        <f>AND(Plan1!A1324,"AAAAAHf1byc=")</f>
        <v>#VALUE!</v>
      </c>
      <c r="AO37" t="e">
        <f>AND(Plan1!B1324,"AAAAAHf1byg=")</f>
        <v>#VALUE!</v>
      </c>
      <c r="AP37" t="e">
        <f>AND(Plan1!C1324,"AAAAAHf1byk=")</f>
        <v>#VALUE!</v>
      </c>
      <c r="AQ37" t="e">
        <f>AND(Plan1!D1324,"AAAAAHf1byo=")</f>
        <v>#VALUE!</v>
      </c>
      <c r="AR37" t="e">
        <f>AND(Plan1!E1324,"AAAAAHf1bys=")</f>
        <v>#VALUE!</v>
      </c>
      <c r="AS37" t="e">
        <f>AND(Plan1!F1324,"AAAAAHf1byw=")</f>
        <v>#VALUE!</v>
      </c>
      <c r="AT37">
        <f>IF(Plan1!1325:1325,"AAAAAHf1by0=",0)</f>
        <v>0</v>
      </c>
      <c r="AU37" t="e">
        <f>AND(Plan1!A1325,"AAAAAHf1by4=")</f>
        <v>#VALUE!</v>
      </c>
      <c r="AV37" t="e">
        <f>AND(Plan1!B1325,"AAAAAHf1by8=")</f>
        <v>#VALUE!</v>
      </c>
      <c r="AW37" t="e">
        <f>AND(Plan1!C1325,"AAAAAHf1bzA=")</f>
        <v>#VALUE!</v>
      </c>
      <c r="AX37" t="e">
        <f>AND(Plan1!D1325,"AAAAAHf1bzE=")</f>
        <v>#VALUE!</v>
      </c>
      <c r="AY37" t="e">
        <f>AND(Plan1!E1325,"AAAAAHf1bzI=")</f>
        <v>#VALUE!</v>
      </c>
      <c r="AZ37" t="e">
        <f>AND(Plan1!F1325,"AAAAAHf1bzM=")</f>
        <v>#VALUE!</v>
      </c>
      <c r="BA37">
        <f>IF(Plan1!1326:1326,"AAAAAHf1bzQ=",0)</f>
        <v>0</v>
      </c>
      <c r="BB37" t="e">
        <f>AND(Plan1!A1326,"AAAAAHf1bzU=")</f>
        <v>#VALUE!</v>
      </c>
      <c r="BC37" t="e">
        <f>AND(Plan1!B1326,"AAAAAHf1bzY=")</f>
        <v>#VALUE!</v>
      </c>
      <c r="BD37" t="e">
        <f>AND(Plan1!C1326,"AAAAAHf1bzc=")</f>
        <v>#VALUE!</v>
      </c>
      <c r="BE37" t="e">
        <f>AND(Plan1!D1326,"AAAAAHf1bzg=")</f>
        <v>#VALUE!</v>
      </c>
      <c r="BF37" t="e">
        <f>AND(Plan1!E1326,"AAAAAHf1bzk=")</f>
        <v>#VALUE!</v>
      </c>
      <c r="BG37" t="e">
        <f>AND(Plan1!F1326,"AAAAAHf1bzo=")</f>
        <v>#VALUE!</v>
      </c>
      <c r="BH37">
        <f>IF(Plan1!1327:1327,"AAAAAHf1bzs=",0)</f>
        <v>0</v>
      </c>
      <c r="BI37" t="e">
        <f>AND(Plan1!A1327,"AAAAAHf1bzw=")</f>
        <v>#VALUE!</v>
      </c>
      <c r="BJ37" t="e">
        <f>AND(Plan1!B1327,"AAAAAHf1bz0=")</f>
        <v>#VALUE!</v>
      </c>
      <c r="BK37" t="e">
        <f>AND(Plan1!C1327,"AAAAAHf1bz4=")</f>
        <v>#VALUE!</v>
      </c>
      <c r="BL37" t="e">
        <f>AND(Plan1!D1327,"AAAAAHf1bz8=")</f>
        <v>#VALUE!</v>
      </c>
      <c r="BM37" t="e">
        <f>AND(Plan1!E1327,"AAAAAHf1b0A=")</f>
        <v>#VALUE!</v>
      </c>
      <c r="BN37" t="e">
        <f>AND(Plan1!F1327,"AAAAAHf1b0E=")</f>
        <v>#VALUE!</v>
      </c>
      <c r="BO37">
        <f>IF(Plan1!1328:1328,"AAAAAHf1b0I=",0)</f>
        <v>0</v>
      </c>
      <c r="BP37" t="e">
        <f>AND(Plan1!A1328,"AAAAAHf1b0M=")</f>
        <v>#VALUE!</v>
      </c>
      <c r="BQ37" t="e">
        <f>AND(Plan1!B1328,"AAAAAHf1b0Q=")</f>
        <v>#VALUE!</v>
      </c>
      <c r="BR37" t="e">
        <f>AND(Plan1!C1328,"AAAAAHf1b0U=")</f>
        <v>#VALUE!</v>
      </c>
      <c r="BS37" t="e">
        <f>AND(Plan1!D1328,"AAAAAHf1b0Y=")</f>
        <v>#VALUE!</v>
      </c>
      <c r="BT37" t="e">
        <f>AND(Plan1!E1328,"AAAAAHf1b0c=")</f>
        <v>#VALUE!</v>
      </c>
      <c r="BU37" t="e">
        <f>AND(Plan1!F1328,"AAAAAHf1b0g=")</f>
        <v>#VALUE!</v>
      </c>
      <c r="BV37">
        <f>IF(Plan1!1329:1329,"AAAAAHf1b0k=",0)</f>
        <v>0</v>
      </c>
      <c r="BW37" t="e">
        <f>AND(Plan1!A1329,"AAAAAHf1b0o=")</f>
        <v>#VALUE!</v>
      </c>
      <c r="BX37" t="e">
        <f>AND(Plan1!B1329,"AAAAAHf1b0s=")</f>
        <v>#VALUE!</v>
      </c>
      <c r="BY37" t="e">
        <f>AND(Plan1!C1329,"AAAAAHf1b0w=")</f>
        <v>#VALUE!</v>
      </c>
      <c r="BZ37" t="e">
        <f>AND(Plan1!D1329,"AAAAAHf1b00=")</f>
        <v>#VALUE!</v>
      </c>
      <c r="CA37" t="e">
        <f>AND(Plan1!E1329,"AAAAAHf1b04=")</f>
        <v>#VALUE!</v>
      </c>
      <c r="CB37" t="e">
        <f>AND(Plan1!F1329,"AAAAAHf1b08=")</f>
        <v>#VALUE!</v>
      </c>
      <c r="CC37">
        <f>IF(Plan1!1330:1330,"AAAAAHf1b1A=",0)</f>
        <v>0</v>
      </c>
      <c r="CD37" t="e">
        <f>AND(Plan1!A1330,"AAAAAHf1b1E=")</f>
        <v>#VALUE!</v>
      </c>
      <c r="CE37" t="e">
        <f>AND(Plan1!B1330,"AAAAAHf1b1I=")</f>
        <v>#VALUE!</v>
      </c>
      <c r="CF37" t="e">
        <f>AND(Plan1!C1330,"AAAAAHf1b1M=")</f>
        <v>#VALUE!</v>
      </c>
      <c r="CG37" t="e">
        <f>AND(Plan1!D1330,"AAAAAHf1b1Q=")</f>
        <v>#VALUE!</v>
      </c>
      <c r="CH37" t="e">
        <f>AND(Plan1!E1330,"AAAAAHf1b1U=")</f>
        <v>#VALUE!</v>
      </c>
      <c r="CI37" t="e">
        <f>AND(Plan1!F1330,"AAAAAHf1b1Y=")</f>
        <v>#VALUE!</v>
      </c>
      <c r="CJ37">
        <f>IF(Plan1!1331:1331,"AAAAAHf1b1c=",0)</f>
        <v>0</v>
      </c>
      <c r="CK37" t="e">
        <f>AND(Plan1!A1331,"AAAAAHf1b1g=")</f>
        <v>#VALUE!</v>
      </c>
      <c r="CL37" t="e">
        <f>AND(Plan1!B1331,"AAAAAHf1b1k=")</f>
        <v>#VALUE!</v>
      </c>
      <c r="CM37" t="e">
        <f>AND(Plan1!C1331,"AAAAAHf1b1o=")</f>
        <v>#VALUE!</v>
      </c>
      <c r="CN37" t="e">
        <f>AND(Plan1!D1331,"AAAAAHf1b1s=")</f>
        <v>#VALUE!</v>
      </c>
      <c r="CO37" t="e">
        <f>AND(Plan1!E1331,"AAAAAHf1b1w=")</f>
        <v>#VALUE!</v>
      </c>
      <c r="CP37" t="e">
        <f>AND(Plan1!F1331,"AAAAAHf1b10=")</f>
        <v>#VALUE!</v>
      </c>
      <c r="CQ37">
        <f>IF(Plan1!1332:1332,"AAAAAHf1b14=",0)</f>
        <v>0</v>
      </c>
      <c r="CR37" t="e">
        <f>AND(Plan1!A1332,"AAAAAHf1b18=")</f>
        <v>#VALUE!</v>
      </c>
      <c r="CS37" t="e">
        <f>AND(Plan1!B1332,"AAAAAHf1b2A=")</f>
        <v>#VALUE!</v>
      </c>
      <c r="CT37" t="e">
        <f>AND(Plan1!C1332,"AAAAAHf1b2E=")</f>
        <v>#VALUE!</v>
      </c>
      <c r="CU37" t="e">
        <f>AND(Plan1!D1332,"AAAAAHf1b2I=")</f>
        <v>#VALUE!</v>
      </c>
      <c r="CV37" t="e">
        <f>AND(Plan1!E1332,"AAAAAHf1b2M=")</f>
        <v>#VALUE!</v>
      </c>
      <c r="CW37" t="e">
        <f>AND(Plan1!F1332,"AAAAAHf1b2Q=")</f>
        <v>#VALUE!</v>
      </c>
      <c r="CX37">
        <f>IF(Plan1!1333:1333,"AAAAAHf1b2U=",0)</f>
        <v>0</v>
      </c>
      <c r="CY37" t="e">
        <f>AND(Plan1!A1333,"AAAAAHf1b2Y=")</f>
        <v>#VALUE!</v>
      </c>
      <c r="CZ37" t="e">
        <f>AND(Plan1!B1333,"AAAAAHf1b2c=")</f>
        <v>#VALUE!</v>
      </c>
      <c r="DA37" t="e">
        <f>AND(Plan1!C1333,"AAAAAHf1b2g=")</f>
        <v>#VALUE!</v>
      </c>
      <c r="DB37" t="e">
        <f>AND(Plan1!D1333,"AAAAAHf1b2k=")</f>
        <v>#VALUE!</v>
      </c>
      <c r="DC37" t="e">
        <f>AND(Plan1!E1333,"AAAAAHf1b2o=")</f>
        <v>#VALUE!</v>
      </c>
      <c r="DD37" t="e">
        <f>AND(Plan1!F1333,"AAAAAHf1b2s=")</f>
        <v>#VALUE!</v>
      </c>
      <c r="DE37">
        <f>IF(Plan1!1334:1334,"AAAAAHf1b2w=",0)</f>
        <v>0</v>
      </c>
      <c r="DF37" t="e">
        <f>AND(Plan1!A1334,"AAAAAHf1b20=")</f>
        <v>#VALUE!</v>
      </c>
      <c r="DG37" t="e">
        <f>AND(Plan1!B1334,"AAAAAHf1b24=")</f>
        <v>#VALUE!</v>
      </c>
      <c r="DH37" t="e">
        <f>AND(Plan1!C1334,"AAAAAHf1b28=")</f>
        <v>#VALUE!</v>
      </c>
      <c r="DI37" t="e">
        <f>AND(Plan1!D1334,"AAAAAHf1b3A=")</f>
        <v>#VALUE!</v>
      </c>
      <c r="DJ37" t="e">
        <f>AND(Plan1!E1334,"AAAAAHf1b3E=")</f>
        <v>#VALUE!</v>
      </c>
      <c r="DK37" t="e">
        <f>AND(Plan1!F1334,"AAAAAHf1b3I=")</f>
        <v>#VALUE!</v>
      </c>
      <c r="DL37">
        <f>IF(Plan1!1335:1335,"AAAAAHf1b3M=",0)</f>
        <v>0</v>
      </c>
      <c r="DM37" t="e">
        <f>AND(Plan1!A1335,"AAAAAHf1b3Q=")</f>
        <v>#VALUE!</v>
      </c>
      <c r="DN37" t="e">
        <f>AND(Plan1!B1335,"AAAAAHf1b3U=")</f>
        <v>#VALUE!</v>
      </c>
      <c r="DO37" t="e">
        <f>AND(Plan1!C1335,"AAAAAHf1b3Y=")</f>
        <v>#VALUE!</v>
      </c>
      <c r="DP37" t="e">
        <f>AND(Plan1!D1335,"AAAAAHf1b3c=")</f>
        <v>#VALUE!</v>
      </c>
      <c r="DQ37" t="e">
        <f>AND(Plan1!E1335,"AAAAAHf1b3g=")</f>
        <v>#VALUE!</v>
      </c>
      <c r="DR37" t="e">
        <f>AND(Plan1!F1335,"AAAAAHf1b3k=")</f>
        <v>#VALUE!</v>
      </c>
      <c r="DS37">
        <f>IF(Plan1!1336:1336,"AAAAAHf1b3o=",0)</f>
        <v>0</v>
      </c>
      <c r="DT37" t="e">
        <f>AND(Plan1!A1336,"AAAAAHf1b3s=")</f>
        <v>#VALUE!</v>
      </c>
      <c r="DU37" t="e">
        <f>AND(Plan1!B1336,"AAAAAHf1b3w=")</f>
        <v>#VALUE!</v>
      </c>
      <c r="DV37" t="e">
        <f>AND(Plan1!C1336,"AAAAAHf1b30=")</f>
        <v>#VALUE!</v>
      </c>
      <c r="DW37" t="e">
        <f>AND(Plan1!D1336,"AAAAAHf1b34=")</f>
        <v>#VALUE!</v>
      </c>
      <c r="DX37" t="e">
        <f>AND(Plan1!E1336,"AAAAAHf1b38=")</f>
        <v>#VALUE!</v>
      </c>
      <c r="DY37" t="e">
        <f>AND(Plan1!F1336,"AAAAAHf1b4A=")</f>
        <v>#VALUE!</v>
      </c>
      <c r="DZ37">
        <f>IF(Plan1!1337:1337,"AAAAAHf1b4E=",0)</f>
        <v>0</v>
      </c>
      <c r="EA37" t="e">
        <f>AND(Plan1!A1337,"AAAAAHf1b4I=")</f>
        <v>#VALUE!</v>
      </c>
      <c r="EB37" t="e">
        <f>AND(Plan1!B1337,"AAAAAHf1b4M=")</f>
        <v>#VALUE!</v>
      </c>
      <c r="EC37" t="e">
        <f>AND(Plan1!C1337,"AAAAAHf1b4Q=")</f>
        <v>#VALUE!</v>
      </c>
      <c r="ED37" t="e">
        <f>AND(Plan1!D1337,"AAAAAHf1b4U=")</f>
        <v>#VALUE!</v>
      </c>
      <c r="EE37" t="e">
        <f>AND(Plan1!E1337,"AAAAAHf1b4Y=")</f>
        <v>#VALUE!</v>
      </c>
      <c r="EF37" t="e">
        <f>AND(Plan1!F1337,"AAAAAHf1b4c=")</f>
        <v>#VALUE!</v>
      </c>
      <c r="EG37">
        <f>IF(Plan1!1338:1338,"AAAAAHf1b4g=",0)</f>
        <v>0</v>
      </c>
      <c r="EH37" t="e">
        <f>AND(Plan1!A1338,"AAAAAHf1b4k=")</f>
        <v>#VALUE!</v>
      </c>
      <c r="EI37" t="e">
        <f>AND(Plan1!B1338,"AAAAAHf1b4o=")</f>
        <v>#VALUE!</v>
      </c>
      <c r="EJ37" t="e">
        <f>AND(Plan1!C1338,"AAAAAHf1b4s=")</f>
        <v>#VALUE!</v>
      </c>
      <c r="EK37" t="e">
        <f>AND(Plan1!D1338,"AAAAAHf1b4w=")</f>
        <v>#VALUE!</v>
      </c>
      <c r="EL37" t="e">
        <f>AND(Plan1!E1338,"AAAAAHf1b40=")</f>
        <v>#VALUE!</v>
      </c>
      <c r="EM37" t="e">
        <f>AND(Plan1!F1338,"AAAAAHf1b44=")</f>
        <v>#VALUE!</v>
      </c>
      <c r="EN37">
        <f>IF(Plan1!1339:1339,"AAAAAHf1b48=",0)</f>
        <v>0</v>
      </c>
      <c r="EO37" t="e">
        <f>AND(Plan1!A1339,"AAAAAHf1b5A=")</f>
        <v>#VALUE!</v>
      </c>
      <c r="EP37" t="e">
        <f>AND(Plan1!B1339,"AAAAAHf1b5E=")</f>
        <v>#VALUE!</v>
      </c>
      <c r="EQ37" t="e">
        <f>AND(Plan1!C1339,"AAAAAHf1b5I=")</f>
        <v>#VALUE!</v>
      </c>
      <c r="ER37" t="e">
        <f>AND(Plan1!D1339,"AAAAAHf1b5M=")</f>
        <v>#VALUE!</v>
      </c>
      <c r="ES37" t="e">
        <f>AND(Plan1!E1339,"AAAAAHf1b5Q=")</f>
        <v>#VALUE!</v>
      </c>
      <c r="ET37" t="e">
        <f>AND(Plan1!F1339,"AAAAAHf1b5U=")</f>
        <v>#VALUE!</v>
      </c>
      <c r="EU37">
        <f>IF(Plan1!1340:1340,"AAAAAHf1b5Y=",0)</f>
        <v>0</v>
      </c>
      <c r="EV37" t="e">
        <f>AND(Plan1!A1340,"AAAAAHf1b5c=")</f>
        <v>#VALUE!</v>
      </c>
      <c r="EW37" t="e">
        <f>AND(Plan1!B1340,"AAAAAHf1b5g=")</f>
        <v>#VALUE!</v>
      </c>
      <c r="EX37" t="e">
        <f>AND(Plan1!C1340,"AAAAAHf1b5k=")</f>
        <v>#VALUE!</v>
      </c>
      <c r="EY37" t="e">
        <f>AND(Plan1!D1340,"AAAAAHf1b5o=")</f>
        <v>#VALUE!</v>
      </c>
      <c r="EZ37" t="e">
        <f>AND(Plan1!E1340,"AAAAAHf1b5s=")</f>
        <v>#VALUE!</v>
      </c>
      <c r="FA37" t="e">
        <f>AND(Plan1!F1340,"AAAAAHf1b5w=")</f>
        <v>#VALUE!</v>
      </c>
      <c r="FB37">
        <f>IF(Plan1!1341:1341,"AAAAAHf1b50=",0)</f>
        <v>0</v>
      </c>
      <c r="FC37" t="e">
        <f>AND(Plan1!A1341,"AAAAAHf1b54=")</f>
        <v>#VALUE!</v>
      </c>
      <c r="FD37" t="e">
        <f>AND(Plan1!B1341,"AAAAAHf1b58=")</f>
        <v>#VALUE!</v>
      </c>
      <c r="FE37" t="e">
        <f>AND(Plan1!C1341,"AAAAAHf1b6A=")</f>
        <v>#VALUE!</v>
      </c>
      <c r="FF37" t="e">
        <f>AND(Plan1!D1341,"AAAAAHf1b6E=")</f>
        <v>#VALUE!</v>
      </c>
      <c r="FG37" t="e">
        <f>AND(Plan1!E1341,"AAAAAHf1b6I=")</f>
        <v>#VALUE!</v>
      </c>
      <c r="FH37" t="e">
        <f>AND(Plan1!F1341,"AAAAAHf1b6M=")</f>
        <v>#VALUE!</v>
      </c>
      <c r="FI37">
        <f>IF(Plan1!1342:1342,"AAAAAHf1b6Q=",0)</f>
        <v>0</v>
      </c>
      <c r="FJ37" t="e">
        <f>AND(Plan1!A1342,"AAAAAHf1b6U=")</f>
        <v>#VALUE!</v>
      </c>
      <c r="FK37" t="e">
        <f>AND(Plan1!B1342,"AAAAAHf1b6Y=")</f>
        <v>#VALUE!</v>
      </c>
      <c r="FL37" t="e">
        <f>AND(Plan1!C1342,"AAAAAHf1b6c=")</f>
        <v>#VALUE!</v>
      </c>
      <c r="FM37" t="e">
        <f>AND(Plan1!D1342,"AAAAAHf1b6g=")</f>
        <v>#VALUE!</v>
      </c>
      <c r="FN37" t="e">
        <f>AND(Plan1!E1342,"AAAAAHf1b6k=")</f>
        <v>#VALUE!</v>
      </c>
      <c r="FO37" t="e">
        <f>AND(Plan1!F1342,"AAAAAHf1b6o=")</f>
        <v>#VALUE!</v>
      </c>
      <c r="FP37">
        <f>IF(Plan1!1343:1343,"AAAAAHf1b6s=",0)</f>
        <v>0</v>
      </c>
      <c r="FQ37" t="e">
        <f>AND(Plan1!A1343,"AAAAAHf1b6w=")</f>
        <v>#VALUE!</v>
      </c>
      <c r="FR37" t="e">
        <f>AND(Plan1!B1343,"AAAAAHf1b60=")</f>
        <v>#VALUE!</v>
      </c>
      <c r="FS37" t="e">
        <f>AND(Plan1!C1343,"AAAAAHf1b64=")</f>
        <v>#VALUE!</v>
      </c>
      <c r="FT37" t="e">
        <f>AND(Plan1!D1343,"AAAAAHf1b68=")</f>
        <v>#VALUE!</v>
      </c>
      <c r="FU37" t="e">
        <f>AND(Plan1!E1343,"AAAAAHf1b7A=")</f>
        <v>#VALUE!</v>
      </c>
      <c r="FV37" t="e">
        <f>AND(Plan1!F1343,"AAAAAHf1b7E=")</f>
        <v>#VALUE!</v>
      </c>
      <c r="FW37">
        <f>IF(Plan1!1344:1344,"AAAAAHf1b7I=",0)</f>
        <v>0</v>
      </c>
      <c r="FX37" t="e">
        <f>AND(Plan1!A1344,"AAAAAHf1b7M=")</f>
        <v>#VALUE!</v>
      </c>
      <c r="FY37" t="e">
        <f>AND(Plan1!B1344,"AAAAAHf1b7Q=")</f>
        <v>#VALUE!</v>
      </c>
      <c r="FZ37" t="e">
        <f>AND(Plan1!C1344,"AAAAAHf1b7U=")</f>
        <v>#VALUE!</v>
      </c>
      <c r="GA37" t="e">
        <f>AND(Plan1!D1344,"AAAAAHf1b7Y=")</f>
        <v>#VALUE!</v>
      </c>
      <c r="GB37" t="e">
        <f>AND(Plan1!E1344,"AAAAAHf1b7c=")</f>
        <v>#VALUE!</v>
      </c>
      <c r="GC37" t="e">
        <f>AND(Plan1!F1344,"AAAAAHf1b7g=")</f>
        <v>#VALUE!</v>
      </c>
      <c r="GD37">
        <f>IF(Plan1!1345:1345,"AAAAAHf1b7k=",0)</f>
        <v>0</v>
      </c>
      <c r="GE37" t="e">
        <f>AND(Plan1!A1345,"AAAAAHf1b7o=")</f>
        <v>#VALUE!</v>
      </c>
      <c r="GF37" t="e">
        <f>AND(Plan1!B1345,"AAAAAHf1b7s=")</f>
        <v>#VALUE!</v>
      </c>
      <c r="GG37" t="e">
        <f>AND(Plan1!C1345,"AAAAAHf1b7w=")</f>
        <v>#VALUE!</v>
      </c>
      <c r="GH37" t="e">
        <f>AND(Plan1!D1345,"AAAAAHf1b70=")</f>
        <v>#VALUE!</v>
      </c>
      <c r="GI37" t="e">
        <f>AND(Plan1!E1345,"AAAAAHf1b74=")</f>
        <v>#VALUE!</v>
      </c>
      <c r="GJ37" t="e">
        <f>AND(Plan1!F1345,"AAAAAHf1b78=")</f>
        <v>#VALUE!</v>
      </c>
      <c r="GK37">
        <f>IF(Plan1!1346:1346,"AAAAAHf1b8A=",0)</f>
        <v>0</v>
      </c>
      <c r="GL37" t="e">
        <f>AND(Plan1!A1346,"AAAAAHf1b8E=")</f>
        <v>#VALUE!</v>
      </c>
      <c r="GM37" t="e">
        <f>AND(Plan1!B1346,"AAAAAHf1b8I=")</f>
        <v>#VALUE!</v>
      </c>
      <c r="GN37" t="e">
        <f>AND(Plan1!C1346,"AAAAAHf1b8M=")</f>
        <v>#VALUE!</v>
      </c>
      <c r="GO37" t="e">
        <f>AND(Plan1!D1346,"AAAAAHf1b8Q=")</f>
        <v>#VALUE!</v>
      </c>
      <c r="GP37" t="e">
        <f>AND(Plan1!E1346,"AAAAAHf1b8U=")</f>
        <v>#VALUE!</v>
      </c>
      <c r="GQ37" t="e">
        <f>AND(Plan1!F1346,"AAAAAHf1b8Y=")</f>
        <v>#VALUE!</v>
      </c>
      <c r="GR37">
        <f>IF(Plan1!1347:1347,"AAAAAHf1b8c=",0)</f>
        <v>0</v>
      </c>
      <c r="GS37" t="e">
        <f>AND(Plan1!A1347,"AAAAAHf1b8g=")</f>
        <v>#VALUE!</v>
      </c>
      <c r="GT37" t="e">
        <f>AND(Plan1!B1347,"AAAAAHf1b8k=")</f>
        <v>#VALUE!</v>
      </c>
      <c r="GU37" t="e">
        <f>AND(Plan1!C1347,"AAAAAHf1b8o=")</f>
        <v>#VALUE!</v>
      </c>
      <c r="GV37" t="e">
        <f>AND(Plan1!D1347,"AAAAAHf1b8s=")</f>
        <v>#VALUE!</v>
      </c>
      <c r="GW37" t="e">
        <f>AND(Plan1!E1347,"AAAAAHf1b8w=")</f>
        <v>#VALUE!</v>
      </c>
      <c r="GX37" t="e">
        <f>AND(Plan1!F1347,"AAAAAHf1b80=")</f>
        <v>#VALUE!</v>
      </c>
      <c r="GY37">
        <f>IF(Plan1!1348:1348,"AAAAAHf1b84=",0)</f>
        <v>0</v>
      </c>
      <c r="GZ37" t="e">
        <f>AND(Plan1!A1348,"AAAAAHf1b88=")</f>
        <v>#VALUE!</v>
      </c>
      <c r="HA37" t="e">
        <f>AND(Plan1!B1348,"AAAAAHf1b9A=")</f>
        <v>#VALUE!</v>
      </c>
      <c r="HB37" t="e">
        <f>AND(Plan1!C1348,"AAAAAHf1b9E=")</f>
        <v>#VALUE!</v>
      </c>
      <c r="HC37" t="e">
        <f>AND(Plan1!D1348,"AAAAAHf1b9I=")</f>
        <v>#VALUE!</v>
      </c>
      <c r="HD37" t="e">
        <f>AND(Plan1!E1348,"AAAAAHf1b9M=")</f>
        <v>#VALUE!</v>
      </c>
      <c r="HE37" t="e">
        <f>AND(Plan1!F1348,"AAAAAHf1b9Q=")</f>
        <v>#VALUE!</v>
      </c>
      <c r="HF37">
        <f>IF(Plan1!1349:1349,"AAAAAHf1b9U=",0)</f>
        <v>0</v>
      </c>
      <c r="HG37" t="e">
        <f>AND(Plan1!A1349,"AAAAAHf1b9Y=")</f>
        <v>#VALUE!</v>
      </c>
      <c r="HH37" t="e">
        <f>AND(Plan1!B1349,"AAAAAHf1b9c=")</f>
        <v>#VALUE!</v>
      </c>
      <c r="HI37" t="e">
        <f>AND(Plan1!C1349,"AAAAAHf1b9g=")</f>
        <v>#VALUE!</v>
      </c>
      <c r="HJ37" t="e">
        <f>AND(Plan1!D1349,"AAAAAHf1b9k=")</f>
        <v>#VALUE!</v>
      </c>
      <c r="HK37" t="e">
        <f>AND(Plan1!E1349,"AAAAAHf1b9o=")</f>
        <v>#VALUE!</v>
      </c>
      <c r="HL37" t="e">
        <f>AND(Plan1!F1349,"AAAAAHf1b9s=")</f>
        <v>#VALUE!</v>
      </c>
      <c r="HM37">
        <f>IF(Plan1!1350:1350,"AAAAAHf1b9w=",0)</f>
        <v>0</v>
      </c>
      <c r="HN37" t="e">
        <f>AND(Plan1!A1350,"AAAAAHf1b90=")</f>
        <v>#VALUE!</v>
      </c>
      <c r="HO37" t="e">
        <f>AND(Plan1!B1350,"AAAAAHf1b94=")</f>
        <v>#VALUE!</v>
      </c>
      <c r="HP37" t="e">
        <f>AND(Plan1!C1350,"AAAAAHf1b98=")</f>
        <v>#VALUE!</v>
      </c>
      <c r="HQ37" t="e">
        <f>AND(Plan1!D1350,"AAAAAHf1b+A=")</f>
        <v>#VALUE!</v>
      </c>
      <c r="HR37" t="e">
        <f>AND(Plan1!E1350,"AAAAAHf1b+E=")</f>
        <v>#VALUE!</v>
      </c>
      <c r="HS37" t="e">
        <f>AND(Plan1!F1350,"AAAAAHf1b+I=")</f>
        <v>#VALUE!</v>
      </c>
      <c r="HT37">
        <f>IF(Plan1!1351:1351,"AAAAAHf1b+M=",0)</f>
        <v>0</v>
      </c>
      <c r="HU37" t="e">
        <f>AND(Plan1!A1351,"AAAAAHf1b+Q=")</f>
        <v>#VALUE!</v>
      </c>
      <c r="HV37" t="e">
        <f>AND(Plan1!B1351,"AAAAAHf1b+U=")</f>
        <v>#VALUE!</v>
      </c>
      <c r="HW37" t="e">
        <f>AND(Plan1!C1351,"AAAAAHf1b+Y=")</f>
        <v>#VALUE!</v>
      </c>
      <c r="HX37" t="e">
        <f>AND(Plan1!D1351,"AAAAAHf1b+c=")</f>
        <v>#VALUE!</v>
      </c>
      <c r="HY37" t="e">
        <f>AND(Plan1!E1351,"AAAAAHf1b+g=")</f>
        <v>#VALUE!</v>
      </c>
      <c r="HZ37" t="e">
        <f>AND(Plan1!F1351,"AAAAAHf1b+k=")</f>
        <v>#VALUE!</v>
      </c>
      <c r="IA37">
        <f>IF(Plan1!1352:1352,"AAAAAHf1b+o=",0)</f>
        <v>0</v>
      </c>
      <c r="IB37" t="e">
        <f>AND(Plan1!A1352,"AAAAAHf1b+s=")</f>
        <v>#VALUE!</v>
      </c>
      <c r="IC37" t="e">
        <f>AND(Plan1!B1352,"AAAAAHf1b+w=")</f>
        <v>#VALUE!</v>
      </c>
      <c r="ID37" t="e">
        <f>AND(Plan1!C1352,"AAAAAHf1b+0=")</f>
        <v>#VALUE!</v>
      </c>
      <c r="IE37" t="e">
        <f>AND(Plan1!D1352,"AAAAAHf1b+4=")</f>
        <v>#VALUE!</v>
      </c>
      <c r="IF37" t="e">
        <f>AND(Plan1!E1352,"AAAAAHf1b+8=")</f>
        <v>#VALUE!</v>
      </c>
      <c r="IG37" t="e">
        <f>AND(Plan1!F1352,"AAAAAHf1b/A=")</f>
        <v>#VALUE!</v>
      </c>
      <c r="IH37">
        <f>IF(Plan1!1353:1353,"AAAAAHf1b/E=",0)</f>
        <v>0</v>
      </c>
      <c r="II37" t="e">
        <f>AND(Plan1!A1353,"AAAAAHf1b/I=")</f>
        <v>#VALUE!</v>
      </c>
      <c r="IJ37" t="e">
        <f>AND(Plan1!B1353,"AAAAAHf1b/M=")</f>
        <v>#VALUE!</v>
      </c>
      <c r="IK37" t="e">
        <f>AND(Plan1!C1353,"AAAAAHf1b/Q=")</f>
        <v>#VALUE!</v>
      </c>
      <c r="IL37" t="e">
        <f>AND(Plan1!D1353,"AAAAAHf1b/U=")</f>
        <v>#VALUE!</v>
      </c>
      <c r="IM37" t="e">
        <f>AND(Plan1!E1353,"AAAAAHf1b/Y=")</f>
        <v>#VALUE!</v>
      </c>
      <c r="IN37" t="e">
        <f>AND(Plan1!F1353,"AAAAAHf1b/c=")</f>
        <v>#VALUE!</v>
      </c>
      <c r="IO37">
        <f>IF(Plan1!1354:1354,"AAAAAHf1b/g=",0)</f>
        <v>0</v>
      </c>
      <c r="IP37" t="e">
        <f>AND(Plan1!A1354,"AAAAAHf1b/k=")</f>
        <v>#VALUE!</v>
      </c>
      <c r="IQ37" t="e">
        <f>AND(Plan1!B1354,"AAAAAHf1b/o=")</f>
        <v>#VALUE!</v>
      </c>
      <c r="IR37" t="e">
        <f>AND(Plan1!C1354,"AAAAAHf1b/s=")</f>
        <v>#VALUE!</v>
      </c>
      <c r="IS37" t="e">
        <f>AND(Plan1!D1354,"AAAAAHf1b/w=")</f>
        <v>#VALUE!</v>
      </c>
      <c r="IT37" t="e">
        <f>AND(Plan1!E1354,"AAAAAHf1b/0=")</f>
        <v>#VALUE!</v>
      </c>
      <c r="IU37" t="e">
        <f>AND(Plan1!F1354,"AAAAAHf1b/4=")</f>
        <v>#VALUE!</v>
      </c>
      <c r="IV37">
        <f>IF(Plan1!1355:1355,"AAAAAHf1b/8=",0)</f>
        <v>0</v>
      </c>
    </row>
    <row r="38" spans="1:256">
      <c r="A38" t="e">
        <f>AND(Plan1!A1355,"AAAAAH+3agA=")</f>
        <v>#VALUE!</v>
      </c>
      <c r="B38" t="e">
        <f>AND(Plan1!B1355,"AAAAAH+3agE=")</f>
        <v>#VALUE!</v>
      </c>
      <c r="C38" t="e">
        <f>AND(Plan1!C1355,"AAAAAH+3agI=")</f>
        <v>#VALUE!</v>
      </c>
      <c r="D38" t="e">
        <f>AND(Plan1!D1355,"AAAAAH+3agM=")</f>
        <v>#VALUE!</v>
      </c>
      <c r="E38" t="e">
        <f>AND(Plan1!E1355,"AAAAAH+3agQ=")</f>
        <v>#VALUE!</v>
      </c>
      <c r="F38" t="e">
        <f>AND(Plan1!F1355,"AAAAAH+3agU=")</f>
        <v>#VALUE!</v>
      </c>
      <c r="G38">
        <f>IF(Plan1!1356:1356,"AAAAAH+3agY=",0)</f>
        <v>0</v>
      </c>
      <c r="H38" t="e">
        <f>AND(Plan1!A1356,"AAAAAH+3agc=")</f>
        <v>#VALUE!</v>
      </c>
      <c r="I38" t="e">
        <f>AND(Plan1!B1356,"AAAAAH+3agg=")</f>
        <v>#VALUE!</v>
      </c>
      <c r="J38" t="e">
        <f>AND(Plan1!C1356,"AAAAAH+3agk=")</f>
        <v>#VALUE!</v>
      </c>
      <c r="K38" t="e">
        <f>AND(Plan1!D1356,"AAAAAH+3ago=")</f>
        <v>#VALUE!</v>
      </c>
      <c r="L38" t="e">
        <f>AND(Plan1!E1356,"AAAAAH+3ags=")</f>
        <v>#VALUE!</v>
      </c>
      <c r="M38" t="e">
        <f>AND(Plan1!F1356,"AAAAAH+3agw=")</f>
        <v>#VALUE!</v>
      </c>
      <c r="N38">
        <f>IF(Plan1!1357:1357,"AAAAAH+3ag0=",0)</f>
        <v>0</v>
      </c>
      <c r="O38" t="e">
        <f>AND(Plan1!A1357,"AAAAAH+3ag4=")</f>
        <v>#VALUE!</v>
      </c>
      <c r="P38" t="e">
        <f>AND(Plan1!B1357,"AAAAAH+3ag8=")</f>
        <v>#VALUE!</v>
      </c>
      <c r="Q38" t="e">
        <f>AND(Plan1!C1357,"AAAAAH+3ahA=")</f>
        <v>#VALUE!</v>
      </c>
      <c r="R38" t="e">
        <f>AND(Plan1!D1357,"AAAAAH+3ahE=")</f>
        <v>#VALUE!</v>
      </c>
      <c r="S38" t="e">
        <f>AND(Plan1!E1357,"AAAAAH+3ahI=")</f>
        <v>#VALUE!</v>
      </c>
      <c r="T38" t="e">
        <f>AND(Plan1!F1357,"AAAAAH+3ahM=")</f>
        <v>#VALUE!</v>
      </c>
      <c r="U38">
        <f>IF(Plan1!1358:1358,"AAAAAH+3ahQ=",0)</f>
        <v>0</v>
      </c>
      <c r="V38" t="e">
        <f>AND(Plan1!A1358,"AAAAAH+3ahU=")</f>
        <v>#VALUE!</v>
      </c>
      <c r="W38" t="e">
        <f>AND(Plan1!B1358,"AAAAAH+3ahY=")</f>
        <v>#VALUE!</v>
      </c>
      <c r="X38" t="e">
        <f>AND(Plan1!C1358,"AAAAAH+3ahc=")</f>
        <v>#VALUE!</v>
      </c>
      <c r="Y38" t="e">
        <f>AND(Plan1!D1358,"AAAAAH+3ahg=")</f>
        <v>#VALUE!</v>
      </c>
      <c r="Z38" t="e">
        <f>AND(Plan1!E1358,"AAAAAH+3ahk=")</f>
        <v>#VALUE!</v>
      </c>
      <c r="AA38" t="e">
        <f>AND(Plan1!F1358,"AAAAAH+3aho=")</f>
        <v>#VALUE!</v>
      </c>
      <c r="AB38">
        <f>IF(Plan1!1359:1359,"AAAAAH+3ahs=",0)</f>
        <v>0</v>
      </c>
      <c r="AC38" t="e">
        <f>AND(Plan1!A1359,"AAAAAH+3ahw=")</f>
        <v>#VALUE!</v>
      </c>
      <c r="AD38" t="e">
        <f>AND(Plan1!B1359,"AAAAAH+3ah0=")</f>
        <v>#VALUE!</v>
      </c>
      <c r="AE38" t="e">
        <f>AND(Plan1!C1359,"AAAAAH+3ah4=")</f>
        <v>#VALUE!</v>
      </c>
      <c r="AF38" t="e">
        <f>AND(Plan1!D1359,"AAAAAH+3ah8=")</f>
        <v>#VALUE!</v>
      </c>
      <c r="AG38" t="e">
        <f>AND(Plan1!E1359,"AAAAAH+3aiA=")</f>
        <v>#VALUE!</v>
      </c>
      <c r="AH38" t="e">
        <f>AND(Plan1!F1359,"AAAAAH+3aiE=")</f>
        <v>#VALUE!</v>
      </c>
      <c r="AI38">
        <f>IF(Plan1!1360:1360,"AAAAAH+3aiI=",0)</f>
        <v>0</v>
      </c>
      <c r="AJ38" t="e">
        <f>AND(Plan1!A1360,"AAAAAH+3aiM=")</f>
        <v>#VALUE!</v>
      </c>
      <c r="AK38" t="e">
        <f>AND(Plan1!B1360,"AAAAAH+3aiQ=")</f>
        <v>#VALUE!</v>
      </c>
      <c r="AL38" t="e">
        <f>AND(Plan1!C1360,"AAAAAH+3aiU=")</f>
        <v>#VALUE!</v>
      </c>
      <c r="AM38" t="e">
        <f>AND(Plan1!D1360,"AAAAAH+3aiY=")</f>
        <v>#VALUE!</v>
      </c>
      <c r="AN38" t="e">
        <f>AND(Plan1!E1360,"AAAAAH+3aic=")</f>
        <v>#VALUE!</v>
      </c>
      <c r="AO38" t="e">
        <f>AND(Plan1!F1360,"AAAAAH+3aig=")</f>
        <v>#VALUE!</v>
      </c>
      <c r="AP38">
        <f>IF(Plan1!1361:1361,"AAAAAH+3aik=",0)</f>
        <v>0</v>
      </c>
      <c r="AQ38" t="e">
        <f>AND(Plan1!A1361,"AAAAAH+3aio=")</f>
        <v>#VALUE!</v>
      </c>
      <c r="AR38" t="e">
        <f>AND(Plan1!B1361,"AAAAAH+3ais=")</f>
        <v>#VALUE!</v>
      </c>
      <c r="AS38" t="e">
        <f>AND(Plan1!C1361,"AAAAAH+3aiw=")</f>
        <v>#VALUE!</v>
      </c>
      <c r="AT38" t="e">
        <f>AND(Plan1!D1361,"AAAAAH+3ai0=")</f>
        <v>#VALUE!</v>
      </c>
      <c r="AU38" t="e">
        <f>AND(Plan1!E1361,"AAAAAH+3ai4=")</f>
        <v>#VALUE!</v>
      </c>
      <c r="AV38" t="e">
        <f>AND(Plan1!F1361,"AAAAAH+3ai8=")</f>
        <v>#VALUE!</v>
      </c>
      <c r="AW38">
        <f>IF(Plan1!1362:1362,"AAAAAH+3ajA=",0)</f>
        <v>0</v>
      </c>
      <c r="AX38" t="e">
        <f>AND(Plan1!A1362,"AAAAAH+3ajE=")</f>
        <v>#VALUE!</v>
      </c>
      <c r="AY38" t="e">
        <f>AND(Plan1!B1362,"AAAAAH+3ajI=")</f>
        <v>#VALUE!</v>
      </c>
      <c r="AZ38" t="e">
        <f>AND(Plan1!C1362,"AAAAAH+3ajM=")</f>
        <v>#VALUE!</v>
      </c>
      <c r="BA38" t="e">
        <f>AND(Plan1!D1362,"AAAAAH+3ajQ=")</f>
        <v>#VALUE!</v>
      </c>
      <c r="BB38" t="e">
        <f>AND(Plan1!E1362,"AAAAAH+3ajU=")</f>
        <v>#VALUE!</v>
      </c>
      <c r="BC38" t="e">
        <f>AND(Plan1!F1362,"AAAAAH+3ajY=")</f>
        <v>#VALUE!</v>
      </c>
      <c r="BD38">
        <f>IF(Plan1!1363:1363,"AAAAAH+3ajc=",0)</f>
        <v>0</v>
      </c>
      <c r="BE38" t="e">
        <f>AND(Plan1!A1363,"AAAAAH+3ajg=")</f>
        <v>#VALUE!</v>
      </c>
      <c r="BF38" t="e">
        <f>AND(Plan1!B1363,"AAAAAH+3ajk=")</f>
        <v>#VALUE!</v>
      </c>
      <c r="BG38" t="e">
        <f>AND(Plan1!C1363,"AAAAAH+3ajo=")</f>
        <v>#VALUE!</v>
      </c>
      <c r="BH38" t="e">
        <f>AND(Plan1!D1363,"AAAAAH+3ajs=")</f>
        <v>#VALUE!</v>
      </c>
      <c r="BI38" t="e">
        <f>AND(Plan1!E1363,"AAAAAH+3ajw=")</f>
        <v>#VALUE!</v>
      </c>
      <c r="BJ38" t="e">
        <f>AND(Plan1!F1363,"AAAAAH+3aj0=")</f>
        <v>#VALUE!</v>
      </c>
      <c r="BK38">
        <f>IF(Plan1!1364:1364,"AAAAAH+3aj4=",0)</f>
        <v>0</v>
      </c>
      <c r="BL38" t="e">
        <f>AND(Plan1!A1364,"AAAAAH+3aj8=")</f>
        <v>#VALUE!</v>
      </c>
      <c r="BM38" t="e">
        <f>AND(Plan1!B1364,"AAAAAH+3akA=")</f>
        <v>#VALUE!</v>
      </c>
      <c r="BN38" t="e">
        <f>AND(Plan1!C1364,"AAAAAH+3akE=")</f>
        <v>#VALUE!</v>
      </c>
      <c r="BO38" t="e">
        <f>AND(Plan1!D1364,"AAAAAH+3akI=")</f>
        <v>#VALUE!</v>
      </c>
      <c r="BP38" t="e">
        <f>AND(Plan1!E1364,"AAAAAH+3akM=")</f>
        <v>#VALUE!</v>
      </c>
      <c r="BQ38" t="e">
        <f>AND(Plan1!F1364,"AAAAAH+3akQ=")</f>
        <v>#VALUE!</v>
      </c>
      <c r="BR38">
        <f>IF(Plan1!1365:1365,"AAAAAH+3akU=",0)</f>
        <v>0</v>
      </c>
      <c r="BS38" t="e">
        <f>AND(Plan1!A1365,"AAAAAH+3akY=")</f>
        <v>#VALUE!</v>
      </c>
      <c r="BT38" t="e">
        <f>AND(Plan1!B1365,"AAAAAH+3akc=")</f>
        <v>#VALUE!</v>
      </c>
      <c r="BU38" t="e">
        <f>AND(Plan1!C1365,"AAAAAH+3akg=")</f>
        <v>#VALUE!</v>
      </c>
      <c r="BV38" t="e">
        <f>AND(Plan1!D1365,"AAAAAH+3akk=")</f>
        <v>#VALUE!</v>
      </c>
      <c r="BW38" t="e">
        <f>AND(Plan1!E1365,"AAAAAH+3ako=")</f>
        <v>#VALUE!</v>
      </c>
      <c r="BX38" t="e">
        <f>AND(Plan1!F1365,"AAAAAH+3aks=")</f>
        <v>#VALUE!</v>
      </c>
      <c r="BY38">
        <f>IF(Plan1!1366:1366,"AAAAAH+3akw=",0)</f>
        <v>0</v>
      </c>
      <c r="BZ38" t="e">
        <f>AND(Plan1!A1366,"AAAAAH+3ak0=")</f>
        <v>#VALUE!</v>
      </c>
      <c r="CA38" t="e">
        <f>AND(Plan1!B1366,"AAAAAH+3ak4=")</f>
        <v>#VALUE!</v>
      </c>
      <c r="CB38" t="e">
        <f>AND(Plan1!C1366,"AAAAAH+3ak8=")</f>
        <v>#VALUE!</v>
      </c>
      <c r="CC38" t="e">
        <f>AND(Plan1!D1366,"AAAAAH+3alA=")</f>
        <v>#VALUE!</v>
      </c>
      <c r="CD38" t="e">
        <f>AND(Plan1!E1366,"AAAAAH+3alE=")</f>
        <v>#VALUE!</v>
      </c>
      <c r="CE38" t="e">
        <f>AND(Plan1!F1366,"AAAAAH+3alI=")</f>
        <v>#VALUE!</v>
      </c>
      <c r="CF38">
        <f>IF(Plan1!1367:1367,"AAAAAH+3alM=",0)</f>
        <v>0</v>
      </c>
      <c r="CG38" t="e">
        <f>AND(Plan1!A1367,"AAAAAH+3alQ=")</f>
        <v>#VALUE!</v>
      </c>
      <c r="CH38" t="e">
        <f>AND(Plan1!B1367,"AAAAAH+3alU=")</f>
        <v>#VALUE!</v>
      </c>
      <c r="CI38" t="e">
        <f>AND(Plan1!C1367,"AAAAAH+3alY=")</f>
        <v>#VALUE!</v>
      </c>
      <c r="CJ38" t="e">
        <f>AND(Plan1!D1367,"AAAAAH+3alc=")</f>
        <v>#VALUE!</v>
      </c>
      <c r="CK38" t="e">
        <f>AND(Plan1!E1367,"AAAAAH+3alg=")</f>
        <v>#VALUE!</v>
      </c>
      <c r="CL38" t="e">
        <f>AND(Plan1!F1367,"AAAAAH+3alk=")</f>
        <v>#VALUE!</v>
      </c>
      <c r="CM38">
        <f>IF(Plan1!1368:1368,"AAAAAH+3alo=",0)</f>
        <v>0</v>
      </c>
      <c r="CN38" t="e">
        <f>AND(Plan1!A1368,"AAAAAH+3als=")</f>
        <v>#VALUE!</v>
      </c>
      <c r="CO38" t="e">
        <f>AND(Plan1!B1368,"AAAAAH+3alw=")</f>
        <v>#VALUE!</v>
      </c>
      <c r="CP38" t="e">
        <f>AND(Plan1!C1368,"AAAAAH+3al0=")</f>
        <v>#VALUE!</v>
      </c>
      <c r="CQ38" t="e">
        <f>AND(Plan1!D1368,"AAAAAH+3al4=")</f>
        <v>#VALUE!</v>
      </c>
      <c r="CR38" t="e">
        <f>AND(Plan1!E1368,"AAAAAH+3al8=")</f>
        <v>#VALUE!</v>
      </c>
      <c r="CS38" t="e">
        <f>AND(Plan1!F1368,"AAAAAH+3amA=")</f>
        <v>#VALUE!</v>
      </c>
      <c r="CT38">
        <f>IF(Plan1!1369:1369,"AAAAAH+3amE=",0)</f>
        <v>0</v>
      </c>
      <c r="CU38" t="e">
        <f>AND(Plan1!A1369,"AAAAAH+3amI=")</f>
        <v>#VALUE!</v>
      </c>
      <c r="CV38" t="e">
        <f>AND(Plan1!B1369,"AAAAAH+3amM=")</f>
        <v>#VALUE!</v>
      </c>
      <c r="CW38" t="e">
        <f>AND(Plan1!C1369,"AAAAAH+3amQ=")</f>
        <v>#VALUE!</v>
      </c>
      <c r="CX38" t="e">
        <f>AND(Plan1!D1369,"AAAAAH+3amU=")</f>
        <v>#VALUE!</v>
      </c>
      <c r="CY38" t="e">
        <f>AND(Plan1!E1369,"AAAAAH+3amY=")</f>
        <v>#VALUE!</v>
      </c>
      <c r="CZ38" t="e">
        <f>AND(Plan1!F1369,"AAAAAH+3amc=")</f>
        <v>#VALUE!</v>
      </c>
      <c r="DA38">
        <f>IF(Plan1!1370:1370,"AAAAAH+3amg=",0)</f>
        <v>0</v>
      </c>
      <c r="DB38" t="e">
        <f>AND(Plan1!A1370,"AAAAAH+3amk=")</f>
        <v>#VALUE!</v>
      </c>
      <c r="DC38" t="e">
        <f>AND(Plan1!B1370,"AAAAAH+3amo=")</f>
        <v>#VALUE!</v>
      </c>
      <c r="DD38" t="e">
        <f>AND(Plan1!C1370,"AAAAAH+3ams=")</f>
        <v>#VALUE!</v>
      </c>
      <c r="DE38" t="e">
        <f>AND(Plan1!D1370,"AAAAAH+3amw=")</f>
        <v>#VALUE!</v>
      </c>
      <c r="DF38" t="e">
        <f>AND(Plan1!E1370,"AAAAAH+3am0=")</f>
        <v>#VALUE!</v>
      </c>
      <c r="DG38" t="e">
        <f>AND(Plan1!F1370,"AAAAAH+3am4=")</f>
        <v>#VALUE!</v>
      </c>
      <c r="DH38">
        <f>IF(Plan1!1371:1371,"AAAAAH+3am8=",0)</f>
        <v>0</v>
      </c>
      <c r="DI38" t="e">
        <f>AND(Plan1!A1371,"AAAAAH+3anA=")</f>
        <v>#VALUE!</v>
      </c>
      <c r="DJ38" t="e">
        <f>AND(Plan1!B1371,"AAAAAH+3anE=")</f>
        <v>#VALUE!</v>
      </c>
      <c r="DK38" t="e">
        <f>AND(Plan1!C1371,"AAAAAH+3anI=")</f>
        <v>#VALUE!</v>
      </c>
      <c r="DL38" t="e">
        <f>AND(Plan1!D1371,"AAAAAH+3anM=")</f>
        <v>#VALUE!</v>
      </c>
      <c r="DM38" t="e">
        <f>AND(Plan1!E1371,"AAAAAH+3anQ=")</f>
        <v>#VALUE!</v>
      </c>
      <c r="DN38" t="e">
        <f>AND(Plan1!F1371,"AAAAAH+3anU=")</f>
        <v>#VALUE!</v>
      </c>
      <c r="DO38">
        <f>IF(Plan1!1372:1372,"AAAAAH+3anY=",0)</f>
        <v>0</v>
      </c>
      <c r="DP38" t="e">
        <f>AND(Plan1!A1372,"AAAAAH+3anc=")</f>
        <v>#VALUE!</v>
      </c>
      <c r="DQ38" t="e">
        <f>AND(Plan1!B1372,"AAAAAH+3ang=")</f>
        <v>#VALUE!</v>
      </c>
      <c r="DR38" t="e">
        <f>AND(Plan1!C1372,"AAAAAH+3ank=")</f>
        <v>#VALUE!</v>
      </c>
      <c r="DS38" t="e">
        <f>AND(Plan1!D1372,"AAAAAH+3ano=")</f>
        <v>#VALUE!</v>
      </c>
      <c r="DT38" t="e">
        <f>AND(Plan1!E1372,"AAAAAH+3ans=")</f>
        <v>#VALUE!</v>
      </c>
      <c r="DU38" t="e">
        <f>AND(Plan1!F1372,"AAAAAH+3anw=")</f>
        <v>#VALUE!</v>
      </c>
      <c r="DV38">
        <f>IF(Plan1!1373:1373,"AAAAAH+3an0=",0)</f>
        <v>0</v>
      </c>
      <c r="DW38" t="e">
        <f>AND(Plan1!A1373,"AAAAAH+3an4=")</f>
        <v>#VALUE!</v>
      </c>
      <c r="DX38" t="e">
        <f>AND(Plan1!B1373,"AAAAAH+3an8=")</f>
        <v>#VALUE!</v>
      </c>
      <c r="DY38" t="e">
        <f>AND(Plan1!C1373,"AAAAAH+3aoA=")</f>
        <v>#VALUE!</v>
      </c>
      <c r="DZ38" t="e">
        <f>AND(Plan1!D1373,"AAAAAH+3aoE=")</f>
        <v>#VALUE!</v>
      </c>
      <c r="EA38" t="e">
        <f>AND(Plan1!E1373,"AAAAAH+3aoI=")</f>
        <v>#VALUE!</v>
      </c>
      <c r="EB38" t="e">
        <f>AND(Plan1!F1373,"AAAAAH+3aoM=")</f>
        <v>#VALUE!</v>
      </c>
      <c r="EC38">
        <f>IF(Plan1!1374:1374,"AAAAAH+3aoQ=",0)</f>
        <v>0</v>
      </c>
      <c r="ED38" t="e">
        <f>AND(Plan1!A1374,"AAAAAH+3aoU=")</f>
        <v>#VALUE!</v>
      </c>
      <c r="EE38" t="e">
        <f>AND(Plan1!B1374,"AAAAAH+3aoY=")</f>
        <v>#VALUE!</v>
      </c>
      <c r="EF38" t="e">
        <f>AND(Plan1!C1374,"AAAAAH+3aoc=")</f>
        <v>#VALUE!</v>
      </c>
      <c r="EG38" t="e">
        <f>AND(Plan1!D1374,"AAAAAH+3aog=")</f>
        <v>#VALUE!</v>
      </c>
      <c r="EH38" t="e">
        <f>AND(Plan1!E1374,"AAAAAH+3aok=")</f>
        <v>#VALUE!</v>
      </c>
      <c r="EI38" t="e">
        <f>AND(Plan1!F1374,"AAAAAH+3aoo=")</f>
        <v>#VALUE!</v>
      </c>
      <c r="EJ38">
        <f>IF(Plan1!1375:1375,"AAAAAH+3aos=",0)</f>
        <v>0</v>
      </c>
      <c r="EK38" t="e">
        <f>AND(Plan1!A1375,"AAAAAH+3aow=")</f>
        <v>#VALUE!</v>
      </c>
      <c r="EL38" t="e">
        <f>AND(Plan1!B1375,"AAAAAH+3ao0=")</f>
        <v>#VALUE!</v>
      </c>
      <c r="EM38" t="e">
        <f>AND(Plan1!C1375,"AAAAAH+3ao4=")</f>
        <v>#VALUE!</v>
      </c>
      <c r="EN38" t="e">
        <f>AND(Plan1!D1375,"AAAAAH+3ao8=")</f>
        <v>#VALUE!</v>
      </c>
      <c r="EO38" t="e">
        <f>AND(Plan1!E1375,"AAAAAH+3apA=")</f>
        <v>#VALUE!</v>
      </c>
      <c r="EP38" t="e">
        <f>AND(Plan1!F1375,"AAAAAH+3apE=")</f>
        <v>#VALUE!</v>
      </c>
      <c r="EQ38">
        <f>IF(Plan1!1376:1376,"AAAAAH+3apI=",0)</f>
        <v>0</v>
      </c>
      <c r="ER38" t="e">
        <f>AND(Plan1!A1376,"AAAAAH+3apM=")</f>
        <v>#VALUE!</v>
      </c>
      <c r="ES38" t="e">
        <f>AND(Plan1!B1376,"AAAAAH+3apQ=")</f>
        <v>#VALUE!</v>
      </c>
      <c r="ET38" t="e">
        <f>AND(Plan1!C1376,"AAAAAH+3apU=")</f>
        <v>#VALUE!</v>
      </c>
      <c r="EU38" t="e">
        <f>AND(Plan1!D1376,"AAAAAH+3apY=")</f>
        <v>#VALUE!</v>
      </c>
      <c r="EV38" t="e">
        <f>AND(Plan1!E1376,"AAAAAH+3apc=")</f>
        <v>#VALUE!</v>
      </c>
      <c r="EW38" t="e">
        <f>AND(Plan1!F1376,"AAAAAH+3apg=")</f>
        <v>#VALUE!</v>
      </c>
      <c r="EX38">
        <f>IF(Plan1!1377:1377,"AAAAAH+3apk=",0)</f>
        <v>0</v>
      </c>
      <c r="EY38" t="e">
        <f>AND(Plan1!A1377,"AAAAAH+3apo=")</f>
        <v>#VALUE!</v>
      </c>
      <c r="EZ38" t="e">
        <f>AND(Plan1!B1377,"AAAAAH+3aps=")</f>
        <v>#VALUE!</v>
      </c>
      <c r="FA38" t="e">
        <f>AND(Plan1!C1377,"AAAAAH+3apw=")</f>
        <v>#VALUE!</v>
      </c>
      <c r="FB38" t="e">
        <f>AND(Plan1!D1377,"AAAAAH+3ap0=")</f>
        <v>#VALUE!</v>
      </c>
      <c r="FC38" t="e">
        <f>AND(Plan1!E1377,"AAAAAH+3ap4=")</f>
        <v>#VALUE!</v>
      </c>
      <c r="FD38" t="e">
        <f>AND(Plan1!F1377,"AAAAAH+3ap8=")</f>
        <v>#VALUE!</v>
      </c>
      <c r="FE38">
        <f>IF(Plan1!1378:1378,"AAAAAH+3aqA=",0)</f>
        <v>0</v>
      </c>
      <c r="FF38" t="e">
        <f>AND(Plan1!A1378,"AAAAAH+3aqE=")</f>
        <v>#VALUE!</v>
      </c>
      <c r="FG38" t="e">
        <f>AND(Plan1!B1378,"AAAAAH+3aqI=")</f>
        <v>#VALUE!</v>
      </c>
      <c r="FH38" t="e">
        <f>AND(Plan1!C1378,"AAAAAH+3aqM=")</f>
        <v>#VALUE!</v>
      </c>
      <c r="FI38" t="e">
        <f>AND(Plan1!D1378,"AAAAAH+3aqQ=")</f>
        <v>#VALUE!</v>
      </c>
      <c r="FJ38" t="e">
        <f>AND(Plan1!E1378,"AAAAAH+3aqU=")</f>
        <v>#VALUE!</v>
      </c>
      <c r="FK38" t="e">
        <f>AND(Plan1!F1378,"AAAAAH+3aqY=")</f>
        <v>#VALUE!</v>
      </c>
      <c r="FL38">
        <f>IF(Plan1!1379:1379,"AAAAAH+3aqc=",0)</f>
        <v>0</v>
      </c>
      <c r="FM38" t="e">
        <f>AND(Plan1!A1379,"AAAAAH+3aqg=")</f>
        <v>#VALUE!</v>
      </c>
      <c r="FN38" t="e">
        <f>AND(Plan1!B1379,"AAAAAH+3aqk=")</f>
        <v>#VALUE!</v>
      </c>
      <c r="FO38" t="e">
        <f>AND(Plan1!C1379,"AAAAAH+3aqo=")</f>
        <v>#VALUE!</v>
      </c>
      <c r="FP38" t="e">
        <f>AND(Plan1!D1379,"AAAAAH+3aqs=")</f>
        <v>#VALUE!</v>
      </c>
      <c r="FQ38" t="e">
        <f>AND(Plan1!E1379,"AAAAAH+3aqw=")</f>
        <v>#VALUE!</v>
      </c>
      <c r="FR38" t="e">
        <f>AND(Plan1!F1379,"AAAAAH+3aq0=")</f>
        <v>#VALUE!</v>
      </c>
      <c r="FS38">
        <f>IF(Plan1!1380:1380,"AAAAAH+3aq4=",0)</f>
        <v>0</v>
      </c>
      <c r="FT38" t="e">
        <f>AND(Plan1!A1380,"AAAAAH+3aq8=")</f>
        <v>#VALUE!</v>
      </c>
      <c r="FU38" t="e">
        <f>AND(Plan1!B1380,"AAAAAH+3arA=")</f>
        <v>#VALUE!</v>
      </c>
      <c r="FV38" t="e">
        <f>AND(Plan1!C1380,"AAAAAH+3arE=")</f>
        <v>#VALUE!</v>
      </c>
      <c r="FW38" t="e">
        <f>AND(Plan1!D1380,"AAAAAH+3arI=")</f>
        <v>#VALUE!</v>
      </c>
      <c r="FX38" t="e">
        <f>AND(Plan1!E1380,"AAAAAH+3arM=")</f>
        <v>#VALUE!</v>
      </c>
      <c r="FY38" t="e">
        <f>AND(Plan1!F1380,"AAAAAH+3arQ=")</f>
        <v>#VALUE!</v>
      </c>
      <c r="FZ38">
        <f>IF(Plan1!1381:1381,"AAAAAH+3arU=",0)</f>
        <v>0</v>
      </c>
      <c r="GA38" t="e">
        <f>AND(Plan1!A1381,"AAAAAH+3arY=")</f>
        <v>#VALUE!</v>
      </c>
      <c r="GB38" t="e">
        <f>AND(Plan1!B1381,"AAAAAH+3arc=")</f>
        <v>#VALUE!</v>
      </c>
      <c r="GC38" t="e">
        <f>AND(Plan1!C1381,"AAAAAH+3arg=")</f>
        <v>#VALUE!</v>
      </c>
      <c r="GD38" t="e">
        <f>AND(Plan1!D1381,"AAAAAH+3ark=")</f>
        <v>#VALUE!</v>
      </c>
      <c r="GE38" t="e">
        <f>AND(Plan1!E1381,"AAAAAH+3aro=")</f>
        <v>#VALUE!</v>
      </c>
      <c r="GF38" t="e">
        <f>AND(Plan1!F1381,"AAAAAH+3ars=")</f>
        <v>#VALUE!</v>
      </c>
      <c r="GG38">
        <f>IF(Plan1!1382:1382,"AAAAAH+3arw=",0)</f>
        <v>0</v>
      </c>
      <c r="GH38" t="e">
        <f>AND(Plan1!A1382,"AAAAAH+3ar0=")</f>
        <v>#VALUE!</v>
      </c>
      <c r="GI38" t="e">
        <f>AND(Plan1!B1382,"AAAAAH+3ar4=")</f>
        <v>#VALUE!</v>
      </c>
      <c r="GJ38" t="e">
        <f>AND(Plan1!C1382,"AAAAAH+3ar8=")</f>
        <v>#VALUE!</v>
      </c>
      <c r="GK38" t="e">
        <f>AND(Plan1!D1382,"AAAAAH+3asA=")</f>
        <v>#VALUE!</v>
      </c>
      <c r="GL38" t="e">
        <f>AND(Plan1!E1382,"AAAAAH+3asE=")</f>
        <v>#VALUE!</v>
      </c>
      <c r="GM38" t="e">
        <f>AND(Plan1!F1382,"AAAAAH+3asI=")</f>
        <v>#VALUE!</v>
      </c>
      <c r="GN38">
        <f>IF(Plan1!1383:1383,"AAAAAH+3asM=",0)</f>
        <v>0</v>
      </c>
      <c r="GO38" t="e">
        <f>AND(Plan1!A1383,"AAAAAH+3asQ=")</f>
        <v>#VALUE!</v>
      </c>
      <c r="GP38" t="e">
        <f>AND(Plan1!B1383,"AAAAAH+3asU=")</f>
        <v>#VALUE!</v>
      </c>
      <c r="GQ38" t="e">
        <f>AND(Plan1!C1383,"AAAAAH+3asY=")</f>
        <v>#VALUE!</v>
      </c>
      <c r="GR38" t="e">
        <f>AND(Plan1!D1383,"AAAAAH+3asc=")</f>
        <v>#VALUE!</v>
      </c>
      <c r="GS38" t="e">
        <f>AND(Plan1!E1383,"AAAAAH+3asg=")</f>
        <v>#VALUE!</v>
      </c>
      <c r="GT38" t="e">
        <f>AND(Plan1!F1383,"AAAAAH+3ask=")</f>
        <v>#VALUE!</v>
      </c>
      <c r="GU38">
        <f>IF(Plan1!1384:1384,"AAAAAH+3aso=",0)</f>
        <v>0</v>
      </c>
      <c r="GV38" t="e">
        <f>AND(Plan1!A1384,"AAAAAH+3ass=")</f>
        <v>#VALUE!</v>
      </c>
      <c r="GW38" t="e">
        <f>AND(Plan1!B1384,"AAAAAH+3asw=")</f>
        <v>#VALUE!</v>
      </c>
      <c r="GX38" t="e">
        <f>AND(Plan1!C1384,"AAAAAH+3as0=")</f>
        <v>#VALUE!</v>
      </c>
      <c r="GY38" t="e">
        <f>AND(Plan1!D1384,"AAAAAH+3as4=")</f>
        <v>#VALUE!</v>
      </c>
      <c r="GZ38" t="e">
        <f>AND(Plan1!E1384,"AAAAAH+3as8=")</f>
        <v>#VALUE!</v>
      </c>
      <c r="HA38" t="e">
        <f>AND(Plan1!F1384,"AAAAAH+3atA=")</f>
        <v>#VALUE!</v>
      </c>
      <c r="HB38">
        <f>IF(Plan1!1385:1385,"AAAAAH+3atE=",0)</f>
        <v>0</v>
      </c>
      <c r="HC38" t="e">
        <f>AND(Plan1!A1385,"AAAAAH+3atI=")</f>
        <v>#VALUE!</v>
      </c>
      <c r="HD38" t="e">
        <f>AND(Plan1!B1385,"AAAAAH+3atM=")</f>
        <v>#VALUE!</v>
      </c>
      <c r="HE38" t="e">
        <f>AND(Plan1!C1385,"AAAAAH+3atQ=")</f>
        <v>#VALUE!</v>
      </c>
      <c r="HF38" t="e">
        <f>AND(Plan1!D1385,"AAAAAH+3atU=")</f>
        <v>#VALUE!</v>
      </c>
      <c r="HG38" t="e">
        <f>AND(Plan1!E1385,"AAAAAH+3atY=")</f>
        <v>#VALUE!</v>
      </c>
      <c r="HH38" t="e">
        <f>AND(Plan1!F1385,"AAAAAH+3atc=")</f>
        <v>#VALUE!</v>
      </c>
      <c r="HI38">
        <f>IF(Plan1!1386:1386,"AAAAAH+3atg=",0)</f>
        <v>0</v>
      </c>
      <c r="HJ38" t="e">
        <f>AND(Plan1!A1386,"AAAAAH+3atk=")</f>
        <v>#VALUE!</v>
      </c>
      <c r="HK38" t="e">
        <f>AND(Plan1!B1386,"AAAAAH+3ato=")</f>
        <v>#VALUE!</v>
      </c>
      <c r="HL38" t="e">
        <f>AND(Plan1!C1386,"AAAAAH+3ats=")</f>
        <v>#VALUE!</v>
      </c>
      <c r="HM38" t="e">
        <f>AND(Plan1!D1386,"AAAAAH+3atw=")</f>
        <v>#VALUE!</v>
      </c>
      <c r="HN38" t="e">
        <f>AND(Plan1!E1386,"AAAAAH+3at0=")</f>
        <v>#VALUE!</v>
      </c>
      <c r="HO38" t="e">
        <f>AND(Plan1!F1386,"AAAAAH+3at4=")</f>
        <v>#VALUE!</v>
      </c>
      <c r="HP38">
        <f>IF(Plan1!1387:1387,"AAAAAH+3at8=",0)</f>
        <v>0</v>
      </c>
      <c r="HQ38" t="e">
        <f>AND(Plan1!A1387,"AAAAAH+3auA=")</f>
        <v>#VALUE!</v>
      </c>
      <c r="HR38" t="e">
        <f>AND(Plan1!B1387,"AAAAAH+3auE=")</f>
        <v>#VALUE!</v>
      </c>
      <c r="HS38" t="e">
        <f>AND(Plan1!C1387,"AAAAAH+3auI=")</f>
        <v>#VALUE!</v>
      </c>
      <c r="HT38" t="e">
        <f>AND(Plan1!D1387,"AAAAAH+3auM=")</f>
        <v>#VALUE!</v>
      </c>
      <c r="HU38" t="e">
        <f>AND(Plan1!E1387,"AAAAAH+3auQ=")</f>
        <v>#VALUE!</v>
      </c>
      <c r="HV38" t="e">
        <f>AND(Plan1!F1387,"AAAAAH+3auU=")</f>
        <v>#VALUE!</v>
      </c>
      <c r="HW38">
        <f>IF(Plan1!1388:1388,"AAAAAH+3auY=",0)</f>
        <v>0</v>
      </c>
      <c r="HX38" t="e">
        <f>AND(Plan1!A1388,"AAAAAH+3auc=")</f>
        <v>#VALUE!</v>
      </c>
      <c r="HY38" t="e">
        <f>AND(Plan1!B1388,"AAAAAH+3aug=")</f>
        <v>#VALUE!</v>
      </c>
      <c r="HZ38" t="e">
        <f>AND(Plan1!C1388,"AAAAAH+3auk=")</f>
        <v>#VALUE!</v>
      </c>
      <c r="IA38" t="e">
        <f>AND(Plan1!D1388,"AAAAAH+3auo=")</f>
        <v>#VALUE!</v>
      </c>
      <c r="IB38" t="e">
        <f>AND(Plan1!E1388,"AAAAAH+3aus=")</f>
        <v>#VALUE!</v>
      </c>
      <c r="IC38" t="e">
        <f>AND(Plan1!F1388,"AAAAAH+3auw=")</f>
        <v>#VALUE!</v>
      </c>
      <c r="ID38">
        <f>IF(Plan1!1389:1389,"AAAAAH+3au0=",0)</f>
        <v>0</v>
      </c>
      <c r="IE38" t="e">
        <f>AND(Plan1!A1389,"AAAAAH+3au4=")</f>
        <v>#VALUE!</v>
      </c>
      <c r="IF38" t="e">
        <f>AND(Plan1!B1389,"AAAAAH+3au8=")</f>
        <v>#VALUE!</v>
      </c>
      <c r="IG38" t="e">
        <f>AND(Plan1!C1389,"AAAAAH+3avA=")</f>
        <v>#VALUE!</v>
      </c>
      <c r="IH38" t="e">
        <f>AND(Plan1!D1389,"AAAAAH+3avE=")</f>
        <v>#VALUE!</v>
      </c>
      <c r="II38" t="e">
        <f>AND(Plan1!E1389,"AAAAAH+3avI=")</f>
        <v>#VALUE!</v>
      </c>
      <c r="IJ38" t="e">
        <f>AND(Plan1!F1389,"AAAAAH+3avM=")</f>
        <v>#VALUE!</v>
      </c>
      <c r="IK38">
        <f>IF(Plan1!1390:1390,"AAAAAH+3avQ=",0)</f>
        <v>0</v>
      </c>
      <c r="IL38" t="e">
        <f>AND(Plan1!A1390,"AAAAAH+3avU=")</f>
        <v>#VALUE!</v>
      </c>
      <c r="IM38" t="e">
        <f>AND(Plan1!B1390,"AAAAAH+3avY=")</f>
        <v>#VALUE!</v>
      </c>
      <c r="IN38" t="e">
        <f>AND(Plan1!C1390,"AAAAAH+3avc=")</f>
        <v>#VALUE!</v>
      </c>
      <c r="IO38" t="e">
        <f>AND(Plan1!D1390,"AAAAAH+3avg=")</f>
        <v>#VALUE!</v>
      </c>
      <c r="IP38" t="e">
        <f>AND(Plan1!E1390,"AAAAAH+3avk=")</f>
        <v>#VALUE!</v>
      </c>
      <c r="IQ38" t="e">
        <f>AND(Plan1!F1390,"AAAAAH+3avo=")</f>
        <v>#VALUE!</v>
      </c>
      <c r="IR38">
        <f>IF(Plan1!1391:1391,"AAAAAH+3avs=",0)</f>
        <v>0</v>
      </c>
      <c r="IS38" t="e">
        <f>AND(Plan1!A1391,"AAAAAH+3avw=")</f>
        <v>#VALUE!</v>
      </c>
      <c r="IT38" t="e">
        <f>AND(Plan1!B1391,"AAAAAH+3av0=")</f>
        <v>#VALUE!</v>
      </c>
      <c r="IU38" t="e">
        <f>AND(Plan1!C1391,"AAAAAH+3av4=")</f>
        <v>#VALUE!</v>
      </c>
      <c r="IV38" t="e">
        <f>AND(Plan1!D1391,"AAAAAH+3av8=")</f>
        <v>#VALUE!</v>
      </c>
    </row>
    <row r="39" spans="1:256">
      <c r="A39" t="e">
        <f>AND(Plan1!E1391,"AAAAAC/7vwA=")</f>
        <v>#VALUE!</v>
      </c>
      <c r="B39" t="e">
        <f>AND(Plan1!F1391,"AAAAAC/7vwE=")</f>
        <v>#VALUE!</v>
      </c>
      <c r="C39" t="e">
        <f>IF(Plan1!1392:1392,"AAAAAC/7vwI=",0)</f>
        <v>#VALUE!</v>
      </c>
      <c r="D39" t="e">
        <f>AND(Plan1!A1392,"AAAAAC/7vwM=")</f>
        <v>#VALUE!</v>
      </c>
      <c r="E39" t="e">
        <f>AND(Plan1!B1392,"AAAAAC/7vwQ=")</f>
        <v>#VALUE!</v>
      </c>
      <c r="F39" t="e">
        <f>AND(Plan1!C1392,"AAAAAC/7vwU=")</f>
        <v>#VALUE!</v>
      </c>
      <c r="G39" t="e">
        <f>AND(Plan1!D1392,"AAAAAC/7vwY=")</f>
        <v>#VALUE!</v>
      </c>
      <c r="H39" t="e">
        <f>AND(Plan1!E1392,"AAAAAC/7vwc=")</f>
        <v>#VALUE!</v>
      </c>
      <c r="I39" t="e">
        <f>AND(Plan1!F1392,"AAAAAC/7vwg=")</f>
        <v>#VALUE!</v>
      </c>
      <c r="J39">
        <f>IF(Plan1!1393:1393,"AAAAAC/7vwk=",0)</f>
        <v>0</v>
      </c>
      <c r="K39" t="e">
        <f>AND(Plan1!A1393,"AAAAAC/7vwo=")</f>
        <v>#VALUE!</v>
      </c>
      <c r="L39" t="e">
        <f>AND(Plan1!B1393,"AAAAAC/7vws=")</f>
        <v>#VALUE!</v>
      </c>
      <c r="M39" t="e">
        <f>AND(Plan1!C1393,"AAAAAC/7vww=")</f>
        <v>#VALUE!</v>
      </c>
      <c r="N39" t="e">
        <f>AND(Plan1!D1393,"AAAAAC/7vw0=")</f>
        <v>#VALUE!</v>
      </c>
      <c r="O39" t="e">
        <f>AND(Plan1!E1393,"AAAAAC/7vw4=")</f>
        <v>#VALUE!</v>
      </c>
      <c r="P39" t="e">
        <f>AND(Plan1!F1393,"AAAAAC/7vw8=")</f>
        <v>#VALUE!</v>
      </c>
      <c r="Q39">
        <f>IF(Plan1!1394:1394,"AAAAAC/7vxA=",0)</f>
        <v>0</v>
      </c>
      <c r="R39" t="e">
        <f>AND(Plan1!A1394,"AAAAAC/7vxE=")</f>
        <v>#VALUE!</v>
      </c>
      <c r="S39" t="e">
        <f>AND(Plan1!B1394,"AAAAAC/7vxI=")</f>
        <v>#VALUE!</v>
      </c>
      <c r="T39" t="e">
        <f>AND(Plan1!C1394,"AAAAAC/7vxM=")</f>
        <v>#VALUE!</v>
      </c>
      <c r="U39" t="e">
        <f>AND(Plan1!D1394,"AAAAAC/7vxQ=")</f>
        <v>#VALUE!</v>
      </c>
      <c r="V39" t="e">
        <f>AND(Plan1!E1394,"AAAAAC/7vxU=")</f>
        <v>#VALUE!</v>
      </c>
      <c r="W39" t="e">
        <f>AND(Plan1!F1394,"AAAAAC/7vxY=")</f>
        <v>#VALUE!</v>
      </c>
      <c r="X39">
        <f>IF(Plan1!1395:1395,"AAAAAC/7vxc=",0)</f>
        <v>0</v>
      </c>
      <c r="Y39" t="e">
        <f>AND(Plan1!A1395,"AAAAAC/7vxg=")</f>
        <v>#VALUE!</v>
      </c>
      <c r="Z39" t="e">
        <f>AND(Plan1!B1395,"AAAAAC/7vxk=")</f>
        <v>#VALUE!</v>
      </c>
      <c r="AA39" t="e">
        <f>AND(Plan1!C1395,"AAAAAC/7vxo=")</f>
        <v>#VALUE!</v>
      </c>
      <c r="AB39" t="e">
        <f>AND(Plan1!D1395,"AAAAAC/7vxs=")</f>
        <v>#VALUE!</v>
      </c>
      <c r="AC39" t="e">
        <f>AND(Plan1!E1395,"AAAAAC/7vxw=")</f>
        <v>#VALUE!</v>
      </c>
      <c r="AD39" t="e">
        <f>AND(Plan1!F1395,"AAAAAC/7vx0=")</f>
        <v>#VALUE!</v>
      </c>
      <c r="AE39">
        <f>IF(Plan1!1396:1396,"AAAAAC/7vx4=",0)</f>
        <v>0</v>
      </c>
      <c r="AF39" t="e">
        <f>AND(Plan1!A1396,"AAAAAC/7vx8=")</f>
        <v>#VALUE!</v>
      </c>
      <c r="AG39" t="e">
        <f>AND(Plan1!B1396,"AAAAAC/7vyA=")</f>
        <v>#VALUE!</v>
      </c>
      <c r="AH39" t="e">
        <f>AND(Plan1!C1396,"AAAAAC/7vyE=")</f>
        <v>#VALUE!</v>
      </c>
      <c r="AI39" t="e">
        <f>AND(Plan1!D1396,"AAAAAC/7vyI=")</f>
        <v>#VALUE!</v>
      </c>
      <c r="AJ39" t="e">
        <f>AND(Plan1!E1396,"AAAAAC/7vyM=")</f>
        <v>#VALUE!</v>
      </c>
      <c r="AK39" t="e">
        <f>AND(Plan1!F1396,"AAAAAC/7vyQ=")</f>
        <v>#VALUE!</v>
      </c>
      <c r="AL39">
        <f>IF(Plan1!1397:1397,"AAAAAC/7vyU=",0)</f>
        <v>0</v>
      </c>
      <c r="AM39" t="e">
        <f>AND(Plan1!A1397,"AAAAAC/7vyY=")</f>
        <v>#VALUE!</v>
      </c>
      <c r="AN39" t="e">
        <f>AND(Plan1!B1397,"AAAAAC/7vyc=")</f>
        <v>#VALUE!</v>
      </c>
      <c r="AO39" t="e">
        <f>AND(Plan1!C1397,"AAAAAC/7vyg=")</f>
        <v>#VALUE!</v>
      </c>
      <c r="AP39" t="e">
        <f>AND(Plan1!D1397,"AAAAAC/7vyk=")</f>
        <v>#VALUE!</v>
      </c>
      <c r="AQ39" t="e">
        <f>AND(Plan1!E1397,"AAAAAC/7vyo=")</f>
        <v>#VALUE!</v>
      </c>
      <c r="AR39" t="e">
        <f>AND(Plan1!F1397,"AAAAAC/7vys=")</f>
        <v>#VALUE!</v>
      </c>
      <c r="AS39">
        <f>IF(Plan1!1398:1398,"AAAAAC/7vyw=",0)</f>
        <v>0</v>
      </c>
      <c r="AT39" t="e">
        <f>AND(Plan1!A1398,"AAAAAC/7vy0=")</f>
        <v>#VALUE!</v>
      </c>
      <c r="AU39" t="e">
        <f>AND(Plan1!B1398,"AAAAAC/7vy4=")</f>
        <v>#VALUE!</v>
      </c>
      <c r="AV39" t="e">
        <f>AND(Plan1!C1398,"AAAAAC/7vy8=")</f>
        <v>#VALUE!</v>
      </c>
      <c r="AW39" t="e">
        <f>AND(Plan1!D1398,"AAAAAC/7vzA=")</f>
        <v>#VALUE!</v>
      </c>
      <c r="AX39" t="e">
        <f>AND(Plan1!E1398,"AAAAAC/7vzE=")</f>
        <v>#VALUE!</v>
      </c>
      <c r="AY39" t="e">
        <f>AND(Plan1!F1398,"AAAAAC/7vzI=")</f>
        <v>#VALUE!</v>
      </c>
      <c r="AZ39">
        <f>IF(Plan1!1399:1399,"AAAAAC/7vzM=",0)</f>
        <v>0</v>
      </c>
      <c r="BA39" t="e">
        <f>AND(Plan1!A1399,"AAAAAC/7vzQ=")</f>
        <v>#VALUE!</v>
      </c>
      <c r="BB39" t="e">
        <f>AND(Plan1!B1399,"AAAAAC/7vzU=")</f>
        <v>#VALUE!</v>
      </c>
      <c r="BC39" t="e">
        <f>AND(Plan1!C1399,"AAAAAC/7vzY=")</f>
        <v>#VALUE!</v>
      </c>
      <c r="BD39" t="e">
        <f>AND(Plan1!D1399,"AAAAAC/7vzc=")</f>
        <v>#VALUE!</v>
      </c>
      <c r="BE39" t="e">
        <f>AND(Plan1!E1399,"AAAAAC/7vzg=")</f>
        <v>#VALUE!</v>
      </c>
      <c r="BF39" t="e">
        <f>AND(Plan1!F1399,"AAAAAC/7vzk=")</f>
        <v>#VALUE!</v>
      </c>
      <c r="BG39">
        <f>IF(Plan1!1400:1400,"AAAAAC/7vzo=",0)</f>
        <v>0</v>
      </c>
      <c r="BH39" t="e">
        <f>AND(Plan1!A1400,"AAAAAC/7vzs=")</f>
        <v>#VALUE!</v>
      </c>
      <c r="BI39" t="e">
        <f>AND(Plan1!B1400,"AAAAAC/7vzw=")</f>
        <v>#VALUE!</v>
      </c>
      <c r="BJ39" t="e">
        <f>AND(Plan1!C1400,"AAAAAC/7vz0=")</f>
        <v>#VALUE!</v>
      </c>
      <c r="BK39" t="e">
        <f>AND(Plan1!D1400,"AAAAAC/7vz4=")</f>
        <v>#VALUE!</v>
      </c>
      <c r="BL39" t="e">
        <f>AND(Plan1!E1400,"AAAAAC/7vz8=")</f>
        <v>#VALUE!</v>
      </c>
      <c r="BM39" t="e">
        <f>AND(Plan1!F1400,"AAAAAC/7v0A=")</f>
        <v>#VALUE!</v>
      </c>
      <c r="BN39">
        <f>IF(Plan1!1401:1401,"AAAAAC/7v0E=",0)</f>
        <v>0</v>
      </c>
      <c r="BO39" t="e">
        <f>AND(Plan1!A1401,"AAAAAC/7v0I=")</f>
        <v>#VALUE!</v>
      </c>
      <c r="BP39" t="e">
        <f>AND(Plan1!B1401,"AAAAAC/7v0M=")</f>
        <v>#VALUE!</v>
      </c>
      <c r="BQ39" t="e">
        <f>AND(Plan1!C1401,"AAAAAC/7v0Q=")</f>
        <v>#VALUE!</v>
      </c>
      <c r="BR39" t="e">
        <f>AND(Plan1!D1401,"AAAAAC/7v0U=")</f>
        <v>#VALUE!</v>
      </c>
      <c r="BS39" t="e">
        <f>AND(Plan1!E1401,"AAAAAC/7v0Y=")</f>
        <v>#VALUE!</v>
      </c>
      <c r="BT39" t="e">
        <f>AND(Plan1!F1401,"AAAAAC/7v0c=")</f>
        <v>#VALUE!</v>
      </c>
      <c r="BU39">
        <f>IF(Plan1!1402:1402,"AAAAAC/7v0g=",0)</f>
        <v>0</v>
      </c>
      <c r="BV39" t="e">
        <f>AND(Plan1!A1402,"AAAAAC/7v0k=")</f>
        <v>#VALUE!</v>
      </c>
      <c r="BW39" t="e">
        <f>AND(Plan1!B1402,"AAAAAC/7v0o=")</f>
        <v>#VALUE!</v>
      </c>
      <c r="BX39" t="e">
        <f>AND(Plan1!C1402,"AAAAAC/7v0s=")</f>
        <v>#VALUE!</v>
      </c>
      <c r="BY39" t="e">
        <f>AND(Plan1!D1402,"AAAAAC/7v0w=")</f>
        <v>#VALUE!</v>
      </c>
      <c r="BZ39" t="e">
        <f>AND(Plan1!E1402,"AAAAAC/7v00=")</f>
        <v>#VALUE!</v>
      </c>
      <c r="CA39" t="e">
        <f>AND(Plan1!F1402,"AAAAAC/7v04=")</f>
        <v>#VALUE!</v>
      </c>
      <c r="CB39">
        <f>IF(Plan1!1403:1403,"AAAAAC/7v08=",0)</f>
        <v>0</v>
      </c>
      <c r="CC39" t="e">
        <f>AND(Plan1!A1403,"AAAAAC/7v1A=")</f>
        <v>#VALUE!</v>
      </c>
      <c r="CD39" t="e">
        <f>AND(Plan1!B1403,"AAAAAC/7v1E=")</f>
        <v>#VALUE!</v>
      </c>
      <c r="CE39" t="e">
        <f>AND(Plan1!C1403,"AAAAAC/7v1I=")</f>
        <v>#VALUE!</v>
      </c>
      <c r="CF39" t="e">
        <f>AND(Plan1!D1403,"AAAAAC/7v1M=")</f>
        <v>#VALUE!</v>
      </c>
      <c r="CG39" t="e">
        <f>AND(Plan1!E1403,"AAAAAC/7v1Q=")</f>
        <v>#VALUE!</v>
      </c>
      <c r="CH39" t="e">
        <f>AND(Plan1!F1403,"AAAAAC/7v1U=")</f>
        <v>#VALUE!</v>
      </c>
      <c r="CI39">
        <f>IF(Plan1!1404:1404,"AAAAAC/7v1Y=",0)</f>
        <v>0</v>
      </c>
      <c r="CJ39" t="e">
        <f>AND(Plan1!A1404,"AAAAAC/7v1c=")</f>
        <v>#VALUE!</v>
      </c>
      <c r="CK39" t="e">
        <f>AND(Plan1!B1404,"AAAAAC/7v1g=")</f>
        <v>#VALUE!</v>
      </c>
      <c r="CL39" t="e">
        <f>AND(Plan1!C1404,"AAAAAC/7v1k=")</f>
        <v>#VALUE!</v>
      </c>
      <c r="CM39" t="e">
        <f>AND(Plan1!D1404,"AAAAAC/7v1o=")</f>
        <v>#VALUE!</v>
      </c>
      <c r="CN39" t="e">
        <f>AND(Plan1!E1404,"AAAAAC/7v1s=")</f>
        <v>#VALUE!</v>
      </c>
      <c r="CO39" t="e">
        <f>AND(Plan1!F1404,"AAAAAC/7v1w=")</f>
        <v>#VALUE!</v>
      </c>
      <c r="CP39">
        <f>IF(Plan1!1405:1405,"AAAAAC/7v10=",0)</f>
        <v>0</v>
      </c>
      <c r="CQ39" t="e">
        <f>AND(Plan1!A1405,"AAAAAC/7v14=")</f>
        <v>#VALUE!</v>
      </c>
      <c r="CR39" t="e">
        <f>AND(Plan1!B1405,"AAAAAC/7v18=")</f>
        <v>#VALUE!</v>
      </c>
      <c r="CS39" t="e">
        <f>AND(Plan1!C1405,"AAAAAC/7v2A=")</f>
        <v>#VALUE!</v>
      </c>
      <c r="CT39" t="e">
        <f>AND(Plan1!D1405,"AAAAAC/7v2E=")</f>
        <v>#VALUE!</v>
      </c>
      <c r="CU39" t="e">
        <f>AND(Plan1!E1405,"AAAAAC/7v2I=")</f>
        <v>#VALUE!</v>
      </c>
      <c r="CV39" t="e">
        <f>AND(Plan1!F1405,"AAAAAC/7v2M=")</f>
        <v>#VALUE!</v>
      </c>
      <c r="CW39">
        <f>IF(Plan1!1406:1406,"AAAAAC/7v2Q=",0)</f>
        <v>0</v>
      </c>
      <c r="CX39" t="e">
        <f>AND(Plan1!A1406,"AAAAAC/7v2U=")</f>
        <v>#VALUE!</v>
      </c>
      <c r="CY39" t="e">
        <f>AND(Plan1!B1406,"AAAAAC/7v2Y=")</f>
        <v>#VALUE!</v>
      </c>
      <c r="CZ39" t="e">
        <f>AND(Plan1!C1406,"AAAAAC/7v2c=")</f>
        <v>#VALUE!</v>
      </c>
      <c r="DA39" t="e">
        <f>AND(Plan1!D1406,"AAAAAC/7v2g=")</f>
        <v>#VALUE!</v>
      </c>
      <c r="DB39" t="e">
        <f>AND(Plan1!E1406,"AAAAAC/7v2k=")</f>
        <v>#VALUE!</v>
      </c>
      <c r="DC39" t="e">
        <f>AND(Plan1!F1406,"AAAAAC/7v2o=")</f>
        <v>#VALUE!</v>
      </c>
      <c r="DD39">
        <f>IF(Plan1!1407:1407,"AAAAAC/7v2s=",0)</f>
        <v>0</v>
      </c>
      <c r="DE39" t="e">
        <f>AND(Plan1!A1407,"AAAAAC/7v2w=")</f>
        <v>#VALUE!</v>
      </c>
      <c r="DF39" t="e">
        <f>AND(Plan1!B1407,"AAAAAC/7v20=")</f>
        <v>#VALUE!</v>
      </c>
      <c r="DG39" t="e">
        <f>AND(Plan1!C1407,"AAAAAC/7v24=")</f>
        <v>#VALUE!</v>
      </c>
      <c r="DH39" t="e">
        <f>AND(Plan1!D1407,"AAAAAC/7v28=")</f>
        <v>#VALUE!</v>
      </c>
      <c r="DI39" t="e">
        <f>AND(Plan1!E1407,"AAAAAC/7v3A=")</f>
        <v>#VALUE!</v>
      </c>
      <c r="DJ39" t="e">
        <f>AND(Plan1!F1407,"AAAAAC/7v3E=")</f>
        <v>#VALUE!</v>
      </c>
      <c r="DK39">
        <f>IF(Plan1!1408:1408,"AAAAAC/7v3I=",0)</f>
        <v>0</v>
      </c>
      <c r="DL39" t="e">
        <f>AND(Plan1!A1408,"AAAAAC/7v3M=")</f>
        <v>#VALUE!</v>
      </c>
      <c r="DM39" t="e">
        <f>AND(Plan1!B1408,"AAAAAC/7v3Q=")</f>
        <v>#VALUE!</v>
      </c>
      <c r="DN39" t="e">
        <f>AND(Plan1!C1408,"AAAAAC/7v3U=")</f>
        <v>#VALUE!</v>
      </c>
      <c r="DO39" t="e">
        <f>AND(Plan1!D1408,"AAAAAC/7v3Y=")</f>
        <v>#VALUE!</v>
      </c>
      <c r="DP39" t="e">
        <f>AND(Plan1!E1408,"AAAAAC/7v3c=")</f>
        <v>#VALUE!</v>
      </c>
      <c r="DQ39" t="e">
        <f>AND(Plan1!F1408,"AAAAAC/7v3g=")</f>
        <v>#VALUE!</v>
      </c>
      <c r="DR39">
        <f>IF(Plan1!1409:1409,"AAAAAC/7v3k=",0)</f>
        <v>0</v>
      </c>
      <c r="DS39" t="e">
        <f>AND(Plan1!A1409,"AAAAAC/7v3o=")</f>
        <v>#VALUE!</v>
      </c>
      <c r="DT39" t="e">
        <f>AND(Plan1!B1409,"AAAAAC/7v3s=")</f>
        <v>#VALUE!</v>
      </c>
      <c r="DU39" t="e">
        <f>AND(Plan1!C1409,"AAAAAC/7v3w=")</f>
        <v>#VALUE!</v>
      </c>
      <c r="DV39" t="e">
        <f>AND(Plan1!D1409,"AAAAAC/7v30=")</f>
        <v>#VALUE!</v>
      </c>
      <c r="DW39" t="e">
        <f>AND(Plan1!E1409,"AAAAAC/7v34=")</f>
        <v>#VALUE!</v>
      </c>
      <c r="DX39" t="e">
        <f>AND(Plan1!F1409,"AAAAAC/7v38=")</f>
        <v>#VALUE!</v>
      </c>
      <c r="DY39">
        <f>IF(Plan1!1410:1410,"AAAAAC/7v4A=",0)</f>
        <v>0</v>
      </c>
      <c r="DZ39" t="e">
        <f>AND(Plan1!A1410,"AAAAAC/7v4E=")</f>
        <v>#VALUE!</v>
      </c>
      <c r="EA39" t="e">
        <f>AND(Plan1!B1410,"AAAAAC/7v4I=")</f>
        <v>#VALUE!</v>
      </c>
      <c r="EB39" t="e">
        <f>AND(Plan1!C1410,"AAAAAC/7v4M=")</f>
        <v>#VALUE!</v>
      </c>
      <c r="EC39" t="e">
        <f>AND(Plan1!D1410,"AAAAAC/7v4Q=")</f>
        <v>#VALUE!</v>
      </c>
      <c r="ED39" t="e">
        <f>AND(Plan1!E1410,"AAAAAC/7v4U=")</f>
        <v>#VALUE!</v>
      </c>
      <c r="EE39" t="e">
        <f>AND(Plan1!F1410,"AAAAAC/7v4Y=")</f>
        <v>#VALUE!</v>
      </c>
      <c r="EF39">
        <f>IF(Plan1!1411:1411,"AAAAAC/7v4c=",0)</f>
        <v>0</v>
      </c>
      <c r="EG39" t="e">
        <f>AND(Plan1!A1411,"AAAAAC/7v4g=")</f>
        <v>#VALUE!</v>
      </c>
      <c r="EH39" t="e">
        <f>AND(Plan1!B1411,"AAAAAC/7v4k=")</f>
        <v>#VALUE!</v>
      </c>
      <c r="EI39" t="e">
        <f>AND(Plan1!C1411,"AAAAAC/7v4o=")</f>
        <v>#VALUE!</v>
      </c>
      <c r="EJ39" t="e">
        <f>AND(Plan1!D1411,"AAAAAC/7v4s=")</f>
        <v>#VALUE!</v>
      </c>
      <c r="EK39" t="e">
        <f>AND(Plan1!E1411,"AAAAAC/7v4w=")</f>
        <v>#VALUE!</v>
      </c>
      <c r="EL39" t="e">
        <f>AND(Plan1!F1411,"AAAAAC/7v40=")</f>
        <v>#VALUE!</v>
      </c>
      <c r="EM39">
        <f>IF(Plan1!1412:1412,"AAAAAC/7v44=",0)</f>
        <v>0</v>
      </c>
      <c r="EN39" t="e">
        <f>AND(Plan1!A1412,"AAAAAC/7v48=")</f>
        <v>#VALUE!</v>
      </c>
      <c r="EO39" t="e">
        <f>AND(Plan1!B1412,"AAAAAC/7v5A=")</f>
        <v>#VALUE!</v>
      </c>
      <c r="EP39" t="e">
        <f>AND(Plan1!C1412,"AAAAAC/7v5E=")</f>
        <v>#VALUE!</v>
      </c>
      <c r="EQ39" t="e">
        <f>AND(Plan1!D1412,"AAAAAC/7v5I=")</f>
        <v>#VALUE!</v>
      </c>
      <c r="ER39" t="e">
        <f>AND(Plan1!E1412,"AAAAAC/7v5M=")</f>
        <v>#VALUE!</v>
      </c>
      <c r="ES39" t="e">
        <f>AND(Plan1!F1412,"AAAAAC/7v5Q=")</f>
        <v>#VALUE!</v>
      </c>
      <c r="ET39">
        <f>IF(Plan1!1413:1413,"AAAAAC/7v5U=",0)</f>
        <v>0</v>
      </c>
      <c r="EU39" t="e">
        <f>AND(Plan1!A1413,"AAAAAC/7v5Y=")</f>
        <v>#VALUE!</v>
      </c>
      <c r="EV39" t="e">
        <f>AND(Plan1!B1413,"AAAAAC/7v5c=")</f>
        <v>#VALUE!</v>
      </c>
      <c r="EW39" t="e">
        <f>AND(Plan1!C1413,"AAAAAC/7v5g=")</f>
        <v>#VALUE!</v>
      </c>
      <c r="EX39" t="e">
        <f>AND(Plan1!D1413,"AAAAAC/7v5k=")</f>
        <v>#VALUE!</v>
      </c>
      <c r="EY39" t="e">
        <f>AND(Plan1!E1413,"AAAAAC/7v5o=")</f>
        <v>#VALUE!</v>
      </c>
      <c r="EZ39" t="e">
        <f>AND(Plan1!F1413,"AAAAAC/7v5s=")</f>
        <v>#VALUE!</v>
      </c>
      <c r="FA39">
        <f>IF(Plan1!1414:1414,"AAAAAC/7v5w=",0)</f>
        <v>0</v>
      </c>
      <c r="FB39" t="e">
        <f>AND(Plan1!A1414,"AAAAAC/7v50=")</f>
        <v>#VALUE!</v>
      </c>
      <c r="FC39" t="e">
        <f>AND(Plan1!B1414,"AAAAAC/7v54=")</f>
        <v>#VALUE!</v>
      </c>
      <c r="FD39" t="e">
        <f>AND(Plan1!C1414,"AAAAAC/7v58=")</f>
        <v>#VALUE!</v>
      </c>
      <c r="FE39" t="e">
        <f>AND(Plan1!D1414,"AAAAAC/7v6A=")</f>
        <v>#VALUE!</v>
      </c>
      <c r="FF39" t="e">
        <f>AND(Plan1!E1414,"AAAAAC/7v6E=")</f>
        <v>#VALUE!</v>
      </c>
      <c r="FG39" t="e">
        <f>AND(Plan1!F1414,"AAAAAC/7v6I=")</f>
        <v>#VALUE!</v>
      </c>
      <c r="FH39">
        <f>IF(Plan1!1415:1415,"AAAAAC/7v6M=",0)</f>
        <v>0</v>
      </c>
      <c r="FI39" t="e">
        <f>AND(Plan1!A1415,"AAAAAC/7v6Q=")</f>
        <v>#VALUE!</v>
      </c>
      <c r="FJ39" t="e">
        <f>AND(Plan1!B1415,"AAAAAC/7v6U=")</f>
        <v>#VALUE!</v>
      </c>
      <c r="FK39" t="e">
        <f>AND(Plan1!C1415,"AAAAAC/7v6Y=")</f>
        <v>#VALUE!</v>
      </c>
      <c r="FL39" t="e">
        <f>AND(Plan1!D1415,"AAAAAC/7v6c=")</f>
        <v>#VALUE!</v>
      </c>
      <c r="FM39" t="e">
        <f>AND(Plan1!E1415,"AAAAAC/7v6g=")</f>
        <v>#VALUE!</v>
      </c>
      <c r="FN39" t="e">
        <f>AND(Plan1!F1415,"AAAAAC/7v6k=")</f>
        <v>#VALUE!</v>
      </c>
      <c r="FO39">
        <f>IF(Plan1!1416:1416,"AAAAAC/7v6o=",0)</f>
        <v>0</v>
      </c>
      <c r="FP39" t="e">
        <f>AND(Plan1!A1416,"AAAAAC/7v6s=")</f>
        <v>#VALUE!</v>
      </c>
      <c r="FQ39" t="e">
        <f>AND(Plan1!B1416,"AAAAAC/7v6w=")</f>
        <v>#VALUE!</v>
      </c>
      <c r="FR39" t="e">
        <f>AND(Plan1!C1416,"AAAAAC/7v60=")</f>
        <v>#VALUE!</v>
      </c>
      <c r="FS39" t="e">
        <f>AND(Plan1!D1416,"AAAAAC/7v64=")</f>
        <v>#VALUE!</v>
      </c>
      <c r="FT39" t="e">
        <f>AND(Plan1!E1416,"AAAAAC/7v68=")</f>
        <v>#VALUE!</v>
      </c>
      <c r="FU39" t="e">
        <f>AND(Plan1!F1416,"AAAAAC/7v7A=")</f>
        <v>#VALUE!</v>
      </c>
      <c r="FV39">
        <f>IF(Plan1!1417:1417,"AAAAAC/7v7E=",0)</f>
        <v>0</v>
      </c>
      <c r="FW39" t="e">
        <f>AND(Plan1!A1417,"AAAAAC/7v7I=")</f>
        <v>#VALUE!</v>
      </c>
      <c r="FX39" t="e">
        <f>AND(Plan1!B1417,"AAAAAC/7v7M=")</f>
        <v>#VALUE!</v>
      </c>
      <c r="FY39" t="e">
        <f>AND(Plan1!C1417,"AAAAAC/7v7Q=")</f>
        <v>#VALUE!</v>
      </c>
      <c r="FZ39" t="e">
        <f>AND(Plan1!D1417,"AAAAAC/7v7U=")</f>
        <v>#VALUE!</v>
      </c>
      <c r="GA39" t="e">
        <f>AND(Plan1!E1417,"AAAAAC/7v7Y=")</f>
        <v>#VALUE!</v>
      </c>
      <c r="GB39" t="e">
        <f>AND(Plan1!F1417,"AAAAAC/7v7c=")</f>
        <v>#VALUE!</v>
      </c>
      <c r="GC39">
        <f>IF(Plan1!1418:1418,"AAAAAC/7v7g=",0)</f>
        <v>0</v>
      </c>
      <c r="GD39" t="e">
        <f>AND(Plan1!A1418,"AAAAAC/7v7k=")</f>
        <v>#VALUE!</v>
      </c>
      <c r="GE39" t="e">
        <f>AND(Plan1!B1418,"AAAAAC/7v7o=")</f>
        <v>#VALUE!</v>
      </c>
      <c r="GF39" t="e">
        <f>AND(Plan1!C1418,"AAAAAC/7v7s=")</f>
        <v>#VALUE!</v>
      </c>
      <c r="GG39" t="e">
        <f>AND(Plan1!D1418,"AAAAAC/7v7w=")</f>
        <v>#VALUE!</v>
      </c>
      <c r="GH39" t="e">
        <f>AND(Plan1!E1418,"AAAAAC/7v70=")</f>
        <v>#VALUE!</v>
      </c>
      <c r="GI39" t="e">
        <f>AND(Plan1!F1418,"AAAAAC/7v74=")</f>
        <v>#VALUE!</v>
      </c>
      <c r="GJ39">
        <f>IF(Plan1!1419:1419,"AAAAAC/7v78=",0)</f>
        <v>0</v>
      </c>
      <c r="GK39" t="e">
        <f>AND(Plan1!A1419,"AAAAAC/7v8A=")</f>
        <v>#VALUE!</v>
      </c>
      <c r="GL39" t="e">
        <f>AND(Plan1!B1419,"AAAAAC/7v8E=")</f>
        <v>#VALUE!</v>
      </c>
      <c r="GM39" t="e">
        <f>AND(Plan1!C1419,"AAAAAC/7v8I=")</f>
        <v>#VALUE!</v>
      </c>
      <c r="GN39" t="e">
        <f>AND(Plan1!D1419,"AAAAAC/7v8M=")</f>
        <v>#VALUE!</v>
      </c>
      <c r="GO39" t="e">
        <f>AND(Plan1!E1419,"AAAAAC/7v8Q=")</f>
        <v>#VALUE!</v>
      </c>
      <c r="GP39" t="e">
        <f>AND(Plan1!F1419,"AAAAAC/7v8U=")</f>
        <v>#VALUE!</v>
      </c>
      <c r="GQ39">
        <f>IF(Plan1!1420:1420,"AAAAAC/7v8Y=",0)</f>
        <v>0</v>
      </c>
      <c r="GR39" t="e">
        <f>AND(Plan1!A1420,"AAAAAC/7v8c=")</f>
        <v>#VALUE!</v>
      </c>
      <c r="GS39" t="e">
        <f>AND(Plan1!B1420,"AAAAAC/7v8g=")</f>
        <v>#VALUE!</v>
      </c>
      <c r="GT39" t="e">
        <f>AND(Plan1!C1420,"AAAAAC/7v8k=")</f>
        <v>#VALUE!</v>
      </c>
      <c r="GU39" t="e">
        <f>AND(Plan1!D1420,"AAAAAC/7v8o=")</f>
        <v>#VALUE!</v>
      </c>
      <c r="GV39" t="e">
        <f>AND(Plan1!E1420,"AAAAAC/7v8s=")</f>
        <v>#VALUE!</v>
      </c>
      <c r="GW39" t="e">
        <f>AND(Plan1!F1420,"AAAAAC/7v8w=")</f>
        <v>#VALUE!</v>
      </c>
      <c r="GX39">
        <f>IF(Plan1!1421:1421,"AAAAAC/7v80=",0)</f>
        <v>0</v>
      </c>
      <c r="GY39" t="e">
        <f>AND(Plan1!A1421,"AAAAAC/7v84=")</f>
        <v>#VALUE!</v>
      </c>
      <c r="GZ39" t="e">
        <f>AND(Plan1!B1421,"AAAAAC/7v88=")</f>
        <v>#VALUE!</v>
      </c>
      <c r="HA39" t="e">
        <f>AND(Plan1!C1421,"AAAAAC/7v9A=")</f>
        <v>#VALUE!</v>
      </c>
      <c r="HB39" t="e">
        <f>AND(Plan1!D1421,"AAAAAC/7v9E=")</f>
        <v>#VALUE!</v>
      </c>
      <c r="HC39" t="e">
        <f>AND(Plan1!E1421,"AAAAAC/7v9I=")</f>
        <v>#VALUE!</v>
      </c>
      <c r="HD39" t="e">
        <f>AND(Plan1!F1421,"AAAAAC/7v9M=")</f>
        <v>#VALUE!</v>
      </c>
      <c r="HE39">
        <f>IF(Plan1!1422:1422,"AAAAAC/7v9Q=",0)</f>
        <v>0</v>
      </c>
      <c r="HF39" t="e">
        <f>AND(Plan1!A1422,"AAAAAC/7v9U=")</f>
        <v>#VALUE!</v>
      </c>
      <c r="HG39" t="e">
        <f>AND(Plan1!B1422,"AAAAAC/7v9Y=")</f>
        <v>#VALUE!</v>
      </c>
      <c r="HH39" t="e">
        <f>AND(Plan1!C1422,"AAAAAC/7v9c=")</f>
        <v>#VALUE!</v>
      </c>
      <c r="HI39" t="e">
        <f>AND(Plan1!D1422,"AAAAAC/7v9g=")</f>
        <v>#VALUE!</v>
      </c>
      <c r="HJ39" t="e">
        <f>AND(Plan1!E1422,"AAAAAC/7v9k=")</f>
        <v>#VALUE!</v>
      </c>
      <c r="HK39" t="e">
        <f>AND(Plan1!F1422,"AAAAAC/7v9o=")</f>
        <v>#VALUE!</v>
      </c>
      <c r="HL39">
        <f>IF(Plan1!1423:1423,"AAAAAC/7v9s=",0)</f>
        <v>0</v>
      </c>
      <c r="HM39" t="e">
        <f>AND(Plan1!A1423,"AAAAAC/7v9w=")</f>
        <v>#VALUE!</v>
      </c>
      <c r="HN39" t="e">
        <f>AND(Plan1!B1423,"AAAAAC/7v90=")</f>
        <v>#VALUE!</v>
      </c>
      <c r="HO39" t="e">
        <f>AND(Plan1!C1423,"AAAAAC/7v94=")</f>
        <v>#VALUE!</v>
      </c>
      <c r="HP39" t="e">
        <f>AND(Plan1!D1423,"AAAAAC/7v98=")</f>
        <v>#VALUE!</v>
      </c>
      <c r="HQ39" t="e">
        <f>AND(Plan1!E1423,"AAAAAC/7v+A=")</f>
        <v>#VALUE!</v>
      </c>
      <c r="HR39" t="e">
        <f>AND(Plan1!F1423,"AAAAAC/7v+E=")</f>
        <v>#VALUE!</v>
      </c>
      <c r="HS39">
        <f>IF(Plan1!1424:1424,"AAAAAC/7v+I=",0)</f>
        <v>0</v>
      </c>
      <c r="HT39" t="e">
        <f>AND(Plan1!A1424,"AAAAAC/7v+M=")</f>
        <v>#VALUE!</v>
      </c>
      <c r="HU39" t="e">
        <f>AND(Plan1!B1424,"AAAAAC/7v+Q=")</f>
        <v>#VALUE!</v>
      </c>
      <c r="HV39" t="e">
        <f>AND(Plan1!C1424,"AAAAAC/7v+U=")</f>
        <v>#VALUE!</v>
      </c>
      <c r="HW39" t="e">
        <f>AND(Plan1!D1424,"AAAAAC/7v+Y=")</f>
        <v>#VALUE!</v>
      </c>
      <c r="HX39" t="e">
        <f>AND(Plan1!E1424,"AAAAAC/7v+c=")</f>
        <v>#VALUE!</v>
      </c>
      <c r="HY39" t="e">
        <f>AND(Plan1!F1424,"AAAAAC/7v+g=")</f>
        <v>#VALUE!</v>
      </c>
      <c r="HZ39">
        <f>IF(Plan1!1425:1425,"AAAAAC/7v+k=",0)</f>
        <v>0</v>
      </c>
      <c r="IA39" t="e">
        <f>AND(Plan1!A1425,"AAAAAC/7v+o=")</f>
        <v>#VALUE!</v>
      </c>
      <c r="IB39" t="e">
        <f>AND(Plan1!B1425,"AAAAAC/7v+s=")</f>
        <v>#VALUE!</v>
      </c>
      <c r="IC39" t="e">
        <f>AND(Plan1!C1425,"AAAAAC/7v+w=")</f>
        <v>#VALUE!</v>
      </c>
      <c r="ID39" t="e">
        <f>AND(Plan1!D1425,"AAAAAC/7v+0=")</f>
        <v>#VALUE!</v>
      </c>
      <c r="IE39" t="e">
        <f>AND(Plan1!E1425,"AAAAAC/7v+4=")</f>
        <v>#VALUE!</v>
      </c>
      <c r="IF39" t="e">
        <f>AND(Plan1!F1425,"AAAAAC/7v+8=")</f>
        <v>#VALUE!</v>
      </c>
      <c r="IG39">
        <f>IF(Plan1!1426:1426,"AAAAAC/7v/A=",0)</f>
        <v>0</v>
      </c>
      <c r="IH39" t="e">
        <f>AND(Plan1!A1426,"AAAAAC/7v/E=")</f>
        <v>#VALUE!</v>
      </c>
      <c r="II39" t="e">
        <f>AND(Plan1!B1426,"AAAAAC/7v/I=")</f>
        <v>#VALUE!</v>
      </c>
      <c r="IJ39" t="e">
        <f>AND(Plan1!C1426,"AAAAAC/7v/M=")</f>
        <v>#VALUE!</v>
      </c>
      <c r="IK39" t="e">
        <f>AND(Plan1!D1426,"AAAAAC/7v/Q=")</f>
        <v>#VALUE!</v>
      </c>
      <c r="IL39" t="e">
        <f>AND(Plan1!E1426,"AAAAAC/7v/U=")</f>
        <v>#VALUE!</v>
      </c>
      <c r="IM39" t="e">
        <f>AND(Plan1!F1426,"AAAAAC/7v/Y=")</f>
        <v>#VALUE!</v>
      </c>
      <c r="IN39">
        <f>IF(Plan1!1427:1427,"AAAAAC/7v/c=",0)</f>
        <v>0</v>
      </c>
      <c r="IO39" t="e">
        <f>AND(Plan1!A1427,"AAAAAC/7v/g=")</f>
        <v>#VALUE!</v>
      </c>
      <c r="IP39" t="e">
        <f>AND(Plan1!B1427,"AAAAAC/7v/k=")</f>
        <v>#VALUE!</v>
      </c>
      <c r="IQ39" t="e">
        <f>AND(Plan1!C1427,"AAAAAC/7v/o=")</f>
        <v>#VALUE!</v>
      </c>
      <c r="IR39" t="e">
        <f>AND(Plan1!D1427,"AAAAAC/7v/s=")</f>
        <v>#VALUE!</v>
      </c>
      <c r="IS39" t="e">
        <f>AND(Plan1!E1427,"AAAAAC/7v/w=")</f>
        <v>#VALUE!</v>
      </c>
      <c r="IT39" t="e">
        <f>AND(Plan1!F1427,"AAAAAC/7v/0=")</f>
        <v>#VALUE!</v>
      </c>
      <c r="IU39">
        <f>IF(Plan1!1428:1428,"AAAAAC/7v/4=",0)</f>
        <v>0</v>
      </c>
      <c r="IV39" t="e">
        <f>AND(Plan1!A1428,"AAAAAC/7v/8=")</f>
        <v>#VALUE!</v>
      </c>
    </row>
    <row r="40" spans="1:256">
      <c r="A40" t="e">
        <f>AND(Plan1!B1428,"AAAAAB9f/QA=")</f>
        <v>#VALUE!</v>
      </c>
      <c r="B40" t="e">
        <f>AND(Plan1!C1428,"AAAAAB9f/QE=")</f>
        <v>#VALUE!</v>
      </c>
      <c r="C40" t="e">
        <f>AND(Plan1!D1428,"AAAAAB9f/QI=")</f>
        <v>#VALUE!</v>
      </c>
      <c r="D40" t="e">
        <f>AND(Plan1!E1428,"AAAAAB9f/QM=")</f>
        <v>#VALUE!</v>
      </c>
      <c r="E40" t="e">
        <f>AND(Plan1!F1428,"AAAAAB9f/QQ=")</f>
        <v>#VALUE!</v>
      </c>
      <c r="F40" t="e">
        <f>IF(Plan1!1429:1429,"AAAAAB9f/QU=",0)</f>
        <v>#VALUE!</v>
      </c>
      <c r="G40" t="e">
        <f>AND(Plan1!A1429,"AAAAAB9f/QY=")</f>
        <v>#VALUE!</v>
      </c>
      <c r="H40" t="e">
        <f>AND(Plan1!B1429,"AAAAAB9f/Qc=")</f>
        <v>#VALUE!</v>
      </c>
      <c r="I40" t="e">
        <f>AND(Plan1!C1429,"AAAAAB9f/Qg=")</f>
        <v>#VALUE!</v>
      </c>
      <c r="J40" t="e">
        <f>AND(Plan1!D1429,"AAAAAB9f/Qk=")</f>
        <v>#VALUE!</v>
      </c>
      <c r="K40" t="e">
        <f>AND(Plan1!E1429,"AAAAAB9f/Qo=")</f>
        <v>#VALUE!</v>
      </c>
      <c r="L40" t="e">
        <f>AND(Plan1!F1429,"AAAAAB9f/Qs=")</f>
        <v>#VALUE!</v>
      </c>
      <c r="M40">
        <f>IF(Plan1!1430:1430,"AAAAAB9f/Qw=",0)</f>
        <v>0</v>
      </c>
      <c r="N40" t="e">
        <f>AND(Plan1!A1430,"AAAAAB9f/Q0=")</f>
        <v>#VALUE!</v>
      </c>
      <c r="O40" t="e">
        <f>AND(Plan1!B1430,"AAAAAB9f/Q4=")</f>
        <v>#VALUE!</v>
      </c>
      <c r="P40" t="e">
        <f>AND(Plan1!C1430,"AAAAAB9f/Q8=")</f>
        <v>#VALUE!</v>
      </c>
      <c r="Q40" t="e">
        <f>AND(Plan1!D1430,"AAAAAB9f/RA=")</f>
        <v>#VALUE!</v>
      </c>
      <c r="R40" t="e">
        <f>AND(Plan1!E1430,"AAAAAB9f/RE=")</f>
        <v>#VALUE!</v>
      </c>
      <c r="S40" t="e">
        <f>AND(Plan1!F1430,"AAAAAB9f/RI=")</f>
        <v>#VALUE!</v>
      </c>
      <c r="T40">
        <f>IF(Plan1!1431:1431,"AAAAAB9f/RM=",0)</f>
        <v>0</v>
      </c>
      <c r="U40" t="e">
        <f>AND(Plan1!A1431,"AAAAAB9f/RQ=")</f>
        <v>#VALUE!</v>
      </c>
      <c r="V40" t="e">
        <f>AND(Plan1!B1431,"AAAAAB9f/RU=")</f>
        <v>#VALUE!</v>
      </c>
      <c r="W40" t="e">
        <f>AND(Plan1!C1431,"AAAAAB9f/RY=")</f>
        <v>#VALUE!</v>
      </c>
      <c r="X40" t="e">
        <f>AND(Plan1!D1431,"AAAAAB9f/Rc=")</f>
        <v>#VALUE!</v>
      </c>
      <c r="Y40" t="e">
        <f>AND(Plan1!E1431,"AAAAAB9f/Rg=")</f>
        <v>#VALUE!</v>
      </c>
      <c r="Z40" t="e">
        <f>AND(Plan1!F1431,"AAAAAB9f/Rk=")</f>
        <v>#VALUE!</v>
      </c>
      <c r="AA40">
        <f>IF(Plan1!1432:1432,"AAAAAB9f/Ro=",0)</f>
        <v>0</v>
      </c>
      <c r="AB40" t="e">
        <f>AND(Plan1!A1432,"AAAAAB9f/Rs=")</f>
        <v>#VALUE!</v>
      </c>
      <c r="AC40" t="e">
        <f>AND(Plan1!B1432,"AAAAAB9f/Rw=")</f>
        <v>#VALUE!</v>
      </c>
      <c r="AD40" t="e">
        <f>AND(Plan1!C1432,"AAAAAB9f/R0=")</f>
        <v>#VALUE!</v>
      </c>
      <c r="AE40" t="e">
        <f>AND(Plan1!D1432,"AAAAAB9f/R4=")</f>
        <v>#VALUE!</v>
      </c>
      <c r="AF40" t="e">
        <f>AND(Plan1!E1432,"AAAAAB9f/R8=")</f>
        <v>#VALUE!</v>
      </c>
      <c r="AG40" t="e">
        <f>AND(Plan1!F1432,"AAAAAB9f/SA=")</f>
        <v>#VALUE!</v>
      </c>
      <c r="AH40">
        <f>IF(Plan1!1433:1433,"AAAAAB9f/SE=",0)</f>
        <v>0</v>
      </c>
      <c r="AI40" t="e">
        <f>AND(Plan1!A1433,"AAAAAB9f/SI=")</f>
        <v>#VALUE!</v>
      </c>
      <c r="AJ40" t="e">
        <f>AND(Plan1!B1433,"AAAAAB9f/SM=")</f>
        <v>#VALUE!</v>
      </c>
      <c r="AK40" t="e">
        <f>AND(Plan1!C1433,"AAAAAB9f/SQ=")</f>
        <v>#VALUE!</v>
      </c>
      <c r="AL40" t="e">
        <f>AND(Plan1!D1433,"AAAAAB9f/SU=")</f>
        <v>#VALUE!</v>
      </c>
      <c r="AM40" t="e">
        <f>AND(Plan1!E1433,"AAAAAB9f/SY=")</f>
        <v>#VALUE!</v>
      </c>
      <c r="AN40" t="e">
        <f>AND(Plan1!F1433,"AAAAAB9f/Sc=")</f>
        <v>#VALUE!</v>
      </c>
      <c r="AO40">
        <f>IF(Plan1!1434:1434,"AAAAAB9f/Sg=",0)</f>
        <v>0</v>
      </c>
      <c r="AP40" t="e">
        <f>AND(Plan1!A1434,"AAAAAB9f/Sk=")</f>
        <v>#VALUE!</v>
      </c>
      <c r="AQ40" t="e">
        <f>AND(Plan1!B1434,"AAAAAB9f/So=")</f>
        <v>#VALUE!</v>
      </c>
      <c r="AR40" t="e">
        <f>AND(Plan1!C1434,"AAAAAB9f/Ss=")</f>
        <v>#VALUE!</v>
      </c>
      <c r="AS40" t="e">
        <f>AND(Plan1!D1434,"AAAAAB9f/Sw=")</f>
        <v>#VALUE!</v>
      </c>
      <c r="AT40" t="e">
        <f>AND(Plan1!E1434,"AAAAAB9f/S0=")</f>
        <v>#VALUE!</v>
      </c>
      <c r="AU40" t="e">
        <f>AND(Plan1!F1434,"AAAAAB9f/S4=")</f>
        <v>#VALUE!</v>
      </c>
      <c r="AV40">
        <f>IF(Plan1!1435:1435,"AAAAAB9f/S8=",0)</f>
        <v>0</v>
      </c>
      <c r="AW40" t="e">
        <f>AND(Plan1!A1435,"AAAAAB9f/TA=")</f>
        <v>#VALUE!</v>
      </c>
      <c r="AX40" t="e">
        <f>AND(Plan1!B1435,"AAAAAB9f/TE=")</f>
        <v>#VALUE!</v>
      </c>
      <c r="AY40" t="e">
        <f>AND(Plan1!C1435,"AAAAAB9f/TI=")</f>
        <v>#VALUE!</v>
      </c>
      <c r="AZ40" t="e">
        <f>AND(Plan1!D1435,"AAAAAB9f/TM=")</f>
        <v>#VALUE!</v>
      </c>
      <c r="BA40" t="e">
        <f>AND(Plan1!E1435,"AAAAAB9f/TQ=")</f>
        <v>#VALUE!</v>
      </c>
      <c r="BB40" t="e">
        <f>AND(Plan1!F1435,"AAAAAB9f/TU=")</f>
        <v>#VALUE!</v>
      </c>
      <c r="BC40">
        <f>IF(Plan1!1436:1436,"AAAAAB9f/TY=",0)</f>
        <v>0</v>
      </c>
      <c r="BD40" t="e">
        <f>AND(Plan1!A1436,"AAAAAB9f/Tc=")</f>
        <v>#VALUE!</v>
      </c>
      <c r="BE40" t="e">
        <f>AND(Plan1!B1436,"AAAAAB9f/Tg=")</f>
        <v>#VALUE!</v>
      </c>
      <c r="BF40" t="e">
        <f>AND(Plan1!C1436,"AAAAAB9f/Tk=")</f>
        <v>#VALUE!</v>
      </c>
      <c r="BG40" t="e">
        <f>AND(Plan1!D1436,"AAAAAB9f/To=")</f>
        <v>#VALUE!</v>
      </c>
      <c r="BH40" t="e">
        <f>AND(Plan1!E1436,"AAAAAB9f/Ts=")</f>
        <v>#VALUE!</v>
      </c>
      <c r="BI40" t="e">
        <f>AND(Plan1!F1436,"AAAAAB9f/Tw=")</f>
        <v>#VALUE!</v>
      </c>
      <c r="BJ40">
        <f>IF(Plan1!1437:1437,"AAAAAB9f/T0=",0)</f>
        <v>0</v>
      </c>
      <c r="BK40" t="e">
        <f>AND(Plan1!A1437,"AAAAAB9f/T4=")</f>
        <v>#VALUE!</v>
      </c>
      <c r="BL40" t="e">
        <f>AND(Plan1!B1437,"AAAAAB9f/T8=")</f>
        <v>#VALUE!</v>
      </c>
      <c r="BM40" t="e">
        <f>AND(Plan1!C1437,"AAAAAB9f/UA=")</f>
        <v>#VALUE!</v>
      </c>
      <c r="BN40" t="e">
        <f>AND(Plan1!D1437,"AAAAAB9f/UE=")</f>
        <v>#VALUE!</v>
      </c>
      <c r="BO40" t="e">
        <f>AND(Plan1!E1437,"AAAAAB9f/UI=")</f>
        <v>#VALUE!</v>
      </c>
      <c r="BP40" t="e">
        <f>AND(Plan1!F1437,"AAAAAB9f/UM=")</f>
        <v>#VALUE!</v>
      </c>
      <c r="BQ40">
        <f>IF(Plan1!1438:1438,"AAAAAB9f/UQ=",0)</f>
        <v>0</v>
      </c>
      <c r="BR40" t="e">
        <f>AND(Plan1!A1438,"AAAAAB9f/UU=")</f>
        <v>#VALUE!</v>
      </c>
      <c r="BS40" t="e">
        <f>AND(Plan1!B1438,"AAAAAB9f/UY=")</f>
        <v>#VALUE!</v>
      </c>
      <c r="BT40" t="e">
        <f>AND(Plan1!C1438,"AAAAAB9f/Uc=")</f>
        <v>#VALUE!</v>
      </c>
      <c r="BU40" t="e">
        <f>AND(Plan1!D1438,"AAAAAB9f/Ug=")</f>
        <v>#VALUE!</v>
      </c>
      <c r="BV40" t="e">
        <f>AND(Plan1!E1438,"AAAAAB9f/Uk=")</f>
        <v>#VALUE!</v>
      </c>
      <c r="BW40" t="e">
        <f>AND(Plan1!F1438,"AAAAAB9f/Uo=")</f>
        <v>#VALUE!</v>
      </c>
      <c r="BX40">
        <f>IF(Plan1!1439:1439,"AAAAAB9f/Us=",0)</f>
        <v>0</v>
      </c>
      <c r="BY40" t="e">
        <f>AND(Plan1!A1439,"AAAAAB9f/Uw=")</f>
        <v>#VALUE!</v>
      </c>
      <c r="BZ40" t="e">
        <f>AND(Plan1!B1439,"AAAAAB9f/U0=")</f>
        <v>#VALUE!</v>
      </c>
      <c r="CA40" t="e">
        <f>AND(Plan1!C1439,"AAAAAB9f/U4=")</f>
        <v>#VALUE!</v>
      </c>
      <c r="CB40" t="e">
        <f>AND(Plan1!D1439,"AAAAAB9f/U8=")</f>
        <v>#VALUE!</v>
      </c>
      <c r="CC40" t="e">
        <f>AND(Plan1!E1439,"AAAAAB9f/VA=")</f>
        <v>#VALUE!</v>
      </c>
      <c r="CD40" t="e">
        <f>AND(Plan1!F1439,"AAAAAB9f/VE=")</f>
        <v>#VALUE!</v>
      </c>
      <c r="CE40">
        <f>IF(Plan1!1440:1440,"AAAAAB9f/VI=",0)</f>
        <v>0</v>
      </c>
      <c r="CF40" t="e">
        <f>AND(Plan1!A1440,"AAAAAB9f/VM=")</f>
        <v>#VALUE!</v>
      </c>
      <c r="CG40" t="e">
        <f>AND(Plan1!B1440,"AAAAAB9f/VQ=")</f>
        <v>#VALUE!</v>
      </c>
      <c r="CH40" t="e">
        <f>AND(Plan1!C1440,"AAAAAB9f/VU=")</f>
        <v>#VALUE!</v>
      </c>
      <c r="CI40" t="e">
        <f>AND(Plan1!D1440,"AAAAAB9f/VY=")</f>
        <v>#VALUE!</v>
      </c>
      <c r="CJ40" t="e">
        <f>AND(Plan1!E1440,"AAAAAB9f/Vc=")</f>
        <v>#VALUE!</v>
      </c>
      <c r="CK40" t="e">
        <f>AND(Plan1!F1440,"AAAAAB9f/Vg=")</f>
        <v>#VALUE!</v>
      </c>
      <c r="CL40">
        <f>IF(Plan1!1441:1441,"AAAAAB9f/Vk=",0)</f>
        <v>0</v>
      </c>
      <c r="CM40" t="e">
        <f>AND(Plan1!A1441,"AAAAAB9f/Vo=")</f>
        <v>#VALUE!</v>
      </c>
      <c r="CN40" t="e">
        <f>AND(Plan1!B1441,"AAAAAB9f/Vs=")</f>
        <v>#VALUE!</v>
      </c>
      <c r="CO40" t="e">
        <f>AND(Plan1!C1441,"AAAAAB9f/Vw=")</f>
        <v>#VALUE!</v>
      </c>
      <c r="CP40" t="e">
        <f>AND(Plan1!D1441,"AAAAAB9f/V0=")</f>
        <v>#VALUE!</v>
      </c>
      <c r="CQ40" t="e">
        <f>AND(Plan1!E1441,"AAAAAB9f/V4=")</f>
        <v>#VALUE!</v>
      </c>
      <c r="CR40" t="e">
        <f>AND(Plan1!F1441,"AAAAAB9f/V8=")</f>
        <v>#VALUE!</v>
      </c>
      <c r="CS40">
        <f>IF(Plan1!1442:1442,"AAAAAB9f/WA=",0)</f>
        <v>0</v>
      </c>
      <c r="CT40" t="e">
        <f>AND(Plan1!A1442,"AAAAAB9f/WE=")</f>
        <v>#VALUE!</v>
      </c>
      <c r="CU40" t="e">
        <f>AND(Plan1!B1442,"AAAAAB9f/WI=")</f>
        <v>#VALUE!</v>
      </c>
      <c r="CV40" t="e">
        <f>AND(Plan1!C1442,"AAAAAB9f/WM=")</f>
        <v>#VALUE!</v>
      </c>
      <c r="CW40" t="e">
        <f>AND(Plan1!D1442,"AAAAAB9f/WQ=")</f>
        <v>#VALUE!</v>
      </c>
      <c r="CX40" t="e">
        <f>AND(Plan1!E1442,"AAAAAB9f/WU=")</f>
        <v>#VALUE!</v>
      </c>
      <c r="CY40" t="e">
        <f>AND(Plan1!F1442,"AAAAAB9f/WY=")</f>
        <v>#VALUE!</v>
      </c>
      <c r="CZ40">
        <f>IF(Plan1!1443:1443,"AAAAAB9f/Wc=",0)</f>
        <v>0</v>
      </c>
      <c r="DA40" t="e">
        <f>AND(Plan1!A1443,"AAAAAB9f/Wg=")</f>
        <v>#VALUE!</v>
      </c>
      <c r="DB40" t="e">
        <f>AND(Plan1!B1443,"AAAAAB9f/Wk=")</f>
        <v>#VALUE!</v>
      </c>
      <c r="DC40" t="e">
        <f>AND(Plan1!C1443,"AAAAAB9f/Wo=")</f>
        <v>#VALUE!</v>
      </c>
      <c r="DD40" t="e">
        <f>AND(Plan1!D1443,"AAAAAB9f/Ws=")</f>
        <v>#VALUE!</v>
      </c>
      <c r="DE40" t="e">
        <f>AND(Plan1!E1443,"AAAAAB9f/Ww=")</f>
        <v>#VALUE!</v>
      </c>
      <c r="DF40" t="e">
        <f>AND(Plan1!F1443,"AAAAAB9f/W0=")</f>
        <v>#VALUE!</v>
      </c>
      <c r="DG40">
        <f>IF(Plan1!1444:1444,"AAAAAB9f/W4=",0)</f>
        <v>0</v>
      </c>
      <c r="DH40" t="e">
        <f>AND(Plan1!A1444,"AAAAAB9f/W8=")</f>
        <v>#VALUE!</v>
      </c>
      <c r="DI40" t="e">
        <f>AND(Plan1!B1444,"AAAAAB9f/XA=")</f>
        <v>#VALUE!</v>
      </c>
      <c r="DJ40" t="e">
        <f>AND(Plan1!C1444,"AAAAAB9f/XE=")</f>
        <v>#VALUE!</v>
      </c>
      <c r="DK40" t="e">
        <f>AND(Plan1!D1444,"AAAAAB9f/XI=")</f>
        <v>#VALUE!</v>
      </c>
      <c r="DL40" t="e">
        <f>AND(Plan1!E1444,"AAAAAB9f/XM=")</f>
        <v>#VALUE!</v>
      </c>
      <c r="DM40" t="e">
        <f>AND(Plan1!F1444,"AAAAAB9f/XQ=")</f>
        <v>#VALUE!</v>
      </c>
      <c r="DN40">
        <f>IF(Plan1!1445:1445,"AAAAAB9f/XU=",0)</f>
        <v>0</v>
      </c>
      <c r="DO40" t="e">
        <f>AND(Plan1!A1445,"AAAAAB9f/XY=")</f>
        <v>#VALUE!</v>
      </c>
      <c r="DP40" t="e">
        <f>AND(Plan1!B1445,"AAAAAB9f/Xc=")</f>
        <v>#VALUE!</v>
      </c>
      <c r="DQ40" t="e">
        <f>AND(Plan1!C1445,"AAAAAB9f/Xg=")</f>
        <v>#VALUE!</v>
      </c>
      <c r="DR40" t="e">
        <f>AND(Plan1!D1445,"AAAAAB9f/Xk=")</f>
        <v>#VALUE!</v>
      </c>
      <c r="DS40" t="e">
        <f>AND(Plan1!E1445,"AAAAAB9f/Xo=")</f>
        <v>#VALUE!</v>
      </c>
      <c r="DT40" t="e">
        <f>AND(Plan1!F1445,"AAAAAB9f/Xs=")</f>
        <v>#VALUE!</v>
      </c>
      <c r="DU40">
        <f>IF(Plan1!1446:1446,"AAAAAB9f/Xw=",0)</f>
        <v>0</v>
      </c>
      <c r="DV40" t="e">
        <f>AND(Plan1!A1446,"AAAAAB9f/X0=")</f>
        <v>#VALUE!</v>
      </c>
      <c r="DW40" t="e">
        <f>AND(Plan1!B1446,"AAAAAB9f/X4=")</f>
        <v>#VALUE!</v>
      </c>
      <c r="DX40" t="e">
        <f>AND(Plan1!C1446,"AAAAAB9f/X8=")</f>
        <v>#VALUE!</v>
      </c>
      <c r="DY40" t="e">
        <f>AND(Plan1!D1446,"AAAAAB9f/YA=")</f>
        <v>#VALUE!</v>
      </c>
      <c r="DZ40" t="e">
        <f>AND(Plan1!E1446,"AAAAAB9f/YE=")</f>
        <v>#VALUE!</v>
      </c>
      <c r="EA40" t="e">
        <f>AND(Plan1!F1446,"AAAAAB9f/YI=")</f>
        <v>#VALUE!</v>
      </c>
      <c r="EB40">
        <f>IF(Plan1!1447:1447,"AAAAAB9f/YM=",0)</f>
        <v>0</v>
      </c>
      <c r="EC40" t="e">
        <f>AND(Plan1!A1447,"AAAAAB9f/YQ=")</f>
        <v>#VALUE!</v>
      </c>
      <c r="ED40" t="e">
        <f>AND(Plan1!B1447,"AAAAAB9f/YU=")</f>
        <v>#VALUE!</v>
      </c>
      <c r="EE40" t="e">
        <f>AND(Plan1!C1447,"AAAAAB9f/YY=")</f>
        <v>#VALUE!</v>
      </c>
      <c r="EF40" t="e">
        <f>AND(Plan1!D1447,"AAAAAB9f/Yc=")</f>
        <v>#VALUE!</v>
      </c>
      <c r="EG40" t="e">
        <f>AND(Plan1!E1447,"AAAAAB9f/Yg=")</f>
        <v>#VALUE!</v>
      </c>
      <c r="EH40" t="e">
        <f>AND(Plan1!F1447,"AAAAAB9f/Yk=")</f>
        <v>#VALUE!</v>
      </c>
      <c r="EI40">
        <f>IF(Plan1!1448:1448,"AAAAAB9f/Yo=",0)</f>
        <v>0</v>
      </c>
      <c r="EJ40" t="e">
        <f>AND(Plan1!A1448,"AAAAAB9f/Ys=")</f>
        <v>#VALUE!</v>
      </c>
      <c r="EK40" t="e">
        <f>AND(Plan1!B1448,"AAAAAB9f/Yw=")</f>
        <v>#VALUE!</v>
      </c>
      <c r="EL40" t="e">
        <f>AND(Plan1!C1448,"AAAAAB9f/Y0=")</f>
        <v>#VALUE!</v>
      </c>
      <c r="EM40" t="e">
        <f>AND(Plan1!D1448,"AAAAAB9f/Y4=")</f>
        <v>#VALUE!</v>
      </c>
      <c r="EN40" t="e">
        <f>AND(Plan1!E1448,"AAAAAB9f/Y8=")</f>
        <v>#VALUE!</v>
      </c>
      <c r="EO40" t="e">
        <f>AND(Plan1!F1448,"AAAAAB9f/ZA=")</f>
        <v>#VALUE!</v>
      </c>
      <c r="EP40">
        <f>IF(Plan1!1449:1449,"AAAAAB9f/ZE=",0)</f>
        <v>0</v>
      </c>
      <c r="EQ40" t="e">
        <f>AND(Plan1!A1449,"AAAAAB9f/ZI=")</f>
        <v>#VALUE!</v>
      </c>
      <c r="ER40" t="e">
        <f>AND(Plan1!B1449,"AAAAAB9f/ZM=")</f>
        <v>#VALUE!</v>
      </c>
      <c r="ES40" t="e">
        <f>AND(Plan1!C1449,"AAAAAB9f/ZQ=")</f>
        <v>#VALUE!</v>
      </c>
      <c r="ET40" t="e">
        <f>AND(Plan1!D1449,"AAAAAB9f/ZU=")</f>
        <v>#VALUE!</v>
      </c>
      <c r="EU40" t="e">
        <f>AND(Plan1!E1449,"AAAAAB9f/ZY=")</f>
        <v>#VALUE!</v>
      </c>
      <c r="EV40" t="e">
        <f>AND(Plan1!F1449,"AAAAAB9f/Zc=")</f>
        <v>#VALUE!</v>
      </c>
      <c r="EW40">
        <f>IF(Plan1!1450:1450,"AAAAAB9f/Zg=",0)</f>
        <v>0</v>
      </c>
      <c r="EX40" t="e">
        <f>AND(Plan1!A1450,"AAAAAB9f/Zk=")</f>
        <v>#VALUE!</v>
      </c>
      <c r="EY40" t="e">
        <f>AND(Plan1!B1450,"AAAAAB9f/Zo=")</f>
        <v>#VALUE!</v>
      </c>
      <c r="EZ40" t="e">
        <f>AND(Plan1!C1450,"AAAAAB9f/Zs=")</f>
        <v>#VALUE!</v>
      </c>
      <c r="FA40" t="e">
        <f>AND(Plan1!D1450,"AAAAAB9f/Zw=")</f>
        <v>#VALUE!</v>
      </c>
      <c r="FB40" t="e">
        <f>AND(Plan1!E1450,"AAAAAB9f/Z0=")</f>
        <v>#VALUE!</v>
      </c>
      <c r="FC40" t="e">
        <f>AND(Plan1!F1450,"AAAAAB9f/Z4=")</f>
        <v>#VALUE!</v>
      </c>
      <c r="FD40">
        <f>IF(Plan1!1451:1451,"AAAAAB9f/Z8=",0)</f>
        <v>0</v>
      </c>
      <c r="FE40" t="e">
        <f>AND(Plan1!A1451,"AAAAAB9f/aA=")</f>
        <v>#VALUE!</v>
      </c>
      <c r="FF40" t="e">
        <f>AND(Plan1!B1451,"AAAAAB9f/aE=")</f>
        <v>#VALUE!</v>
      </c>
      <c r="FG40" t="e">
        <f>AND(Plan1!C1451,"AAAAAB9f/aI=")</f>
        <v>#VALUE!</v>
      </c>
      <c r="FH40" t="e">
        <f>AND(Plan1!D1451,"AAAAAB9f/aM=")</f>
        <v>#VALUE!</v>
      </c>
      <c r="FI40" t="e">
        <f>AND(Plan1!E1451,"AAAAAB9f/aQ=")</f>
        <v>#VALUE!</v>
      </c>
      <c r="FJ40" t="e">
        <f>AND(Plan1!F1451,"AAAAAB9f/aU=")</f>
        <v>#VALUE!</v>
      </c>
      <c r="FK40">
        <f>IF(Plan1!1452:1452,"AAAAAB9f/aY=",0)</f>
        <v>0</v>
      </c>
      <c r="FL40" t="e">
        <f>AND(Plan1!A1452,"AAAAAB9f/ac=")</f>
        <v>#VALUE!</v>
      </c>
      <c r="FM40" t="e">
        <f>AND(Plan1!B1452,"AAAAAB9f/ag=")</f>
        <v>#VALUE!</v>
      </c>
      <c r="FN40" t="e">
        <f>AND(Plan1!C1452,"AAAAAB9f/ak=")</f>
        <v>#VALUE!</v>
      </c>
      <c r="FO40" t="e">
        <f>AND(Plan1!D1452,"AAAAAB9f/ao=")</f>
        <v>#VALUE!</v>
      </c>
      <c r="FP40" t="e">
        <f>AND(Plan1!E1452,"AAAAAB9f/as=")</f>
        <v>#VALUE!</v>
      </c>
      <c r="FQ40" t="e">
        <f>AND(Plan1!F1452,"AAAAAB9f/aw=")</f>
        <v>#VALUE!</v>
      </c>
      <c r="FR40">
        <f>IF(Plan1!1453:1453,"AAAAAB9f/a0=",0)</f>
        <v>0</v>
      </c>
      <c r="FS40" t="e">
        <f>AND(Plan1!A1453,"AAAAAB9f/a4=")</f>
        <v>#VALUE!</v>
      </c>
      <c r="FT40" t="e">
        <f>AND(Plan1!B1453,"AAAAAB9f/a8=")</f>
        <v>#VALUE!</v>
      </c>
      <c r="FU40" t="e">
        <f>AND(Plan1!C1453,"AAAAAB9f/bA=")</f>
        <v>#VALUE!</v>
      </c>
      <c r="FV40" t="e">
        <f>AND(Plan1!D1453,"AAAAAB9f/bE=")</f>
        <v>#VALUE!</v>
      </c>
      <c r="FW40" t="e">
        <f>AND(Plan1!E1453,"AAAAAB9f/bI=")</f>
        <v>#VALUE!</v>
      </c>
      <c r="FX40" t="e">
        <f>AND(Plan1!F1453,"AAAAAB9f/bM=")</f>
        <v>#VALUE!</v>
      </c>
      <c r="FY40">
        <f>IF(Plan1!1454:1454,"AAAAAB9f/bQ=",0)</f>
        <v>0</v>
      </c>
      <c r="FZ40" t="e">
        <f>AND(Plan1!A1454,"AAAAAB9f/bU=")</f>
        <v>#VALUE!</v>
      </c>
      <c r="GA40" t="e">
        <f>AND(Plan1!B1454,"AAAAAB9f/bY=")</f>
        <v>#VALUE!</v>
      </c>
      <c r="GB40" t="e">
        <f>AND(Plan1!C1454,"AAAAAB9f/bc=")</f>
        <v>#VALUE!</v>
      </c>
      <c r="GC40" t="e">
        <f>AND(Plan1!D1454,"AAAAAB9f/bg=")</f>
        <v>#VALUE!</v>
      </c>
      <c r="GD40" t="e">
        <f>AND(Plan1!E1454,"AAAAAB9f/bk=")</f>
        <v>#VALUE!</v>
      </c>
      <c r="GE40" t="e">
        <f>AND(Plan1!F1454,"AAAAAB9f/bo=")</f>
        <v>#VALUE!</v>
      </c>
      <c r="GF40">
        <f>IF(Plan1!1455:1455,"AAAAAB9f/bs=",0)</f>
        <v>0</v>
      </c>
      <c r="GG40" t="e">
        <f>AND(Plan1!A1455,"AAAAAB9f/bw=")</f>
        <v>#VALUE!</v>
      </c>
      <c r="GH40" t="e">
        <f>AND(Plan1!B1455,"AAAAAB9f/b0=")</f>
        <v>#VALUE!</v>
      </c>
      <c r="GI40" t="e">
        <f>AND(Plan1!C1455,"AAAAAB9f/b4=")</f>
        <v>#VALUE!</v>
      </c>
      <c r="GJ40" t="e">
        <f>AND(Plan1!D1455,"AAAAAB9f/b8=")</f>
        <v>#VALUE!</v>
      </c>
      <c r="GK40" t="e">
        <f>AND(Plan1!E1455,"AAAAAB9f/cA=")</f>
        <v>#VALUE!</v>
      </c>
      <c r="GL40" t="e">
        <f>AND(Plan1!F1455,"AAAAAB9f/cE=")</f>
        <v>#VALUE!</v>
      </c>
      <c r="GM40">
        <f>IF(Plan1!1456:1456,"AAAAAB9f/cI=",0)</f>
        <v>0</v>
      </c>
      <c r="GN40" t="e">
        <f>AND(Plan1!A1456,"AAAAAB9f/cM=")</f>
        <v>#VALUE!</v>
      </c>
      <c r="GO40" t="e">
        <f>AND(Plan1!B1456,"AAAAAB9f/cQ=")</f>
        <v>#VALUE!</v>
      </c>
      <c r="GP40" t="e">
        <f>AND(Plan1!C1456,"AAAAAB9f/cU=")</f>
        <v>#VALUE!</v>
      </c>
      <c r="GQ40" t="e">
        <f>AND(Plan1!D1456,"AAAAAB9f/cY=")</f>
        <v>#VALUE!</v>
      </c>
      <c r="GR40" t="e">
        <f>AND(Plan1!E1456,"AAAAAB9f/cc=")</f>
        <v>#VALUE!</v>
      </c>
      <c r="GS40" t="e">
        <f>AND(Plan1!F1456,"AAAAAB9f/cg=")</f>
        <v>#VALUE!</v>
      </c>
      <c r="GT40">
        <f>IF(Plan1!1457:1457,"AAAAAB9f/ck=",0)</f>
        <v>0</v>
      </c>
      <c r="GU40" t="e">
        <f>AND(Plan1!A1457,"AAAAAB9f/co=")</f>
        <v>#VALUE!</v>
      </c>
      <c r="GV40" t="e">
        <f>AND(Plan1!B1457,"AAAAAB9f/cs=")</f>
        <v>#VALUE!</v>
      </c>
      <c r="GW40" t="e">
        <f>AND(Plan1!C1457,"AAAAAB9f/cw=")</f>
        <v>#VALUE!</v>
      </c>
      <c r="GX40" t="e">
        <f>AND(Plan1!D1457,"AAAAAB9f/c0=")</f>
        <v>#VALUE!</v>
      </c>
      <c r="GY40" t="e">
        <f>AND(Plan1!E1457,"AAAAAB9f/c4=")</f>
        <v>#VALUE!</v>
      </c>
      <c r="GZ40" t="e">
        <f>AND(Plan1!F1457,"AAAAAB9f/c8=")</f>
        <v>#VALUE!</v>
      </c>
      <c r="HA40">
        <f>IF(Plan1!1458:1458,"AAAAAB9f/dA=",0)</f>
        <v>0</v>
      </c>
      <c r="HB40" t="e">
        <f>AND(Plan1!A1458,"AAAAAB9f/dE=")</f>
        <v>#VALUE!</v>
      </c>
      <c r="HC40" t="e">
        <f>AND(Plan1!B1458,"AAAAAB9f/dI=")</f>
        <v>#VALUE!</v>
      </c>
      <c r="HD40" t="e">
        <f>AND(Plan1!C1458,"AAAAAB9f/dM=")</f>
        <v>#VALUE!</v>
      </c>
      <c r="HE40" t="e">
        <f>AND(Plan1!D1458,"AAAAAB9f/dQ=")</f>
        <v>#VALUE!</v>
      </c>
      <c r="HF40" t="e">
        <f>AND(Plan1!E1458,"AAAAAB9f/dU=")</f>
        <v>#VALUE!</v>
      </c>
      <c r="HG40" t="e">
        <f>AND(Plan1!F1458,"AAAAAB9f/dY=")</f>
        <v>#VALUE!</v>
      </c>
      <c r="HH40">
        <f>IF(Plan1!1459:1459,"AAAAAB9f/dc=",0)</f>
        <v>0</v>
      </c>
      <c r="HI40" t="e">
        <f>AND(Plan1!A1459,"AAAAAB9f/dg=")</f>
        <v>#VALUE!</v>
      </c>
      <c r="HJ40" t="e">
        <f>AND(Plan1!B1459,"AAAAAB9f/dk=")</f>
        <v>#VALUE!</v>
      </c>
      <c r="HK40" t="e">
        <f>AND(Plan1!C1459,"AAAAAB9f/do=")</f>
        <v>#VALUE!</v>
      </c>
      <c r="HL40" t="e">
        <f>AND(Plan1!D1459,"AAAAAB9f/ds=")</f>
        <v>#VALUE!</v>
      </c>
      <c r="HM40" t="e">
        <f>AND(Plan1!E1459,"AAAAAB9f/dw=")</f>
        <v>#VALUE!</v>
      </c>
      <c r="HN40" t="e">
        <f>AND(Plan1!F1459,"AAAAAB9f/d0=")</f>
        <v>#VALUE!</v>
      </c>
      <c r="HO40">
        <f>IF(Plan1!1460:1460,"AAAAAB9f/d4=",0)</f>
        <v>0</v>
      </c>
      <c r="HP40" t="e">
        <f>AND(Plan1!A1460,"AAAAAB9f/d8=")</f>
        <v>#VALUE!</v>
      </c>
      <c r="HQ40" t="e">
        <f>AND(Plan1!B1460,"AAAAAB9f/eA=")</f>
        <v>#VALUE!</v>
      </c>
      <c r="HR40" t="e">
        <f>AND(Plan1!C1460,"AAAAAB9f/eE=")</f>
        <v>#VALUE!</v>
      </c>
      <c r="HS40" t="e">
        <f>AND(Plan1!D1460,"AAAAAB9f/eI=")</f>
        <v>#VALUE!</v>
      </c>
      <c r="HT40" t="e">
        <f>AND(Plan1!E1460,"AAAAAB9f/eM=")</f>
        <v>#VALUE!</v>
      </c>
      <c r="HU40" t="e">
        <f>AND(Plan1!F1460,"AAAAAB9f/eQ=")</f>
        <v>#VALUE!</v>
      </c>
      <c r="HV40">
        <f>IF(Plan1!1461:1461,"AAAAAB9f/eU=",0)</f>
        <v>0</v>
      </c>
      <c r="HW40" t="e">
        <f>AND(Plan1!A1461,"AAAAAB9f/eY=")</f>
        <v>#VALUE!</v>
      </c>
      <c r="HX40" t="e">
        <f>AND(Plan1!B1461,"AAAAAB9f/ec=")</f>
        <v>#VALUE!</v>
      </c>
      <c r="HY40" t="e">
        <f>AND(Plan1!C1461,"AAAAAB9f/eg=")</f>
        <v>#VALUE!</v>
      </c>
      <c r="HZ40" t="e">
        <f>AND(Plan1!D1461,"AAAAAB9f/ek=")</f>
        <v>#VALUE!</v>
      </c>
      <c r="IA40" t="e">
        <f>AND(Plan1!E1461,"AAAAAB9f/eo=")</f>
        <v>#VALUE!</v>
      </c>
      <c r="IB40" t="e">
        <f>AND(Plan1!F1461,"AAAAAB9f/es=")</f>
        <v>#VALUE!</v>
      </c>
      <c r="IC40">
        <f>IF(Plan1!1462:1462,"AAAAAB9f/ew=",0)</f>
        <v>0</v>
      </c>
      <c r="ID40" t="e">
        <f>AND(Plan1!A1462,"AAAAAB9f/e0=")</f>
        <v>#VALUE!</v>
      </c>
      <c r="IE40" t="e">
        <f>AND(Plan1!B1462,"AAAAAB9f/e4=")</f>
        <v>#VALUE!</v>
      </c>
      <c r="IF40" t="e">
        <f>AND(Plan1!C1462,"AAAAAB9f/e8=")</f>
        <v>#VALUE!</v>
      </c>
      <c r="IG40" t="e">
        <f>AND(Plan1!D1462,"AAAAAB9f/fA=")</f>
        <v>#VALUE!</v>
      </c>
      <c r="IH40" t="e">
        <f>AND(Plan1!E1462,"AAAAAB9f/fE=")</f>
        <v>#VALUE!</v>
      </c>
      <c r="II40" t="e">
        <f>AND(Plan1!F1462,"AAAAAB9f/fI=")</f>
        <v>#VALUE!</v>
      </c>
      <c r="IJ40">
        <f>IF(Plan1!1463:1463,"AAAAAB9f/fM=",0)</f>
        <v>0</v>
      </c>
      <c r="IK40" t="e">
        <f>AND(Plan1!A1463,"AAAAAB9f/fQ=")</f>
        <v>#VALUE!</v>
      </c>
      <c r="IL40" t="e">
        <f>AND(Plan1!B1463,"AAAAAB9f/fU=")</f>
        <v>#VALUE!</v>
      </c>
      <c r="IM40" t="e">
        <f>AND(Plan1!C1463,"AAAAAB9f/fY=")</f>
        <v>#VALUE!</v>
      </c>
      <c r="IN40" t="e">
        <f>AND(Plan1!D1463,"AAAAAB9f/fc=")</f>
        <v>#VALUE!</v>
      </c>
      <c r="IO40" t="e">
        <f>AND(Plan1!E1463,"AAAAAB9f/fg=")</f>
        <v>#VALUE!</v>
      </c>
      <c r="IP40" t="e">
        <f>AND(Plan1!F1463,"AAAAAB9f/fk=")</f>
        <v>#VALUE!</v>
      </c>
      <c r="IQ40">
        <f>IF(Plan1!1464:1464,"AAAAAB9f/fo=",0)</f>
        <v>0</v>
      </c>
      <c r="IR40" t="e">
        <f>AND(Plan1!A1464,"AAAAAB9f/fs=")</f>
        <v>#VALUE!</v>
      </c>
      <c r="IS40" t="e">
        <f>AND(Plan1!B1464,"AAAAAB9f/fw=")</f>
        <v>#VALUE!</v>
      </c>
      <c r="IT40" t="e">
        <f>AND(Plan1!C1464,"AAAAAB9f/f0=")</f>
        <v>#VALUE!</v>
      </c>
      <c r="IU40" t="e">
        <f>AND(Plan1!D1464,"AAAAAB9f/f4=")</f>
        <v>#VALUE!</v>
      </c>
      <c r="IV40" t="e">
        <f>AND(Plan1!E1464,"AAAAAB9f/f8=")</f>
        <v>#VALUE!</v>
      </c>
    </row>
    <row r="41" spans="1:256">
      <c r="A41" t="e">
        <f>AND(Plan1!F1464,"AAAAAD/33gA=")</f>
        <v>#VALUE!</v>
      </c>
      <c r="B41" t="e">
        <f>IF(Plan1!1465:1465,"AAAAAD/33gE=",0)</f>
        <v>#VALUE!</v>
      </c>
      <c r="C41" t="e">
        <f>AND(Plan1!A1465,"AAAAAD/33gI=")</f>
        <v>#VALUE!</v>
      </c>
      <c r="D41" t="e">
        <f>AND(Plan1!B1465,"AAAAAD/33gM=")</f>
        <v>#VALUE!</v>
      </c>
      <c r="E41" t="e">
        <f>AND(Plan1!C1465,"AAAAAD/33gQ=")</f>
        <v>#VALUE!</v>
      </c>
      <c r="F41" t="e">
        <f>AND(Plan1!D1465,"AAAAAD/33gU=")</f>
        <v>#VALUE!</v>
      </c>
      <c r="G41" t="e">
        <f>AND(Plan1!E1465,"AAAAAD/33gY=")</f>
        <v>#VALUE!</v>
      </c>
      <c r="H41" t="e">
        <f>AND(Plan1!F1465,"AAAAAD/33gc=")</f>
        <v>#VALUE!</v>
      </c>
      <c r="I41">
        <f>IF(Plan1!1466:1466,"AAAAAD/33gg=",0)</f>
        <v>0</v>
      </c>
      <c r="J41" t="e">
        <f>AND(Plan1!A1466,"AAAAAD/33gk=")</f>
        <v>#VALUE!</v>
      </c>
      <c r="K41" t="e">
        <f>AND(Plan1!B1466,"AAAAAD/33go=")</f>
        <v>#VALUE!</v>
      </c>
      <c r="L41" t="e">
        <f>AND(Plan1!C1466,"AAAAAD/33gs=")</f>
        <v>#VALUE!</v>
      </c>
      <c r="M41" t="e">
        <f>AND(Plan1!D1466,"AAAAAD/33gw=")</f>
        <v>#VALUE!</v>
      </c>
      <c r="N41" t="e">
        <f>AND(Plan1!E1466,"AAAAAD/33g0=")</f>
        <v>#VALUE!</v>
      </c>
      <c r="O41" t="e">
        <f>AND(Plan1!F1466,"AAAAAD/33g4=")</f>
        <v>#VALUE!</v>
      </c>
      <c r="P41">
        <f>IF(Plan1!1467:1467,"AAAAAD/33g8=",0)</f>
        <v>0</v>
      </c>
      <c r="Q41" t="e">
        <f>AND(Plan1!A1467,"AAAAAD/33hA=")</f>
        <v>#VALUE!</v>
      </c>
      <c r="R41" t="e">
        <f>AND(Plan1!B1467,"AAAAAD/33hE=")</f>
        <v>#VALUE!</v>
      </c>
      <c r="S41" t="e">
        <f>AND(Plan1!C1467,"AAAAAD/33hI=")</f>
        <v>#VALUE!</v>
      </c>
      <c r="T41" t="e">
        <f>AND(Plan1!D1467,"AAAAAD/33hM=")</f>
        <v>#VALUE!</v>
      </c>
      <c r="U41" t="e">
        <f>AND(Plan1!E1467,"AAAAAD/33hQ=")</f>
        <v>#VALUE!</v>
      </c>
      <c r="V41" t="e">
        <f>AND(Plan1!F1467,"AAAAAD/33hU=")</f>
        <v>#VALUE!</v>
      </c>
      <c r="W41">
        <f>IF(Plan1!1468:1468,"AAAAAD/33hY=",0)</f>
        <v>0</v>
      </c>
      <c r="X41" t="e">
        <f>AND(Plan1!A1468,"AAAAAD/33hc=")</f>
        <v>#VALUE!</v>
      </c>
      <c r="Y41" t="e">
        <f>AND(Plan1!B1468,"AAAAAD/33hg=")</f>
        <v>#VALUE!</v>
      </c>
      <c r="Z41" t="e">
        <f>AND(Plan1!C1468,"AAAAAD/33hk=")</f>
        <v>#VALUE!</v>
      </c>
      <c r="AA41" t="e">
        <f>AND(Plan1!D1468,"AAAAAD/33ho=")</f>
        <v>#VALUE!</v>
      </c>
      <c r="AB41" t="e">
        <f>AND(Plan1!E1468,"AAAAAD/33hs=")</f>
        <v>#VALUE!</v>
      </c>
      <c r="AC41" t="e">
        <f>AND(Plan1!F1468,"AAAAAD/33hw=")</f>
        <v>#VALUE!</v>
      </c>
      <c r="AD41">
        <f>IF(Plan1!1469:1469,"AAAAAD/33h0=",0)</f>
        <v>0</v>
      </c>
      <c r="AE41" t="e">
        <f>AND(Plan1!A1469,"AAAAAD/33h4=")</f>
        <v>#VALUE!</v>
      </c>
      <c r="AF41" t="e">
        <f>AND(Plan1!B1469,"AAAAAD/33h8=")</f>
        <v>#VALUE!</v>
      </c>
      <c r="AG41" t="e">
        <f>AND(Plan1!C1469,"AAAAAD/33iA=")</f>
        <v>#VALUE!</v>
      </c>
      <c r="AH41" t="e">
        <f>AND(Plan1!D1469,"AAAAAD/33iE=")</f>
        <v>#VALUE!</v>
      </c>
      <c r="AI41" t="e">
        <f>AND(Plan1!E1469,"AAAAAD/33iI=")</f>
        <v>#VALUE!</v>
      </c>
      <c r="AJ41" t="e">
        <f>AND(Plan1!F1469,"AAAAAD/33iM=")</f>
        <v>#VALUE!</v>
      </c>
      <c r="AK41">
        <f>IF(Plan1!1470:1470,"AAAAAD/33iQ=",0)</f>
        <v>0</v>
      </c>
      <c r="AL41" t="e">
        <f>AND(Plan1!A1470,"AAAAAD/33iU=")</f>
        <v>#VALUE!</v>
      </c>
      <c r="AM41" t="e">
        <f>AND(Plan1!B1470,"AAAAAD/33iY=")</f>
        <v>#VALUE!</v>
      </c>
      <c r="AN41" t="e">
        <f>AND(Plan1!C1470,"AAAAAD/33ic=")</f>
        <v>#VALUE!</v>
      </c>
      <c r="AO41" t="e">
        <f>AND(Plan1!D1470,"AAAAAD/33ig=")</f>
        <v>#VALUE!</v>
      </c>
      <c r="AP41" t="e">
        <f>AND(Plan1!E1470,"AAAAAD/33ik=")</f>
        <v>#VALUE!</v>
      </c>
      <c r="AQ41" t="e">
        <f>AND(Plan1!F1470,"AAAAAD/33io=")</f>
        <v>#VALUE!</v>
      </c>
      <c r="AR41">
        <f>IF(Plan1!1471:1471,"AAAAAD/33is=",0)</f>
        <v>0</v>
      </c>
      <c r="AS41" t="e">
        <f>AND(Plan1!A1471,"AAAAAD/33iw=")</f>
        <v>#VALUE!</v>
      </c>
      <c r="AT41" t="e">
        <f>AND(Plan1!B1471,"AAAAAD/33i0=")</f>
        <v>#VALUE!</v>
      </c>
      <c r="AU41" t="e">
        <f>AND(Plan1!C1471,"AAAAAD/33i4=")</f>
        <v>#VALUE!</v>
      </c>
      <c r="AV41" t="e">
        <f>AND(Plan1!D1471,"AAAAAD/33i8=")</f>
        <v>#VALUE!</v>
      </c>
      <c r="AW41" t="e">
        <f>AND(Plan1!E1471,"AAAAAD/33jA=")</f>
        <v>#VALUE!</v>
      </c>
      <c r="AX41" t="e">
        <f>AND(Plan1!F1471,"AAAAAD/33jE=")</f>
        <v>#VALUE!</v>
      </c>
      <c r="AY41">
        <f>IF(Plan1!1472:1472,"AAAAAD/33jI=",0)</f>
        <v>0</v>
      </c>
      <c r="AZ41" t="e">
        <f>AND(Plan1!A1472,"AAAAAD/33jM=")</f>
        <v>#VALUE!</v>
      </c>
      <c r="BA41" t="e">
        <f>AND(Plan1!B1472,"AAAAAD/33jQ=")</f>
        <v>#VALUE!</v>
      </c>
      <c r="BB41" t="e">
        <f>AND(Plan1!C1472,"AAAAAD/33jU=")</f>
        <v>#VALUE!</v>
      </c>
      <c r="BC41" t="e">
        <f>AND(Plan1!D1472,"AAAAAD/33jY=")</f>
        <v>#VALUE!</v>
      </c>
      <c r="BD41" t="e">
        <f>AND(Plan1!E1472,"AAAAAD/33jc=")</f>
        <v>#VALUE!</v>
      </c>
      <c r="BE41" t="e">
        <f>AND(Plan1!F1472,"AAAAAD/33jg=")</f>
        <v>#VALUE!</v>
      </c>
      <c r="BF41">
        <f>IF(Plan1!1473:1473,"AAAAAD/33jk=",0)</f>
        <v>0</v>
      </c>
      <c r="BG41" t="e">
        <f>AND(Plan1!A1473,"AAAAAD/33jo=")</f>
        <v>#VALUE!</v>
      </c>
      <c r="BH41" t="e">
        <f>AND(Plan1!B1473,"AAAAAD/33js=")</f>
        <v>#VALUE!</v>
      </c>
      <c r="BI41" t="e">
        <f>AND(Plan1!C1473,"AAAAAD/33jw=")</f>
        <v>#VALUE!</v>
      </c>
      <c r="BJ41" t="e">
        <f>AND(Plan1!D1473,"AAAAAD/33j0=")</f>
        <v>#VALUE!</v>
      </c>
      <c r="BK41" t="e">
        <f>AND(Plan1!E1473,"AAAAAD/33j4=")</f>
        <v>#VALUE!</v>
      </c>
      <c r="BL41" t="e">
        <f>AND(Plan1!F1473,"AAAAAD/33j8=")</f>
        <v>#VALUE!</v>
      </c>
      <c r="BM41">
        <f>IF(Plan1!1474:1474,"AAAAAD/33kA=",0)</f>
        <v>0</v>
      </c>
      <c r="BN41" t="e">
        <f>AND(Plan1!A1474,"AAAAAD/33kE=")</f>
        <v>#VALUE!</v>
      </c>
      <c r="BO41" t="e">
        <f>AND(Plan1!B1474,"AAAAAD/33kI=")</f>
        <v>#VALUE!</v>
      </c>
      <c r="BP41" t="e">
        <f>AND(Plan1!C1474,"AAAAAD/33kM=")</f>
        <v>#VALUE!</v>
      </c>
      <c r="BQ41" t="e">
        <f>AND(Plan1!D1474,"AAAAAD/33kQ=")</f>
        <v>#VALUE!</v>
      </c>
      <c r="BR41" t="e">
        <f>AND(Plan1!E1474,"AAAAAD/33kU=")</f>
        <v>#VALUE!</v>
      </c>
      <c r="BS41" t="e">
        <f>AND(Plan1!F1474,"AAAAAD/33kY=")</f>
        <v>#VALUE!</v>
      </c>
      <c r="BT41">
        <f>IF(Plan1!1475:1475,"AAAAAD/33kc=",0)</f>
        <v>0</v>
      </c>
      <c r="BU41" t="e">
        <f>AND(Plan1!A1475,"AAAAAD/33kg=")</f>
        <v>#VALUE!</v>
      </c>
      <c r="BV41" t="e">
        <f>AND(Plan1!B1475,"AAAAAD/33kk=")</f>
        <v>#VALUE!</v>
      </c>
      <c r="BW41" t="e">
        <f>AND(Plan1!C1475,"AAAAAD/33ko=")</f>
        <v>#VALUE!</v>
      </c>
      <c r="BX41" t="e">
        <f>AND(Plan1!D1475,"AAAAAD/33ks=")</f>
        <v>#VALUE!</v>
      </c>
      <c r="BY41" t="e">
        <f>AND(Plan1!E1475,"AAAAAD/33kw=")</f>
        <v>#VALUE!</v>
      </c>
      <c r="BZ41" t="e">
        <f>AND(Plan1!F1475,"AAAAAD/33k0=")</f>
        <v>#VALUE!</v>
      </c>
      <c r="CA41">
        <f>IF(Plan1!1476:1476,"AAAAAD/33k4=",0)</f>
        <v>0</v>
      </c>
      <c r="CB41" t="e">
        <f>AND(Plan1!A1476,"AAAAAD/33k8=")</f>
        <v>#VALUE!</v>
      </c>
      <c r="CC41" t="e">
        <f>AND(Plan1!B1476,"AAAAAD/33lA=")</f>
        <v>#VALUE!</v>
      </c>
      <c r="CD41" t="e">
        <f>AND(Plan1!C1476,"AAAAAD/33lE=")</f>
        <v>#VALUE!</v>
      </c>
      <c r="CE41" t="e">
        <f>AND(Plan1!D1476,"AAAAAD/33lI=")</f>
        <v>#VALUE!</v>
      </c>
      <c r="CF41" t="e">
        <f>AND(Plan1!E1476,"AAAAAD/33lM=")</f>
        <v>#VALUE!</v>
      </c>
      <c r="CG41" t="e">
        <f>AND(Plan1!F1476,"AAAAAD/33lQ=")</f>
        <v>#VALUE!</v>
      </c>
      <c r="CH41">
        <f>IF(Plan1!1477:1477,"AAAAAD/33lU=",0)</f>
        <v>0</v>
      </c>
      <c r="CI41" t="e">
        <f>AND(Plan1!A1477,"AAAAAD/33lY=")</f>
        <v>#VALUE!</v>
      </c>
      <c r="CJ41" t="e">
        <f>AND(Plan1!B1477,"AAAAAD/33lc=")</f>
        <v>#VALUE!</v>
      </c>
      <c r="CK41" t="e">
        <f>AND(Plan1!C1477,"AAAAAD/33lg=")</f>
        <v>#VALUE!</v>
      </c>
      <c r="CL41" t="e">
        <f>AND(Plan1!D1477,"AAAAAD/33lk=")</f>
        <v>#VALUE!</v>
      </c>
      <c r="CM41" t="e">
        <f>AND(Plan1!E1477,"AAAAAD/33lo=")</f>
        <v>#VALUE!</v>
      </c>
      <c r="CN41" t="e">
        <f>AND(Plan1!F1477,"AAAAAD/33ls=")</f>
        <v>#VALUE!</v>
      </c>
      <c r="CO41">
        <f>IF(Plan1!1478:1478,"AAAAAD/33lw=",0)</f>
        <v>0</v>
      </c>
      <c r="CP41" t="e">
        <f>AND(Plan1!A1478,"AAAAAD/33l0=")</f>
        <v>#VALUE!</v>
      </c>
      <c r="CQ41" t="e">
        <f>AND(Plan1!B1478,"AAAAAD/33l4=")</f>
        <v>#VALUE!</v>
      </c>
      <c r="CR41" t="e">
        <f>AND(Plan1!C1478,"AAAAAD/33l8=")</f>
        <v>#VALUE!</v>
      </c>
      <c r="CS41" t="e">
        <f>AND(Plan1!D1478,"AAAAAD/33mA=")</f>
        <v>#VALUE!</v>
      </c>
      <c r="CT41" t="e">
        <f>AND(Plan1!E1478,"AAAAAD/33mE=")</f>
        <v>#VALUE!</v>
      </c>
      <c r="CU41" t="e">
        <f>AND(Plan1!F1478,"AAAAAD/33mI=")</f>
        <v>#VALUE!</v>
      </c>
      <c r="CV41">
        <f>IF(Plan1!1479:1479,"AAAAAD/33mM=",0)</f>
        <v>0</v>
      </c>
      <c r="CW41" t="e">
        <f>AND(Plan1!A1479,"AAAAAD/33mQ=")</f>
        <v>#VALUE!</v>
      </c>
      <c r="CX41" t="e">
        <f>AND(Plan1!B1479,"AAAAAD/33mU=")</f>
        <v>#VALUE!</v>
      </c>
      <c r="CY41" t="e">
        <f>AND(Plan1!C1479,"AAAAAD/33mY=")</f>
        <v>#VALUE!</v>
      </c>
      <c r="CZ41" t="e">
        <f>AND(Plan1!D1479,"AAAAAD/33mc=")</f>
        <v>#VALUE!</v>
      </c>
      <c r="DA41" t="e">
        <f>AND(Plan1!E1479,"AAAAAD/33mg=")</f>
        <v>#VALUE!</v>
      </c>
      <c r="DB41" t="e">
        <f>AND(Plan1!F1479,"AAAAAD/33mk=")</f>
        <v>#VALUE!</v>
      </c>
      <c r="DC41">
        <f>IF(Plan1!1480:1480,"AAAAAD/33mo=",0)</f>
        <v>0</v>
      </c>
      <c r="DD41" t="e">
        <f>AND(Plan1!A1480,"AAAAAD/33ms=")</f>
        <v>#VALUE!</v>
      </c>
      <c r="DE41" t="e">
        <f>AND(Plan1!B1480,"AAAAAD/33mw=")</f>
        <v>#VALUE!</v>
      </c>
      <c r="DF41" t="e">
        <f>AND(Plan1!C1480,"AAAAAD/33m0=")</f>
        <v>#VALUE!</v>
      </c>
      <c r="DG41" t="e">
        <f>AND(Plan1!D1480,"AAAAAD/33m4=")</f>
        <v>#VALUE!</v>
      </c>
      <c r="DH41" t="e">
        <f>AND(Plan1!E1480,"AAAAAD/33m8=")</f>
        <v>#VALUE!</v>
      </c>
      <c r="DI41" t="e">
        <f>AND(Plan1!F1480,"AAAAAD/33nA=")</f>
        <v>#VALUE!</v>
      </c>
      <c r="DJ41">
        <f>IF(Plan1!1481:1481,"AAAAAD/33nE=",0)</f>
        <v>0</v>
      </c>
      <c r="DK41" t="e">
        <f>AND(Plan1!A1481,"AAAAAD/33nI=")</f>
        <v>#VALUE!</v>
      </c>
      <c r="DL41" t="e">
        <f>AND(Plan1!B1481,"AAAAAD/33nM=")</f>
        <v>#VALUE!</v>
      </c>
      <c r="DM41" t="e">
        <f>AND(Plan1!C1481,"AAAAAD/33nQ=")</f>
        <v>#VALUE!</v>
      </c>
      <c r="DN41" t="e">
        <f>AND(Plan1!D1481,"AAAAAD/33nU=")</f>
        <v>#VALUE!</v>
      </c>
      <c r="DO41" t="e">
        <f>AND(Plan1!E1481,"AAAAAD/33nY=")</f>
        <v>#VALUE!</v>
      </c>
      <c r="DP41" t="e">
        <f>AND(Plan1!F1481,"AAAAAD/33nc=")</f>
        <v>#VALUE!</v>
      </c>
      <c r="DQ41">
        <f>IF(Plan1!1482:1482,"AAAAAD/33ng=",0)</f>
        <v>0</v>
      </c>
      <c r="DR41" t="e">
        <f>AND(Plan1!A1482,"AAAAAD/33nk=")</f>
        <v>#VALUE!</v>
      </c>
      <c r="DS41" t="e">
        <f>AND(Plan1!B1482,"AAAAAD/33no=")</f>
        <v>#VALUE!</v>
      </c>
      <c r="DT41" t="e">
        <f>AND(Plan1!C1482,"AAAAAD/33ns=")</f>
        <v>#VALUE!</v>
      </c>
      <c r="DU41" t="e">
        <f>AND(Plan1!D1482,"AAAAAD/33nw=")</f>
        <v>#VALUE!</v>
      </c>
      <c r="DV41" t="e">
        <f>AND(Plan1!E1482,"AAAAAD/33n0=")</f>
        <v>#VALUE!</v>
      </c>
      <c r="DW41" t="e">
        <f>AND(Plan1!F1482,"AAAAAD/33n4=")</f>
        <v>#VALUE!</v>
      </c>
      <c r="DX41">
        <f>IF(Plan1!1483:1483,"AAAAAD/33n8=",0)</f>
        <v>0</v>
      </c>
      <c r="DY41" t="e">
        <f>AND(Plan1!A1483,"AAAAAD/33oA=")</f>
        <v>#VALUE!</v>
      </c>
      <c r="DZ41" t="e">
        <f>AND(Plan1!B1483,"AAAAAD/33oE=")</f>
        <v>#VALUE!</v>
      </c>
      <c r="EA41" t="e">
        <f>AND(Plan1!C1483,"AAAAAD/33oI=")</f>
        <v>#VALUE!</v>
      </c>
      <c r="EB41" t="e">
        <f>AND(Plan1!D1483,"AAAAAD/33oM=")</f>
        <v>#VALUE!</v>
      </c>
      <c r="EC41" t="e">
        <f>AND(Plan1!E1483,"AAAAAD/33oQ=")</f>
        <v>#VALUE!</v>
      </c>
      <c r="ED41" t="e">
        <f>AND(Plan1!F1483,"AAAAAD/33oU=")</f>
        <v>#VALUE!</v>
      </c>
      <c r="EE41">
        <f>IF(Plan1!1484:1484,"AAAAAD/33oY=",0)</f>
        <v>0</v>
      </c>
      <c r="EF41" t="e">
        <f>AND(Plan1!A1484,"AAAAAD/33oc=")</f>
        <v>#VALUE!</v>
      </c>
      <c r="EG41" t="e">
        <f>AND(Plan1!B1484,"AAAAAD/33og=")</f>
        <v>#VALUE!</v>
      </c>
      <c r="EH41" t="e">
        <f>AND(Plan1!C1484,"AAAAAD/33ok=")</f>
        <v>#VALUE!</v>
      </c>
      <c r="EI41" t="e">
        <f>AND(Plan1!D1484,"AAAAAD/33oo=")</f>
        <v>#VALUE!</v>
      </c>
      <c r="EJ41" t="e">
        <f>AND(Plan1!E1484,"AAAAAD/33os=")</f>
        <v>#VALUE!</v>
      </c>
      <c r="EK41" t="e">
        <f>AND(Plan1!F1484,"AAAAAD/33ow=")</f>
        <v>#VALUE!</v>
      </c>
      <c r="EL41">
        <f>IF(Plan1!1485:1485,"AAAAAD/33o0=",0)</f>
        <v>0</v>
      </c>
      <c r="EM41" t="e">
        <f>AND(Plan1!A1485,"AAAAAD/33o4=")</f>
        <v>#VALUE!</v>
      </c>
      <c r="EN41" t="e">
        <f>AND(Plan1!B1485,"AAAAAD/33o8=")</f>
        <v>#VALUE!</v>
      </c>
      <c r="EO41" t="e">
        <f>AND(Plan1!C1485,"AAAAAD/33pA=")</f>
        <v>#VALUE!</v>
      </c>
      <c r="EP41" t="e">
        <f>AND(Plan1!D1485,"AAAAAD/33pE=")</f>
        <v>#VALUE!</v>
      </c>
      <c r="EQ41" t="e">
        <f>AND(Plan1!E1485,"AAAAAD/33pI=")</f>
        <v>#VALUE!</v>
      </c>
      <c r="ER41" t="e">
        <f>AND(Plan1!F1485,"AAAAAD/33pM=")</f>
        <v>#VALUE!</v>
      </c>
      <c r="ES41">
        <f>IF(Plan1!1486:1486,"AAAAAD/33pQ=",0)</f>
        <v>0</v>
      </c>
      <c r="ET41" t="e">
        <f>AND(Plan1!A1486,"AAAAAD/33pU=")</f>
        <v>#VALUE!</v>
      </c>
      <c r="EU41" t="e">
        <f>AND(Plan1!B1486,"AAAAAD/33pY=")</f>
        <v>#VALUE!</v>
      </c>
      <c r="EV41" t="e">
        <f>AND(Plan1!C1486,"AAAAAD/33pc=")</f>
        <v>#VALUE!</v>
      </c>
      <c r="EW41" t="e">
        <f>AND(Plan1!D1486,"AAAAAD/33pg=")</f>
        <v>#VALUE!</v>
      </c>
      <c r="EX41" t="e">
        <f>AND(Plan1!E1486,"AAAAAD/33pk=")</f>
        <v>#VALUE!</v>
      </c>
      <c r="EY41" t="e">
        <f>AND(Plan1!F1486,"AAAAAD/33po=")</f>
        <v>#VALUE!</v>
      </c>
      <c r="EZ41">
        <f>IF(Plan1!1487:1487,"AAAAAD/33ps=",0)</f>
        <v>0</v>
      </c>
      <c r="FA41" t="e">
        <f>AND(Plan1!A1487,"AAAAAD/33pw=")</f>
        <v>#VALUE!</v>
      </c>
      <c r="FB41" t="e">
        <f>AND(Plan1!B1487,"AAAAAD/33p0=")</f>
        <v>#VALUE!</v>
      </c>
      <c r="FC41" t="e">
        <f>AND(Plan1!C1487,"AAAAAD/33p4=")</f>
        <v>#VALUE!</v>
      </c>
      <c r="FD41" t="e">
        <f>AND(Plan1!D1487,"AAAAAD/33p8=")</f>
        <v>#VALUE!</v>
      </c>
      <c r="FE41" t="e">
        <f>AND(Plan1!E1487,"AAAAAD/33qA=")</f>
        <v>#VALUE!</v>
      </c>
      <c r="FF41" t="e">
        <f>AND(Plan1!F1487,"AAAAAD/33qE=")</f>
        <v>#VALUE!</v>
      </c>
      <c r="FG41">
        <f>IF(Plan1!1488:1488,"AAAAAD/33qI=",0)</f>
        <v>0</v>
      </c>
      <c r="FH41" t="e">
        <f>AND(Plan1!A1488,"AAAAAD/33qM=")</f>
        <v>#VALUE!</v>
      </c>
      <c r="FI41" t="e">
        <f>AND(Plan1!B1488,"AAAAAD/33qQ=")</f>
        <v>#VALUE!</v>
      </c>
      <c r="FJ41" t="e">
        <f>AND(Plan1!C1488,"AAAAAD/33qU=")</f>
        <v>#VALUE!</v>
      </c>
      <c r="FK41" t="e">
        <f>AND(Plan1!D1488,"AAAAAD/33qY=")</f>
        <v>#VALUE!</v>
      </c>
      <c r="FL41" t="e">
        <f>AND(Plan1!E1488,"AAAAAD/33qc=")</f>
        <v>#VALUE!</v>
      </c>
      <c r="FM41" t="e">
        <f>AND(Plan1!F1488,"AAAAAD/33qg=")</f>
        <v>#VALUE!</v>
      </c>
      <c r="FN41">
        <f>IF(Plan1!1489:1489,"AAAAAD/33qk=",0)</f>
        <v>0</v>
      </c>
      <c r="FO41" t="e">
        <f>AND(Plan1!A1489,"AAAAAD/33qo=")</f>
        <v>#VALUE!</v>
      </c>
      <c r="FP41" t="e">
        <f>AND(Plan1!B1489,"AAAAAD/33qs=")</f>
        <v>#VALUE!</v>
      </c>
      <c r="FQ41" t="e">
        <f>AND(Plan1!C1489,"AAAAAD/33qw=")</f>
        <v>#VALUE!</v>
      </c>
      <c r="FR41" t="e">
        <f>AND(Plan1!D1489,"AAAAAD/33q0=")</f>
        <v>#VALUE!</v>
      </c>
      <c r="FS41" t="e">
        <f>AND(Plan1!E1489,"AAAAAD/33q4=")</f>
        <v>#VALUE!</v>
      </c>
      <c r="FT41" t="e">
        <f>AND(Plan1!F1489,"AAAAAD/33q8=")</f>
        <v>#VALUE!</v>
      </c>
      <c r="FU41">
        <f>IF(Plan1!1490:1490,"AAAAAD/33rA=",0)</f>
        <v>0</v>
      </c>
      <c r="FV41" t="e">
        <f>AND(Plan1!A1490,"AAAAAD/33rE=")</f>
        <v>#VALUE!</v>
      </c>
      <c r="FW41" t="e">
        <f>AND(Plan1!B1490,"AAAAAD/33rI=")</f>
        <v>#VALUE!</v>
      </c>
      <c r="FX41" t="e">
        <f>AND(Plan1!C1490,"AAAAAD/33rM=")</f>
        <v>#VALUE!</v>
      </c>
      <c r="FY41" t="e">
        <f>AND(Plan1!D1490,"AAAAAD/33rQ=")</f>
        <v>#VALUE!</v>
      </c>
      <c r="FZ41" t="e">
        <f>AND(Plan1!E1490,"AAAAAD/33rU=")</f>
        <v>#VALUE!</v>
      </c>
      <c r="GA41" t="e">
        <f>AND(Plan1!F1490,"AAAAAD/33rY=")</f>
        <v>#VALUE!</v>
      </c>
      <c r="GB41">
        <f>IF(Plan1!1491:1491,"AAAAAD/33rc=",0)</f>
        <v>0</v>
      </c>
      <c r="GC41" t="e">
        <f>AND(Plan1!A1491,"AAAAAD/33rg=")</f>
        <v>#VALUE!</v>
      </c>
      <c r="GD41" t="e">
        <f>AND(Plan1!B1491,"AAAAAD/33rk=")</f>
        <v>#VALUE!</v>
      </c>
      <c r="GE41" t="e">
        <f>AND(Plan1!C1491,"AAAAAD/33ro=")</f>
        <v>#VALUE!</v>
      </c>
      <c r="GF41" t="e">
        <f>AND(Plan1!D1491,"AAAAAD/33rs=")</f>
        <v>#VALUE!</v>
      </c>
      <c r="GG41" t="e">
        <f>AND(Plan1!E1491,"AAAAAD/33rw=")</f>
        <v>#VALUE!</v>
      </c>
      <c r="GH41" t="e">
        <f>AND(Plan1!F1491,"AAAAAD/33r0=")</f>
        <v>#VALUE!</v>
      </c>
      <c r="GI41">
        <f>IF(Plan1!1492:1492,"AAAAAD/33r4=",0)</f>
        <v>0</v>
      </c>
      <c r="GJ41" t="e">
        <f>AND(Plan1!A1492,"AAAAAD/33r8=")</f>
        <v>#VALUE!</v>
      </c>
      <c r="GK41" t="e">
        <f>AND(Plan1!B1492,"AAAAAD/33sA=")</f>
        <v>#VALUE!</v>
      </c>
      <c r="GL41" t="e">
        <f>AND(Plan1!C1492,"AAAAAD/33sE=")</f>
        <v>#VALUE!</v>
      </c>
      <c r="GM41" t="e">
        <f>AND(Plan1!D1492,"AAAAAD/33sI=")</f>
        <v>#VALUE!</v>
      </c>
      <c r="GN41" t="e">
        <f>AND(Plan1!E1492,"AAAAAD/33sM=")</f>
        <v>#VALUE!</v>
      </c>
      <c r="GO41" t="e">
        <f>AND(Plan1!F1492,"AAAAAD/33sQ=")</f>
        <v>#VALUE!</v>
      </c>
      <c r="GP41">
        <f>IF(Plan1!1493:1493,"AAAAAD/33sU=",0)</f>
        <v>0</v>
      </c>
      <c r="GQ41" t="e">
        <f>AND(Plan1!A1493,"AAAAAD/33sY=")</f>
        <v>#VALUE!</v>
      </c>
      <c r="GR41" t="e">
        <f>AND(Plan1!B1493,"AAAAAD/33sc=")</f>
        <v>#VALUE!</v>
      </c>
      <c r="GS41" t="e">
        <f>AND(Plan1!C1493,"AAAAAD/33sg=")</f>
        <v>#VALUE!</v>
      </c>
      <c r="GT41" t="e">
        <f>AND(Plan1!D1493,"AAAAAD/33sk=")</f>
        <v>#VALUE!</v>
      </c>
      <c r="GU41" t="e">
        <f>AND(Plan1!E1493,"AAAAAD/33so=")</f>
        <v>#VALUE!</v>
      </c>
      <c r="GV41" t="e">
        <f>AND(Plan1!F1493,"AAAAAD/33ss=")</f>
        <v>#VALUE!</v>
      </c>
      <c r="GW41">
        <f>IF(Plan1!1494:1494,"AAAAAD/33sw=",0)</f>
        <v>0</v>
      </c>
      <c r="GX41" t="e">
        <f>AND(Plan1!A1494,"AAAAAD/33s0=")</f>
        <v>#VALUE!</v>
      </c>
      <c r="GY41" t="e">
        <f>AND(Plan1!B1494,"AAAAAD/33s4=")</f>
        <v>#VALUE!</v>
      </c>
      <c r="GZ41" t="e">
        <f>AND(Plan1!C1494,"AAAAAD/33s8=")</f>
        <v>#VALUE!</v>
      </c>
      <c r="HA41" t="e">
        <f>AND(Plan1!D1494,"AAAAAD/33tA=")</f>
        <v>#VALUE!</v>
      </c>
      <c r="HB41" t="e">
        <f>AND(Plan1!E1494,"AAAAAD/33tE=")</f>
        <v>#VALUE!</v>
      </c>
      <c r="HC41" t="e">
        <f>AND(Plan1!F1494,"AAAAAD/33tI=")</f>
        <v>#VALUE!</v>
      </c>
      <c r="HD41">
        <f>IF(Plan1!1495:1495,"AAAAAD/33tM=",0)</f>
        <v>0</v>
      </c>
      <c r="HE41" t="e">
        <f>AND(Plan1!A1495,"AAAAAD/33tQ=")</f>
        <v>#VALUE!</v>
      </c>
      <c r="HF41" t="e">
        <f>AND(Plan1!B1495,"AAAAAD/33tU=")</f>
        <v>#VALUE!</v>
      </c>
      <c r="HG41" t="e">
        <f>AND(Plan1!C1495,"AAAAAD/33tY=")</f>
        <v>#VALUE!</v>
      </c>
      <c r="HH41" t="e">
        <f>AND(Plan1!D1495,"AAAAAD/33tc=")</f>
        <v>#VALUE!</v>
      </c>
      <c r="HI41" t="e">
        <f>AND(Plan1!E1495,"AAAAAD/33tg=")</f>
        <v>#VALUE!</v>
      </c>
      <c r="HJ41" t="e">
        <f>AND(Plan1!F1495,"AAAAAD/33tk=")</f>
        <v>#VALUE!</v>
      </c>
      <c r="HK41">
        <f>IF(Plan1!1496:1496,"AAAAAD/33to=",0)</f>
        <v>0</v>
      </c>
      <c r="HL41" t="e">
        <f>AND(Plan1!A1496,"AAAAAD/33ts=")</f>
        <v>#VALUE!</v>
      </c>
      <c r="HM41" t="e">
        <f>AND(Plan1!B1496,"AAAAAD/33tw=")</f>
        <v>#VALUE!</v>
      </c>
      <c r="HN41" t="e">
        <f>AND(Plan1!C1496,"AAAAAD/33t0=")</f>
        <v>#VALUE!</v>
      </c>
      <c r="HO41" t="e">
        <f>AND(Plan1!D1496,"AAAAAD/33t4=")</f>
        <v>#VALUE!</v>
      </c>
      <c r="HP41" t="e">
        <f>AND(Plan1!E1496,"AAAAAD/33t8=")</f>
        <v>#VALUE!</v>
      </c>
      <c r="HQ41" t="e">
        <f>AND(Plan1!F1496,"AAAAAD/33uA=")</f>
        <v>#VALUE!</v>
      </c>
      <c r="HR41">
        <f>IF(Plan1!1497:1497,"AAAAAD/33uE=",0)</f>
        <v>0</v>
      </c>
      <c r="HS41" t="e">
        <f>AND(Plan1!A1497,"AAAAAD/33uI=")</f>
        <v>#VALUE!</v>
      </c>
      <c r="HT41" t="e">
        <f>AND(Plan1!B1497,"AAAAAD/33uM=")</f>
        <v>#VALUE!</v>
      </c>
      <c r="HU41" t="e">
        <f>AND(Plan1!C1497,"AAAAAD/33uQ=")</f>
        <v>#VALUE!</v>
      </c>
      <c r="HV41" t="e">
        <f>AND(Plan1!D1497,"AAAAAD/33uU=")</f>
        <v>#VALUE!</v>
      </c>
      <c r="HW41" t="e">
        <f>AND(Plan1!E1497,"AAAAAD/33uY=")</f>
        <v>#VALUE!</v>
      </c>
      <c r="HX41" t="e">
        <f>AND(Plan1!F1497,"AAAAAD/33uc=")</f>
        <v>#VALUE!</v>
      </c>
      <c r="HY41">
        <f>IF(Plan1!1498:1498,"AAAAAD/33ug=",0)</f>
        <v>0</v>
      </c>
      <c r="HZ41" t="e">
        <f>AND(Plan1!A1498,"AAAAAD/33uk=")</f>
        <v>#VALUE!</v>
      </c>
      <c r="IA41" t="e">
        <f>AND(Plan1!B1498,"AAAAAD/33uo=")</f>
        <v>#VALUE!</v>
      </c>
      <c r="IB41" t="e">
        <f>AND(Plan1!C1498,"AAAAAD/33us=")</f>
        <v>#VALUE!</v>
      </c>
      <c r="IC41" t="e">
        <f>AND(Plan1!D1498,"AAAAAD/33uw=")</f>
        <v>#VALUE!</v>
      </c>
      <c r="ID41" t="e">
        <f>AND(Plan1!E1498,"AAAAAD/33u0=")</f>
        <v>#VALUE!</v>
      </c>
      <c r="IE41" t="e">
        <f>AND(Plan1!F1498,"AAAAAD/33u4=")</f>
        <v>#VALUE!</v>
      </c>
      <c r="IF41">
        <f>IF(Plan1!1499:1499,"AAAAAD/33u8=",0)</f>
        <v>0</v>
      </c>
      <c r="IG41" t="e">
        <f>AND(Plan1!A1499,"AAAAAD/33vA=")</f>
        <v>#VALUE!</v>
      </c>
      <c r="IH41" t="e">
        <f>AND(Plan1!B1499,"AAAAAD/33vE=")</f>
        <v>#VALUE!</v>
      </c>
      <c r="II41" t="e">
        <f>AND(Plan1!C1499,"AAAAAD/33vI=")</f>
        <v>#VALUE!</v>
      </c>
      <c r="IJ41" t="e">
        <f>AND(Plan1!D1499,"AAAAAD/33vM=")</f>
        <v>#VALUE!</v>
      </c>
      <c r="IK41" t="e">
        <f>AND(Plan1!E1499,"AAAAAD/33vQ=")</f>
        <v>#VALUE!</v>
      </c>
      <c r="IL41" t="e">
        <f>AND(Plan1!F1499,"AAAAAD/33vU=")</f>
        <v>#VALUE!</v>
      </c>
      <c r="IM41">
        <f>IF(Plan1!1500:1500,"AAAAAD/33vY=",0)</f>
        <v>0</v>
      </c>
      <c r="IN41" t="e">
        <f>AND(Plan1!A1500,"AAAAAD/33vc=")</f>
        <v>#VALUE!</v>
      </c>
      <c r="IO41" t="e">
        <f>AND(Plan1!B1500,"AAAAAD/33vg=")</f>
        <v>#VALUE!</v>
      </c>
      <c r="IP41" t="e">
        <f>AND(Plan1!C1500,"AAAAAD/33vk=")</f>
        <v>#VALUE!</v>
      </c>
      <c r="IQ41" t="e">
        <f>AND(Plan1!D1500,"AAAAAD/33vo=")</f>
        <v>#VALUE!</v>
      </c>
      <c r="IR41" t="e">
        <f>AND(Plan1!E1500,"AAAAAD/33vs=")</f>
        <v>#VALUE!</v>
      </c>
      <c r="IS41" t="e">
        <f>AND(Plan1!F1500,"AAAAAD/33vw=")</f>
        <v>#VALUE!</v>
      </c>
      <c r="IT41">
        <f>IF(Plan1!1501:1501,"AAAAAD/33v0=",0)</f>
        <v>0</v>
      </c>
      <c r="IU41" t="e">
        <f>AND(Plan1!A1501,"AAAAAD/33v4=")</f>
        <v>#VALUE!</v>
      </c>
      <c r="IV41" t="e">
        <f>AND(Plan1!B1501,"AAAAAD/33v8=")</f>
        <v>#VALUE!</v>
      </c>
    </row>
    <row r="42" spans="1:256">
      <c r="A42" t="e">
        <f>AND(Plan1!C1501,"AAAAAE+rvgA=")</f>
        <v>#VALUE!</v>
      </c>
      <c r="B42" t="e">
        <f>AND(Plan1!D1501,"AAAAAE+rvgE=")</f>
        <v>#VALUE!</v>
      </c>
      <c r="C42" t="e">
        <f>AND(Plan1!E1501,"AAAAAE+rvgI=")</f>
        <v>#VALUE!</v>
      </c>
      <c r="D42" t="e">
        <f>AND(Plan1!F1501,"AAAAAE+rvgM=")</f>
        <v>#VALUE!</v>
      </c>
      <c r="E42" t="e">
        <f>IF(Plan1!1502:1502,"AAAAAE+rvgQ=",0)</f>
        <v>#VALUE!</v>
      </c>
      <c r="F42" t="e">
        <f>AND(Plan1!A1502,"AAAAAE+rvgU=")</f>
        <v>#VALUE!</v>
      </c>
      <c r="G42" t="e">
        <f>AND(Plan1!B1502,"AAAAAE+rvgY=")</f>
        <v>#VALUE!</v>
      </c>
      <c r="H42" t="e">
        <f>AND(Plan1!C1502,"AAAAAE+rvgc=")</f>
        <v>#VALUE!</v>
      </c>
      <c r="I42" t="e">
        <f>AND(Plan1!D1502,"AAAAAE+rvgg=")</f>
        <v>#VALUE!</v>
      </c>
      <c r="J42" t="e">
        <f>AND(Plan1!E1502,"AAAAAE+rvgk=")</f>
        <v>#VALUE!</v>
      </c>
      <c r="K42" t="e">
        <f>AND(Plan1!F1502,"AAAAAE+rvgo=")</f>
        <v>#VALUE!</v>
      </c>
      <c r="L42">
        <f>IF(Plan1!1503:1503,"AAAAAE+rvgs=",0)</f>
        <v>0</v>
      </c>
      <c r="M42" t="e">
        <f>AND(Plan1!A1503,"AAAAAE+rvgw=")</f>
        <v>#VALUE!</v>
      </c>
      <c r="N42" t="e">
        <f>AND(Plan1!B1503,"AAAAAE+rvg0=")</f>
        <v>#VALUE!</v>
      </c>
      <c r="O42" t="e">
        <f>AND(Plan1!C1503,"AAAAAE+rvg4=")</f>
        <v>#VALUE!</v>
      </c>
      <c r="P42" t="e">
        <f>AND(Plan1!D1503,"AAAAAE+rvg8=")</f>
        <v>#VALUE!</v>
      </c>
      <c r="Q42" t="e">
        <f>AND(Plan1!E1503,"AAAAAE+rvhA=")</f>
        <v>#VALUE!</v>
      </c>
      <c r="R42" t="e">
        <f>AND(Plan1!F1503,"AAAAAE+rvhE=")</f>
        <v>#VALUE!</v>
      </c>
      <c r="S42">
        <f>IF(Plan1!1504:1504,"AAAAAE+rvhI=",0)</f>
        <v>0</v>
      </c>
      <c r="T42" t="e">
        <f>AND(Plan1!A1504,"AAAAAE+rvhM=")</f>
        <v>#VALUE!</v>
      </c>
      <c r="U42" t="e">
        <f>AND(Plan1!B1504,"AAAAAE+rvhQ=")</f>
        <v>#VALUE!</v>
      </c>
      <c r="V42" t="e">
        <f>AND(Plan1!C1504,"AAAAAE+rvhU=")</f>
        <v>#VALUE!</v>
      </c>
      <c r="W42" t="e">
        <f>AND(Plan1!D1504,"AAAAAE+rvhY=")</f>
        <v>#VALUE!</v>
      </c>
      <c r="X42" t="e">
        <f>AND(Plan1!E1504,"AAAAAE+rvhc=")</f>
        <v>#VALUE!</v>
      </c>
      <c r="Y42" t="e">
        <f>AND(Plan1!F1504,"AAAAAE+rvhg=")</f>
        <v>#VALUE!</v>
      </c>
      <c r="Z42">
        <f>IF(Plan1!1505:1505,"AAAAAE+rvhk=",0)</f>
        <v>0</v>
      </c>
      <c r="AA42" t="e">
        <f>AND(Plan1!A1505,"AAAAAE+rvho=")</f>
        <v>#VALUE!</v>
      </c>
      <c r="AB42" t="e">
        <f>AND(Plan1!B1505,"AAAAAE+rvhs=")</f>
        <v>#VALUE!</v>
      </c>
      <c r="AC42" t="e">
        <f>AND(Plan1!C1505,"AAAAAE+rvhw=")</f>
        <v>#VALUE!</v>
      </c>
      <c r="AD42" t="e">
        <f>AND(Plan1!D1505,"AAAAAE+rvh0=")</f>
        <v>#VALUE!</v>
      </c>
      <c r="AE42" t="e">
        <f>AND(Plan1!E1505,"AAAAAE+rvh4=")</f>
        <v>#VALUE!</v>
      </c>
      <c r="AF42" t="e">
        <f>AND(Plan1!F1505,"AAAAAE+rvh8=")</f>
        <v>#VALUE!</v>
      </c>
      <c r="AG42">
        <f>IF(Plan1!1506:1506,"AAAAAE+rviA=",0)</f>
        <v>0</v>
      </c>
      <c r="AH42" t="e">
        <f>AND(Plan1!A1506,"AAAAAE+rviE=")</f>
        <v>#VALUE!</v>
      </c>
      <c r="AI42" t="e">
        <f>AND(Plan1!B1506,"AAAAAE+rviI=")</f>
        <v>#VALUE!</v>
      </c>
      <c r="AJ42" t="e">
        <f>AND(Plan1!C1506,"AAAAAE+rviM=")</f>
        <v>#VALUE!</v>
      </c>
      <c r="AK42" t="e">
        <f>AND(Plan1!D1506,"AAAAAE+rviQ=")</f>
        <v>#VALUE!</v>
      </c>
      <c r="AL42" t="e">
        <f>AND(Plan1!E1506,"AAAAAE+rviU=")</f>
        <v>#VALUE!</v>
      </c>
      <c r="AM42" t="e">
        <f>AND(Plan1!F1506,"AAAAAE+rviY=")</f>
        <v>#VALUE!</v>
      </c>
      <c r="AN42">
        <f>IF(Plan1!1507:1507,"AAAAAE+rvic=",0)</f>
        <v>0</v>
      </c>
      <c r="AO42" t="e">
        <f>AND(Plan1!A1507,"AAAAAE+rvig=")</f>
        <v>#VALUE!</v>
      </c>
      <c r="AP42" t="e">
        <f>AND(Plan1!B1507,"AAAAAE+rvik=")</f>
        <v>#VALUE!</v>
      </c>
      <c r="AQ42" t="e">
        <f>AND(Plan1!C1507,"AAAAAE+rvio=")</f>
        <v>#VALUE!</v>
      </c>
      <c r="AR42" t="e">
        <f>AND(Plan1!D1507,"AAAAAE+rvis=")</f>
        <v>#VALUE!</v>
      </c>
      <c r="AS42" t="e">
        <f>AND(Plan1!E1507,"AAAAAE+rviw=")</f>
        <v>#VALUE!</v>
      </c>
      <c r="AT42" t="e">
        <f>AND(Plan1!F1507,"AAAAAE+rvi0=")</f>
        <v>#VALUE!</v>
      </c>
      <c r="AU42">
        <f>IF(Plan1!1508:1508,"AAAAAE+rvi4=",0)</f>
        <v>0</v>
      </c>
      <c r="AV42" t="e">
        <f>AND(Plan1!A1508,"AAAAAE+rvi8=")</f>
        <v>#VALUE!</v>
      </c>
      <c r="AW42" t="e">
        <f>AND(Plan1!B1508,"AAAAAE+rvjA=")</f>
        <v>#VALUE!</v>
      </c>
      <c r="AX42" t="e">
        <f>AND(Plan1!C1508,"AAAAAE+rvjE=")</f>
        <v>#VALUE!</v>
      </c>
      <c r="AY42" t="e">
        <f>AND(Plan1!D1508,"AAAAAE+rvjI=")</f>
        <v>#VALUE!</v>
      </c>
      <c r="AZ42" t="e">
        <f>AND(Plan1!E1508,"AAAAAE+rvjM=")</f>
        <v>#VALUE!</v>
      </c>
      <c r="BA42" t="e">
        <f>AND(Plan1!F1508,"AAAAAE+rvjQ=")</f>
        <v>#VALUE!</v>
      </c>
      <c r="BB42" t="e">
        <f>IF(Plan1!A:A,"AAAAAE+rvjU=",0)</f>
        <v>#VALUE!</v>
      </c>
      <c r="BC42" t="e">
        <f>IF(Plan1!B:B,"AAAAAE+rvjY=",0)</f>
        <v>#VALUE!</v>
      </c>
      <c r="BD42" t="e">
        <f>IF(Plan1!C:C,"AAAAAE+rvjc=",0)</f>
        <v>#VALUE!</v>
      </c>
      <c r="BE42" t="str">
        <f>IF(Plan1!D:D,"AAAAAE+rvjg=",0)</f>
        <v>AAAAAE+rvjg=</v>
      </c>
      <c r="BF42" t="e">
        <f>IF(Plan1!E:E,"AAAAAE+rvjk=",0)</f>
        <v>#VALUE!</v>
      </c>
      <c r="BG42" t="e">
        <f>IF(Plan1!F:F,"AAAAAE+rvjo=",0)</f>
        <v>#VALUE!</v>
      </c>
      <c r="BH42">
        <f>IF(Plan2!1:1,"AAAAAE+rvjs=",0)</f>
        <v>0</v>
      </c>
      <c r="BI42" t="e">
        <f>AND(Plan2!A1,"AAAAAE+rvjw=")</f>
        <v>#VALUE!</v>
      </c>
      <c r="BJ42">
        <f>IF(Plan2!A:A,"AAAAAE+rvj0=",0)</f>
        <v>0</v>
      </c>
      <c r="BK42">
        <f>IF(Plan3!1:1,"AAAAAE+rvj4=",0)</f>
        <v>0</v>
      </c>
      <c r="BL42" t="e">
        <f>AND(Plan3!A1,"AAAAAE+rvj8=")</f>
        <v>#VALUE!</v>
      </c>
      <c r="BM42">
        <f>IF(Plan3!A:A,"AAAAAE+rvkA=",0)</f>
        <v>0</v>
      </c>
      <c r="BN42" t="s">
        <v>4555</v>
      </c>
      <c r="BO42" t="e">
        <f>IF("N",Plan1!arquivo,"AAAAAE+rvkI=")</f>
        <v>#VALUE!</v>
      </c>
    </row>
    <row r="43" spans="1:256">
      <c r="A43" t="e">
        <f>IF(Plan1!1:1,"AAAAAH//HwA=",0)</f>
        <v>#VALUE!</v>
      </c>
      <c r="B43" t="e">
        <f>AND(Plan1!A1,"AAAAAH//HwE=")</f>
        <v>#VALUE!</v>
      </c>
      <c r="C43" t="e">
        <f>AND(Plan1!B1,"AAAAAH//HwI=")</f>
        <v>#VALUE!</v>
      </c>
      <c r="D43" t="e">
        <f>AND(Plan1!C1,"AAAAAH//HwM=")</f>
        <v>#VALUE!</v>
      </c>
      <c r="E43" t="e">
        <f>AND(Plan1!D1,"AAAAAH//HwQ=")</f>
        <v>#VALUE!</v>
      </c>
      <c r="F43" t="e">
        <f>AND(Plan1!E1,"AAAAAH//HwU=")</f>
        <v>#VALUE!</v>
      </c>
      <c r="G43" t="e">
        <f>AND(Plan1!F1,"AAAAAH//HwY=")</f>
        <v>#VALUE!</v>
      </c>
    </row>
  </sheetData>
  <pageMargins left="0.511811024" right="0.511811024" top="0.78740157499999996" bottom="0.78740157499999996" header="0.31496062000000002" footer="0.31496062000000002"/>
  <customProperties>
    <customPr name="DVSECTION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Plan1</vt:lpstr>
      <vt:lpstr>Plan2</vt:lpstr>
      <vt:lpstr>Plan3</vt:lpstr>
      <vt:lpstr>Plan1!arquivo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moacir junior</dc:creator>
  <cp:lastModifiedBy>Ayslanya</cp:lastModifiedBy>
  <dcterms:created xsi:type="dcterms:W3CDTF">2013-03-08T14:03:17Z</dcterms:created>
  <dcterms:modified xsi:type="dcterms:W3CDTF">2013-03-10T19:06:11Z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1GrErsHRsYqLcpVHXmFl0FaGKW7wS-DWdQ-YTlOEQ0Sk</vt:lpwstr>
  </property>
  <property fmtid="{D5CDD505-2E9C-101B-9397-08002B2CF9AE}" pid="4" name="Google.Documents.RevisionId">
    <vt:lpwstr>15032366009837624378</vt:lpwstr>
  </property>
  <property fmtid="{D5CDD505-2E9C-101B-9397-08002B2CF9AE}" pid="5" name="Google.Documents.PreviousRevisionId">
    <vt:lpwstr>18169413667706124691</vt:lpwstr>
  </property>
  <property fmtid="{D5CDD505-2E9C-101B-9397-08002B2CF9AE}" pid="6" name="Google.Documents.PluginVersion">
    <vt:lpwstr>2.0.2662.553</vt:lpwstr>
  </property>
  <property fmtid="{D5CDD505-2E9C-101B-9397-08002B2CF9AE}" pid="7" name="Google.Documents.MergeIncapabilityFlags">
    <vt:i4>0</vt:i4>
  </property>
</Properties>
</file>