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20" yWindow="30" windowWidth="20115" windowHeight="6720"/>
  </bookViews>
  <sheets>
    <sheet name="Plan1" sheetId="1" r:id="rId1"/>
    <sheet name="Plan2" sheetId="2" r:id="rId2"/>
    <sheet name="Plan3" sheetId="3" r:id="rId3"/>
    <sheet name="DV-IDENTITY-0" sheetId="4" state="veryHidden" r:id="rId4"/>
  </sheets>
  <definedNames>
    <definedName name="scopus" localSheetId="0">Plan1!$A$1:$N$1243</definedName>
  </definedNames>
  <calcPr calcId="125725"/>
</workbook>
</file>

<file path=xl/calcChain.xml><?xml version="1.0" encoding="utf-8"?>
<calcChain xmlns="http://schemas.openxmlformats.org/spreadsheetml/2006/main">
  <c r="A73" i="4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IA73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</calcChain>
</file>

<file path=xl/connections.xml><?xml version="1.0" encoding="utf-8"?>
<connections xmlns="http://schemas.openxmlformats.org/spreadsheetml/2006/main">
  <connection id="1" name="scopus" type="6" refreshedVersion="3" background="1" saveData="1">
    <textPr codePage="65001" sourceFile="C:\Users\moacir junior\Desktop\Html Scopus\scopus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<sst xmlns="http://schemas.openxmlformats.org/spreadsheetml/2006/main" count="7672" uniqueCount="4430">
  <si>
    <t>Authors</t>
  </si>
  <si>
    <t>Title</t>
  </si>
  <si>
    <t>Year</t>
  </si>
  <si>
    <t>Source title</t>
  </si>
  <si>
    <t>Volume</t>
  </si>
  <si>
    <t>Issue</t>
  </si>
  <si>
    <t>Art. No.</t>
  </si>
  <si>
    <t>Page start</t>
  </si>
  <si>
    <t>Page end</t>
  </si>
  <si>
    <t>Page count</t>
  </si>
  <si>
    <t>Cited by</t>
  </si>
  <si>
    <t>Link</t>
  </si>
  <si>
    <t>Document Type</t>
  </si>
  <si>
    <t>Source</t>
  </si>
  <si>
    <t>Martínez-Torres, M.R.</t>
  </si>
  <si>
    <t>Application of evolutionary computation techniques for the identification of innovators in open innovation communities</t>
  </si>
  <si>
    <t>Expert Systems with Applications</t>
  </si>
  <si>
    <t>http://www.scopus.com/inward/record.url?eid=2-s2.0-84873185230&amp;partnerID=40&amp;md5=09a8510e0cba4c7294afa7002a5efd76</t>
  </si>
  <si>
    <t>Article</t>
  </si>
  <si>
    <t>Scopus</t>
  </si>
  <si>
    <t>Gómez, D., Figueira, J.R., Eusébio, A.</t>
  </si>
  <si>
    <t>Modeling centrality measures in social network analysis using bi-criteria network flow optimization problems</t>
  </si>
  <si>
    <t>European Journal of Operational Research</t>
  </si>
  <si>
    <t>http://www.scopus.com/inward/record.url?eid=2-s2.0-84872105041&amp;partnerID=40&amp;md5=fd0e090ab63d1588f56e4cac01a2ea97</t>
  </si>
  <si>
    <t>Pattillo, J., Youssef, N., Butenko, S.</t>
  </si>
  <si>
    <t>On clique relaxation models in network analysis</t>
  </si>
  <si>
    <t>http://www.scopus.com/inward/record.url?eid=2-s2.0-84873058522&amp;partnerID=40&amp;md5=b67f92d76442c9b776ffa78e3f232c7d</t>
  </si>
  <si>
    <t>Lu, F., Shen, B., Lin, J., Zhang, H.</t>
  </si>
  <si>
    <t>A method of SNS topic models extraction based on self-adaptively LDA modeling</t>
  </si>
  <si>
    <t>Proceedings of the 2013 3rd International Conference on Intelligent System Design and Engineering Applications, ISDEA 2013</t>
  </si>
  <si>
    <t>http://www.scopus.com/inward/record.url?eid=2-s2.0-84874490518&amp;partnerID=40&amp;md5=aa0938c659fdd8de97136498a32c13c2</t>
  </si>
  <si>
    <t>Conference Paper</t>
  </si>
  <si>
    <t>Buccafurri, F., Foti, V.D., Lax, G., Nocera, A., Ursino, D.</t>
  </si>
  <si>
    <t>Bridge analysis in a social internetworking scenario</t>
  </si>
  <si>
    <t>Information Sciences</t>
  </si>
  <si>
    <t>http://www.scopus.com/inward/record.url?eid=2-s2.0-84871015676&amp;partnerID=40&amp;md5=28cee65908b3cdb004666efa26da5e7f</t>
  </si>
  <si>
    <t>Shaw, N.E., Burgess, T.F.</t>
  </si>
  <si>
    <t>Innovation-sharing across a supply network: Barriers to collaboration</t>
  </si>
  <si>
    <t>Production Planning and Control</t>
  </si>
  <si>
    <t>http://www.scopus.com/inward/record.url?eid=2-s2.0-84873295367&amp;partnerID=40&amp;md5=e1f968296f0336796de0ab4d54d38224</t>
  </si>
  <si>
    <t>Lewis, T.G.</t>
  </si>
  <si>
    <t>Cognitive stigmergy: A study of emergence in small-group social networks</t>
  </si>
  <si>
    <t>Cognitive Systems Research</t>
  </si>
  <si>
    <t>http://www.scopus.com/inward/record.url?eid=2-s2.0-84868300418&amp;partnerID=40&amp;md5=1c5ef08643c1418a0d15b0b13b11399a</t>
  </si>
  <si>
    <t>Zhang, J., Wang, C., Wang, J., Yu, P.S.</t>
  </si>
  <si>
    <t>LaFT-tree: Perceiving the expansion trace of one's circle of friends in online social networks</t>
  </si>
  <si>
    <t>WSDM 2013 - Proceedings of the 6th ACM International Conference on Web Search and Data Mining</t>
  </si>
  <si>
    <t>http://www.scopus.com/inward/record.url?eid=2-s2.0-84874224966&amp;partnerID=40&amp;md5=2098b83985d665acf0adb498b8db87fa</t>
  </si>
  <si>
    <t>Kazienko, P., Szozda, N., Filipowski, T., Blysz, W.</t>
  </si>
  <si>
    <t>New business client acquisition using social networking sites</t>
  </si>
  <si>
    <t>Electronic Markets</t>
  </si>
  <si>
    <t>http://www.scopus.com/inward/record.url?eid=2-s2.0-84874066164&amp;partnerID=40&amp;md5=f20e9e607aee15ee183b48e8dcbccfa7</t>
  </si>
  <si>
    <t>Article in Press</t>
  </si>
  <si>
    <t>Pham, M.-D., Boncz, P., Erling, O.</t>
  </si>
  <si>
    <t>S3G2: A scalable structure-correlated social graph generator</t>
  </si>
  <si>
    <t>Lecture Notes in Computer Science (including subseries Lecture Notes in Artificial Intelligence and Lecture Notes in Bioinformatics)</t>
  </si>
  <si>
    <t>7755 LNCS</t>
  </si>
  <si>
    <t>http://www.scopus.com/inward/record.url?eid=2-s2.0-84873973350&amp;partnerID=40&amp;md5=2640b3e841f4bfe30ba6ebdcd7b9e451</t>
  </si>
  <si>
    <t>Kaiser, C., Schlick, S., Bodendorf, F.</t>
  </si>
  <si>
    <t>Early warning and decision support in critical situations of opinion formation within online social networks</t>
  </si>
  <si>
    <t>Communications in Computer and Information Science</t>
  </si>
  <si>
    <t>272 CCIS</t>
  </si>
  <si>
    <t>http://www.scopus.com/inward/record.url?eid=2-s2.0-84873887672&amp;partnerID=40&amp;md5=c180e58a0a3285ce88fb0e4129fdc089</t>
  </si>
  <si>
    <t>Xie, Y.</t>
  </si>
  <si>
    <t>Hotspots and trend of water transfer research in China based on clustered analysis and social network analysis</t>
  </si>
  <si>
    <t>International Journal of Digital Content Technology and its Applications</t>
  </si>
  <si>
    <t>http://www.scopus.com/inward/record.url?eid=2-s2.0-84873885669&amp;partnerID=40&amp;md5=d9035c354bbe3a592e26d7bad068e6e0</t>
  </si>
  <si>
    <t>Wiil, U.K., Gniadek, J., Memon, N., Petersen, R.R.</t>
  </si>
  <si>
    <t>Knowledge management tools for terrorist network analysis</t>
  </si>
  <si>
    <t>http://www.scopus.com/inward/record.url?eid=2-s2.0-84873913751&amp;partnerID=40&amp;md5=04532021ec0a58b450fe78f12711a809</t>
  </si>
  <si>
    <t>Matthews, L.J., DeWan, P., Rula, E.Y.</t>
  </si>
  <si>
    <t>Methods for Inferring Health-Related Social Networks among Coworkers from Online Communication Patterns</t>
  </si>
  <si>
    <t>PLoS ONE</t>
  </si>
  <si>
    <t xml:space="preserve"> e55234</t>
  </si>
  <si>
    <t>http://www.scopus.com/inward/record.url?eid=2-s2.0-84873902391&amp;partnerID=40&amp;md5=2fd3621b14120641f3e20bd569b3b8c8</t>
  </si>
  <si>
    <t>Kutty, S., Nayak, R., Chen, L.</t>
  </si>
  <si>
    <t>A people-to-people matching system using graph mining techniques</t>
  </si>
  <si>
    <t>World Wide Web</t>
  </si>
  <si>
    <t>http://www.scopus.com/inward/record.url?eid=2-s2.0-84873520418&amp;partnerID=40&amp;md5=eaae579987cc921fa6c75f34788d28b8</t>
  </si>
  <si>
    <t>Fu, X., Wang, C., Wang, Z., Ming, Z.</t>
  </si>
  <si>
    <t>Threshold random walkers for community structure detection in complex networks</t>
  </si>
  <si>
    <t>Journal of Software</t>
  </si>
  <si>
    <t>http://www.scopus.com/inward/record.url?eid=2-s2.0-84873511563&amp;partnerID=40&amp;md5=b8d26e1c2ea8a29863aa337abfa538ab</t>
  </si>
  <si>
    <t>Matook, S.</t>
  </si>
  <si>
    <t>Conceptualizing means-end chains of user goals as networks</t>
  </si>
  <si>
    <t>Information and Management</t>
  </si>
  <si>
    <t>http://www.scopus.com/inward/record.url?eid=2-s2.0-84873387759&amp;partnerID=40&amp;md5=334d2d73743845d518494c6f7053b8c0</t>
  </si>
  <si>
    <t>De Meo, P., Ferrara, E., Fiumara, G., Provetti, A.</t>
  </si>
  <si>
    <t>Enhancing community detection using a network weighting strategy</t>
  </si>
  <si>
    <t>http://www.scopus.com/inward/record.url?eid=2-s2.0-84870053820&amp;partnerID=40&amp;md5=22aafde507cabd7f011b7ae4886fc19c</t>
  </si>
  <si>
    <t>You, W., Ren, X., Fan, K.</t>
  </si>
  <si>
    <t>Seller recommendation in C2C market based on social network analysis</t>
  </si>
  <si>
    <t>International Journal of Advancements in Computing Technology</t>
  </si>
  <si>
    <t>http://www.scopus.com/inward/record.url?eid=2-s2.0-84873262668&amp;partnerID=40&amp;md5=c37ec2f33f5ff5f81d1a7e53d5f943c4</t>
  </si>
  <si>
    <t>Yang, A.</t>
  </si>
  <si>
    <t>When Transnational Civil Network Meets Local Context: An Exploratory Hyperlink Network Analysis of Northern/Southern NGOs' Virtual Network in China</t>
  </si>
  <si>
    <t>Journal of International and Intercultural Communication</t>
  </si>
  <si>
    <t>http://www.scopus.com/inward/record.url?eid=2-s2.0-84873639164&amp;partnerID=40&amp;md5=a836aa87304ba15889378d3d1885a15b</t>
  </si>
  <si>
    <t>Buffa, M., Delaforge, N., Erétéo, G., Gandon, F., Giboin, A., Limpens, F.</t>
  </si>
  <si>
    <t>ISICIL: Semantics and social networks for business intelligence</t>
  </si>
  <si>
    <t>7741 LNCS</t>
  </si>
  <si>
    <t>http://www.scopus.com/inward/record.url?eid=2-s2.0-84872511971&amp;partnerID=40&amp;md5=9292e47d9e1b73e47eab43ca8975a819</t>
  </si>
  <si>
    <t>Farrell, L.C., Fudge, J.</t>
  </si>
  <si>
    <t>An exploration of a quasi-stable online network: A longitudinal perspective</t>
  </si>
  <si>
    <t>Computers in Human Behavior</t>
  </si>
  <si>
    <t>http://www.scopus.com/inward/record.url?eid=2-s2.0-84872462371&amp;partnerID=40&amp;md5=11781b083a357afd24c8a633511d7aa6</t>
  </si>
  <si>
    <t>Wang, G.A., Jiao, J., Abrahams, A.S., Fan, W., Zhang, Z.</t>
  </si>
  <si>
    <t>ExpertRank: A topic-aware expert finding algorithm for online knowledge communities</t>
  </si>
  <si>
    <t>Decision Support Systems</t>
  </si>
  <si>
    <t>http://www.scopus.com/inward/record.url?eid=2-s2.0-84872400660&amp;partnerID=40&amp;md5=1cb129dd68c6779322a2e19bca51bdca</t>
  </si>
  <si>
    <t>Chen, J., Taylor, J.E.</t>
  </si>
  <si>
    <t>Layering residential peer networks and geospatial building networks to model change in energy saving behaviors</t>
  </si>
  <si>
    <t>Energy and Buildings</t>
  </si>
  <si>
    <t>http://www.scopus.com/inward/record.url?eid=2-s2.0-84872125235&amp;partnerID=40&amp;md5=46fd7722b886ce3e854c682d9270db2a</t>
  </si>
  <si>
    <t>Redmond, U., Cunningham, P.</t>
  </si>
  <si>
    <t>A temporal network analysis reveals the unprofitability of arbitrage in The Prosper Marketplace</t>
  </si>
  <si>
    <t>http://www.scopus.com/inward/record.url?eid=2-s2.0-84872068571&amp;partnerID=40&amp;md5=51c8f9370fa5cc5bae9f996b475415e8</t>
  </si>
  <si>
    <t>Alonso, J.M., Pancho, D.P., Cordón, O., Quirin, A., Magdalena, L.</t>
  </si>
  <si>
    <t>Social network analysis of co-fired fuzzy rules</t>
  </si>
  <si>
    <t>Studies in Fuzziness and Soft Computing</t>
  </si>
  <si>
    <t>http://www.scopus.com/inward/record.url?eid=2-s2.0-84870171982&amp;partnerID=40&amp;md5=2eb4e873ad7a9f559cfba97022635efd</t>
  </si>
  <si>
    <t>Morzy, M., Forenc, K.</t>
  </si>
  <si>
    <t>Social network analysis on highly aggregated data: What can we find?</t>
  </si>
  <si>
    <t>Advances in Intelligent Systems and Computing</t>
  </si>
  <si>
    <t>186 AISC</t>
  </si>
  <si>
    <t>http://www.scopus.com/inward/record.url?eid=2-s2.0-84868243316&amp;partnerID=40&amp;md5=6fabeeee97aa21b9cf454d39b4585886</t>
  </si>
  <si>
    <t>Chen, B.-J., Ting, I.-H.</t>
  </si>
  <si>
    <t>Applying social networks analysis methods to discover key users in an interest-oriented virtual community</t>
  </si>
  <si>
    <t>172 AISC</t>
  </si>
  <si>
    <t>http://www.scopus.com/inward/record.url?eid=2-s2.0-84866536053&amp;partnerID=40&amp;md5=7dbc319630028348495d004a9ade3586</t>
  </si>
  <si>
    <t>Schneider, K., Rainwater, C., Pohl, E., Hernandez, I., Ramirez-Marquez, J.E.</t>
  </si>
  <si>
    <t>Social network analysis via multi-state reliability and conditional influence models</t>
  </si>
  <si>
    <t>Reliability Engineering and System Safety</t>
  </si>
  <si>
    <t>http://www.scopus.com/inward/record.url?eid=2-s2.0-84866303574&amp;partnerID=40&amp;md5=3b644172a3b918c96e3754860872403b</t>
  </si>
  <si>
    <t>Kang, M.J., Park, J.</t>
  </si>
  <si>
    <t>Analysis of the partnership network in the clean development mechanism</t>
  </si>
  <si>
    <t>Energy Policy</t>
  </si>
  <si>
    <t>http://www.scopus.com/inward/record.url?eid=2-s2.0-84870689547&amp;partnerID=40&amp;md5=a73a139fc20b9902fffed65ff6b091fd</t>
  </si>
  <si>
    <t>Evans, M.J., Moore, J.S.</t>
  </si>
  <si>
    <t>Peer tutoring with the aid of the Internet</t>
  </si>
  <si>
    <t>British Journal of Educational Technology</t>
  </si>
  <si>
    <t>http://www.scopus.com/inward/record.url?eid=2-s2.0-84872979932&amp;partnerID=40&amp;md5=b0bbc3f3219bb796576fb4e630bb954f</t>
  </si>
  <si>
    <t>Said, A., Berkovsky, S., De Luca, E.W.</t>
  </si>
  <si>
    <t>Introduction to special section on CAMRa2010: Movie recommendation in context</t>
  </si>
  <si>
    <t>ACM Transactions on Intelligent Systems and Technology</t>
  </si>
  <si>
    <t>http://www.scopus.com/inward/record.url?eid=2-s2.0-84873629230&amp;partnerID=40&amp;md5=035d3096c1469735e3d9b5eec0b17557</t>
  </si>
  <si>
    <t>Engel, A., Coll, C., Bustos, A.</t>
  </si>
  <si>
    <t>Distributed Teaching Presence and communicative patterns in asynchronous learning: Name versus reply networks</t>
  </si>
  <si>
    <t>Computers and Education</t>
  </si>
  <si>
    <t>http://www.scopus.com/inward/record.url?eid=2-s2.0-84866501074&amp;partnerID=40&amp;md5=fd205d4e74c8a3b88e399b9eb1080dfa</t>
  </si>
  <si>
    <t>Zhu, Y., Xu, B., Shi, X., Wang, Y.</t>
  </si>
  <si>
    <t>A survey of social-based routing in delay tolerant networks: Positive and negative social effects</t>
  </si>
  <si>
    <t>IEEE Communications Surveys and Tutorials</t>
  </si>
  <si>
    <t>http://www.scopus.com/inward/record.url?eid=2-s2.0-84873732697&amp;partnerID=40&amp;md5=bd2dd68f0b002335d80e17be5e0299b3</t>
  </si>
  <si>
    <t>Ortega, J.L., Aguillo, I.F.</t>
  </si>
  <si>
    <t>Network visualisation as a way to the web usage analysis</t>
  </si>
  <si>
    <t>Aslib Proceedings: New Information Perspectives</t>
  </si>
  <si>
    <t>http://www.scopus.com/inward/record.url?eid=2-s2.0-84872305141&amp;partnerID=40&amp;md5=f22e84aaaca42796b935e873f214e3ca</t>
  </si>
  <si>
    <t>Yang, B., Di, J., Liu, J., Liu, D.</t>
  </si>
  <si>
    <t>Hierarchical community detection with applications to real-world network analysis</t>
  </si>
  <si>
    <t>Data and Knowledge Engineering</t>
  </si>
  <si>
    <t>http://www.scopus.com/inward/record.url?eid=2-s2.0-84871918558&amp;partnerID=40&amp;md5=c113ff724814fe8e6993df94ad43ebe2</t>
  </si>
  <si>
    <t>Salter-Townshend, M., Murphy, T.B.</t>
  </si>
  <si>
    <t>Variational bayesian inference for the latent position cluster model for network data</t>
  </si>
  <si>
    <t>Computational Statistics and Data Analysis</t>
  </si>
  <si>
    <t>http://www.scopus.com/inward/record.url?eid=2-s2.0-84865598238&amp;partnerID=40&amp;md5=e295ada715581821f441d36eb11e40c7</t>
  </si>
  <si>
    <t>Peng, L.-P.</t>
  </si>
  <si>
    <t>Effects of anti-dam campaigns on institutional capacity: A case study of Meinung from Taiwan</t>
  </si>
  <si>
    <t>Paddy and Water Environment</t>
  </si>
  <si>
    <t>http://www.scopus.com/inward/record.url?eid=2-s2.0-84871718708&amp;partnerID=40&amp;md5=7d4d2ae3850d1bbc13968023ad65fddf</t>
  </si>
  <si>
    <t>Theocharis, Y.</t>
  </si>
  <si>
    <t>The Wealth of (Occupation) Networks? Communication Patterns and Information Distribution in a Twitter Protest Network</t>
  </si>
  <si>
    <t>Journal of Information Technology and Politics</t>
  </si>
  <si>
    <t>http://www.scopus.com/inward/record.url?eid=2-s2.0-84874508245&amp;partnerID=40&amp;md5=32016b81f2e67a406e66a3bfe2bd024d</t>
  </si>
  <si>
    <t>Park, J., Fu, T.Z.J., Chiu, D.M.</t>
  </si>
  <si>
    <t>Networking, clustering and brokering keywords in the computer science research - Analysis of the evolution using social network analysis</t>
  </si>
  <si>
    <t>7th International Conference on Digital Information Management, ICDIM 2012</t>
  </si>
  <si>
    <t>http://www.scopus.com/inward/record.url?eid=2-s2.0-84871543977&amp;partnerID=40&amp;md5=7bdb6189cfbc5ad97306cf6f7dc3d2e6</t>
  </si>
  <si>
    <t>Viamonte, M.J., Nascimento, V., Silva, N., Maio, P.</t>
  </si>
  <si>
    <t>AEMOS: An agent-based electronic market simulator with ontology-services and social network support</t>
  </si>
  <si>
    <t>24th European Modeling and Simulation Symposium, EMSS 2012</t>
  </si>
  <si>
    <t>http://www.scopus.com/inward/record.url?eid=2-s2.0-84871509720&amp;partnerID=40&amp;md5=b412bf6a6e6fe1a14dc96a6b2b79371e</t>
  </si>
  <si>
    <t>Kim, Y.S., Mahidadia, A., Compton, P., Krzywicki, A., Wobcke, W., Cai, X., Bain, M.</t>
  </si>
  <si>
    <t>People-to-people recommendation using multiple compatible subgroups</t>
  </si>
  <si>
    <t>7691 LNAI</t>
  </si>
  <si>
    <t>http://www.scopus.com/inward/record.url?eid=2-s2.0-84871368399&amp;partnerID=40&amp;md5=ab02eb5924bf7f0a491c6c6e64b6b3fe</t>
  </si>
  <si>
    <t>Ye, C., Ling, H., Zou, F., Liu, C.</t>
  </si>
  <si>
    <t>Secure content sharing for social network using fingerprinting and encryption in the TSH transform domain</t>
  </si>
  <si>
    <t>MM 2012 - Proceedings of the 20th ACM International Conference on Multimedia</t>
  </si>
  <si>
    <t>http://www.scopus.com/inward/record.url?eid=2-s2.0-84871396772&amp;partnerID=40&amp;md5=1820d33f931f95de3c8420df906c8a60</t>
  </si>
  <si>
    <t>Bloess, M., Kim, H.-N., El Saddik, A.</t>
  </si>
  <si>
    <t>PhacePhinder: Harnessing social networks to build social face databases for mobile devices</t>
  </si>
  <si>
    <t>http://www.scopus.com/inward/record.url?eid=2-s2.0-84871387822&amp;partnerID=40&amp;md5=37d8c31c68fd81d645192d9a7411cb9b</t>
  </si>
  <si>
    <t>Dai, L., Luo, J.-D., Fu, X., Li, Z.</t>
  </si>
  <si>
    <t>Predicting offline behaviors from online features - An ego-centric dynamical network approach</t>
  </si>
  <si>
    <t>Proceedings of the 1st ACM International Workshop on Hot Topics on Interdisciplinary Social Networks Research, HotSocial 2012</t>
  </si>
  <si>
    <t>http://www.scopus.com/inward/record.url?eid=2-s2.0-84871280750&amp;partnerID=40&amp;md5=7641601781d735e4d22df5f0daa21e58</t>
  </si>
  <si>
    <t>Qin, L., Zhou, L., Luo, J.-D.</t>
  </si>
  <si>
    <t>Complex network perspective on network dynamics: A study on investment network in VC industry in China</t>
  </si>
  <si>
    <t>http://www.scopus.com/inward/record.url?eid=2-s2.0-84871292189&amp;partnerID=40&amp;md5=34738e6714f0d2aef40e1e7a279105a0</t>
  </si>
  <si>
    <t>Corbellini, A., Schiaffino, S., Godoy, D.</t>
  </si>
  <si>
    <t>Intelligent analysis of user interactions in a collaborative software engineering context</t>
  </si>
  <si>
    <t>7547 LNCS</t>
  </si>
  <si>
    <t>http://www.scopus.com/inward/record.url?eid=2-s2.0-84871257091&amp;partnerID=40&amp;md5=4419886cf55d034387de24d9f68507ba</t>
  </si>
  <si>
    <t>Mesicek, L., Svoboda, J.</t>
  </si>
  <si>
    <t>Composition of ict project teams from social network analysis point of view</t>
  </si>
  <si>
    <t>Proceedings of the European Conference on Knowledge Management, ECKM</t>
  </si>
  <si>
    <t>http://www.scopus.com/inward/record.url?eid=2-s2.0-84871131216&amp;partnerID=40&amp;md5=c186a35c7a9d7cff7460f80bfa86e6a6</t>
  </si>
  <si>
    <t>Castro, C.S., Cardoso, L.</t>
  </si>
  <si>
    <t>Knowledge sharing in call centers - understanding the specificities, effectiveness and constraints</t>
  </si>
  <si>
    <t>http://www.scopus.com/inward/record.url?eid=2-s2.0-84871114798&amp;partnerID=40&amp;md5=83f08bf657506ff300d60fb4a23c4199</t>
  </si>
  <si>
    <t>Shin, D., Si, S., Dhillon, I.S.</t>
  </si>
  <si>
    <t>Multi-scale link prediction</t>
  </si>
  <si>
    <t>ACM International Conference Proceeding Series</t>
  </si>
  <si>
    <t>http://www.scopus.com/inward/record.url?eid=2-s2.0-84871049084&amp;partnerID=40&amp;md5=7b93d55821d33c44ebc16237713a4d2d</t>
  </si>
  <si>
    <t>Lu, Y., Wang, H., Zhai, C., Roth, D.</t>
  </si>
  <si>
    <t>Unsupervised discovery of opposing opinion networks from forum discussions</t>
  </si>
  <si>
    <t>http://www.scopus.com/inward/record.url?eid=2-s2.0-84871073314&amp;partnerID=40&amp;md5=910803885fc53caf1f8030aedeac5912</t>
  </si>
  <si>
    <t>Weber, I., Popescu, A.-M., Pennacchiotti, M.</t>
  </si>
  <si>
    <t>PLEAD 2012: Politics, elections and data</t>
  </si>
  <si>
    <t>http://www.scopus.com/inward/record.url?eid=2-s2.0-84871061943&amp;partnerID=40&amp;md5=32bb59e4abde2a35ccf6d6400a882024</t>
  </si>
  <si>
    <t>Allamanis, M., Scellato, S., Mascolo, C.</t>
  </si>
  <si>
    <t>Evolution of a location-based online social network: Analysis and models</t>
  </si>
  <si>
    <t>Proceedings of the ACM SIGCOMM Internet Measurement Conference, IMC</t>
  </si>
  <si>
    <t>http://www.scopus.com/inward/record.url?eid=2-s2.0-84870879201&amp;partnerID=40&amp;md5=26f8707260b2dd24138119bdd4b35c34</t>
  </si>
  <si>
    <t>Huynh, T., Hoang, K.</t>
  </si>
  <si>
    <t>Modeling collaborative knowledge of publishing activities for research recommendation</t>
  </si>
  <si>
    <t>7653 LNAI</t>
  </si>
  <si>
    <t>PART 1</t>
  </si>
  <si>
    <t>http://www.scopus.com/inward/record.url?eid=2-s2.0-84870912683&amp;partnerID=40&amp;md5=d486799c6d5954ce2cb1e273501aa06a</t>
  </si>
  <si>
    <t>[No author name available]</t>
  </si>
  <si>
    <t>IMC 2012 - Proceedings of the ACM Internet Measurement Conference</t>
  </si>
  <si>
    <t>http://www.scopus.com/inward/record.url?eid=2-s2.0-84870876970&amp;partnerID=40&amp;md5=9961e4872121d9d07c3cb182f39bbbf5</t>
  </si>
  <si>
    <t>Conference Review</t>
  </si>
  <si>
    <t>A genetic search of patterns of behaviour in OSS communities</t>
  </si>
  <si>
    <t>http://www.scopus.com/inward/record.url?eid=2-s2.0-84865220339&amp;partnerID=40&amp;md5=1aca89421a8c2a775faba665b2bdf451</t>
  </si>
  <si>
    <t>Kim, S.-J., Hong, J.-Y., Suh, E.-H.</t>
  </si>
  <si>
    <t>A diagnosis framework for identifying the current knowledge sharing activity status in a community of practice</t>
  </si>
  <si>
    <t>http://www.scopus.com/inward/record.url?eid=2-s2.0-84865274553&amp;partnerID=40&amp;md5=7fe2e29212c2610ac3aa87d0af8a87ea</t>
  </si>
  <si>
    <t>Chen, A.C.-L., Elzohbi, M., Elhajj, A., Xylogiannopoulos, K.F., Karampelas, P., Ridley, M., Alhajj, R.</t>
  </si>
  <si>
    <t>Finding hidden nodes by checking for missing nodes against past social networks</t>
  </si>
  <si>
    <t>Proceedings of the 2012 15th International Conference on Network-Based Information Systems, NBIS 2012</t>
  </si>
  <si>
    <t>http://www.scopus.com/inward/record.url?eid=2-s2.0-84870796267&amp;partnerID=40&amp;md5=bfe3a949d536c8bb0e5d4ee2367435cc</t>
  </si>
  <si>
    <t>Martens, A., Katircioglu, K.</t>
  </si>
  <si>
    <t>Knowledge management for services transitions</t>
  </si>
  <si>
    <t>Annual SRII Global Conference, SRII</t>
  </si>
  <si>
    <t>http://www.scopus.com/inward/record.url?eid=2-s2.0-84870828961&amp;partnerID=40&amp;md5=2eea260e6b63f910039fd257737fec43</t>
  </si>
  <si>
    <t>Tirado, R., Hernando, Á., Aguaded, J.I.</t>
  </si>
  <si>
    <t>The effect of centralization and cohesion on the social construction of knowledge in discussion forums</t>
  </si>
  <si>
    <t>Interactive Learning Environments</t>
  </si>
  <si>
    <t>http://www.scopus.com/inward/record.url?eid=2-s2.0-84870727117&amp;partnerID=40&amp;md5=656e08d8550d7729b530e7e585e24347</t>
  </si>
  <si>
    <t>Huo, Y., Wang, B., Ma, L.</t>
  </si>
  <si>
    <t>The study of accurate advertising model based on wireless virtual community</t>
  </si>
  <si>
    <t>ICIC Express Letters, Part B: Applications</t>
  </si>
  <si>
    <t>http://www.scopus.com/inward/record.url?eid=2-s2.0-84870763822&amp;partnerID=40&amp;md5=1c9897884751d83fd670dfa15035ca66</t>
  </si>
  <si>
    <t>Zelenkauskaite, A., Bessis, N., Sotiriadis, S., Asimakopoulou, E.</t>
  </si>
  <si>
    <t>Interconnectedness of complex systems of internet of things through social network analysis for disaster management</t>
  </si>
  <si>
    <t>Proceedings of the 2012 4th International Conference on Intelligent Networking and Collaborative Systems, INCoS 2012</t>
  </si>
  <si>
    <t>http://www.scopus.com/inward/record.url?eid=2-s2.0-84870669718&amp;partnerID=40&amp;md5=9c1bd2dd16d43894791382ba3a1b50a4</t>
  </si>
  <si>
    <t>Disaster management and profile modelling of IoT objects: Conceptual parameters for interlinked objects in relation to social network analysis</t>
  </si>
  <si>
    <t>http://www.scopus.com/inward/record.url?eid=2-s2.0-84870712323&amp;partnerID=40&amp;md5=8aae8ca6a0ba7cf3fe2eb565517a3034</t>
  </si>
  <si>
    <t>Gao, P., Wu, W., Yu, B.</t>
  </si>
  <si>
    <t>Co-authorship network analysis in improvisation theory research</t>
  </si>
  <si>
    <t>Proceeding of 2012 International Conference on Information Management, Innovation Management and Industrial Engineering, ICIII 2012</t>
  </si>
  <si>
    <t>http://www.scopus.com/inward/record.url?eid=2-s2.0-84870670078&amp;partnerID=40&amp;md5=6907a569b7ee88657d206bda2faf1876</t>
  </si>
  <si>
    <t>Biessmann, F., Papaioannou, J.-M., Harth, A., Jugel, M.L., Muller, K.-R., Braun, M.</t>
  </si>
  <si>
    <t>Quantifying spatiotemporal dynamics of twitter replies to news feeds</t>
  </si>
  <si>
    <t>IEEE International Workshop on Machine Learning for Signal Processing, MLSP</t>
  </si>
  <si>
    <t>http://www.scopus.com/inward/record.url?eid=2-s2.0-84870694594&amp;partnerID=40&amp;md5=75db4e510478cd7e2e9f9601b645af4c</t>
  </si>
  <si>
    <t>Manteli, C., Van Vliet, H., Van Den Hooff, B.</t>
  </si>
  <si>
    <t>Adopting a social network perspective in global software development</t>
  </si>
  <si>
    <t>Proceedings - 2012 IEEE 7th International Conference on Global Software Engineering, ICGSE 2012</t>
  </si>
  <si>
    <t>http://www.scopus.com/inward/record.url?eid=2-s2.0-84870692248&amp;partnerID=40&amp;md5=4bdbb96903886b12d5acd89e4a919f9b</t>
  </si>
  <si>
    <t>Li, L., Gao, X.</t>
  </si>
  <si>
    <t>Innovation performance of university co-authorship network</t>
  </si>
  <si>
    <t>http://www.scopus.com/inward/record.url?eid=2-s2.0-84870725881&amp;partnerID=40&amp;md5=63a94308ba4a0b94ea5605fb44eb26c5</t>
  </si>
  <si>
    <t>Kaiser, C., Kröckel, J., Bodendorf, F.</t>
  </si>
  <si>
    <t>Simulating the spread of opinions in online social networks when targeting opinion leaders</t>
  </si>
  <si>
    <t>Information Systems and e-Business Management</t>
  </si>
  <si>
    <t>http://www.scopus.com/inward/record.url?eid=2-s2.0-84870606075&amp;partnerID=40&amp;md5=610f84df60d0b75622efdf280ecc71c1</t>
  </si>
  <si>
    <t>Ostrowski, D.A.</t>
  </si>
  <si>
    <t>Semantic social network analysis for trend identification</t>
  </si>
  <si>
    <t>Proceedings - IEEE 6th International Conference on Semantic Computing, ICSC 2012</t>
  </si>
  <si>
    <t>http://www.scopus.com/inward/record.url?eid=2-s2.0-84870710755&amp;partnerID=40&amp;md5=3d5c5a310f12db3027c887d248ba1957</t>
  </si>
  <si>
    <t>Waegeman, W., Pahikkala, T., Airola, A., Salakoski, T., Stock, M., De Baets, B.</t>
  </si>
  <si>
    <t>A kernel-based framework for learning graded relations from data</t>
  </si>
  <si>
    <t>IEEE Transactions on Fuzzy Systems</t>
  </si>
  <si>
    <t>http://www.scopus.com/inward/record.url?eid=2-s2.0-84870545544&amp;partnerID=40&amp;md5=07c6e9863d68a0c6781200ecde105dd7</t>
  </si>
  <si>
    <t>Yang, S., Limbocker, S., Stewart, P.A., Sebold, K.D., Dowdle, A.J.</t>
  </si>
  <si>
    <t>Party cohesion in presidential races: Applying social network theory to the 2011 preprimary</t>
  </si>
  <si>
    <t>International Conference on Information and Knowledge Management, Proceedings</t>
  </si>
  <si>
    <t>http://www.scopus.com/inward/record.url?eid=2-s2.0-84870446573&amp;partnerID=40&amp;md5=1ac08a6c6cc5743c8b8289b174714b49</t>
  </si>
  <si>
    <t>Meymandpour, R., Davis, J.G.</t>
  </si>
  <si>
    <t>Recommendations using linked data</t>
  </si>
  <si>
    <t>http://www.scopus.com/inward/record.url?eid=2-s2.0-84870425367&amp;partnerID=40&amp;md5=e059f160d4bbed2ab730888f1e7e8c8c</t>
  </si>
  <si>
    <t>Ma, N., Liu, Y., Tian, R., Li, Q.</t>
  </si>
  <si>
    <t>Recognition of online opinion leaders based on social network analysis</t>
  </si>
  <si>
    <t>7669 LNCS</t>
  </si>
  <si>
    <t>http://www.scopus.com/inward/record.url?eid=2-s2.0-84870383728&amp;partnerID=40&amp;md5=706987c40d8b75884c867492fa4f7ff9</t>
  </si>
  <si>
    <t>Castillejo, E., Almeida, A., López-De-Ipiña, D.</t>
  </si>
  <si>
    <t>Social network analysis applied to recommendation systems: Alleviating the cold-user problem</t>
  </si>
  <si>
    <t>7656 LNCS</t>
  </si>
  <si>
    <t>http://www.scopus.com/inward/record.url?eid=2-s2.0-84870348505&amp;partnerID=40&amp;md5=0ee57f98643573e912fa8585d1c7486d</t>
  </si>
  <si>
    <t>Stafford, G., Luong, H., Gauch, J., Gauch, S., Eno, J.</t>
  </si>
  <si>
    <t>Social network analysis of virtual worlds</t>
  </si>
  <si>
    <t>http://www.scopus.com/inward/record.url?eid=2-s2.0-84870367258&amp;partnerID=40&amp;md5=2d0c43c3a13fb9b1b0c7a68fd6f7ed91</t>
  </si>
  <si>
    <t>Fire, M., Katz, G., Elovici, Y., Shapira, B., Rokach, L.</t>
  </si>
  <si>
    <t>Predicting student exam's scores by analyzing social network data</t>
  </si>
  <si>
    <t>http://www.scopus.com/inward/record.url?eid=2-s2.0-84870372432&amp;partnerID=40&amp;md5=8e113adf70f91532bcddf4205ebd5f6a</t>
  </si>
  <si>
    <t>Klein, B., Laiseca, X., Casado-Mansilla, D., López-De-Ipiña, D., Nespral, A.P.</t>
  </si>
  <si>
    <t>Detection and extracting of emergency knowledge from twitter streams</t>
  </si>
  <si>
    <t>http://www.scopus.com/inward/record.url?eid=2-s2.0-84870374902&amp;partnerID=40&amp;md5=ed3816a60f4d4232e1f2a844b7f35ca5</t>
  </si>
  <si>
    <t>Barham, A.</t>
  </si>
  <si>
    <t>The impact of formal QA practices on FLOSS communities - The case of Mozilla</t>
  </si>
  <si>
    <t>IFIP Advances in Information and Communication Technology</t>
  </si>
  <si>
    <t>378 AICT</t>
  </si>
  <si>
    <t>http://www.scopus.com/inward/record.url?eid=2-s2.0-84870367926&amp;partnerID=40&amp;md5=60202c82690413b1511bb03ec7b55c38</t>
  </si>
  <si>
    <t>Berk, V.H., Gregorio-de Souza, I., Murphy, J.P.</t>
  </si>
  <si>
    <t>Generating realistic environments for cyber operations development, testing and training</t>
  </si>
  <si>
    <t>Proceedings of SPIE - The International Society for Optical Engineering</t>
  </si>
  <si>
    <t>http://www.scopus.com/inward/record.url?eid=2-s2.0-84870184677&amp;partnerID=40&amp;md5=848c5363904c1e900b158142234bcb23</t>
  </si>
  <si>
    <t>Shang, X., Yuan, Y.</t>
  </si>
  <si>
    <t>Social network analysis in multiple social networks data for criminal group discovery</t>
  </si>
  <si>
    <t>Proceedings of the 2012 International Conference on Cyber-Enabled Distributed Computing and Knowledge Discovery, CyberC 2012</t>
  </si>
  <si>
    <t>http://www.scopus.com/inward/record.url?eid=2-s2.0-84872302210&amp;partnerID=40&amp;md5=7d8ae7412644769568363a49db7fac9d</t>
  </si>
  <si>
    <t>Zhao, H., He, M.</t>
  </si>
  <si>
    <t>Formation path of network public opinion based on collaborative interaction using social network analysis</t>
  </si>
  <si>
    <t>Advances in Information Sciences and Service Sciences</t>
  </si>
  <si>
    <t>http://www.scopus.com/inward/record.url?eid=2-s2.0-84871352392&amp;partnerID=40&amp;md5=2a4384c50de4098cfe066d1d2bc5e6f1</t>
  </si>
  <si>
    <t>Moradi, F., Olovsson, T., Tsigas, P.</t>
  </si>
  <si>
    <t>The anti-social behavior of spam</t>
  </si>
  <si>
    <t>Proceedings - 2011 7th European Conference on Computer Network Defense, EC2ND 2011</t>
  </si>
  <si>
    <t>http://www.scopus.com/inward/record.url?eid=2-s2.0-84872258529&amp;partnerID=40&amp;md5=11ea49f080f51aa7de72fb088359c13b</t>
  </si>
  <si>
    <t>Oliveira, M., Gama, J.</t>
  </si>
  <si>
    <t>An overview of social network analysis</t>
  </si>
  <si>
    <t>Wiley Interdisciplinary Reviews: Data Mining and Knowledge Discovery</t>
  </si>
  <si>
    <t>http://www.scopus.com/inward/record.url?eid=2-s2.0-84873261004&amp;partnerID=40&amp;md5=5a503e209bf4c9c3fc6b4cb565978f61</t>
  </si>
  <si>
    <t>Eblen, M., Fabsitz, R.R., Olson, J.L., Pearson, K., Pool, L.R., Puggal, M., Wu, C., Wagner, R.M.</t>
  </si>
  <si>
    <t>Social network analysis comparing researcher collaborations in two cardiovascular cohort studies</t>
  </si>
  <si>
    <t>Research Evaluation</t>
  </si>
  <si>
    <t>http://www.scopus.com/inward/record.url?eid=2-s2.0-84870944396&amp;partnerID=40&amp;md5=709407e875656ca2edd0a2b3aabc2157</t>
  </si>
  <si>
    <t>Song, M.-H.</t>
  </si>
  <si>
    <t>Social network analysis in environmental management of paraxylene project</t>
  </si>
  <si>
    <t>Proceedings - International Conference on Machine Learning and Cybernetics</t>
  </si>
  <si>
    <t>http://www.scopus.com/inward/record.url?eid=2-s2.0-84871645986&amp;partnerID=40&amp;md5=fc753bc1db18b81a2aeeb331324f519e</t>
  </si>
  <si>
    <t>Orendovici, R., Ritter, F.E.</t>
  </si>
  <si>
    <t>Social network analysis and simulation of the development of adversarial networks</t>
  </si>
  <si>
    <t>21st Annual Conference on Behavior Representation in Modeling and Simulation 2012, BRiMS 2012</t>
  </si>
  <si>
    <t>http://www.scopus.com/inward/record.url?eid=2-s2.0-84872445159&amp;partnerID=40&amp;md5=063e9187fd4d02a632bac15434b27989</t>
  </si>
  <si>
    <t>Yao, X., Li, M., An, N., Zhao, X.</t>
  </si>
  <si>
    <t>Criminal detection based on social network analysis</t>
  </si>
  <si>
    <t>Proceedings - 2012 8th International Conference on Semantics, Knowledge and Grids, SKG 2012</t>
  </si>
  <si>
    <t>http://www.scopus.com/inward/record.url?eid=2-s2.0-84872307198&amp;partnerID=40&amp;md5=f0e19b4753515d0a1b4abcde4d99a91d</t>
  </si>
  <si>
    <t>Mishra, S., Agrawal, U., Nandi, G.C.</t>
  </si>
  <si>
    <t>CVPD: A tool based on a social network analysis to combating viruses propagation</t>
  </si>
  <si>
    <t>Proceedings - 2012 International Conference on Communication, Information and Computing Technology, ICCICT 2012</t>
  </si>
  <si>
    <t>http://www.scopus.com/inward/record.url?eid=2-s2.0-84873137427&amp;partnerID=40&amp;md5=e9610d43faed9ff0ed6e890f4e55f038</t>
  </si>
  <si>
    <t>Friggeri, A., Lambiotte, R., Kosinski, M., Fleury, E.</t>
  </si>
  <si>
    <t>Psychological aspects of social communities</t>
  </si>
  <si>
    <t>Proceedings - 2012 ASE/IEEE International Conference on Privacy, Security, Risk and Trust and 2012 ASE/IEEE International Conference on Social Computing, SocialCom/PASSAT 2012</t>
  </si>
  <si>
    <t>http://www.scopus.com/inward/record.url?eid=2-s2.0-84873692054&amp;partnerID=40&amp;md5=f65e07413e9146cd2494fa8b6a0ac327</t>
  </si>
  <si>
    <t>Kudělka, M., Radvanský, M., Horák, Z., Krömer, P., Snášel, V.</t>
  </si>
  <si>
    <t>Soft identification of experts in DBLP using FCA and fuzzy rules</t>
  </si>
  <si>
    <t>Conference Proceedings - IEEE International Conference on Systems, Man and Cybernetics</t>
  </si>
  <si>
    <t>http://www.scopus.com/inward/record.url?eid=2-s2.0-84872379678&amp;partnerID=40&amp;md5=9c2af52dfe73100d16b30ae1eaa1a016</t>
  </si>
  <si>
    <t>Chaikalis, T., Melas, G., Chatzigeorgiou, A.</t>
  </si>
  <si>
    <t>SEANets: Software evolution analysis with networks</t>
  </si>
  <si>
    <t>IEEE International Conference on Software Maintenance, ICSM</t>
  </si>
  <si>
    <t>http://www.scopus.com/inward/record.url?eid=2-s2.0-84873129899&amp;partnerID=40&amp;md5=0f5317a6db49c02b22a0f2e8d91f17e1</t>
  </si>
  <si>
    <t>Xu, Y., Guo, X., Hao, J., Ma, J., Lau, R.Y.K., Xu, W.</t>
  </si>
  <si>
    <t>Combining social network and semantic concept analysis for personalized academic researcher recommendation</t>
  </si>
  <si>
    <t>http://www.scopus.com/inward/record.url?eid=2-s2.0-84868661918&amp;partnerID=40&amp;md5=da8c52a22865bd89a809a616bf60770a</t>
  </si>
  <si>
    <t>Reungrungsee, J., Intarasema, S., Porouhan, P., Premchaiswadi, W.</t>
  </si>
  <si>
    <t>Prom: Analysis of Social Network in students registration system</t>
  </si>
  <si>
    <t>International Conference on ICT and Knowledge Engineering</t>
  </si>
  <si>
    <t>http://www.scopus.com/inward/record.url?eid=2-s2.0-84873357225&amp;partnerID=40&amp;md5=30a27d63c6482535fbd1033c1d22b7e2</t>
  </si>
  <si>
    <t>Park, J., Jung, W., Yang, J.-E.</t>
  </si>
  <si>
    <t>The use of SNA metrics to investigate the relationship between the characteristics of crew communications with the associated crew performance</t>
  </si>
  <si>
    <t>11th International Probabilistic Safety Assessment and Management Conference and the Annual European Safety and Reliability Conference 2012, PSAM11 ESREL 2012</t>
  </si>
  <si>
    <t>http://www.scopus.com/inward/record.url?eid=2-s2.0-84873141072&amp;partnerID=40&amp;md5=9995e79dc14ca3abda0fc43f80d15b54</t>
  </si>
  <si>
    <t>Kas, M., Appala, S., Wang, C., Carley, K., Richard Carley, L., Tonguz, O.K.</t>
  </si>
  <si>
    <t>What if wireless routers were social? approaching wireless mesh networks from a social networks perspective</t>
  </si>
  <si>
    <t>IEEE Wireless Communications</t>
  </si>
  <si>
    <t>http://www.scopus.com/inward/record.url?eid=2-s2.0-84872039259&amp;partnerID=40&amp;md5=24bf96412d03e3c65650e86384b9ef7a</t>
  </si>
  <si>
    <t>Georgatzis, K., Papapetrou, P.</t>
  </si>
  <si>
    <t>Benchmarking link analysis ranking methods in assistive environments</t>
  </si>
  <si>
    <t>http://www.scopus.com/inward/record.url?eid=2-s2.0-84871969057&amp;partnerID=40&amp;md5=21b2b64f5bfa1de08d983c0dcc5c5e6f</t>
  </si>
  <si>
    <t>Gou, L., Zhang, X., Luo, A., Anderson, P.F.</t>
  </si>
  <si>
    <t>SocialNetSense: Supporting sensemaking of social and structural features in networks with interactive visualization</t>
  </si>
  <si>
    <t>IEEE Conference on Visual Analytics Science and Technology 2012, VAST 2012 - Proceedings</t>
  </si>
  <si>
    <t>http://www.scopus.com/inward/record.url?eid=2-s2.0-84872954265&amp;partnerID=40&amp;md5=bd83bc0caf3b2891c0dfd25016226ecb</t>
  </si>
  <si>
    <t>Tyshchuk, Y., Wallace, W.A.</t>
  </si>
  <si>
    <t>Actionable information during extreme events - Case study: Warnings and 2011 tohoku earthquake</t>
  </si>
  <si>
    <t>http://www.scopus.com/inward/record.url?eid=2-s2.0-84873675167&amp;partnerID=40&amp;md5=61dae8b722a9b39d71d555ed1919bbd2</t>
  </si>
  <si>
    <t>Pandit, S., Yang, Y., Chawla, N.V.</t>
  </si>
  <si>
    <t>Maximizing information spread through influence structures in social networks</t>
  </si>
  <si>
    <t>Proceedings - 12th IEEE International Conference on Data Mining Workshops, ICDMW 2012</t>
  </si>
  <si>
    <t>http://www.scopus.com/inward/record.url?eid=2-s2.0-84873179966&amp;partnerID=40&amp;md5=e53a6bfe428cf6f8e2af280bcbf188a9</t>
  </si>
  <si>
    <t>Gao, S., Denoyer, L., Gallinari, P.</t>
  </si>
  <si>
    <t>Temporal link prediction using content and structure [Prédiction de liens temporels en intégrant les informations de contenu et de structure]</t>
  </si>
  <si>
    <t>Ingenierie des Systemes d'Information</t>
  </si>
  <si>
    <t>http://www.scopus.com/inward/record.url?eid=2-s2.0-84872342753&amp;partnerID=40&amp;md5=f883cbb0306b54c35c6de6aad41acf1c</t>
  </si>
  <si>
    <t>Lo, Y.-C., Li, C.-T., Lin, S.-D.</t>
  </si>
  <si>
    <t>Parallelizing preferential attachment models for generating large-scale social networks that cannot fit into memory</t>
  </si>
  <si>
    <t>http://www.scopus.com/inward/record.url?eid=2-s2.0-84873667544&amp;partnerID=40&amp;md5=2dad5d42f01977ab09d142643b94d427</t>
  </si>
  <si>
    <t>Kim, M., Lee, E.</t>
  </si>
  <si>
    <t>A multidimensional analysis tool for visualizing online interactions</t>
  </si>
  <si>
    <t>Educational Technology and Society</t>
  </si>
  <si>
    <t>http://www.scopus.com/inward/record.url?eid=2-s2.0-84873807301&amp;partnerID=40&amp;md5=12d8843f03017cb54c0809e99a64949e</t>
  </si>
  <si>
    <t>Zeini, S., Göhnert, T., Hoppe, U., Krempel, L.</t>
  </si>
  <si>
    <t>The impact of measurement time on subgroup detection in online communities</t>
  </si>
  <si>
    <t>Proceedings of the 2012 IEEE/ACM International Conference on Advances in Social Networks Analysis and Mining, ASONAM 2012</t>
  </si>
  <si>
    <t>http://www.scopus.com/inward/record.url?eid=2-s2.0-84874269666&amp;partnerID=40&amp;md5=9a8bd0467624335dc0b4dfe47a2cd9b2</t>
  </si>
  <si>
    <t>Cuvelier, É., Bous, G., Aufaure, M.-A., Kleser, G.</t>
  </si>
  <si>
    <t>Social network analysis for administrations: An experiment of internal and external social networks integration in an administration [Analyse de réseaux sociaux pour les administrations: Une expérience d'intégration de réseaux sociaux internes et externes dans une administration]</t>
  </si>
  <si>
    <t>http://www.scopus.com/inward/record.url?eid=2-s2.0-84872320289&amp;partnerID=40&amp;md5=7c356edb2104c5d3ce7a1b497977cd5f</t>
  </si>
  <si>
    <t>Thovex, C., Trichet, F.</t>
  </si>
  <si>
    <t>Skills networks: From social networks analysis to predictive knowledge analysis [Réseaux de compétences: De l'analyse des réseaux sociaux à l'analyse prédictive des connaissances]</t>
  </si>
  <si>
    <t>http://www.scopus.com/inward/record.url?eid=2-s2.0-84872345992&amp;partnerID=40&amp;md5=6974b49f1e78f5f160134f195598c61f</t>
  </si>
  <si>
    <t>Liu, Y., Geng, M.</t>
  </si>
  <si>
    <t>Study method of enterprise micro-blogging followers' community based on social network analysis - Take Spring Airlines as example</t>
  </si>
  <si>
    <t>Proceedings of the 2012 2nd International Conference on Business Computing and Global Informatization, BCGIN 2012</t>
  </si>
  <si>
    <t>http://www.scopus.com/inward/record.url?eid=2-s2.0-84872425345&amp;partnerID=40&amp;md5=443201121ada7bf97338b732161b2f32</t>
  </si>
  <si>
    <t>Jung, J.J.</t>
  </si>
  <si>
    <t>Maximum entropy-based named entity recognition method for multiple social networking services</t>
  </si>
  <si>
    <t>Journal of Internet Technology</t>
  </si>
  <si>
    <t>http://www.scopus.com/inward/record.url?eid=2-s2.0-84872349759&amp;partnerID=40&amp;md5=4b1659a4bfaf436897cbdc76876a4a51</t>
  </si>
  <si>
    <t>Bauer, S., Noulas, A., Seaghdha, D.O., Clark, S., Mascolo, C.</t>
  </si>
  <si>
    <t>Talking places: Modelling and analysing linguistic content in foursquare</t>
  </si>
  <si>
    <t>http://www.scopus.com/inward/record.url?eid=2-s2.0-84873615803&amp;partnerID=40&amp;md5=7b0fe385996b4951d4d535c4d9812e91</t>
  </si>
  <si>
    <t>Scholz, C., Atzmueller, M., Stumme, G.</t>
  </si>
  <si>
    <t>On the predictability of human contacts: Influence factors and the strength of stronger ties</t>
  </si>
  <si>
    <t>http://www.scopus.com/inward/record.url?eid=2-s2.0-84873681971&amp;partnerID=40&amp;md5=0861842163a479cd97b666c5097fecd1</t>
  </si>
  <si>
    <t>La Fond, T., Roberts, D., Neville, J., Tyler, J., Connaughton, S.</t>
  </si>
  <si>
    <t>The impact of communication structure and interpersonal dependencies on distributed teams</t>
  </si>
  <si>
    <t>http://www.scopus.com/inward/record.url?eid=2-s2.0-84873649014&amp;partnerID=40&amp;md5=1b50182165e54731bf4e24e2fb090b95</t>
  </si>
  <si>
    <t>Dürr, M., Maier, M., Wiesner, K.</t>
  </si>
  <si>
    <t>An analysis of query forwarding strategies for secure and privacy-preserving social networks</t>
  </si>
  <si>
    <t>http://www.scopus.com/inward/record.url?eid=2-s2.0-84874253368&amp;partnerID=40&amp;md5=9579e9ff2ef2c52e8882d88670b4065f</t>
  </si>
  <si>
    <t>http://www.scopus.com/inward/record.url?eid=2-s2.0-84874280476&amp;partnerID=40&amp;md5=9b055de763c3f2519531ea49b538b889</t>
  </si>
  <si>
    <t>Lu, H.-H., Ting, I.-H., Wang, S.-L.</t>
  </si>
  <si>
    <t>A novel search engine based on social relationships in online social networking website</t>
  </si>
  <si>
    <t>http://www.scopus.com/inward/record.url?eid=2-s2.0-84874242230&amp;partnerID=40&amp;md5=07ee3b2a27b63a22e3110b1984a2989e</t>
  </si>
  <si>
    <t>Ben Hiba, L., Janati Idrissi, M.A.</t>
  </si>
  <si>
    <t>An SNA-based evaluation framework for virtual teams</t>
  </si>
  <si>
    <t>7567 LNCS</t>
  </si>
  <si>
    <t>http://www.scopus.com/inward/record.url?eid=2-s2.0-84873865183&amp;partnerID=40&amp;md5=8b71eaa2885d295e3a34bb7c53153e66</t>
  </si>
  <si>
    <t>Opuszko, M., Ruhland, J.</t>
  </si>
  <si>
    <t>Classification analysis in complex online social networks using semantic web technologies</t>
  </si>
  <si>
    <t>http://www.scopus.com/inward/record.url?eid=2-s2.0-84874280296&amp;partnerID=40&amp;md5=cade5b024aea03b69c9bef84acf178a8</t>
  </si>
  <si>
    <t>Ding, X., Wang, W.</t>
  </si>
  <si>
    <t>Enabling dynamic analysis of anonymized social network data</t>
  </si>
  <si>
    <t>http://www.scopus.com/inward/record.url?eid=2-s2.0-84872298113&amp;partnerID=40&amp;md5=bd8a43ba84861d72dd2f2dc42fa659c5</t>
  </si>
  <si>
    <t>Ramirez-Marquez, J.E., Hernandez, I., Schneider, K., Raintwater, C., Pohl, E.A.</t>
  </si>
  <si>
    <t>Reliability model for inuencing individuals in the social network setting</t>
  </si>
  <si>
    <t>http://www.scopus.com/inward/record.url?eid=2-s2.0-84873140280&amp;partnerID=40&amp;md5=d4c13819c1dc306a75df750259130272</t>
  </si>
  <si>
    <t>Kong, B., Chen, H., Liu, W., Zhou, L.</t>
  </si>
  <si>
    <t>A dynamic algorithm for community detection in social networks</t>
  </si>
  <si>
    <t>Proceedings of the World Congress on Intelligent Control and Automation (WCICA)</t>
  </si>
  <si>
    <t>http://www.scopus.com/inward/record.url?eid=2-s2.0-84872295738&amp;partnerID=40&amp;md5=3c5946dce45bf3f803b3ba2cd8717e44</t>
  </si>
  <si>
    <t>Santos, L.A.F., Campiolo, R., Gerosa, M.A., Batista, D.M.</t>
  </si>
  <si>
    <t>Analysis of security messages posted on twitter</t>
  </si>
  <si>
    <t>Proceedings - 9th Brazilian Symposium on Collaborative Systems, SBSC 2012</t>
  </si>
  <si>
    <t>http://www.scopus.com/inward/record.url?eid=2-s2.0-84872552294&amp;partnerID=40&amp;md5=fbd328cdba767cfd418f7d6d35205728</t>
  </si>
  <si>
    <t>Mukherjee, S.</t>
  </si>
  <si>
    <t>Identifying the greatest team and captain - A complex network approach to cricket matches</t>
  </si>
  <si>
    <t>Physica A: Statistical Mechanics and its Applications</t>
  </si>
  <si>
    <t>http://www.scopus.com/inward/record.url?eid=2-s2.0-84865724701&amp;partnerID=40&amp;md5=356dfcbed1d2953e010e024033804062</t>
  </si>
  <si>
    <t>Hillmann, R., Trier, M.</t>
  </si>
  <si>
    <t>Dissemination patterns and associated network effects of sentiments in social networks</t>
  </si>
  <si>
    <t>http://www.scopus.com/inward/record.url?eid=2-s2.0-84874277797&amp;partnerID=40&amp;md5=53a366e1113deaa70da7a25f4ad93075</t>
  </si>
  <si>
    <t>Chomutare, T., Årsand, E., Hartvigsen, G.</t>
  </si>
  <si>
    <t>Temporal community structure patterns in diabetes social networks</t>
  </si>
  <si>
    <t>http://www.scopus.com/inward/record.url?eid=2-s2.0-84874232117&amp;partnerID=40&amp;md5=1050ac66901485f229a8dd15a1d2496b</t>
  </si>
  <si>
    <t>Xu, K., Li, J., Song, Y.</t>
  </si>
  <si>
    <t>Identifying valuable customers on social networking sites for profit maximization</t>
  </si>
  <si>
    <t>http://www.scopus.com/inward/record.url?eid=2-s2.0-84864976515&amp;partnerID=40&amp;md5=862b87e24d0ea6d01c20523d158e37e4</t>
  </si>
  <si>
    <t>2012 International Conference on Management Science and Engineering, ICMSE 2012 - 19th Annual Conference Proceedings</t>
  </si>
  <si>
    <t>International Conference on Management Science and Engineering - Annual Conference Proceedings</t>
  </si>
  <si>
    <t>http://www.scopus.com/inward/record.url?eid=2-s2.0-84874396181&amp;partnerID=40&amp;md5=18e323ebce61e7697b2f2e2bd0926a8c</t>
  </si>
  <si>
    <t>Saganowski, S., Bródka, P., Kazienko, P.</t>
  </si>
  <si>
    <t>Influence of the user importance measure on the group evolution discovery</t>
  </si>
  <si>
    <t>Foundations of Computing and Decision Sciences</t>
  </si>
  <si>
    <t>http://www.scopus.com/inward/record.url?eid=2-s2.0-84872375465&amp;partnerID=40&amp;md5=be4c056fa625a582a231afb179d66871</t>
  </si>
  <si>
    <t>Softic, S.</t>
  </si>
  <si>
    <t>Towards identifying collaborative learning groups using social media</t>
  </si>
  <si>
    <t>International Journal of Emerging Technologies in Learning</t>
  </si>
  <si>
    <t>SPEC. ISSUE 2</t>
  </si>
  <si>
    <t>http://www.scopus.com/inward/record.url?eid=2-s2.0-84871687709&amp;partnerID=40&amp;md5=2d2de7c498172a745fbbc2563f76f143</t>
  </si>
  <si>
    <t>Bhat, S.Y., Abulaish, M.</t>
  </si>
  <si>
    <t>OCTracker: A density-based framework for tracking the evolution of overlapping communities in OSNs</t>
  </si>
  <si>
    <t>http://www.scopus.com/inward/record.url?eid=2-s2.0-84874230893&amp;partnerID=40&amp;md5=148349a257ed8f850d980bde064007fe</t>
  </si>
  <si>
    <t>Jiang, H., Karwowski, W., Ahram, T.</t>
  </si>
  <si>
    <t>Application of System Dynamics Modeling for the assessment of training performance effectiveness</t>
  </si>
  <si>
    <t>Proceedings of the Human Factors and Ergonomics Society</t>
  </si>
  <si>
    <t>http://www.scopus.com/inward/record.url?eid=2-s2.0-84873428523&amp;partnerID=40&amp;md5=36d2db8f6a1417582dcbb837c7802d9f</t>
  </si>
  <si>
    <t>Zhao, F., Wang, S.-N., Yang, K.-W.</t>
  </si>
  <si>
    <t>Comprehensive analysis method on the 2-mode network of expert consultation</t>
  </si>
  <si>
    <t>http://www.scopus.com/inward/record.url?eid=2-s2.0-84872373575&amp;partnerID=40&amp;md5=6ee7905ed6f44b8a69ae6f2128dc9034</t>
  </si>
  <si>
    <t>Pfeiffer, J.J., La Fond, T., Moreno, S., Neville, J.</t>
  </si>
  <si>
    <t>Fast generation of large scale social networks while incorporating transitive closures</t>
  </si>
  <si>
    <t>http://www.scopus.com/inward/record.url?eid=2-s2.0-84873690863&amp;partnerID=40&amp;md5=184ad9e19ade259de928b2e6bb9e7a20</t>
  </si>
  <si>
    <t>Janakiraman, K., Motahari, S.</t>
  </si>
  <si>
    <t>How are you related? predicting the type of a social relationship using call graph data</t>
  </si>
  <si>
    <t>http://www.scopus.com/inward/record.url?eid=2-s2.0-84873618671&amp;partnerID=40&amp;md5=3c1163948b8b3ddc07bf67ae18ee01c0</t>
  </si>
  <si>
    <t>Bonomo, F., Marenco, J., Saban, D., Stier-Moses, N.E.</t>
  </si>
  <si>
    <t>A polyhedral study of the maximum edge subgraph problem</t>
  </si>
  <si>
    <t>Discrete Applied Mathematics</t>
  </si>
  <si>
    <t>http://www.scopus.com/inward/record.url?eid=2-s2.0-84866731636&amp;partnerID=40&amp;md5=8e1468533d1030905f30283b839da650</t>
  </si>
  <si>
    <t>Maruhashi, K., Shigezumi, J., Yugami, N., Faloutsos, C.</t>
  </si>
  <si>
    <t>EigenSP: A more accurate shortest path distance estimation on large-scale networks</t>
  </si>
  <si>
    <t>http://www.scopus.com/inward/record.url?eid=2-s2.0-84873155528&amp;partnerID=40&amp;md5=fc0a91834c07bfa3dbc5d5aab680db46</t>
  </si>
  <si>
    <t>Koulocheri, E., Soumplis, A., Xenos, M.</t>
  </si>
  <si>
    <t>Applying learning analytics in an open personal learning environment: A quantitative approach</t>
  </si>
  <si>
    <t>Proceedings of the 2012 16th Panhellenic Conference on Informatics, PCI 2012</t>
  </si>
  <si>
    <t>http://www.scopus.com/inward/record.url?eid=2-s2.0-84872244321&amp;partnerID=40&amp;md5=3bb045d3601aa49cab2b3cb30088ba49</t>
  </si>
  <si>
    <t>Lorenzo, C.-M., Ángel Sicilia, M., Sánchez, S.</t>
  </si>
  <si>
    <t>Studying the effectiveness of multi-user immersive environments for collaborative evaluation tasks</t>
  </si>
  <si>
    <t>http://www.scopus.com/inward/record.url?eid=2-s2.0-84864219820&amp;partnerID=40&amp;md5=c3213fea8b3faff88c9c45c283c1833d</t>
  </si>
  <si>
    <t>Jun, S.</t>
  </si>
  <si>
    <t>Central technology forecasting using social network analysis</t>
  </si>
  <si>
    <t>340 CCIS</t>
  </si>
  <si>
    <t>http://www.scopus.com/inward/record.url?eid=2-s2.0-84869851615&amp;partnerID=40&amp;md5=b4e79d92a3bad76325cb1c2504c3a6a7</t>
  </si>
  <si>
    <t>Technology network model using bipartite social network analysis</t>
  </si>
  <si>
    <t>http://www.scopus.com/inward/record.url?eid=2-s2.0-84869802377&amp;partnerID=40&amp;md5=7f1d5ce1da9f6308ae525cdd3885fdab</t>
  </si>
  <si>
    <t>Hampson, C., Lawless, S., Bailey, E., Yogev, S., Zwerdling, N., Carmel, D., Conlan, O., O'Connor, A., Wade, V.</t>
  </si>
  <si>
    <t>CULTURA: A metadata-rich environment to support the enhanced interrogation of cultural collections</t>
  </si>
  <si>
    <t>343 CCIS</t>
  </si>
  <si>
    <t>http://www.scopus.com/inward/record.url?eid=2-s2.0-84869858544&amp;partnerID=40&amp;md5=c048d797e2f1f1e49e85cb4ec3e42949</t>
  </si>
  <si>
    <t>Datta, S., Sindhgatta, R., Sengupta, B.</t>
  </si>
  <si>
    <t>Talk versus work: Characteristics of developer collaboration on the jazz platform</t>
  </si>
  <si>
    <t>Proceedings of the Conference on Object-Oriented Programming Systems, Languages, and Applications, OOPSLA</t>
  </si>
  <si>
    <t>http://www.scopus.com/inward/record.url?eid=2-s2.0-84869824477&amp;partnerID=40&amp;md5=082222a478ed4c0573c0c426c1da4f91</t>
  </si>
  <si>
    <t>Gottardo, E., Noronha, R.V.</t>
  </si>
  <si>
    <t>Social networks applied to distance education courses: Analysis of interaction in discussion forums</t>
  </si>
  <si>
    <t>WebMedia'12 - Proceedings of the 2012 Brazilian Symposium on Multimedia and the Web</t>
  </si>
  <si>
    <t>http://www.scopus.com/inward/record.url?eid=2-s2.0-84869158521&amp;partnerID=40&amp;md5=06a612abdc4103d59a03773ecec0f15d</t>
  </si>
  <si>
    <t>Alves, L., Maciel, M., Ponciano, L., Brito, A.</t>
  </si>
  <si>
    <t>Assessing the impact of the social network on marking photos as favorites in Flickr</t>
  </si>
  <si>
    <t>http://www.scopus.com/inward/record.url?eid=2-s2.0-84869161185&amp;partnerID=40&amp;md5=be0d47e635378c57cb854cdf2f9f7b5d</t>
  </si>
  <si>
    <t>Viana, A., Neto, M., Ruivo, P.</t>
  </si>
  <si>
    <t>ERP usage and knowledge management: Using social information within Microsoft dynamics NAV on a Portuguese company</t>
  </si>
  <si>
    <t>Iberian Conference on Information Systems and Technologies, CISTI</t>
  </si>
  <si>
    <t>http://www.scopus.com/inward/record.url?eid=2-s2.0-84869051684&amp;partnerID=40&amp;md5=7ef3f4e2560dc926cc603d35e3273a18</t>
  </si>
  <si>
    <t>Lu, X., Cheliotis, G., Cao, X., Song, Y., Bressan, S.</t>
  </si>
  <si>
    <t>The configuration of networked publics on the web: Evidence from the Greek Indignados movement</t>
  </si>
  <si>
    <t>Proceedings of the 3rd Annual ACM Web Science Conference, WebSci'12</t>
  </si>
  <si>
    <t>http://www.scopus.com/inward/record.url?eid=2-s2.0-84869068634&amp;partnerID=40&amp;md5=546a537808645fb371a412a7962bae45</t>
  </si>
  <si>
    <t>Lin, J., Lee, S.T.</t>
  </si>
  <si>
    <t>Mapping 12 years of communication scholarship: themes and concepts in the Journal of Communication</t>
  </si>
  <si>
    <t>7634 LNCS</t>
  </si>
  <si>
    <t>http://www.scopus.com/inward/record.url?eid=2-s2.0-84869078008&amp;partnerID=40&amp;md5=7b23daa057a489d7c95151f7c5fccd53</t>
  </si>
  <si>
    <t>Venkatanathan, J., Karapanos, E., Kostakos, V., Gonçalves, J.</t>
  </si>
  <si>
    <t>Network, personality and social capital</t>
  </si>
  <si>
    <t>http://www.scopus.com/inward/record.url?eid=2-s2.0-84869006228&amp;partnerID=40&amp;md5=11373ab536d0015e25ef64e21c8f05f3</t>
  </si>
  <si>
    <t>Lee, B., Hwang, B.-Y.</t>
  </si>
  <si>
    <t>A study of the correlation between the spatial attributes on Twitter</t>
  </si>
  <si>
    <t>Proceedings - 2012 IEEE 28th International Conference on Data Engineering Workshops, ICDEW 2012</t>
  </si>
  <si>
    <t>http://www.scopus.com/inward/record.url?eid=2-s2.0-84869020237&amp;partnerID=40&amp;md5=a27837757de55ff3dac9315370168074</t>
  </si>
  <si>
    <t>Quan, X., Lu, Y., Liu, W.</t>
  </si>
  <si>
    <t>Towards modeling question popularity in community question answering</t>
  </si>
  <si>
    <t>Proceedings of the 11th IEEE International Conference on Cognitive Informatics and Cognitive Computing, ICCI*CC 2012</t>
  </si>
  <si>
    <t>http://www.scopus.com/inward/record.url?eid=2-s2.0-84868656260&amp;partnerID=40&amp;md5=27f82d927315e12841e81314a9d25ecd</t>
  </si>
  <si>
    <t>Asadi, H., Martenson, C., Svenson, P., Skold, M.</t>
  </si>
  <si>
    <t>The HiTS/ISAC social network analysis tool</t>
  </si>
  <si>
    <t>Proceedings - 2012 European Intelligence and Security Informatics Conference, EISIC 2012</t>
  </si>
  <si>
    <t>http://www.scopus.com/inward/record.url?eid=2-s2.0-84868590086&amp;partnerID=40&amp;md5=5bc785792dd23333a7b76535e04a732d</t>
  </si>
  <si>
    <t>Berzinji, A., Kaati, L., Rezine, A.</t>
  </si>
  <si>
    <t>Detecting key players in terrorist networks</t>
  </si>
  <si>
    <t>http://www.scopus.com/inward/record.url?eid=2-s2.0-84868551109&amp;partnerID=40&amp;md5=75f22fbdd07f54b926f9803481ab68c9</t>
  </si>
  <si>
    <t>Danowski, J.A.</t>
  </si>
  <si>
    <t>Semantic network analysis of Islamist sources using time slices as nodes and semantic similarity as link strengths: Some implications for propaganda analysis about Jihad</t>
  </si>
  <si>
    <t>http://www.scopus.com/inward/record.url?eid=2-s2.0-84868552057&amp;partnerID=40&amp;md5=90369373116a8792d86467537e9c5e10</t>
  </si>
  <si>
    <t>Park, A.J., Tsang, H.H., Brantingham, P.L.</t>
  </si>
  <si>
    <t>Dynalink: A framework for dynamic criminal network visualization</t>
  </si>
  <si>
    <t>http://www.scopus.com/inward/record.url?eid=2-s2.0-84868597910&amp;partnerID=40&amp;md5=2dc74f9b767dbd8dbe8d1e2750871438</t>
  </si>
  <si>
    <t>Yau, C., Straight, M., Bir, R., Addam, O., Shafiq, M.O., Alhajj, R.</t>
  </si>
  <si>
    <t>Examining social networks between educational institutions, industrial partners, and the Canadian government</t>
  </si>
  <si>
    <t>Proceedings of the 2012 IEEE 13th International Conference on Information Reuse and Integration, IRI 2012</t>
  </si>
  <si>
    <t>http://www.scopus.com/inward/record.url?eid=2-s2.0-84868309672&amp;partnerID=40&amp;md5=feeead736ee545adc18d092916bd9e21</t>
  </si>
  <si>
    <t>Kumar, A., Rao, T., Nagpal, S.</t>
  </si>
  <si>
    <t>Using strong, acquaintance and weak tie strengths for modeling relationships in facebook network</t>
  </si>
  <si>
    <t>306 CCIS</t>
  </si>
  <si>
    <t>http://www.scopus.com/inward/record.url?eid=2-s2.0-84868281111&amp;partnerID=40&amp;md5=1be417b474a95105b5092aa6848a5d98</t>
  </si>
  <si>
    <t>Yan, L., Wang, J., Han, J., Wang, Y.</t>
  </si>
  <si>
    <t>A significance-driven framework for characterizing and finding evolving patterns of news networks</t>
  </si>
  <si>
    <t>7530 LNAI</t>
  </si>
  <si>
    <t>http://www.scopus.com/inward/record.url?eid=2-s2.0-84868252090&amp;partnerID=40&amp;md5=fa4d3b3b09be3a159b804543321887ae</t>
  </si>
  <si>
    <t>Wiesinger, A., Beimborn, D., Weitzel, T.</t>
  </si>
  <si>
    <t>How do planned and actual interaction structures differ in global outsourcing arrangements?</t>
  </si>
  <si>
    <t>Lecture Notes in Business Information Processing</t>
  </si>
  <si>
    <t>130 LNBIP</t>
  </si>
  <si>
    <t>http://www.scopus.com/inward/record.url?eid=2-s2.0-84868227452&amp;partnerID=40&amp;md5=5577773b5ea78f04a8f32f58b660b04d</t>
  </si>
  <si>
    <t>Ahmed, F., Abulaish, M.</t>
  </si>
  <si>
    <t>An MCL-based approach for spam profile detection in online social networks</t>
  </si>
  <si>
    <t>Proc. of the 11th IEEE Int. Conference on Trust, Security and Privacy in Computing and Communications, TrustCom-2012 - 11th IEEE Int. Conference on Ubiquitous Computing and Communications, IUCC-2012</t>
  </si>
  <si>
    <t>http://www.scopus.com/inward/record.url?eid=2-s2.0-84868089771&amp;partnerID=40&amp;md5=70974ceb47f2b874d3d8728edd1d253d</t>
  </si>
  <si>
    <t>Sheng, G.-Z., Zhao, Y., Xing, K.</t>
  </si>
  <si>
    <t>Split-node on overlapping community in dense social networks</t>
  </si>
  <si>
    <t>ICCSE 2012 - Proceedings of 2012 7th International Conference on Computer Science and Education</t>
  </si>
  <si>
    <t>http://www.scopus.com/inward/record.url?eid=2-s2.0-84868112046&amp;partnerID=40&amp;md5=2edf8adcb86db7224bef33e2ab4ed637</t>
  </si>
  <si>
    <t>Fu, J., Chai, J., Sun, D., Wang, S.</t>
  </si>
  <si>
    <t>Multi-factor analysis of terrorist activities based on social network</t>
  </si>
  <si>
    <t>Proceedings of the 2012 5th International Conference on Business Intelligence and Financial Engineering, BIFE 2012</t>
  </si>
  <si>
    <t>http://www.scopus.com/inward/record.url?eid=2-s2.0-84868148383&amp;partnerID=40&amp;md5=1490d559df2858483f9256505fd01d27</t>
  </si>
  <si>
    <t>Hao, S., Chen, C.</t>
  </si>
  <si>
    <t>A social network approach to software development risk correlation analysis</t>
  </si>
  <si>
    <t>http://www.scopus.com/inward/record.url?eid=2-s2.0-84868112229&amp;partnerID=40&amp;md5=0c95ca35f9cf53f839b60b5c0e938fd4</t>
  </si>
  <si>
    <t>Hampson, C., Agosti, M., Orio, N., Bailey, E., Lawless, S., Conlan, O., Wade, V.</t>
  </si>
  <si>
    <t>The CULTURA project: Supporting next generation interaction with digital cultural heritage collections</t>
  </si>
  <si>
    <t>7616 LNCS</t>
  </si>
  <si>
    <t>http://www.scopus.com/inward/record.url?eid=2-s2.0-84868013361&amp;partnerID=40&amp;md5=93b502bf3c96f2c22bed643c9e946969</t>
  </si>
  <si>
    <t>Brunelli, M., Fedrizzi, M., Fedrizzi, M., Molinari, F.</t>
  </si>
  <si>
    <t>On some connections between multidistances and valued m-ary adjacency relations</t>
  </si>
  <si>
    <t>297 CCIS</t>
  </si>
  <si>
    <t>http://www.scopus.com/inward/record.url?eid=2-s2.0-84868018580&amp;partnerID=40&amp;md5=2f74fd2d5198b7aa5d7a2eb1e751e268</t>
  </si>
  <si>
    <t>Stewart, S.A., Abidi, S.S.R.</t>
  </si>
  <si>
    <t>Applying social network analysis to understand the knowledge sharing behaviour of practitioners in a clinical online discussion forum</t>
  </si>
  <si>
    <t>Journal of Medical Internet Research</t>
  </si>
  <si>
    <t xml:space="preserve"> e170</t>
  </si>
  <si>
    <t>http://www.scopus.com/inward/record.url?eid=2-s2.0-84872450873&amp;partnerID=40&amp;md5=6679ed3c099ff89a7c1cf83def441818</t>
  </si>
  <si>
    <t>Rienties, B., Giesbers, B., Tempelaar, D., Lygo-Baker, S., Segers, M., Gijselaers, W.</t>
  </si>
  <si>
    <t>The role of scaffolding and motivation in CSCL</t>
  </si>
  <si>
    <t>http://www.scopus.com/inward/record.url?eid=2-s2.0-84860996732&amp;partnerID=40&amp;md5=466c6edb20f354962982e2d4529d93c1</t>
  </si>
  <si>
    <t>Review</t>
  </si>
  <si>
    <t>Wang, M.-Y., Lo, H.-C., Liao, Y.-Y., Lin, P.-Y.</t>
  </si>
  <si>
    <t>Determinants of patent renewal decisions by patent indicators and social network analysis: The case of the biotech industry in Taiwan and Korea</t>
  </si>
  <si>
    <t>2012 Proceedings of Portland International Center for Management of Engineering and Technology: Technology Management for Emerging Technologies, PICMET'12</t>
  </si>
  <si>
    <t>http://www.scopus.com/inward/record.url?eid=2-s2.0-84867954776&amp;partnerID=40&amp;md5=0e3aa58368463a1ed59b4ea15aba3505</t>
  </si>
  <si>
    <t>Gou, C., Liu, Y., Ding, C.</t>
  </si>
  <si>
    <t>Study on gravitation between international inland-port and harbor</t>
  </si>
  <si>
    <t>IEEE International Conference on Automation and Logistics, ICAL</t>
  </si>
  <si>
    <t>http://www.scopus.com/inward/record.url?eid=2-s2.0-84867949476&amp;partnerID=40&amp;md5=8e79857dec5298dd4be182ef7d1f50e9</t>
  </si>
  <si>
    <t>Oyama, S., Hayashi, K., Kashima, H.</t>
  </si>
  <si>
    <t>Link prediction across time via cross-temporal locality preserving projections</t>
  </si>
  <si>
    <t>IEICE Transactions on Information and Systems</t>
  </si>
  <si>
    <t>E95-D</t>
  </si>
  <si>
    <t>http://www.scopus.com/inward/record.url?eid=2-s2.0-84868243622&amp;partnerID=40&amp;md5=bb89ed8a2c743ee0a565a6c1ce0921bc</t>
  </si>
  <si>
    <t>Huang, H.-C., Shih, H.-Y.</t>
  </si>
  <si>
    <t>Exploring the structure of international technology diffusion</t>
  </si>
  <si>
    <t>http://www.scopus.com/inward/record.url?eid=2-s2.0-84867962430&amp;partnerID=40&amp;md5=c0492c159706f06d115343d6c6ed3c88</t>
  </si>
  <si>
    <t>Scalable community discovery based on threshold random walk</t>
  </si>
  <si>
    <t>Journal of Computational Information Systems</t>
  </si>
  <si>
    <t>http://www.scopus.com/inward/record.url?eid=2-s2.0-84868338848&amp;partnerID=40&amp;md5=7dc038b47da7a1ada68185e0620ed63b</t>
  </si>
  <si>
    <t>Liu, L., Tang, J., Han, J., Yang, S.</t>
  </si>
  <si>
    <t>Learning influence from heterogeneous social networks</t>
  </si>
  <si>
    <t>Data Mining and Knowledge Discovery</t>
  </si>
  <si>
    <t>http://www.scopus.com/inward/record.url?eid=2-s2.0-84865611721&amp;partnerID=40&amp;md5=b13b3e990f690edc4ef8ad9e21be187b</t>
  </si>
  <si>
    <t>Alnuaimi, T., Opsahl, T., George, G.</t>
  </si>
  <si>
    <t>Innovating in the periphery: The impact of local and foreign inventor mobility on the value of Indian patents</t>
  </si>
  <si>
    <t>Research Policy</t>
  </si>
  <si>
    <t>http://www.scopus.com/inward/record.url?eid=2-s2.0-84866323287&amp;partnerID=40&amp;md5=f9e2536d5d5315a45b37b70978b0d1a8</t>
  </si>
  <si>
    <t>Chiu, Y.-J., Li, C.-W.</t>
  </si>
  <si>
    <t>Structuring key support measures for Taiwan's renewable energy development policy</t>
  </si>
  <si>
    <t>http://www.scopus.com/inward/record.url?eid=2-s2.0-84867921931&amp;partnerID=40&amp;md5=7045eb87f6571a5378c88e0067420461</t>
  </si>
  <si>
    <t>Chen, J.K.C., Wang, M.-Y., Chen, Y.-R., Chen, Y.-S.</t>
  </si>
  <si>
    <t>Exploring knowledge flows of network on patent of dye sensitized solar cell</t>
  </si>
  <si>
    <t>http://www.scopus.com/inward/record.url?eid=2-s2.0-84867929681&amp;partnerID=40&amp;md5=9d17efefd1efe696d20af4de13d5a2bd</t>
  </si>
  <si>
    <t>Chinchilla-Rodríguez, Z., Benavent-Pérez, M., De Moya-Anegon, F., Miguel, S.</t>
  </si>
  <si>
    <t>International collaboration in medical research in Latin America and the Caribbean (2003-2007)</t>
  </si>
  <si>
    <t>Journal of the American Society for Information Science and Technology</t>
  </si>
  <si>
    <t>http://www.scopus.com/inward/record.url?eid=2-s2.0-84868118716&amp;partnerID=40&amp;md5=046ea91f7dcf39540789df5e5239d6a4</t>
  </si>
  <si>
    <t>Pankong, N., Prakancharoen, S., Buranarach, M.</t>
  </si>
  <si>
    <t>A combined semantic social network analysis framework to integrate social media data</t>
  </si>
  <si>
    <t>Proceedings of the 2012 4th International Conference on Knowledge and Smart Technology, KST 2012</t>
  </si>
  <si>
    <t>http://www.scopus.com/inward/record.url?eid=2-s2.0-84867694939&amp;partnerID=40&amp;md5=9d14663d7142685d0c196004bf8a3a4a</t>
  </si>
  <si>
    <t>Nygren, E.</t>
  </si>
  <si>
    <t>Simulation of user participation and interaction in online discussion groups</t>
  </si>
  <si>
    <t>7472 LNAI</t>
  </si>
  <si>
    <t>http://www.scopus.com/inward/record.url?eid=2-s2.0-84867646456&amp;partnerID=40&amp;md5=731f1491596d3a686d951456a9defdab</t>
  </si>
  <si>
    <t>Ono, E., Nozawa, T., Ogata, T., Motohashi, M., Higo, N., Kobayashi, T., Ishikawa, K., Ara, K., Yano, K., Miyake, Y.</t>
  </si>
  <si>
    <t>Fundamental deliberation on exploring mental health through social interaction pattern</t>
  </si>
  <si>
    <t>2012 ICME International Conference on Complex Medical Engineering, CME 2012 Proceedings</t>
  </si>
  <si>
    <t>http://www.scopus.com/inward/record.url?eid=2-s2.0-84867637251&amp;partnerID=40&amp;md5=54ec5f7535919ac67080cb6d35b2e2fa</t>
  </si>
  <si>
    <t>Sedlmair, M., Frank, A., Munzner, T., Butz, A.</t>
  </si>
  <si>
    <t>RelEx: Visualization for actively changing overlay network specifications</t>
  </si>
  <si>
    <t>IEEE Transactions on Visualization and Computer Graphics</t>
  </si>
  <si>
    <t>http://www.scopus.com/inward/record.url?eid=2-s2.0-84867650813&amp;partnerID=40&amp;md5=caab79b2e9bf3343612a3698c3138676</t>
  </si>
  <si>
    <t>Laskowski, K.</t>
  </si>
  <si>
    <t>Transfer cross entropy for fast sociometric inference in longitudinal collections of multi-party conversation</t>
  </si>
  <si>
    <t>ICASSP, IEEE International Conference on Acoustics, Speech and Signal Processing - Proceedings</t>
  </si>
  <si>
    <t>http://www.scopus.com/inward/record.url?eid=2-s2.0-84867625324&amp;partnerID=40&amp;md5=407f3525f4a6afa8e9ef36d317b68614</t>
  </si>
  <si>
    <t>Alonso, J.M., Pancho, D.P., Magdalena, L.</t>
  </si>
  <si>
    <t>Enhancing the fuzzy modeling tool GUAJE with a new module for fingrams-based analysis of fuzzy rule bases</t>
  </si>
  <si>
    <t>IEEE International Conference on Fuzzy Systems</t>
  </si>
  <si>
    <t>http://www.scopus.com/inward/record.url?eid=2-s2.0-84867586290&amp;partnerID=40&amp;md5=221065b00732909e0e9c630a5dec200e</t>
  </si>
  <si>
    <t>Riedy, J., Meyerhenke, H., Bader, D.A., Ediger, D., Mattson, T.G.</t>
  </si>
  <si>
    <t>Analysis of streaming social networks and graphs on multicore architectures</t>
  </si>
  <si>
    <t>http://www.scopus.com/inward/record.url?eid=2-s2.0-84867602725&amp;partnerID=40&amp;md5=9adf5ce3fa96f8efd3095810c2de9d91</t>
  </si>
  <si>
    <t>Kim, M., Han, S., Kim, J., Choi, K.</t>
  </si>
  <si>
    <t>IPTV contents recommender system based on a social network</t>
  </si>
  <si>
    <t>Lecture Notes in Electrical Engineering</t>
  </si>
  <si>
    <t>181 LNEE</t>
  </si>
  <si>
    <t>http://www.scopus.com/inward/record.url?eid=2-s2.0-84867460868&amp;partnerID=40&amp;md5=38c5ccfe43b479caca9ef037a48f1933</t>
  </si>
  <si>
    <t>Greene, D., Sheridan, G., Smyth, B., Cunningham, P.</t>
  </si>
  <si>
    <t>Aggregating content and network information to curate twitter user lists</t>
  </si>
  <si>
    <t>RSWeb'12 - Proceedings of the 4th ACM RecSys Workshop on Recommender Systems and the Social Web</t>
  </si>
  <si>
    <t>http://www.scopus.com/inward/record.url?eid=2-s2.0-84867455883&amp;partnerID=40&amp;md5=0a7b75349c570b2c7c181d03a1252d58</t>
  </si>
  <si>
    <t>Abrol, S., Khan, L., Khadilkar, V., Thuraisingham, B., Cadenhead, T.</t>
  </si>
  <si>
    <t>Design and implementation of SNODSOC: Novel class detection for social network analysis</t>
  </si>
  <si>
    <t>ISI 2012 - 2012 IEEE International Conference on Intelligence and Security Informatics: Cyberspace, Border, and Immigration Securities</t>
  </si>
  <si>
    <t>http://www.scopus.com/inward/record.url?eid=2-s2.0-84867391762&amp;partnerID=40&amp;md5=86b4f89d910c05fc0a8d6ee840089f1a</t>
  </si>
  <si>
    <t>Yip, M., Shadbolt, N., Webber, C.</t>
  </si>
  <si>
    <t>Structural analysis of online criminal social networks</t>
  </si>
  <si>
    <t>http://www.scopus.com/inward/record.url?eid=2-s2.0-84867391098&amp;partnerID=40&amp;md5=e68bab0fb164aa8ecb849e083d85970a</t>
  </si>
  <si>
    <t>Ozgul, F., Gok, M., Erdem, Z., Ozal, Y.</t>
  </si>
  <si>
    <t>Detecting criminal networks: SNA models are compared to proprietary models</t>
  </si>
  <si>
    <t>http://www.scopus.com/inward/record.url?eid=2-s2.0-84867340573&amp;partnerID=40&amp;md5=c44d536b1a2366454186feb1ab4c4506</t>
  </si>
  <si>
    <t>Li, B.-X., Li, M.-J., Sun, D.-Y., Li, J., Li, W.-J.</t>
  </si>
  <si>
    <t>Evaluation method for node importance based on node condensation in terrorism networks</t>
  </si>
  <si>
    <t>http://www.scopus.com/inward/record.url?eid=2-s2.0-84867382079&amp;partnerID=40&amp;md5=542157576bca2ded2b3e934d5339fdf0</t>
  </si>
  <si>
    <t>Parthasarathi, J., Sundararaman, K., Rao, G.S.V.R.K.</t>
  </si>
  <si>
    <t>Perisikan: An intelligent framework for social network data analysis</t>
  </si>
  <si>
    <t>International Conference on Communications and Information Technology - Proceedings</t>
  </si>
  <si>
    <t>http://www.scopus.com/inward/record.url?eid=2-s2.0-84867370543&amp;partnerID=40&amp;md5=2defcbda0fcd61de0161da4aaa979825</t>
  </si>
  <si>
    <t>Chang, I.-C., Yang, J.-H., Liao, Y.-H.</t>
  </si>
  <si>
    <t>Multi-camera based social network analysis</t>
  </si>
  <si>
    <t>Proceedings of the 2012 8th International Conference on Intelligent Information Hiding and Multimedia Signal Processing, IIH-MSP 2012</t>
  </si>
  <si>
    <t>http://www.scopus.com/inward/record.url?eid=2-s2.0-84867156431&amp;partnerID=40&amp;md5=354f78899ec1a4d362460f3847289714</t>
  </si>
  <si>
    <t>Davoodi, E., Kianmehr, K., Afsharchi, M.</t>
  </si>
  <si>
    <t>A semantic social network-based expert recommender system</t>
  </si>
  <si>
    <t>Applied Intelligence</t>
  </si>
  <si>
    <t>http://www.scopus.com/inward/record.url?eid=2-s2.0-84867120286&amp;partnerID=40&amp;md5=1b9dcf5ecb5d59b5a7ae60acf31448a0</t>
  </si>
  <si>
    <t>Li, C., Zhao, Z., Liu, S., Yin, L., Luo, J.</t>
  </si>
  <si>
    <t>Relationships between geographical cluster and cyberspace community: A case study on microblog</t>
  </si>
  <si>
    <t>Proceedings - 2012 20th International Conference on Geoinformatics, Geoinformatics 2012</t>
  </si>
  <si>
    <t>http://www.scopus.com/inward/record.url?eid=2-s2.0-84867114000&amp;partnerID=40&amp;md5=81a5b1f542c9b6c8e95c56c278996323</t>
  </si>
  <si>
    <t>Shaw, M., Koutris, P., Howe, B., Suciu, D.</t>
  </si>
  <si>
    <t>Optimizing large-scale semi-naïve datalog evaluation in Hadoop</t>
  </si>
  <si>
    <t>7494 LNCS</t>
  </si>
  <si>
    <t>http://www.scopus.com/inward/record.url?eid=2-s2.0-84867127942&amp;partnerID=40&amp;md5=781ac5a05a3a13316d69777cbca4b0ea</t>
  </si>
  <si>
    <t>Magdaleno, A.M., Araujo, R.M., Werner, C.M.L.</t>
  </si>
  <si>
    <t>An exploratory study on collaboration understanding in software development social networks</t>
  </si>
  <si>
    <t>7493 LNCS</t>
  </si>
  <si>
    <t>http://www.scopus.com/inward/record.url?eid=2-s2.0-84867135359&amp;partnerID=40&amp;md5=f6963067293642f0fe38685f226defe7</t>
  </si>
  <si>
    <t>Jirapanthong, W.</t>
  </si>
  <si>
    <t>Using social network analysis technique for supporting software product line process</t>
  </si>
  <si>
    <t>CSAE 2012 - Proceedings, 2012 IEEE International Conference on Computer Science and Automation Engineering</t>
  </si>
  <si>
    <t>http://www.scopus.com/inward/record.url?eid=2-s2.0-84867051050&amp;partnerID=40&amp;md5=da5786a9e713bb85e80e67e5c65676f0</t>
  </si>
  <si>
    <t>Silva, A., Figueira, Á.</t>
  </si>
  <si>
    <t>Visual analysis of online interactions through social network patterns</t>
  </si>
  <si>
    <t>Proceedings of the 12th IEEE International Conference on Advanced Learning Technologies, ICALT 2012</t>
  </si>
  <si>
    <t>http://www.scopus.com/inward/record.url?eid=2-s2.0-84867005749&amp;partnerID=40&amp;md5=3676c7ceb5c2dbb5110273f7c26939f6</t>
  </si>
  <si>
    <t>Derntl, M., Klamma, R.</t>
  </si>
  <si>
    <t>Social network analysis of European project consortia to reveal impact of technology-enhanced learning projects</t>
  </si>
  <si>
    <t>http://www.scopus.com/inward/record.url?eid=2-s2.0-84867004391&amp;partnerID=40&amp;md5=06edc174ba2af03b4bdd17f41d6b6444</t>
  </si>
  <si>
    <t>Sadan, Z., Schwartz, D.G.</t>
  </si>
  <si>
    <t>Social network analysis for cluster-based IP spam reputation</t>
  </si>
  <si>
    <t>Information Management and Computer Security</t>
  </si>
  <si>
    <t>http://www.scopus.com/inward/record.url?eid=2-s2.0-84866996814&amp;partnerID=40&amp;md5=3759c003d16a246cbf2385b11e90bfe2</t>
  </si>
  <si>
    <t>Chang, W.-C., Chien, Y.-Y.</t>
  </si>
  <si>
    <t>Learning achievements and after-school friendship interpersonal of social network analysis</t>
  </si>
  <si>
    <t>Proceedings - ICIDT 2012, 8th International Conference on Information Science and Digital Content Technology</t>
  </si>
  <si>
    <t>http://www.scopus.com/inward/record.url?eid=2-s2.0-84866993897&amp;partnerID=40&amp;md5=9bdf02c35c4a4a024681ad032f46f21a</t>
  </si>
  <si>
    <t>Chen, J.M., Sun, Y.S., Chen, M.C.</t>
  </si>
  <si>
    <t>A hybrid tag-based recommendation mechanism to support prior knowledge construction</t>
  </si>
  <si>
    <t>http://www.scopus.com/inward/record.url?eid=2-s2.0-84867014375&amp;partnerID=40&amp;md5=fc0d1714200c8080879a16a312ead94d</t>
  </si>
  <si>
    <t>Weng, M.M., Kau, B.C., Yen, N.Y.</t>
  </si>
  <si>
    <t>Correlation mining and discovery for learning resources</t>
  </si>
  <si>
    <t>http://www.scopus.com/inward/record.url?eid=2-s2.0-84867021107&amp;partnerID=40&amp;md5=ee22987d10865d6fb76d1af6ee0765cc</t>
  </si>
  <si>
    <t>Albalooshi, N., Mavridis, N., Al-Qirim, N.</t>
  </si>
  <si>
    <t>A survey on social networks and organization development</t>
  </si>
  <si>
    <t>Proceedings of the 2012 International Conference on Collaboration Technologies and Systems, CTS 2012</t>
  </si>
  <si>
    <t>http://www.scopus.com/inward/record.url?eid=2-s2.0-84866921924&amp;partnerID=40&amp;md5=37a6d109f6beeb660b9e346e88268d9e</t>
  </si>
  <si>
    <t>Vodopivec, S., Bešter, J., Kos, A.</t>
  </si>
  <si>
    <t>A survey on clustering algorithms for vehicular ad-hoc networks</t>
  </si>
  <si>
    <t>2012 35th International Conference on Telecommunications and Signal Processing, TSP 2012 - Proceedings</t>
  </si>
  <si>
    <t>http://www.scopus.com/inward/record.url?eid=2-s2.0-84866902640&amp;partnerID=40&amp;md5=38faf6e0fca83c9a409d18321f21f7b3</t>
  </si>
  <si>
    <t>McCarthy, P.</t>
  </si>
  <si>
    <t>Path-sharing: A new betweenness measure for community identification in networks</t>
  </si>
  <si>
    <t>2012 IEEE Congress on Evolutionary Computation, CEC 2012</t>
  </si>
  <si>
    <t>http://www.scopus.com/inward/record.url?eid=2-s2.0-84866863459&amp;partnerID=40&amp;md5=a29831aad526806791934a600515c92a</t>
  </si>
  <si>
    <t>Nirkhi, S.M., Dharaskar, R.V., Thakre, V.M.</t>
  </si>
  <si>
    <t>Analysis of online messages for identity tracing in cybercrime investigation</t>
  </si>
  <si>
    <t>Proceedings 2012 International Conference on Cyber Security, Cyber Warfare and Digital Forensic, CyberSec 2012</t>
  </si>
  <si>
    <t>http://www.scopus.com/inward/record.url?eid=2-s2.0-84866653011&amp;partnerID=40&amp;md5=370710929709aedc8988d93ef46cddb1</t>
  </si>
  <si>
    <t>Annese, S., Traetta, M.</t>
  </si>
  <si>
    <t>Distributed participation in blended learning communities: Actors, contexts and groups</t>
  </si>
  <si>
    <t>International Journal of Web Based Communities</t>
  </si>
  <si>
    <t>http://www.scopus.com/inward/record.url?eid=2-s2.0-84867465309&amp;partnerID=40&amp;md5=a732abb4fb349e86d2a36c646e351526</t>
  </si>
  <si>
    <t>Wang, M., Qu, H.</t>
  </si>
  <si>
    <t>Development situation study of information retrieval in China based on the CSSCI</t>
  </si>
  <si>
    <t>Wuhan Daxue Xuebao (Xinxi Kexue Ban)/Geomatics and Information Science of Wuhan University</t>
  </si>
  <si>
    <t>SUPPL.2</t>
  </si>
  <si>
    <t>http://www.scopus.com/inward/record.url?eid=2-s2.0-84871080452&amp;partnerID=40&amp;md5=5713e04111a644037c8f0e901f4e65f1</t>
  </si>
  <si>
    <t>Leivadeas, A., Papagianni, C., Papavassiliou, S.</t>
  </si>
  <si>
    <t>Socio-aware virtual network embedding</t>
  </si>
  <si>
    <t>IEEE Network</t>
  </si>
  <si>
    <t>http://www.scopus.com/inward/record.url?eid=2-s2.0-84866679745&amp;partnerID=40&amp;md5=1bd69c29110bb4be47943586c69a3cdd</t>
  </si>
  <si>
    <t>Watson, A.</t>
  </si>
  <si>
    <t>The world according to iTunes: Mapping urban networks of music production</t>
  </si>
  <si>
    <t>Global Networks</t>
  </si>
  <si>
    <t>http://www.scopus.com/inward/record.url?eid=2-s2.0-84866434633&amp;partnerID=40&amp;md5=92bb9fced16570b5934ab94c4e9b22fe</t>
  </si>
  <si>
    <t>Korkmaz, S., Singh, A.</t>
  </si>
  <si>
    <t>Impact of team characteristics in learning sustainable built environment practices</t>
  </si>
  <si>
    <t>Journal of Professional Issues in Engineering Education and Practice</t>
  </si>
  <si>
    <t>http://www.scopus.com/inward/record.url?eid=2-s2.0-84873367470&amp;partnerID=40&amp;md5=c0c561eb94d61c91cb42443521fa622b</t>
  </si>
  <si>
    <t>Li, X., Jia, L.</t>
  </si>
  <si>
    <t>Analysis on the co-authoring in the field of knowledge management based on SNA</t>
  </si>
  <si>
    <t>http://www.scopus.com/inward/record.url?eid=2-s2.0-84871041423&amp;partnerID=40&amp;md5=1c98e177160449b375dc8665f32056f6</t>
  </si>
  <si>
    <t>Duan, S.-Q., Wu, B., Yu, L., Wang, B.</t>
  </si>
  <si>
    <t>PDM: A parallel data analysis system based on Hadoop</t>
  </si>
  <si>
    <t>Hunan Daxue Xuebao/Journal of Hunan University Natural Sciences</t>
  </si>
  <si>
    <t>http://www.scopus.com/inward/record.url?eid=2-s2.0-84870261616&amp;partnerID=40&amp;md5=7cb3d8dededfcf31020a1d2726dec96a</t>
  </si>
  <si>
    <t>Gan, C., Wang, W.</t>
  </si>
  <si>
    <t>Status and trends on blog research: A co-word analysis</t>
  </si>
  <si>
    <t>http://www.scopus.com/inward/record.url?eid=2-s2.0-84871032748&amp;partnerID=40&amp;md5=d2e88732d4119db6a3ae290849155adf</t>
  </si>
  <si>
    <t>Sha, Y., Qu, Q., Li, H.</t>
  </si>
  <si>
    <t>Geographic distribution and structure of the websites of "211 project" universities in China</t>
  </si>
  <si>
    <t>SUPPL.1</t>
  </si>
  <si>
    <t>http://www.scopus.com/inward/record.url?eid=2-s2.0-84871091960&amp;partnerID=40&amp;md5=8b3cb0e590ce0e3ca7fb43fb1a37d107</t>
  </si>
  <si>
    <t>Zeng, Q., Qiu, J.</t>
  </si>
  <si>
    <t>Study on knowledge communication in virtual community based on link analysis - A case study of the CSDN blog community</t>
  </si>
  <si>
    <t>http://www.scopus.com/inward/record.url?eid=2-s2.0-84871046944&amp;partnerID=40&amp;md5=d0d370ef40af05e616be55ec616a02e8</t>
  </si>
  <si>
    <t>Liu, C., Gao, J.</t>
  </si>
  <si>
    <t>An empirical study of authors cooperation for biological and medical engineering in Tianjin by using SNA method</t>
  </si>
  <si>
    <t>http://www.scopus.com/inward/record.url?eid=2-s2.0-84871051317&amp;partnerID=40&amp;md5=cf876e306a4cb07e1fbc8948ed1d21ba</t>
  </si>
  <si>
    <t>Wen, F.</t>
  </si>
  <si>
    <t>Study on the concentrated distribution of scientific collaboration - Taking "985 Project" universities in China as example</t>
  </si>
  <si>
    <t>http://www.scopus.com/inward/record.url?eid=2-s2.0-84871045321&amp;partnerID=40&amp;md5=c0b3e02ca040a943ccad7f02420ee3bf</t>
  </si>
  <si>
    <t>Wan, H., Yang, G.</t>
  </si>
  <si>
    <t>Analysis on the co-occurrence keywords of the project name - Taken the national natural science foundation of China in 2001-2011 as example</t>
  </si>
  <si>
    <t>http://www.scopus.com/inward/record.url?eid=2-s2.0-84871044195&amp;partnerID=40&amp;md5=ec580209ca44e8220553956b198f4500</t>
  </si>
  <si>
    <t>Yang, G., Liu, T., Cong, L.</t>
  </si>
  <si>
    <t>Using two-mode network methods to technical competitive advantages: Based on the Wi-Fi product data</t>
  </si>
  <si>
    <t>http://www.scopus.com/inward/record.url?eid=2-s2.0-84871096185&amp;partnerID=40&amp;md5=749741ec99ec25bf3eb218e43edacb6c</t>
  </si>
  <si>
    <t>Tang, X., Wang, H.</t>
  </si>
  <si>
    <t>Information communication empirical research on data analysis microblogging community - Taking sina microblogging for an example</t>
  </si>
  <si>
    <t>http://www.scopus.com/inward/record.url?eid=2-s2.0-84871033215&amp;partnerID=40&amp;md5=796c7edac3d43b103cb31609a07080f1</t>
  </si>
  <si>
    <t>Chen, J., Yin, Z.</t>
  </si>
  <si>
    <t>The comparative evaluation of MEL and ORI based on SNA</t>
  </si>
  <si>
    <t>http://www.scopus.com/inward/record.url?eid=2-s2.0-84871089096&amp;partnerID=40&amp;md5=507963dfae8507301f1f2e3add3eb183</t>
  </si>
  <si>
    <t>Cai, Q.-S., Niu, J.-W., Liu, M.-Z.</t>
  </si>
  <si>
    <t>Method for identifying node dissemination capability in opportunistic social networks</t>
  </si>
  <si>
    <t>Ruan Jian Xue Bao/Journal of Software</t>
  </si>
  <si>
    <t>SUPPL.</t>
  </si>
  <si>
    <t>http://www.scopus.com/inward/record.url?eid=2-s2.0-84869835899&amp;partnerID=40&amp;md5=a531cf9cf68ccf3fa0ac488d2d832678</t>
  </si>
  <si>
    <t>Wambeke, B.W., Liu, M., Hsiang, S.M.</t>
  </si>
  <si>
    <t>Using Pajek and centrality analysis to identify a social network of construction trades</t>
  </si>
  <si>
    <t>Journal of Construction Engineering and Management</t>
  </si>
  <si>
    <t>http://www.scopus.com/inward/record.url?eid=2-s2.0-84873617772&amp;partnerID=40&amp;md5=2f6764d1a2803c91433c9e01b64b77e8</t>
  </si>
  <si>
    <t>Semitiel-García, M., Noguera-Méndez, P.</t>
  </si>
  <si>
    <t>The structure of inter-industry systems and the diffusion of innovations: The case of Spain</t>
  </si>
  <si>
    <t>Technological Forecasting and Social Change</t>
  </si>
  <si>
    <t>http://www.scopus.com/inward/record.url?eid=2-s2.0-84866101151&amp;partnerID=40&amp;md5=9b52b67ab4df35f7da34b8f7ef734d12</t>
  </si>
  <si>
    <t>Hepburn, P.</t>
  </si>
  <si>
    <t>Local Governance and the Online Networked Public Sphere-A Case Study</t>
  </si>
  <si>
    <t>http://www.scopus.com/inward/record.url?eid=2-s2.0-84870052963&amp;partnerID=40&amp;md5=6de67ffa47c651043d5d87e8b0b75b44</t>
  </si>
  <si>
    <t>Wang, H.-Z., Bian, W.-L., Geng, Y., Xu, J.</t>
  </si>
  <si>
    <t>Application and extension of betweenness in the logistics network analysis</t>
  </si>
  <si>
    <t>http://www.scopus.com/inward/record.url?eid=2-s2.0-84868366797&amp;partnerID=40&amp;md5=e4117c4e7bec482ccf259b0634f0610f</t>
  </si>
  <si>
    <t>Almeida, M.T., Carvalho, F.D.</t>
  </si>
  <si>
    <t>Integer models and upper bounds for the 3-club problem</t>
  </si>
  <si>
    <t>Networks</t>
  </si>
  <si>
    <t>http://www.scopus.com/inward/record.url?eid=2-s2.0-84865865497&amp;partnerID=40&amp;md5=b2b09a9c233359940945adb4da0359ad</t>
  </si>
  <si>
    <t>Talk versus work: Characteristics of developer collaboration on the Jazz platform</t>
  </si>
  <si>
    <t>ACM SIGPLAN Notices</t>
  </si>
  <si>
    <t>http://www.scopus.com/inward/record.url?eid=2-s2.0-84870565555&amp;partnerID=40&amp;md5=32bfbc4a26dd78caf243ec7a2fca675c</t>
  </si>
  <si>
    <t>Benoit, D.F., Van Den Poel, D.</t>
  </si>
  <si>
    <t>Improving customer retention in financial services using kinship network information</t>
  </si>
  <si>
    <t>http://www.scopus.com/inward/record.url?eid=2-s2.0-84861347296&amp;partnerID=40&amp;md5=e173b72e0026764665a6d3024cafa4e7</t>
  </si>
  <si>
    <t>Moser, H., Niedermeier, R., Sorge, M.</t>
  </si>
  <si>
    <t>Exact combinatorial algorithms and experiments for finding maximum k-plexes</t>
  </si>
  <si>
    <t>Journal of Combinatorial Optimization</t>
  </si>
  <si>
    <t>http://www.scopus.com/inward/record.url?eid=2-s2.0-84867098741&amp;partnerID=40&amp;md5=9f418a5a796427127a2013d0d1fb65c9</t>
  </si>
  <si>
    <t>Peng, J., Quan, J.</t>
  </si>
  <si>
    <t>Characteristics of social networks and employee behavior and performance: A chinese case study of a state-owned enterprise</t>
  </si>
  <si>
    <t>Information Resources Management Journal</t>
  </si>
  <si>
    <t>http://www.scopus.com/inward/record.url?eid=2-s2.0-84870276248&amp;partnerID=40&amp;md5=6ba2612a1d55c42402d5f10a0f936cd4</t>
  </si>
  <si>
    <t>Aylward, B.S., Odar, C.C., Kessler, E.D., Canter, K.S., Roberts, M.C.</t>
  </si>
  <si>
    <t>Six degrees of separation: An exploratory network analysis of mentoring relationships in pediatric psychology</t>
  </si>
  <si>
    <t>Journal of Pediatric Psychology</t>
  </si>
  <si>
    <t>http://www.scopus.com/inward/record.url?eid=2-s2.0-84866917315&amp;partnerID=40&amp;md5=c627c311080520c43e5f3f68f1a56f83</t>
  </si>
  <si>
    <t>MacKellar, B.</t>
  </si>
  <si>
    <t>A case study of group communication patterns in a large project software engineering course</t>
  </si>
  <si>
    <t>Proceedings - 2012 25th IEEE Conference on Software Engineering Education and Training, CSEE and T 2012</t>
  </si>
  <si>
    <t>http://www.scopus.com/inward/record.url?eid=2-s2.0-84866627432&amp;partnerID=40&amp;md5=b5d5be241da1119c1b6b87d927c73ee6</t>
  </si>
  <si>
    <t>Su, Y.-J., Wun, J.-C., Hsu, W.-L., Chen, Y.-Q.</t>
  </si>
  <si>
    <t>Paper classification by topic grouping in citation networks</t>
  </si>
  <si>
    <t>Proceedings - 2012 International Conference on Computing, Measurement, Control and Sensor Network, CMCSN 2012</t>
  </si>
  <si>
    <t>http://www.scopus.com/inward/record.url?eid=2-s2.0-84866595622&amp;partnerID=40&amp;md5=a730b446c0a8e2f34364e10cb73f2318</t>
  </si>
  <si>
    <t>Magnusson, J., Kvernvik, T.</t>
  </si>
  <si>
    <t>Subscriber classification within telecom networks utilizing big data technologies and machine learning</t>
  </si>
  <si>
    <t>Proceedings of the ACM SIGKDD International Conference on Knowledge Discovery and Data Mining</t>
  </si>
  <si>
    <t>http://www.scopus.com/inward/record.url?eid=2-s2.0-84866605834&amp;partnerID=40&amp;md5=7bed8307d2bcebbac8a0c8dbe4bc23c9</t>
  </si>
  <si>
    <t>Masoumzadeh, A., Joshi, J.</t>
  </si>
  <si>
    <t>Preserving structural properties in edge-perturbing anonymization techniques for social networks</t>
  </si>
  <si>
    <t>IEEE Transactions on Dependable and Secure Computing</t>
  </si>
  <si>
    <t>http://www.scopus.com/inward/record.url?eid=2-s2.0-84866627417&amp;partnerID=40&amp;md5=994b0d0f5b2d276db3f35a57974108d3</t>
  </si>
  <si>
    <t>Zhao, T., Li, C., Ding, Q., Li, L.</t>
  </si>
  <si>
    <t>User-Sentiment topic model: Refining user's topics with sentiment information</t>
  </si>
  <si>
    <t>http://www.scopus.com/inward/record.url?eid=2-s2.0-84866631790&amp;partnerID=40&amp;md5=7b79d8cb47990feba73870cb3be4dec1</t>
  </si>
  <si>
    <t>Yang, L.</t>
  </si>
  <si>
    <t>Based on social network crime organization relation mining and central figure determining</t>
  </si>
  <si>
    <t>ICSESS 2012 - Proceedings of 2012 IEEE 3rd International Conference on Software Engineering and Service Science</t>
  </si>
  <si>
    <t>http://www.scopus.com/inward/record.url?eid=2-s2.0-84866487807&amp;partnerID=40&amp;md5=0fba027d427b9de79644ec014a08e4a1</t>
  </si>
  <si>
    <t>Seo, S.W., Kyong, J., Im, E.-J.</t>
  </si>
  <si>
    <t>Social network analysis algorithm on a many-core GPU</t>
  </si>
  <si>
    <t>ICUFN 2012 - 4th International Conference on Ubiquitous and Future Networks, Final Program</t>
  </si>
  <si>
    <t>http://www.scopus.com/inward/record.url?eid=2-s2.0-84866407909&amp;partnerID=40&amp;md5=08e3f6e21031736f157e5ca84fae0911</t>
  </si>
  <si>
    <t>Wanberg, J., Javernick-Will, A.</t>
  </si>
  <si>
    <t>Long and high jumps: Knowledge sharing connections that span geographic and disciplinary boundaries in interdisciplinary intra-firm networks</t>
  </si>
  <si>
    <t>Construction Research Congress 2012: Construction Challenges in a Flat World, Proceedings of the 2012 Construction Research Congress</t>
  </si>
  <si>
    <t>http://www.scopus.com/inward/record.url?eid=2-s2.0-84866248608&amp;partnerID=40&amp;md5=ab12ff5c0c5ade167e9b5ce63e4709d3</t>
  </si>
  <si>
    <t>Park, H., Han, S.H.</t>
  </si>
  <si>
    <t>Impact of inter-firm collaboration networks in international construction projects: A longitudinal study</t>
  </si>
  <si>
    <t>http://www.scopus.com/inward/record.url?eid=2-s2.0-84866253277&amp;partnerID=40&amp;md5=cb821a0a7db4aeb1d8210d8d9cc77ef9</t>
  </si>
  <si>
    <t>Deng, J.-W., Deng, K.-Y., Li, Y.-S., Li, Y.-X.</t>
  </si>
  <si>
    <t>Study on evolution model and simulation based on social networks</t>
  </si>
  <si>
    <t>Proceedings - International Conference on Natural Computation</t>
  </si>
  <si>
    <t>http://www.scopus.com/inward/record.url?eid=2-s2.0-84866155993&amp;partnerID=40&amp;md5=29efa0e926dfd72753acf2af61308c16</t>
  </si>
  <si>
    <t>Dehghan, Z., AlMurtadha, Y., Kuen, L.N., Salam, Z.A.</t>
  </si>
  <si>
    <t>Current trust inference mechanisms in web based social networks</t>
  </si>
  <si>
    <t>Journal of Computer Science</t>
  </si>
  <si>
    <t>http://www.scopus.com/inward/record.url?eid=2-s2.0-84866160524&amp;partnerID=40&amp;md5=13981d3c839f7ec2583ead0d896949f4</t>
  </si>
  <si>
    <t>Yu, L., Zheng, J., Shen, W.C., Wu, B., Wang, B., Qian, L., Zhang, B.R.</t>
  </si>
  <si>
    <t>BC-PDM: Data mining, social network analysis and text mining system based on cloud computing</t>
  </si>
  <si>
    <t>http://www.scopus.com/inward/record.url?eid=2-s2.0-84866010099&amp;partnerID=40&amp;md5=54fbc26c1c9e3a34e590c10f14f3fccd</t>
  </si>
  <si>
    <t>Liu, X., He, Q., Tian, Y., Lee, W.-C., McPherson, J., Han, J.</t>
  </si>
  <si>
    <t>Event-based social networks: Linking the online and offline social worlds</t>
  </si>
  <si>
    <t>http://www.scopus.com/inward/record.url?eid=2-s2.0-84866035611&amp;partnerID=40&amp;md5=608ef9de40ab60abe3d0df545aa9194d</t>
  </si>
  <si>
    <t>Pham, M.C., Derntl, M., Cao, Y., Klamma, R.</t>
  </si>
  <si>
    <t>Learning analytics for learning blogospheres</t>
  </si>
  <si>
    <t>7558 LNCS</t>
  </si>
  <si>
    <t>http://www.scopus.com/inward/record.url?eid=2-s2.0-84866028540&amp;partnerID=40&amp;md5=0578219a8d1ae3e4665aa2b054e13550</t>
  </si>
  <si>
    <t>Yang, C.C., Yang, H., Tang, X., Jiang, L.</t>
  </si>
  <si>
    <t>Identifying implicit relationships between social media users to support social commerce</t>
  </si>
  <si>
    <t>http://www.scopus.com/inward/record.url?eid=2-s2.0-84866029172&amp;partnerID=40&amp;md5=4df01e2cc58201124285b2a399f6b8f3</t>
  </si>
  <si>
    <t>Li, C.-T., Lin, S.-D.</t>
  </si>
  <si>
    <t>EvaPlanner: An evacuation planner with social-based flocking kinetics</t>
  </si>
  <si>
    <t>http://www.scopus.com/inward/record.url?eid=2-s2.0-84866023735&amp;partnerID=40&amp;md5=c70e3a2445ba90507709916af5dec7ca</t>
  </si>
  <si>
    <t>Nguyen, L.T., Wu, P., Chan, W., Peng, W., Zhang, Y.</t>
  </si>
  <si>
    <t>Predicting collective sentiment dynamics from time-series social media</t>
  </si>
  <si>
    <t>http://www.scopus.com/inward/record.url?eid=2-s2.0-84866006485&amp;partnerID=40&amp;md5=0da76ebbd76a56643b726c557747a37a</t>
  </si>
  <si>
    <t>Zhong, E., Fan, W., Wang, J., Xiao, L., Li, Y.</t>
  </si>
  <si>
    <t>ComSoc: Adaptive transfer of user behaviors over composite social network</t>
  </si>
  <si>
    <t>http://www.scopus.com/inward/record.url?eid=2-s2.0-84866023620&amp;partnerID=40&amp;md5=0c025569141df033b293e7199733ed63</t>
  </si>
  <si>
    <t>Zhu, J., Xie, Q., Chin, E.J.</t>
  </si>
  <si>
    <t>A hybrid time-series link prediction framework for large social network</t>
  </si>
  <si>
    <t>7447 LNCS</t>
  </si>
  <si>
    <t>PART 2</t>
  </si>
  <si>
    <t>http://www.scopus.com/inward/record.url?eid=2-s2.0-84866043505&amp;partnerID=40&amp;md5=e352d2d66d02bc812b82b782f7b1fc89</t>
  </si>
  <si>
    <t>Aghassi, H., Sheykhlar, Z.</t>
  </si>
  <si>
    <t>Extending information retrieval by adjusting text feature vectors</t>
  </si>
  <si>
    <t>295 CCIS</t>
  </si>
  <si>
    <t>http://www.scopus.com/inward/record.url?eid=2-s2.0-84865606983&amp;partnerID=40&amp;md5=827b9e329d9f74b126b64c129a4261e9</t>
  </si>
  <si>
    <t>Lopes, G.R., Da Silva, R., Moro, M.M., De Oliveira, J.P.M.</t>
  </si>
  <si>
    <t>Scientific collaboration in research networks: A quantification method by using Gini coefficient</t>
  </si>
  <si>
    <t>International Journal of Computer Science and Applications</t>
  </si>
  <si>
    <t>http://www.scopus.com/inward/record.url?eid=2-s2.0-84865560036&amp;partnerID=40&amp;md5=2d3c78e5bc8a2ebeaf8933f93b820dd8</t>
  </si>
  <si>
    <t>Matos, M.C., Ramos, T.B.</t>
  </si>
  <si>
    <t>Linked architects and urban planners: Using social network analysis to capture connections</t>
  </si>
  <si>
    <t>248 CCIS</t>
  </si>
  <si>
    <t>http://www.scopus.com/inward/record.url?eid=2-s2.0-84865458759&amp;partnerID=40&amp;md5=1f1e78565eac1864bdec60fab059f128</t>
  </si>
  <si>
    <t>Liu, X., Yang, J.</t>
  </si>
  <si>
    <t>Social buying metanetwork modelling and analysis</t>
  </si>
  <si>
    <t>International Journal of Services, Technology and Management</t>
  </si>
  <si>
    <t>http://www.scopus.com/inward/record.url?eid=2-s2.0-84866054086&amp;partnerID=40&amp;md5=607130799e4048f66f44acc57564ca92</t>
  </si>
  <si>
    <t>Park, G., Seo, S., Lee, S., Lee, S.</t>
  </si>
  <si>
    <t>InfluenceRank: Trust-based influencers identification using social network analysis in Q&amp;A sites</t>
  </si>
  <si>
    <t>http://www.scopus.com/inward/record.url?eid=2-s2.0-84865706547&amp;partnerID=40&amp;md5=3029ae6492b26a3a02e1d0700c661a2c</t>
  </si>
  <si>
    <t>Leung, X.Y., Wang, F., Wu, B., Bai, B., Stahura, K.A., Xie, Z.</t>
  </si>
  <si>
    <t>A Social Network Analysis of Overseas Tourist Movement Patterns in Beijing: The Impact of the Olympic Games</t>
  </si>
  <si>
    <t>International Journal of Tourism Research</t>
  </si>
  <si>
    <t>http://www.scopus.com/inward/record.url?eid=2-s2.0-84865293416&amp;partnerID=40&amp;md5=6dfcfe9a06b8b18d5f65df4fbe09e724</t>
  </si>
  <si>
    <t>Chao, C.-Y., Yen, C.-S., Yang, S.-C., Ting, I.-H.</t>
  </si>
  <si>
    <t>The relationship of social network and the organizational justice strategies in campus media news gathering</t>
  </si>
  <si>
    <t>http://www.scopus.com/inward/record.url?eid=2-s2.0-84866978110&amp;partnerID=40&amp;md5=4f3798ec70047dffaf23af3c71032a43</t>
  </si>
  <si>
    <t>Park, N., Lee, S., Kim, J.H.</t>
  </si>
  <si>
    <t>Individuals' personal network characteristics and patterns of Facebook use: A social network approach</t>
  </si>
  <si>
    <t>http://www.scopus.com/inward/record.url?eid=2-s2.0-84863718852&amp;partnerID=40&amp;md5=1c361dad8e36a01a468af065a94559b4</t>
  </si>
  <si>
    <t>Zhu, Z., Kong, L.</t>
  </si>
  <si>
    <t>The framework of similar user extraction system in online Blog combined content with usage mining</t>
  </si>
  <si>
    <t>http://www.scopus.com/inward/record.url?eid=2-s2.0-84865296074&amp;partnerID=40&amp;md5=04dc9fbf269ca0c3d951be286ec96090</t>
  </si>
  <si>
    <t>Karthika, S., Kiruthiga, A., Bose, S.</t>
  </si>
  <si>
    <t>Behavioral profile generation for 9/11 terrorist network using efficient selection strategies</t>
  </si>
  <si>
    <t>Advances in Intelligent and Soft Computing</t>
  </si>
  <si>
    <t>167 AISC</t>
  </si>
  <si>
    <t>VOL. 2</t>
  </si>
  <si>
    <t>http://www.scopus.com/inward/record.url?eid=2-s2.0-84865196353&amp;partnerID=40&amp;md5=dc83b25bccb3c65d03009795a7e3174e</t>
  </si>
  <si>
    <t>Chandra, P., Cambria, E., Hussain, A.</t>
  </si>
  <si>
    <t>Clustering social networks using interaction semantics and sentics</t>
  </si>
  <si>
    <t>7367 LNCS</t>
  </si>
  <si>
    <t>http://www.scopus.com/inward/record.url?eid=2-s2.0-84865150677&amp;partnerID=40&amp;md5=9ad6dcbc0a3e0b62d24c191d501ef047</t>
  </si>
  <si>
    <t>Da Silva Soares, P.R., Prudencio, R.B.C.</t>
  </si>
  <si>
    <t>Time series based link prediction</t>
  </si>
  <si>
    <t>Proceedings of the International Joint Conference on Neural Networks</t>
  </si>
  <si>
    <t>http://www.scopus.com/inward/record.url?eid=2-s2.0-84865089147&amp;partnerID=40&amp;md5=a8df16336ebd858a678c0a562b818a07</t>
  </si>
  <si>
    <t>Zuo, P., Mu, S., Han, X.</t>
  </si>
  <si>
    <t>A social network analysis of students' online interaction in hybrid learning - A case study of "media and teaching" course</t>
  </si>
  <si>
    <t>7411 LNCS</t>
  </si>
  <si>
    <t>http://www.scopus.com/inward/record.url?eid=2-s2.0-84865010296&amp;partnerID=40&amp;md5=69485a4c5db4e64db1e5f401feeb4766</t>
  </si>
  <si>
    <t>Lancaster, M., Luo, Y., Strobel, J.</t>
  </si>
  <si>
    <t>Keyword, field, &amp; social network analysis trends for K-12 engineering education research</t>
  </si>
  <si>
    <t>ASEE Annual Conference and Exposition, Conference Proceedings</t>
  </si>
  <si>
    <t>http://www.scopus.com/inward/record.url?eid=2-s2.0-84865019492&amp;partnerID=40&amp;md5=edec371c451d98c76457e5306140aa02</t>
  </si>
  <si>
    <t>Wang, A., Zhang, X.</t>
  </si>
  <si>
    <t>A study of the correlation between online tutors' social network position and their performance</t>
  </si>
  <si>
    <t>http://www.scopus.com/inward/record.url?eid=2-s2.0-84864994926&amp;partnerID=40&amp;md5=0787f53495f49abe2b1f589e6630f13c</t>
  </si>
  <si>
    <t>Ríos, S.A., Muñoz, R.</t>
  </si>
  <si>
    <t>Dark web portal overlapping community detection based on topic models</t>
  </si>
  <si>
    <t>http://www.scopus.com/inward/record.url?eid=2-s2.0-84865009921&amp;partnerID=40&amp;md5=6d6323685604fed12a54ceb4d2fbe58b</t>
  </si>
  <si>
    <t>Lukas, A., Mayr, E., Perfler, R., Ruhri, M., Katzmair, H.</t>
  </si>
  <si>
    <t>Failure Experience Improvement System (FEIS) for water supply systems</t>
  </si>
  <si>
    <t>Journal of Hydroinformatics</t>
  </si>
  <si>
    <t>http://www.scopus.com/inward/record.url?eid=2-s2.0-84864975615&amp;partnerID=40&amp;md5=039fa7e56ef982d657e1f58115159741</t>
  </si>
  <si>
    <t>Han, Y., Chen, S., Feng, Z.</t>
  </si>
  <si>
    <t>Optimizing service composition network from social network analysis and user historical composite services</t>
  </si>
  <si>
    <t>AAAI Spring Symposium - Technical Report</t>
  </si>
  <si>
    <t>SS-12-04</t>
  </si>
  <si>
    <t>http://www.scopus.com/inward/record.url?eid=2-s2.0-84864917781&amp;partnerID=40&amp;md5=e16cd7be0cb81408d508bec2ccfb8b9c</t>
  </si>
  <si>
    <t>Chen, S., Han, Y., Feng, Z.</t>
  </si>
  <si>
    <t>Social network analysis on the interaction and collaboration behavior among web services</t>
  </si>
  <si>
    <t>http://www.scopus.com/inward/record.url?eid=2-s2.0-84864958826&amp;partnerID=40&amp;md5=ce39afe50d5aa312167e913ec8f2c60b</t>
  </si>
  <si>
    <t>Chen, C.-Y., Li, C.-W.</t>
  </si>
  <si>
    <t>A hybrid network model to extract key criteria and its application for brand equity evaluation</t>
  </si>
  <si>
    <t>Mathematical Problems in Engineering</t>
  </si>
  <si>
    <t>http://www.scopus.com/inward/record.url?eid=2-s2.0-84864952210&amp;partnerID=40&amp;md5=cc5fd26ee78afacee14f8395b3ef0077</t>
  </si>
  <si>
    <t>Lin, Y.-T., Seum, T.-F., Chen, H.-Y.</t>
  </si>
  <si>
    <t>Learning behaviour mining based on social network analysis</t>
  </si>
  <si>
    <t>CSEDU 2012 - Proceedings of the 4th International Conference on Computer Supported Education</t>
  </si>
  <si>
    <t>http://www.scopus.com/inward/record.url?eid=2-s2.0-84864875376&amp;partnerID=40&amp;md5=3daf7de96efb62890beb03dd39f7a10b</t>
  </si>
  <si>
    <t>Gibson, G.O., Hyden, P.D.</t>
  </si>
  <si>
    <t>Using autonomous agent-based systems to counter asymmetric threats from non-state sponsored terror organizations</t>
  </si>
  <si>
    <t>SS-12-01</t>
  </si>
  <si>
    <t>http://www.scopus.com/inward/record.url?eid=2-s2.0-84864878650&amp;partnerID=40&amp;md5=c68b3f2b2ed47da5b11f75c56ed22ed5</t>
  </si>
  <si>
    <t>Riecken, D., Raja, A., Passonneau, R.J., Waltz, D.L.</t>
  </si>
  <si>
    <t>SNARE: Social Network Analysis and Reasoning Environment</t>
  </si>
  <si>
    <t>http://www.scopus.com/inward/record.url?eid=2-s2.0-84864865365&amp;partnerID=40&amp;md5=3555cc25b36ffe6a4d67d04402a59630</t>
  </si>
  <si>
    <t>Baruah, R.D., Angelov, P.</t>
  </si>
  <si>
    <t>Evolving social network analysis: A case study on mobile phone data</t>
  </si>
  <si>
    <t>2012 IEEE Conference on Evolving and Adaptive Intelligent Systems, EAIS 2012 - Proceedings</t>
  </si>
  <si>
    <t>http://www.scopus.com/inward/record.url?eid=2-s2.0-84864854891&amp;partnerID=40&amp;md5=d51f112247c300e4e171ef548ecca4e8</t>
  </si>
  <si>
    <t>Cambridge, D., Perez-Lopez, K.</t>
  </si>
  <si>
    <t>First steps towards a social learning analytics for online communities of practice for educators</t>
  </si>
  <si>
    <t>http://www.scopus.com/inward/record.url?eid=2-s2.0-84864705742&amp;partnerID=40&amp;md5=3ed42de32cbefda55e25286953262655</t>
  </si>
  <si>
    <t>Zhuhadar, L., Yang, R.</t>
  </si>
  <si>
    <t>Cyberlearners and learning resources</t>
  </si>
  <si>
    <t>http://www.scopus.com/inward/record.url?eid=2-s2.0-84864671659&amp;partnerID=40&amp;md5=d2cbd960cbeaf6d1a1eb57575ae8c798</t>
  </si>
  <si>
    <t>Lockyer, L., Dawson, S.</t>
  </si>
  <si>
    <t>Where learning analytics meets learning design</t>
  </si>
  <si>
    <t>http://www.scopus.com/inward/record.url?eid=2-s2.0-84864684225&amp;partnerID=40&amp;md5=81db48d6c83c830c97119ccc0e31c08d</t>
  </si>
  <si>
    <t>Suthers, D., Chu, K.-H.</t>
  </si>
  <si>
    <t>Multi-mediated community structure in a socio-technical network</t>
  </si>
  <si>
    <t>http://www.scopus.com/inward/record.url?eid=2-s2.0-84864699947&amp;partnerID=40&amp;md5=d548116b08e3c8a1c903e6f9f453c91a</t>
  </si>
  <si>
    <t>Bieke, S., Maarten, D.L.</t>
  </si>
  <si>
    <t>Network awareness tool - Learning analytics in the workplace: Detecting and analyzing informal workplace learning</t>
  </si>
  <si>
    <t>http://www.scopus.com/inward/record.url?eid=2-s2.0-84864680326&amp;partnerID=40&amp;md5=f523f72ac265041d551976b1eebb9c4f</t>
  </si>
  <si>
    <t>Song, H.H., Savas, B., Cho, T.W., Dave, V., Lu, Z., Dhillon, I.S., Zhang, Y., Qiu, L.</t>
  </si>
  <si>
    <t>Clustered embedding of massive social networks</t>
  </si>
  <si>
    <t>Performance Evaluation Review</t>
  </si>
  <si>
    <t>1 SPEC. ISS.</t>
  </si>
  <si>
    <t>http://www.scopus.com/inward/record.url?eid=2-s2.0-84864717583&amp;partnerID=40&amp;md5=4cb47cdf3b6ee7c24a8ff5bba391acba</t>
  </si>
  <si>
    <t>Valetto, G., Blincoe, K., Goggins, S.P.</t>
  </si>
  <si>
    <t>Actionable identification of emergent teams in software development virtual organizations</t>
  </si>
  <si>
    <t>2012 3rd International Workshop on Recommendation Systems for Software Engineering, RSSE 2012 - Proceedings</t>
  </si>
  <si>
    <t>http://www.scopus.com/inward/record.url?eid=2-s2.0-84864656981&amp;partnerID=40&amp;md5=e7cdca82d2b3549057c273c58b0446e9</t>
  </si>
  <si>
    <t>Lin, C.-Y., Wu, L., Wen, Z., Tong, H., Griffiths-Fisher, V., Shi, L., Lubensky, D.</t>
  </si>
  <si>
    <t>Social network analysis in enterprise</t>
  </si>
  <si>
    <t>Proceedings of the IEEE</t>
  </si>
  <si>
    <t>http://www.scopus.com/inward/record.url?eid=2-s2.0-84865438109&amp;partnerID=40&amp;md5=c7c4c6bbfbf9e82ce5d19f1c0fd2d670</t>
  </si>
  <si>
    <t>Lin, S.-J., Jheng, Y.-Y., Yu, C.-H.</t>
  </si>
  <si>
    <t>Combining ranking concept and social network analysis to detect collusive groups in online auctions</t>
  </si>
  <si>
    <t>http://www.scopus.com/inward/record.url?eid=2-s2.0-84862785741&amp;partnerID=40&amp;md5=40bb6b1d351764b59581966b2786e0d2</t>
  </si>
  <si>
    <t>Davoodi, E., Kianmehr, K.</t>
  </si>
  <si>
    <t>A semantic-based social network of academic researchers</t>
  </si>
  <si>
    <t>7345 LNAI</t>
  </si>
  <si>
    <t>http://www.scopus.com/inward/record.url?eid=2-s2.0-84864345399&amp;partnerID=40&amp;md5=f50f9363276bb7bcce275e8469a9de01</t>
  </si>
  <si>
    <t>Szell, M., Thurner, S.</t>
  </si>
  <si>
    <t>Social dynamics in a large-scale online game</t>
  </si>
  <si>
    <t>Advances in Complex Systems</t>
  </si>
  <si>
    <t>http://www.scopus.com/inward/record.url?eid=2-s2.0-84865512270&amp;partnerID=40&amp;md5=c7559b2c3f235156acf61c6ae0e2650e</t>
  </si>
  <si>
    <t>Ting, I.-H.</t>
  </si>
  <si>
    <t>Applying cloud computing techniques for efficient analysis in social networks data</t>
  </si>
  <si>
    <t>Journal of Convergence Information Technology</t>
  </si>
  <si>
    <t>http://www.scopus.com/inward/record.url?eid=2-s2.0-84865017137&amp;partnerID=40&amp;md5=da8872796b1562f31bd46740a09e5f7d</t>
  </si>
  <si>
    <t>Duan, D., Li, Y., Li, R., Lu, Z.</t>
  </si>
  <si>
    <t>Incremental K-clique clustering in dynamic social networks</t>
  </si>
  <si>
    <t>Artificial Intelligence Review</t>
  </si>
  <si>
    <t>http://www.scopus.com/inward/record.url?eid=2-s2.0-84864535112&amp;partnerID=40&amp;md5=b8270c1f533a26dba67623c38695cb7d</t>
  </si>
  <si>
    <t>Walteros, J.L., Pardalos, P.M.</t>
  </si>
  <si>
    <t>A decomposition approach for solving critical clique detection problems</t>
  </si>
  <si>
    <t>7276 LNCS</t>
  </si>
  <si>
    <t>http://www.scopus.com/inward/record.url?eid=2-s2.0-84864369648&amp;partnerID=40&amp;md5=a1c998c97048f8b0596bccffc442362e</t>
  </si>
  <si>
    <t>Liu, J.S., Lu, W.-M.</t>
  </si>
  <si>
    <t>Network-based method for ranking of efficient units in two-stage DEA models</t>
  </si>
  <si>
    <t>Journal of the Operational Research Society</t>
  </si>
  <si>
    <t>http://www.scopus.com/inward/record.url?eid=2-s2.0-84863450562&amp;partnerID=40&amp;md5=01c57fbf8692ef31b9513a65398e65a4</t>
  </si>
  <si>
    <t>Varlamis, I., Tsatsaronis, G.</t>
  </si>
  <si>
    <t>Mining potential research synergies from co-authorship graphs using power graph analysis</t>
  </si>
  <si>
    <t>International Journal of Web Engineering and Technology</t>
  </si>
  <si>
    <t>http://www.scopus.com/inward/record.url?eid=2-s2.0-84865439450&amp;partnerID=40&amp;md5=6ce04e3a6f17ec1a43e741847ce017fb</t>
  </si>
  <si>
    <t>Durugbo, C.</t>
  </si>
  <si>
    <t>Modelling user participation in organisations as networks</t>
  </si>
  <si>
    <t>http://www.scopus.com/inward/record.url?eid=2-s2.0-84859215526&amp;partnerID=40&amp;md5=ee066af0eaf117be8d25bc4a40f271c6</t>
  </si>
  <si>
    <t>Salter-Townshend, M., White, A., Gollini, I., Murphy, T.B.</t>
  </si>
  <si>
    <t>Review of statistical network analysis: Models, algorithms, and software</t>
  </si>
  <si>
    <t>Statistical Analysis and Data Mining</t>
  </si>
  <si>
    <t>http://www.scopus.com/inward/record.url?eid=2-s2.0-84864057385&amp;partnerID=40&amp;md5=e5bbd18ebda51db1f666cbdb4aceac81</t>
  </si>
  <si>
    <t>Ye, C., Li, J., Xiong, Z.</t>
  </si>
  <si>
    <t>Traceable content distribution using wavelet decomposition and social network analysis</t>
  </si>
  <si>
    <t>Proceedings - 2012 International Symposium on Computer, Consumer and Control, IS3C 2012</t>
  </si>
  <si>
    <t>http://www.scopus.com/inward/record.url?eid=2-s2.0-84864245431&amp;partnerID=40&amp;md5=72ad8ee4fd32d2f7ab89753d1f2371ae</t>
  </si>
  <si>
    <t>Sam, K.M., Chatwin, C.R.</t>
  </si>
  <si>
    <t>Ontology-based text-mining model for social network analysis</t>
  </si>
  <si>
    <t>2012 IEEE 6th International Conference on Management of Innovation and Technology, ICMIT 2012</t>
  </si>
  <si>
    <t>http://www.scopus.com/inward/record.url?eid=2-s2.0-84864198284&amp;partnerID=40&amp;md5=9234e78655bc59f96d99a115e6898811</t>
  </si>
  <si>
    <t>Moustafa, W.E., Deshpande, A., Getoor, L.</t>
  </si>
  <si>
    <t>Ego-centric graph pattern census</t>
  </si>
  <si>
    <t>Proceedings - International Conference on Data Engineering</t>
  </si>
  <si>
    <t>http://www.scopus.com/inward/record.url?eid=2-s2.0-84864240192&amp;partnerID=40&amp;md5=b8949c5a698f34febe9316aaaf0421b7</t>
  </si>
  <si>
    <t>Yang, A., Li, J., Tang, Y., Wang, J., Zhao, Y.</t>
  </si>
  <si>
    <t>The similar scholar recommendation in Schol@t</t>
  </si>
  <si>
    <t>Proceedings of the 2012 IEEE 16th International Conference on Computer Supported Cooperative Work in Design, CSCWD 2012</t>
  </si>
  <si>
    <t>http://www.scopus.com/inward/record.url?eid=2-s2.0-84864189808&amp;partnerID=40&amp;md5=08178c370dc32ab1df0699a56e50dd08</t>
  </si>
  <si>
    <t>Borgs, C., Brautbar, M., Chayes, J., Teng, S.-H.</t>
  </si>
  <si>
    <t>A sublinear time algorithm for PageRank computations</t>
  </si>
  <si>
    <t>7323 LNCS</t>
  </si>
  <si>
    <t>http://www.scopus.com/inward/record.url?eid=2-s2.0-84864193264&amp;partnerID=40&amp;md5=654871fbe6a3510c9f42645160c12edd</t>
  </si>
  <si>
    <t>Lu, L.Y.Y., Lan, Y.L., Liu, J.S.</t>
  </si>
  <si>
    <t>A novel approach for exploring technological development trajectories</t>
  </si>
  <si>
    <t>http://www.scopus.com/inward/record.url?eid=2-s2.0-84864255569&amp;partnerID=40&amp;md5=f13d0237f2e267af81925ec81d41ac0c</t>
  </si>
  <si>
    <t>Murphy, J.P., Berk, V.H., Souza, I.G.-D.</t>
  </si>
  <si>
    <t>Decision support procedure in the insider threat domain</t>
  </si>
  <si>
    <t>Proceedings - IEEE CS Security and Privacy Workshops, SPW 2012</t>
  </si>
  <si>
    <t>http://www.scopus.com/inward/record.url?eid=2-s2.0-84864189283&amp;partnerID=40&amp;md5=e8abf361fa412ab127f332e5298f9306</t>
  </si>
  <si>
    <t>Li, D., Li, J., Tang, Y., Zheng, J., Chen, J.</t>
  </si>
  <si>
    <t>The structure analysis of the CSCWD conference's collaboration network</t>
  </si>
  <si>
    <t>http://www.scopus.com/inward/record.url?eid=2-s2.0-84864190652&amp;partnerID=40&amp;md5=303618250e808a014ba9f4e0ac702d83</t>
  </si>
  <si>
    <t>Silva, A., Figueira, A.</t>
  </si>
  <si>
    <t>Depicting online interactions in learning communities: Social network analysis in an interactive graph</t>
  </si>
  <si>
    <t>IEEE Global Engineering Education Conference, EDUCON</t>
  </si>
  <si>
    <t>http://www.scopus.com/inward/record.url?eid=2-s2.0-84864126041&amp;partnerID=40&amp;md5=dce62f8685d41203c935c3a646393d1a</t>
  </si>
  <si>
    <t>Liao, L.-P., Hu, R.-J., Zhang, G.-Y.</t>
  </si>
  <si>
    <t>The position analysis of the fuzzy technology innovation network</t>
  </si>
  <si>
    <t>Journal of High Technology Management Research</t>
  </si>
  <si>
    <t>http://www.scopus.com/inward/record.url?eid=2-s2.0-84868211256&amp;partnerID=40&amp;md5=458ece1af13c05615cbc0d8c24d6d501</t>
  </si>
  <si>
    <t>Di Penta, M.</t>
  </si>
  <si>
    <t>Mining developers' communication to assess software quality: Promises, challenges, perils</t>
  </si>
  <si>
    <t>2012 3rd International Workshop on Emerging Trends in Software Metrics, WETSoM 2012 - Proceedings</t>
  </si>
  <si>
    <t>http://www.scopus.com/inward/record.url?eid=2-s2.0-84864138845&amp;partnerID=40&amp;md5=e1d3769ef9f482aa1469eec1eddcd6a2</t>
  </si>
  <si>
    <t>Lipczak, M., Sigurbjörnsson, B., Jaimes, A.</t>
  </si>
  <si>
    <t>Understanding and leveraging tag-based relations in on-line social networks</t>
  </si>
  <si>
    <t>HT'12 - Proceedings of 23rd ACM Conference on Hypertext and Social Media</t>
  </si>
  <si>
    <t>http://www.scopus.com/inward/record.url?eid=2-s2.0-84864036236&amp;partnerID=40&amp;md5=0735c5d2ef6f3306799994bff15e2a5e</t>
  </si>
  <si>
    <t>Macek, B.-E., Scholz, C., Atzmueller, M., Stumme, G.</t>
  </si>
  <si>
    <t>Anatomy of a conference</t>
  </si>
  <si>
    <t>http://www.scopus.com/inward/record.url?eid=2-s2.0-84864071464&amp;partnerID=40&amp;md5=26ea6e4daea9a5fbe7ba9194b3ae1592</t>
  </si>
  <si>
    <t>Atzmueller, M.</t>
  </si>
  <si>
    <t>Onto collective intelligence in social media: Exemplary applications and perspectives</t>
  </si>
  <si>
    <t>MSM'12 - Proceedings of 3rd International Workshop on Modeling Social Media</t>
  </si>
  <si>
    <t>http://www.scopus.com/inward/record.url?eid=2-s2.0-84864057018&amp;partnerID=40&amp;md5=1899fa9752917c1efd6a359f21c99e1b</t>
  </si>
  <si>
    <t>He, P.</t>
  </si>
  <si>
    <t>Evaluating students online discussion performance by using social network analysis</t>
  </si>
  <si>
    <t>Proceedings of the 9th International Conference on Information Technology, ITNG 2012</t>
  </si>
  <si>
    <t>http://www.scopus.com/inward/record.url?eid=2-s2.0-84863975682&amp;partnerID=40&amp;md5=8f7c6f5c6bd6638ef96fd1f66a24a97d</t>
  </si>
  <si>
    <t>Wycislik, L., Warchal, L.</t>
  </si>
  <si>
    <t>Using Oracle 11.2g database server in social network analysis based on recursive SQL</t>
  </si>
  <si>
    <t>291 CCIS</t>
  </si>
  <si>
    <t>http://www.scopus.com/inward/record.url?eid=2-s2.0-84863893265&amp;partnerID=40&amp;md5=423b6547afaf4015a4ebca8da845ace9</t>
  </si>
  <si>
    <t>Fan, W.</t>
  </si>
  <si>
    <t>Graph pattern matching revised for social network analysis</t>
  </si>
  <si>
    <t>http://www.scopus.com/inward/record.url?eid=2-s2.0-84863908706&amp;partnerID=40&amp;md5=e123f8327ca54647af4544c9d3195492</t>
  </si>
  <si>
    <t>Elahi, N., Karlsen, R.</t>
  </si>
  <si>
    <t>User behavior in online social networks and its implications: A user study</t>
  </si>
  <si>
    <t>http://www.scopus.com/inward/record.url?eid=2-s2.0-84863915939&amp;partnerID=40&amp;md5=fb8abccf5a64fe4cbcafcc3a4b8d29e9</t>
  </si>
  <si>
    <t>Mladenić, D., Grobelnik, M., Fortuna, B., Rusu, D.</t>
  </si>
  <si>
    <t>Text stream processing</t>
  </si>
  <si>
    <t>http://www.scopus.com/inward/record.url?eid=2-s2.0-84863952644&amp;partnerID=40&amp;md5=c9584148831e73d6ce53bd4665672e33</t>
  </si>
  <si>
    <t>Weitzel, L., Quaresma, P., De Oliveira, J.P.M.</t>
  </si>
  <si>
    <t>Measuring node importance on Twitter microblogging</t>
  </si>
  <si>
    <t>http://www.scopus.com/inward/record.url?eid=2-s2.0-84863915847&amp;partnerID=40&amp;md5=a0fb2046ee45050934f8e8e6323848c2</t>
  </si>
  <si>
    <t>A density-based approach for mining overlapping communities from social network interactions</t>
  </si>
  <si>
    <t>http://www.scopus.com/inward/record.url?eid=2-s2.0-84863975121&amp;partnerID=40&amp;md5=0cb0236dd6662ef72d4122149cbc2c43</t>
  </si>
  <si>
    <t>Yusoff, N.S., Djauhari, M.A., Suleiman, E.S.</t>
  </si>
  <si>
    <t>A social network analysis on organizational commitment in Malaysia</t>
  </si>
  <si>
    <t>Proceedings - International Conference on Cloud Computing and Social Networking 2012: Cloud Computing and Social Networking for Smart and Productive Society, ICCCSN 2012</t>
  </si>
  <si>
    <t>http://www.scopus.com/inward/record.url?eid=2-s2.0-84863915068&amp;partnerID=40&amp;md5=7a305afe5fd907d6c8c5b197cdecd538</t>
  </si>
  <si>
    <t>Sharif, S., Djauhari, M.A., Djauhari, H.</t>
  </si>
  <si>
    <t>A social network analysis on safety culture and worker's behaviour</t>
  </si>
  <si>
    <t>http://www.scopus.com/inward/record.url?eid=2-s2.0-84863915634&amp;partnerID=40&amp;md5=6cb641eadca32c49b211fd5d25c134b7</t>
  </si>
  <si>
    <t>Balaji, S., Sarumathi, S.</t>
  </si>
  <si>
    <t>TOPCRAWL: Community mining in web search engines with emphasize on topical crawling</t>
  </si>
  <si>
    <t>International Conference on Pattern Recognition, Informatics and Medical Engineering, PRIME 2012</t>
  </si>
  <si>
    <t>http://www.scopus.com/inward/record.url?eid=2-s2.0-84863978544&amp;partnerID=40&amp;md5=7c4dae5a957fa381aa2c6e3b92acd51c</t>
  </si>
  <si>
    <t>Ko, H.-C.</t>
  </si>
  <si>
    <t>Why are A-list bloggers continuously popular?</t>
  </si>
  <si>
    <t>Online Information Review</t>
  </si>
  <si>
    <t>http://www.scopus.com/inward/record.url?eid=2-s2.0-84863822555&amp;partnerID=40&amp;md5=48de17812aca787360fa940dfbf9c478</t>
  </si>
  <si>
    <t>Chen, H.-H., Gou, L., Zhang, X., Giles, C.L.</t>
  </si>
  <si>
    <t>Discovering missing links in networks using vertex similarity measures</t>
  </si>
  <si>
    <t>Proceedings of the ACM Symposium on Applied Computing</t>
  </si>
  <si>
    <t>http://www.scopus.com/inward/record.url?eid=2-s2.0-84863586199&amp;partnerID=40&amp;md5=8f07e4d4e4eba9f4925dafd82de515b4</t>
  </si>
  <si>
    <t>Dibie, O., Maull, K.E., Sumner, T.</t>
  </si>
  <si>
    <t>Teacher sociality and information diffusion in educational digital libraries</t>
  </si>
  <si>
    <t>Proceedings of the ACM/IEEE Joint Conference on Digital Libraries</t>
  </si>
  <si>
    <t>http://www.scopus.com/inward/record.url?eid=2-s2.0-84863541705&amp;partnerID=40&amp;md5=19bc62833576d2c1fc7102ffaf45a008</t>
  </si>
  <si>
    <t>Fard, A.M., Wang, K., Yu, P.S.</t>
  </si>
  <si>
    <t>Limiting link disclosure in social network analysis through subgraph-wise perturbation</t>
  </si>
  <si>
    <t>http://www.scopus.com/inward/record.url?eid=2-s2.0-84863524234&amp;partnerID=40&amp;md5=4c7b0a24302ebdf6e022cff6aeadb9f5</t>
  </si>
  <si>
    <t>Spiegel, O.</t>
  </si>
  <si>
    <t>How employee turnover impacts social capital and performance of companies</t>
  </si>
  <si>
    <t>SIGMIS-CPR'12 - Proceedings of the 2012 Computers and People Research Conference</t>
  </si>
  <si>
    <t>http://www.scopus.com/inward/record.url?eid=2-s2.0-84863516689&amp;partnerID=40&amp;md5=7a5bb16cb4c05db523c20a93bd3235e0</t>
  </si>
  <si>
    <t>Zhou, R., Liu, C., Yu, J.X., Liang, W., Chen, B., Li, J.</t>
  </si>
  <si>
    <t>Finding maximal k-edge-connected subgraphs from a large graph</t>
  </si>
  <si>
    <t>http://www.scopus.com/inward/record.url?eid=2-s2.0-84863511002&amp;partnerID=40&amp;md5=ddf0973cad3ca675a5b499df558cb170</t>
  </si>
  <si>
    <t>Yang, C.-L., Chen-Burger, Y.-H.</t>
  </si>
  <si>
    <t>On-line communities making scense: A hybrid micro-blogging platform community analysis framework</t>
  </si>
  <si>
    <t>7327 LNAI</t>
  </si>
  <si>
    <t>http://www.scopus.com/inward/record.url?eid=2-s2.0-84863518371&amp;partnerID=40&amp;md5=fb6464563221b6c6513a9fa3f2837d45</t>
  </si>
  <si>
    <t>Arora, S., Ge, R., Sachdeva, S., Schoenebeck, G.</t>
  </si>
  <si>
    <t>Finding overlapping communities in social networks: Toward a rigorous approach</t>
  </si>
  <si>
    <t>Proceedings of the ACM Conference on Electronic Commerce</t>
  </si>
  <si>
    <t>http://www.scopus.com/inward/record.url?eid=2-s2.0-84863507265&amp;partnerID=40&amp;md5=55d6b123242ee4fa7d794a6158eb50cb</t>
  </si>
  <si>
    <t>Advances in Database Technology - EDBT 2012: 15th International Conference on Extending Database Technology, Proceedings</t>
  </si>
  <si>
    <t>http://www.scopus.com/inward/record.url?eid=2-s2.0-84863503928&amp;partnerID=40&amp;md5=756a4f15808d4840485bcbcfd0ffdfda</t>
  </si>
  <si>
    <t>Wang, Y., Zeng, D., Zhu, B., Zheng, X., Wang, F.</t>
  </si>
  <si>
    <t>Patterns of news dissemination through online news media: A case study in China</t>
  </si>
  <si>
    <t>Information Systems Frontiers</t>
  </si>
  <si>
    <t>http://www.scopus.com/inward/record.url?eid=2-s2.0-84863302838&amp;partnerID=40&amp;md5=91378787d53f41b2e49e6d59175077d5</t>
  </si>
  <si>
    <t>Identifying key players in a covert network using behavioral profile</t>
  </si>
  <si>
    <t>International Conference on Recent Trends in Information Technology, ICRTIT 2012</t>
  </si>
  <si>
    <t>http://www.scopus.com/inward/record.url?eid=2-s2.0-84862859734&amp;partnerID=40&amp;md5=b8d9ea9dccb0c15cd36fdb67f3b1dfea</t>
  </si>
  <si>
    <t>Quinn, D., Chen, L., Mulvenna, M.</t>
  </si>
  <si>
    <t>Social network analysis: A survey</t>
  </si>
  <si>
    <t>International Journal of Ambient Computing and Intelligence</t>
  </si>
  <si>
    <t>http://www.scopus.com/inward/record.url?eid=2-s2.0-84870275046&amp;partnerID=40&amp;md5=a7722cf332cf480e36cd234ccd08807f</t>
  </si>
  <si>
    <t>Park, S.-B., Oh, K.-J., Jo, G.-S.</t>
  </si>
  <si>
    <t>Social network analysis in a movie using character-net</t>
  </si>
  <si>
    <t>Multimedia Tools and Applications</t>
  </si>
  <si>
    <t>http://www.scopus.com/inward/record.url?eid=2-s2.0-84861853325&amp;partnerID=40&amp;md5=3ac2f2094ca16cab734146cf8e4da986</t>
  </si>
  <si>
    <t>Zhang, J., Zhu, X.</t>
  </si>
  <si>
    <t>The application analysis of information dissemination of agriculturerelated micro-blogs in China</t>
  </si>
  <si>
    <t>http://www.scopus.com/inward/record.url?eid=2-s2.0-84866402246&amp;partnerID=40&amp;md5=a11121ea429f4f83ae91873df5f351e6</t>
  </si>
  <si>
    <t>Alguliev, R.M., Aliguliyev, R.M., Ganjaliyev, F.S.</t>
  </si>
  <si>
    <t>Building a social network of research institutes from information available on the web</t>
  </si>
  <si>
    <t>International Journal of Networking and Virtual Organisations</t>
  </si>
  <si>
    <t>http://www.scopus.com/inward/record.url?eid=2-s2.0-84863888247&amp;partnerID=40&amp;md5=d781c20fe8cc33dcf83ff458021ac88e</t>
  </si>
  <si>
    <t>Tang, Y., He, M.-S., Wang, Y.-H.</t>
  </si>
  <si>
    <t>Analysis on embedded network structure based on user preference</t>
  </si>
  <si>
    <t>Tien Tzu Hsueh Pao/Acta Electronica Sinica</t>
  </si>
  <si>
    <t>http://www.scopus.com/inward/record.url?eid=2-s2.0-84866146500&amp;partnerID=40&amp;md5=2d7233e0c47f8104579d301ffd56d9cf</t>
  </si>
  <si>
    <t>Cuzzocrea, A., Papadimitriou, A., Katsaros, D., Manolopoulos, Y.</t>
  </si>
  <si>
    <t>Edge betweenness centrality: A novel algorithm for QoS-based topology control over wireless sensor networks</t>
  </si>
  <si>
    <t>Journal of Network and Computer Applications</t>
  </si>
  <si>
    <t>http://www.scopus.com/inward/record.url?eid=2-s2.0-84860364043&amp;partnerID=40&amp;md5=bd3951686c680ec947977fb8e02600de</t>
  </si>
  <si>
    <t>Dorner, H.</t>
  </si>
  <si>
    <t>Effects of Online Mentoring in Computer-Supported Collaborative Learning Environments: Mentor Presence and Cognitive Engagement</t>
  </si>
  <si>
    <t>American Journal of Distance Education</t>
  </si>
  <si>
    <t>http://www.scopus.com/inward/record.url?eid=2-s2.0-84865355738&amp;partnerID=40&amp;md5=0090233cbaf27bcf7ce34dd566af6f57</t>
  </si>
  <si>
    <t>Abbasi, A., Chung, K.S.K., Hossain, L.</t>
  </si>
  <si>
    <t>Egocentric analysis of co-authorship network structure, position and performance</t>
  </si>
  <si>
    <t>Information Processing and Management</t>
  </si>
  <si>
    <t>http://www.scopus.com/inward/record.url?eid=2-s2.0-84861230786&amp;partnerID=40&amp;md5=07dfc07fa6b278b9993f1d79cc49a461</t>
  </si>
  <si>
    <t>Killen, C.P., Kjaer, C.</t>
  </si>
  <si>
    <t>Understanding project interdependencies: The role of visual representation, culture and process</t>
  </si>
  <si>
    <t>International Journal of Project Management</t>
  </si>
  <si>
    <t>http://www.scopus.com/inward/record.url?eid=2-s2.0-84860373572&amp;partnerID=40&amp;md5=8fb81acb3fd90d5f7b1c57d37447f6c0</t>
  </si>
  <si>
    <t>Hong, S., Lee, Y., Klm, J., Choi, I.</t>
  </si>
  <si>
    <t>A methodology for redesigning an organizational structure based on business process models using SNA techniques</t>
  </si>
  <si>
    <t>International Journal of Innovative Computing, Information and Control</t>
  </si>
  <si>
    <t>7 B</t>
  </si>
  <si>
    <t>http://www.scopus.com/inward/record.url?eid=2-s2.0-84862310158&amp;partnerID=40&amp;md5=6bb16910cb9b784d19b0c2efcbefece5</t>
  </si>
  <si>
    <t>Xu, T., Zhang, Z., Yu, P.S., Long, B.</t>
  </si>
  <si>
    <t>Generative models for evolutionary clustering</t>
  </si>
  <si>
    <t>ACM Transactions on Knowledge Discovery from Data</t>
  </si>
  <si>
    <t>http://www.scopus.com/inward/record.url?eid=2-s2.0-84866341270&amp;partnerID=40&amp;md5=c9e1078b6720bad5db70085f4ec3acdc</t>
  </si>
  <si>
    <t>Di Vincenzo, F., Hemphälä, J., Magnusson, M., Mascia, D.</t>
  </si>
  <si>
    <t>Exploring the role of structural holes in learning: An empirical study of Swedish pharmacies</t>
  </si>
  <si>
    <t>Journal of Knowledge Management</t>
  </si>
  <si>
    <t>http://www.scopus.com/inward/record.url?eid=2-s2.0-84863618616&amp;partnerID=40&amp;md5=953da0e4649157fc6b5633b34eba4790</t>
  </si>
  <si>
    <t>Repka, M., Paralič, J.</t>
  </si>
  <si>
    <t>Local structure analysis of company network</t>
  </si>
  <si>
    <t>IEEE 10th Jubilee International Symposium on Applied Machine Intelligence and Informatics, SAMI 2012 - Proceedings</t>
  </si>
  <si>
    <t>http://www.scopus.com/inward/record.url?eid=2-s2.0-84862742199&amp;partnerID=40&amp;md5=ddd9364b8fd47430512cc083e3f53682</t>
  </si>
  <si>
    <t>Lee, J.B., Cabunducan, G., Cabarle, F.G.C., Castillo, R., Malinao, J.A.</t>
  </si>
  <si>
    <t>Uncovering the social dynamics of online elections</t>
  </si>
  <si>
    <t>Journal of Universal Computer Science</t>
  </si>
  <si>
    <t>http://www.scopus.com/inward/record.url?eid=2-s2.0-84862591110&amp;partnerID=40&amp;md5=af13344589ea7faa23c7dd406c1b8522</t>
  </si>
  <si>
    <t>Bertault, F., Feng, W., Krastins, A., Yi, L., Verza, A.</t>
  </si>
  <si>
    <t>Shining light on complex rdf data through advanced data visualization</t>
  </si>
  <si>
    <t>7185 LNCS</t>
  </si>
  <si>
    <t>http://www.scopus.com/inward/record.url?eid=2-s2.0-84862203609&amp;partnerID=40&amp;md5=899f4d91888bfa74c32b445119b357dc</t>
  </si>
  <si>
    <t>Didimo, W., Liotta, G., Montecchiani, F.</t>
  </si>
  <si>
    <t>VIS4AUI: Visual analysis of banking activity networks</t>
  </si>
  <si>
    <t>GRAPP 2012 IVAPP 2012 - Proceedings of the International Conference on Computer Graphics Theory and Applications and International Conference on Information Visualization Theory and Applications</t>
  </si>
  <si>
    <t>http://www.scopus.com/inward/record.url?eid=2-s2.0-84862179689&amp;partnerID=40&amp;md5=04a49628e910842ce426fb3eae1b7d2b</t>
  </si>
  <si>
    <t>Kim, H.-N., El Saddik, A., Jung, J.-G.</t>
  </si>
  <si>
    <t>Leveraging personal photos to inferring friendships in social network services</t>
  </si>
  <si>
    <t>http://www.scopus.com/inward/record.url?eid=2-s2.0-84862830192&amp;partnerID=40&amp;md5=1f98b71e30254de6773f16b44900ea94</t>
  </si>
  <si>
    <t>Kim, H.K., Kim, J.K., Chen, Q.Y.</t>
  </si>
  <si>
    <t>A product network analysis for extending the market basket analysis</t>
  </si>
  <si>
    <t>http://www.scopus.com/inward/record.url?eid=2-s2.0-84862823353&amp;partnerID=40&amp;md5=a100f5dd0a6aab929302df6cb033f0df</t>
  </si>
  <si>
    <t>Burton, P., Wu, Y., Prybutok, V.R., Harden, G.</t>
  </si>
  <si>
    <t>Differential effects of the volume and diversity of communication network ties on knowledge workers' performance</t>
  </si>
  <si>
    <t>IEEE Transactions on Professional Communication</t>
  </si>
  <si>
    <t>http://www.scopus.com/inward/record.url?eid=2-s2.0-84865510599&amp;partnerID=40&amp;md5=ab047f7b96d3450d4f071f646e02fac2</t>
  </si>
  <si>
    <t>Research on organization network model for construction project based on social network analysis</t>
  </si>
  <si>
    <t>Applied Mechanics and Materials</t>
  </si>
  <si>
    <t>174-177</t>
  </si>
  <si>
    <t>http://www.scopus.com/inward/record.url?eid=2-s2.0-84861658087&amp;partnerID=40&amp;md5=eea89a607f84c7edcdef38524b991cd9</t>
  </si>
  <si>
    <t>Kim, J.-Y., No, S.-T.</t>
  </si>
  <si>
    <t>Characteristics of subcontracting networks in Korean apartment constructions</t>
  </si>
  <si>
    <t>http://www.scopus.com/inward/record.url?eid=2-s2.0-84861653126&amp;partnerID=40&amp;md5=a2f2d5bf9c332bac4dacf4593e97c9f2</t>
  </si>
  <si>
    <t>Yeh, I.-C., Lin, W.-C., Lee, T.-Y., Han, H.-J., Lee, J., Kim, M.</t>
  </si>
  <si>
    <t>Social-event-driven camera control for multicharacter animations</t>
  </si>
  <si>
    <t>http://www.scopus.com/inward/record.url?eid=2-s2.0-84864145865&amp;partnerID=40&amp;md5=7dbc09272c3eaab3d579b859904bdd36</t>
  </si>
  <si>
    <t>Yusof, N., Mansur, A.B.F.</t>
  </si>
  <si>
    <t>Analysis of social learning network for wiki in moodle e-learning</t>
  </si>
  <si>
    <t>http://www.scopus.com/inward/record.url?eid=2-s2.0-84864106213&amp;partnerID=40&amp;md5=9738e8ea31b6f83c7e1890954fc87885</t>
  </si>
  <si>
    <t>Zhe, G., Baoyu, A., Wei, C., Yang, X., Xiaofeng, D., Xinxin, N.</t>
  </si>
  <si>
    <t>Weighted community detection based on a community-topic interacting model</t>
  </si>
  <si>
    <t>http://www.scopus.com/inward/record.url?eid=2-s2.0-84864094167&amp;partnerID=40&amp;md5=a78b8c85515655ba31214311775598bf</t>
  </si>
  <si>
    <t>Sun, S.</t>
  </si>
  <si>
    <t>Subgraph topology detection for directed graph analysis of social network</t>
  </si>
  <si>
    <t>http://www.scopus.com/inward/record.url?eid=2-s2.0-84863207976&amp;partnerID=40&amp;md5=10c1cd50796b45ea92cb0c5852882804</t>
  </si>
  <si>
    <t>Bródka, P., Kazienko, P., Musiał, K., Skibicki, K.</t>
  </si>
  <si>
    <t>Analysis of Neighbourhoods in Multi-layered Dynamic Social Networks</t>
  </si>
  <si>
    <t>International Journal of Computational Intelligence Systems</t>
  </si>
  <si>
    <t>http://www.scopus.com/inward/record.url?eid=2-s2.0-84862238768&amp;partnerID=40&amp;md5=e947cb6e107c3ed41ae4daab3e43466c</t>
  </si>
  <si>
    <t>Khansa, L., Liginlal, D.</t>
  </si>
  <si>
    <t>Whither information security? Examining the complementarities and substitutive effects among IT and information security firms</t>
  </si>
  <si>
    <t>International Journal of Information Management</t>
  </si>
  <si>
    <t>http://www.scopus.com/inward/record.url?eid=2-s2.0-84860287422&amp;partnerID=40&amp;md5=3e544b3f2d8bc296304a8c918d4fe446</t>
  </si>
  <si>
    <t>Crosier, B.S., Webster, G.D., Dillon, H.M.</t>
  </si>
  <si>
    <t>Wired to connect: Evolutionary psychology and social networks</t>
  </si>
  <si>
    <t>Review of General Psychology</t>
  </si>
  <si>
    <t>http://www.scopus.com/inward/record.url?eid=2-s2.0-84874431155&amp;partnerID=40&amp;md5=fd45e4ae8893768d39825bf2a64335b4</t>
  </si>
  <si>
    <t>Salavisa, I., Sousa, C., Fontes, M.</t>
  </si>
  <si>
    <t>Topologies of innovation networks in knowledge-intensive sectors: Sectoral differences in the access to knowledge and complementary assets through formal and informal ties</t>
  </si>
  <si>
    <t>Technovation</t>
  </si>
  <si>
    <t>http://www.scopus.com/inward/record.url?eid=2-s2.0-84861096653&amp;partnerID=40&amp;md5=535ee6c2f40fd797aa4f7dabdc020fec</t>
  </si>
  <si>
    <t>Kaiser, C., Bodendorf, F.</t>
  </si>
  <si>
    <t>Mining consumer dialog in online forums</t>
  </si>
  <si>
    <t>Internet Research</t>
  </si>
  <si>
    <t>http://www.scopus.com/inward/record.url?eid=2-s2.0-84861830004&amp;partnerID=40&amp;md5=68a59aa3653b94ddcd9ba804f2544183</t>
  </si>
  <si>
    <t>Hu, D., Zhao, J.L., Cheng, J.</t>
  </si>
  <si>
    <t>Reputation management in an open source developer social network: An empirical study on determinants of positive evaluations</t>
  </si>
  <si>
    <t>http://www.scopus.com/inward/record.url?eid=2-s2.0-84862794851&amp;partnerID=40&amp;md5=b8cacc0675e8b2eb159693caf727c962</t>
  </si>
  <si>
    <t>Johannsen, D.A., Marchette, D.J.</t>
  </si>
  <si>
    <t>Betti numbers of graphs with an application to anomaly detection</t>
  </si>
  <si>
    <t>http://www.scopus.com/inward/record.url?eid=2-s2.0-84861465974&amp;partnerID=40&amp;md5=677e82501cfa335bde0b82071217ba9c</t>
  </si>
  <si>
    <t>Agarwal, N., Lim, M., Wigand, R.</t>
  </si>
  <si>
    <t>Raising and rising voices in social media: A novel methodological approach in studying cyber-collective movements</t>
  </si>
  <si>
    <t>Business and Information Systems Engineering</t>
  </si>
  <si>
    <t>http://www.scopus.com/inward/record.url?eid=2-s2.0-84863937874&amp;partnerID=40&amp;md5=da44298dfa216eeb7dd88544816ed06d</t>
  </si>
  <si>
    <t>Concas, G., Marchesi, M., Destefanis, G., Tonelli, R.</t>
  </si>
  <si>
    <t>An empirical study of software metrics for assessing the phases of an agile project</t>
  </si>
  <si>
    <t>International Journal of Software Engineering and Knowledge Engineering</t>
  </si>
  <si>
    <t>http://www.scopus.com/inward/record.url?eid=2-s2.0-84865385132&amp;partnerID=40&amp;md5=03b5df62edb9c3516872ad00d30e96c4</t>
  </si>
  <si>
    <t>Minguillo, D., Thelwall, M.</t>
  </si>
  <si>
    <t>Mapping the network structure of science parks: An exploratory study of cross-sectoral interactions reflected on the web</t>
  </si>
  <si>
    <t>http://www.scopus.com/inward/record.url?eid=2-s2.0-84863463051&amp;partnerID=40&amp;md5=35ece4c393e6efd4dd8c3e5631c5077e</t>
  </si>
  <si>
    <t>Yang, D.-M., Zheng, H., Yan, J.-K., Jin, Y.</t>
  </si>
  <si>
    <t>Semantic social network analysis with text corpora</t>
  </si>
  <si>
    <t>7301 LNAI</t>
  </si>
  <si>
    <t>http://www.scopus.com/inward/record.url?eid=2-s2.0-84861429279&amp;partnerID=40&amp;md5=6379ecd55408a53cbe7b9c6070828986</t>
  </si>
  <si>
    <t>Chaudhury, A., Basuchowdhuri, P., Majumder, S.</t>
  </si>
  <si>
    <t>Spread of information in a social network using influential nodes</t>
  </si>
  <si>
    <t>http://www.scopus.com/inward/record.url?eid=2-s2.0-84861447009&amp;partnerID=40&amp;md5=5d05cc8b0f2a013465d0ba560ab4d547</t>
  </si>
  <si>
    <t>Cataldo, M., Ehrlich, K.</t>
  </si>
  <si>
    <t>The impact of communication structure on new product development outcomes</t>
  </si>
  <si>
    <t>Conference on Human Factors in Computing Systems - Proceedings</t>
  </si>
  <si>
    <t>http://www.scopus.com/inward/record.url?eid=2-s2.0-84862099522&amp;partnerID=40&amp;md5=b1f00afd595d43c574acae8b5407c75d</t>
  </si>
  <si>
    <t>Zhang, G., Jacob, E.K.</t>
  </si>
  <si>
    <t>Community: Issues, definitions, and operationalization on the Web</t>
  </si>
  <si>
    <t>WWW'12 - Proceedings of the 21st Annual Conference on World Wide Web Companion</t>
  </si>
  <si>
    <t>http://www.scopus.com/inward/record.url?eid=2-s2.0-84861043540&amp;partnerID=40&amp;md5=516e5c4eccf076c677a2db12d666c5fa</t>
  </si>
  <si>
    <t>Hu, X., Liu, H.</t>
  </si>
  <si>
    <t>Social status and role analysis of Palin's email network</t>
  </si>
  <si>
    <t>http://www.scopus.com/inward/record.url?eid=2-s2.0-84861078369&amp;partnerID=40&amp;md5=6d87a283691bee9e780d0a84b78cb6b1</t>
  </si>
  <si>
    <t>Bošnjak, M., Oliveira, E., Martins, J., Rodrigues, E.M., Sarmento, L.</t>
  </si>
  <si>
    <t>TwitterEcho - A distributed focused crawler to support open research with twitter data</t>
  </si>
  <si>
    <t>http://www.scopus.com/inward/record.url?eid=2-s2.0-84861027293&amp;partnerID=40&amp;md5=17dca2e78c4418ff1d2f51a5b16c0f67</t>
  </si>
  <si>
    <t>Riss, U.V.</t>
  </si>
  <si>
    <t>Email between private use and organizational purpose</t>
  </si>
  <si>
    <t>http://www.scopus.com/inward/record.url?eid=2-s2.0-84861040589&amp;partnerID=40&amp;md5=8f89db8974a5e7674ab201f62c81da36</t>
  </si>
  <si>
    <t>Link prediction via latent factor blockmodel</t>
  </si>
  <si>
    <t>http://www.scopus.com/inward/record.url?eid=2-s2.0-84861028299&amp;partnerID=40&amp;md5=069d7242d2f1d97b0c9fcb1a0cd2e1ce</t>
  </si>
  <si>
    <t>Yin, Q., Chen, Q.</t>
  </si>
  <si>
    <t>A social network analysis platform for organizational risk analysis - ORA</t>
  </si>
  <si>
    <t>Proceedings - 2012 International Conference on Intelligent Systems Design and Engineering Applications, ISDEA 2012</t>
  </si>
  <si>
    <t>http://www.scopus.com/inward/record.url?eid=2-s2.0-84861008348&amp;partnerID=40&amp;md5=1fc883b4f6b38a9b2e877eacf74eb5ed</t>
  </si>
  <si>
    <t>Yousefi-Nooraie, R., Dobbins, M., Brouwers, M., Wakefield, P.</t>
  </si>
  <si>
    <t>Information seeking for making evidence-informed decisions: A social network analysis on the staff of a public health department in Canada</t>
  </si>
  <si>
    <t>BMC Health Services Research</t>
  </si>
  <si>
    <t>http://www.scopus.com/inward/record.url?eid=2-s2.0-84860996635&amp;partnerID=40&amp;md5=cefaafd8b09b29d6c3fbb6405534256d</t>
  </si>
  <si>
    <t>Blackburn, J., Simha, R., Kourtellis, N., Zuo, X., Ripeanu, M., Skvoretz, J., Iamnitchi, A.</t>
  </si>
  <si>
    <t>Branded with a scarlet "C": Cheaters in a gaming social network</t>
  </si>
  <si>
    <t>WWW'12 - Proceedings of the 21st Annual Conference on World Wide Web</t>
  </si>
  <si>
    <t>http://www.scopus.com/inward/record.url?eid=2-s2.0-84860853792&amp;partnerID=40&amp;md5=3aaa6a95ecddfcd923ae4cdf671584ca</t>
  </si>
  <si>
    <t>Tsugawa, S., Ohsaki, H., Itoh, Y., Ono, N., Kagawa, K., Takashima, K., Imase, M.</t>
  </si>
  <si>
    <t>Toward large-scale and dynamic social network analysis with heterogeneous sensors in ambient environment</t>
  </si>
  <si>
    <t>Proceedings - IEEE Virtual Reality</t>
  </si>
  <si>
    <t>http://www.scopus.com/inward/record.url?eid=2-s2.0-84860782786&amp;partnerID=40&amp;md5=a1c7a1990005b5b947af13f131a56cf9</t>
  </si>
  <si>
    <t>Evaluating quality of health information sources</t>
  </si>
  <si>
    <t>Proceedings - International Conference on Advanced Information Networking and Applications, AINA</t>
  </si>
  <si>
    <t>http://www.scopus.com/inward/record.url?eid=2-s2.0-84860782794&amp;partnerID=40&amp;md5=2b8a98d10d3655756dec0bb5e37f14b1</t>
  </si>
  <si>
    <t>Tsai, M.-F., Tzeng, C.-W., Chen, A.L.P.</t>
  </si>
  <si>
    <t>Discovering leaders from social network by action cascade</t>
  </si>
  <si>
    <t>Proceedings of the 5th Workshop on Social Network Systems, SNS'12</t>
  </si>
  <si>
    <t>http://www.scopus.com/inward/record.url?eid=2-s2.0-84860722653&amp;partnerID=40&amp;md5=e05807a20dec5c554862fbc814aeafca</t>
  </si>
  <si>
    <t>Matsumoto, Y., Tsugawa, S., Ohsaki, H., Imase, M.</t>
  </si>
  <si>
    <t>Robustness of centrality measures against link weight quantization in social network analysis</t>
  </si>
  <si>
    <t>http://www.scopus.com/inward/record.url?eid=2-s2.0-84860596522&amp;partnerID=40&amp;md5=c0aa685f09a68dba15af1e20dab7800c</t>
  </si>
  <si>
    <t>Fernandez-Luque, L., Karlsen, R., Melton, G.B.</t>
  </si>
  <si>
    <t>HealthTrust: a social network approach for retrieving online health videos.</t>
  </si>
  <si>
    <t>Journal of medical Internet research</t>
  </si>
  <si>
    <t>http://www.scopus.com/inward/record.url?eid=2-s2.0-84860547693&amp;partnerID=40&amp;md5=e151d9b95bd34388c7592a0fe3122027</t>
  </si>
  <si>
    <t>Yao, P., Hu, Z., Zhao, Z., Crespi, N.</t>
  </si>
  <si>
    <t>A study of social behavior in collaborative user generated services</t>
  </si>
  <si>
    <t>Proceedings of the 6th International Conference on Ubiquitous Information Management and Communication, ICUIMC'12</t>
  </si>
  <si>
    <t>http://www.scopus.com/inward/record.url?eid=2-s2.0-84860509890&amp;partnerID=40&amp;md5=79df7d7d86c1caa40d036c8b370aa887</t>
  </si>
  <si>
    <t>Bernardi, M.L., Canfora, G., Di Lucca, G.A., Di Penta, M., Distante, D.</t>
  </si>
  <si>
    <t>Do developers introduce bugs when they do not communicate? the case of Eclipse and Mozilla</t>
  </si>
  <si>
    <t>Proceedings of the European Conference on Software Maintenance and Reengineering, CSMR</t>
  </si>
  <si>
    <t>http://www.scopus.com/inward/record.url?eid=2-s2.0-84860526489&amp;partnerID=40&amp;md5=db73253d1ee7b2ff0acc3e7953d29ed1</t>
  </si>
  <si>
    <t>Wang, Y., Qi, Z., Li, Z., Yu, J., Zhai, Y.</t>
  </si>
  <si>
    <t>Review of CDIO research in China: From 2005 to 2011</t>
  </si>
  <si>
    <t>World Transactions on Engineering and Technology Education</t>
  </si>
  <si>
    <t>http://www.scopus.com/inward/record.url?eid=2-s2.0-84860477368&amp;partnerID=40&amp;md5=6d24dd2868dc75134c2ad7c77f466988</t>
  </si>
  <si>
    <t>Li, W., Zheng, Y.</t>
  </si>
  <si>
    <t>Research on online learner participation in a web-based course</t>
  </si>
  <si>
    <t>International Journal of Continuing Engineering Education and Life-Long Learning</t>
  </si>
  <si>
    <t>http://www.scopus.com/inward/record.url?eid=2-s2.0-84861908241&amp;partnerID=40&amp;md5=c0fcaa39176634e4a0868904c274062a</t>
  </si>
  <si>
    <t>Kim, K., Jung, J.-Y., Park, J.</t>
  </si>
  <si>
    <t>Discovery of information diffusion process in social networks</t>
  </si>
  <si>
    <t>http://www.scopus.com/inward/record.url?eid=2-s2.0-84860647340&amp;partnerID=40&amp;md5=d2130f0933651a621f7a98f096f15c83</t>
  </si>
  <si>
    <t>Mahdavi Pajouh, F., Balasundaram, B.</t>
  </si>
  <si>
    <t>On inclusionwise maximal and maximum cardinality k-clubs in graphs</t>
  </si>
  <si>
    <t>Discrete Optimization</t>
  </si>
  <si>
    <t>http://www.scopus.com/inward/record.url?eid=2-s2.0-84860514572&amp;partnerID=40&amp;md5=fccb5aa638fe2cfe98399ed10893e2ba</t>
  </si>
  <si>
    <t>Investigating the effect of communication characteristics on crew performance under the simulated emergency condition of nuclear power plants</t>
  </si>
  <si>
    <t>http://www.scopus.com/inward/record.url?eid=2-s2.0-84862817323&amp;partnerID=40&amp;md5=3cbc75b47e25c31fe392d0b627601d6e</t>
  </si>
  <si>
    <t>Wilson, R.E., Gosling, S.D., Graham, L.T.</t>
  </si>
  <si>
    <t>A Review of Facebook Research in the Social Sciences</t>
  </si>
  <si>
    <t>Perspectives on Psychological Science</t>
  </si>
  <si>
    <t>http://www.scopus.com/inward/record.url?eid=2-s2.0-84861774400&amp;partnerID=40&amp;md5=7e61fd8e56f4118df851997ad4db75f6</t>
  </si>
  <si>
    <t>Yuan, Y., Wang, G., Chen, L., Wang, H.</t>
  </si>
  <si>
    <t>Efficient subgraph similarity search on large probabilistic graph databases</t>
  </si>
  <si>
    <t>Proceedings of the VLDB Endowment</t>
  </si>
  <si>
    <t>http://www.scopus.com/inward/record.url?eid=2-s2.0-84863773270&amp;partnerID=40&amp;md5=4c5527ac5aa75db3f186dd79326009df</t>
  </si>
  <si>
    <t>Griffiths, D., Lambert, P.S.</t>
  </si>
  <si>
    <t>Dimensions and boundaries: Comparative analysis of occupational structures using social network and social interaction distance analysis</t>
  </si>
  <si>
    <t>Sociological Research Online</t>
  </si>
  <si>
    <t>http://www.scopus.com/inward/record.url?eid=2-s2.0-84863875233&amp;partnerID=40&amp;md5=77ea1d7f81b9b7f1ca6f18794a45c6c3</t>
  </si>
  <si>
    <t>Yang, Z., Gao, C.</t>
  </si>
  <si>
    <t>Ranking marketing journals by using social network analysis</t>
  </si>
  <si>
    <t>http://www.scopus.com/inward/record.url?eid=2-s2.0-84860111697&amp;partnerID=40&amp;md5=162422923db9abd4610e9eaa9f5e4f36</t>
  </si>
  <si>
    <t>Raising and Rising Voices in Social Media - A Novel Methodological Approach in Studying Cyber-Collective Movements [Meinungsäußerung und -bildung in sozialen Medien - Ein neuer methodischer Ansatz zur Untersuchung cybersozialer Bewegungen]</t>
  </si>
  <si>
    <t>Wirtschaftsinformatik</t>
  </si>
  <si>
    <t>http://www.scopus.com/inward/record.url?eid=2-s2.0-84859930194&amp;partnerID=40&amp;md5=2d7a8eec2586f1d8ccc02a1f8be7ab44</t>
  </si>
  <si>
    <t>Lim, S.L., Finkelstein, A.</t>
  </si>
  <si>
    <t>StakeRare: Using social networks and collaborative filtering for large-scale requirements elicitation</t>
  </si>
  <si>
    <t>IEEE Transactions on Software Engineering</t>
  </si>
  <si>
    <t>http://www.scopus.com/inward/record.url?eid=2-s2.0-84861847181&amp;partnerID=40&amp;md5=929eb5b1572398da86f820875d6427b8</t>
  </si>
  <si>
    <t>Yousaf, J., Li, J., Zhang, H., Hou, L.</t>
  </si>
  <si>
    <t>Exploration and visualization of administrator network in wikipedia</t>
  </si>
  <si>
    <t>7235 LNCS</t>
  </si>
  <si>
    <t>http://www.scopus.com/inward/record.url?eid=2-s2.0-84859720151&amp;partnerID=40&amp;md5=560365a2a19737cb685762c32f2b04e6</t>
  </si>
  <si>
    <t>Bakillah, M., Liang, S.H.L.</t>
  </si>
  <si>
    <t>Discovering sensor services with social network analysis and expanded sqwrl querying</t>
  </si>
  <si>
    <t>7236 LNCS</t>
  </si>
  <si>
    <t>http://www.scopus.com/inward/record.url?eid=2-s2.0-84859709039&amp;partnerID=40&amp;md5=21967cd6f9c6b266d9a2444838d1e3e0</t>
  </si>
  <si>
    <t>Vrabič, R., Husejnagić, D., Butala, P.</t>
  </si>
  <si>
    <t>Discovering autonomous structures within complex networks of work systems</t>
  </si>
  <si>
    <t>CIRP Annals - Manufacturing Technology</t>
  </si>
  <si>
    <t>http://www.scopus.com/inward/record.url?eid=2-s2.0-84861607317&amp;partnerID=40&amp;md5=2f6fef2f00bc737565e470c3d26087bb</t>
  </si>
  <si>
    <t>Singh, A., Korkmaz, S.</t>
  </si>
  <si>
    <t>Assessing integration and project performance in student teams in teaching sustainable built environment</t>
  </si>
  <si>
    <t>ICSDC 2011: Integrating Sustainability Practices in the Construction Industry - Proceedings of the International Conference on Sustainable Design and Construction 2011</t>
  </si>
  <si>
    <t>http://www.scopus.com/inward/record.url?eid=2-s2.0-84859514264&amp;partnerID=40&amp;md5=dbb01990f05cab4ca6c7cb9bb76f325a</t>
  </si>
  <si>
    <t>Weber, J.E., Schmidt, W., Weber, P.S.</t>
  </si>
  <si>
    <t>Using social network analysis and derivatives to develop the S-BPM approach and community of practice</t>
  </si>
  <si>
    <t>104 LNBIP</t>
  </si>
  <si>
    <t>http://www.scopus.com/inward/record.url?eid=2-s2.0-84859309762&amp;partnerID=40&amp;md5=d66deccbb6655e5d836385cc6c13842f</t>
  </si>
  <si>
    <t>Zhang, M., Yang, C.C., Li, J.</t>
  </si>
  <si>
    <t>A comparative study of smoking cessation intervention programs on social media</t>
  </si>
  <si>
    <t>7227 LNCS</t>
  </si>
  <si>
    <t>http://www.scopus.com/inward/record.url?eid=2-s2.0-84859121669&amp;partnerID=40&amp;md5=f13844938b0c49687ce04748185068b5</t>
  </si>
  <si>
    <t>Fujimoto, K.</t>
  </si>
  <si>
    <t>Using mixed-mode networks to disentangle multiple sources of social influence</t>
  </si>
  <si>
    <t>http://www.scopus.com/inward/record.url?eid=2-s2.0-84859115643&amp;partnerID=40&amp;md5=3276312f86129ccfc77101194cb8b3ea</t>
  </si>
  <si>
    <t>Khabsa, M., Koppman, S., Giles, C.L.</t>
  </si>
  <si>
    <t>Towards building and analyzing a social network of acknowledgments in scientific and academic documents</t>
  </si>
  <si>
    <t>http://www.scopus.com/inward/record.url?eid=2-s2.0-84859131457&amp;partnerID=40&amp;md5=fef1b42614a3a17367b26cc08c53768e</t>
  </si>
  <si>
    <t>Predicting recent links in FOAF networks</t>
  </si>
  <si>
    <t>http://www.scopus.com/inward/record.url?eid=2-s2.0-84859147903&amp;partnerID=40&amp;md5=7a51e4d39c69d29686b02096c5356600</t>
  </si>
  <si>
    <t>Fuhrer, C., Cucchi, A.</t>
  </si>
  <si>
    <t>Relations between social capital and use of ICT: A social network analysis approach</t>
  </si>
  <si>
    <t>International Journal of Technology and Human Interaction</t>
  </si>
  <si>
    <t>http://www.scopus.com/inward/record.url?eid=2-s2.0-84870283240&amp;partnerID=40&amp;md5=4112a61f5e160ddeb3c6a9c0af747202</t>
  </si>
  <si>
    <t>Kang, B., Kim, D., Kang, S.-H.</t>
  </si>
  <si>
    <t>Supply chain simulation integrating agent-based modeling with social network analysis: A conceptual framework</t>
  </si>
  <si>
    <t>ICIC Express Letters</t>
  </si>
  <si>
    <t>http://www.scopus.com/inward/record.url?eid=2-s2.0-84863229363&amp;partnerID=40&amp;md5=4ef33552878054c8908b5029a911ad73</t>
  </si>
  <si>
    <t>Rice, E., Tulbert, E., Cederbaum, J., Barman Adhikari, A., Milburn, N.G.</t>
  </si>
  <si>
    <t>Mobilizing homeless youth for HIV prevention: A social network analysis of the acceptability of a face-to-face and online social networking intervention</t>
  </si>
  <si>
    <t>Health Education Research</t>
  </si>
  <si>
    <t>http://www.scopus.com/inward/record.url?eid=2-s2.0-84858670774&amp;partnerID=40&amp;md5=b90cbabc793df4dc044ebc41095a9ae8</t>
  </si>
  <si>
    <t>Eirinaki, M., Monga, S.P.S., Sundaram, S.</t>
  </si>
  <si>
    <t>Identification of influential social networkers</t>
  </si>
  <si>
    <t>http://www.scopus.com/inward/record.url?eid=2-s2.0-84859402938&amp;partnerID=40&amp;md5=b37517909c45179de1dcaeba60acacc5</t>
  </si>
  <si>
    <t>Hsu, C.-L., Park, H.W.</t>
  </si>
  <si>
    <t>Mapping online social networks of Korean politicians</t>
  </si>
  <si>
    <t>Government Information Quarterly</t>
  </si>
  <si>
    <t>http://www.scopus.com/inward/record.url?eid=2-s2.0-84862783257&amp;partnerID=40&amp;md5=82298b3694b426e4a4e9730e045c5d19</t>
  </si>
  <si>
    <t>Arora, M., Kanjilal, U., Varshney, D.</t>
  </si>
  <si>
    <t>An intelligent information retrieval: A social network analysis</t>
  </si>
  <si>
    <t>http://www.scopus.com/inward/record.url?eid=2-s2.0-84859379867&amp;partnerID=40&amp;md5=cc615b2b92407481d1f3d1988a5b8854</t>
  </si>
  <si>
    <t>Yu, Y.-W., Kim, S., Jeong, S.C., Bae, H.</t>
  </si>
  <si>
    <t>Business process modeling using process structural constraints and social relations</t>
  </si>
  <si>
    <t>http://www.scopus.com/inward/record.url?eid=2-s2.0-84863274370&amp;partnerID=40&amp;md5=2159c16b5aa16a9252601ec51713fe08</t>
  </si>
  <si>
    <t>Retzer, S., Yoong, P., Hooper, V.</t>
  </si>
  <si>
    <t>Inter-organisational knowledge transfer in social networks: A definition of intermediate ties</t>
  </si>
  <si>
    <t>http://www.scopus.com/inward/record.url?eid=2-s2.0-84861459198&amp;partnerID=40&amp;md5=5cf787bf69e92a31541a4c819362c7eb</t>
  </si>
  <si>
    <t>Ge, J., Ying, X., Wu, B., Zhang, H.</t>
  </si>
  <si>
    <t>Study on knowledge subject behavior evolution model in SNS enterprise knowledge community</t>
  </si>
  <si>
    <t>http://www.scopus.com/inward/record.url?eid=2-s2.0-84860318749&amp;partnerID=40&amp;md5=1d49bc985bbf3313af313d11d3f7d3db</t>
  </si>
  <si>
    <t>Shen, X.-W., Wang, F.-Y., Cheng, C.-J., Liu, X.-W.</t>
  </si>
  <si>
    <t>Application of clustering analysis to team management</t>
  </si>
  <si>
    <t>Zidonghua Xuebao/Acta Automatica Sinica</t>
  </si>
  <si>
    <t>http://www.scopus.com/inward/record.url?eid=2-s2.0-84861716481&amp;partnerID=40&amp;md5=2b5911f8e1d0580e2ba084c40a2962a2</t>
  </si>
  <si>
    <t>Wang, G., Liu, L., Liu, Z., Hu, Y., Xia, J., Chen, W., Peng, D.</t>
  </si>
  <si>
    <t>Visual analysis of people's calling network from CDR data</t>
  </si>
  <si>
    <t>Journal of Information and Computational Science</t>
  </si>
  <si>
    <t>http://www.scopus.com/inward/record.url?eid=2-s2.0-84859758182&amp;partnerID=40&amp;md5=bdf21abba430745e83c00b8caea068d3</t>
  </si>
  <si>
    <t>Hwang, Y.-S., Shin, D.-H., Kim, Y.</t>
  </si>
  <si>
    <t>Structural change in search engine news service: A social network perspective</t>
  </si>
  <si>
    <t>Asian Journal of Communication</t>
  </si>
  <si>
    <t>http://www.scopus.com/inward/record.url?eid=2-s2.0-84859208821&amp;partnerID=40&amp;md5=b0eaa4e701c84dd517f2e33d1aef6ec4</t>
  </si>
  <si>
    <t>Dou, B.-L., Li, S.-S., Zhang, S.-Y.</t>
  </si>
  <si>
    <t>Social network analysis based on structure</t>
  </si>
  <si>
    <t>Jisuanji Xuebao/Chinese Journal of Computers</t>
  </si>
  <si>
    <t>http://www.scopus.com/inward/record.url?eid=2-s2.0-84862002495&amp;partnerID=40&amp;md5=6bb947661eacdac0a5b6f9007cee9dd0</t>
  </si>
  <si>
    <t>Tung, W.-F., Tseng, S.-H.</t>
  </si>
  <si>
    <t>Hybrid approach of trust inference and expert social search</t>
  </si>
  <si>
    <t>http://www.scopus.com/inward/record.url?eid=2-s2.0-84860250364&amp;partnerID=40&amp;md5=eea8bf01171d1720beabdeba36dc215c</t>
  </si>
  <si>
    <t>Davoodi, E., Afsharchi, M., Kianmehr, K.</t>
  </si>
  <si>
    <t>A social network-based approach to expert recommendation system</t>
  </si>
  <si>
    <t>7208 LNAI</t>
  </si>
  <si>
    <t>http://www.scopus.com/inward/record.url?eid=2-s2.0-84858765167&amp;partnerID=40&amp;md5=953638a01d39b268152188ed33db3b52</t>
  </si>
  <si>
    <t>Luong, H., Huynh, T., Gauch, S., Do, L., Hoang, K.</t>
  </si>
  <si>
    <t>Publication venue recommendation using author network's publication history</t>
  </si>
  <si>
    <t>7198 LNAI</t>
  </si>
  <si>
    <t>PART 3</t>
  </si>
  <si>
    <t>http://www.scopus.com/inward/record.url?eid=2-s2.0-84858710952&amp;partnerID=40&amp;md5=0d4c79e5e4f721ed68a97387c7c56848</t>
  </si>
  <si>
    <t>Rajalakshmi, S., Banu, R.S.D.W.</t>
  </si>
  <si>
    <t>Analysis of tacit knowledge sharing and codification in higher education</t>
  </si>
  <si>
    <t>2012 International Conference on Computer Communication and Informatics, ICCCI 2012</t>
  </si>
  <si>
    <t>http://www.scopus.com/inward/record.url?eid=2-s2.0-84858732065&amp;partnerID=40&amp;md5=6d8ea26f9efa8143846637b2347b5339</t>
  </si>
  <si>
    <t>Guo, X., Chu, S.-C., Tang, L.-L., Roddick, J.F., Pan, J.-S.</t>
  </si>
  <si>
    <t>A research on behavior of sleepy lizards based on KNN algorithm</t>
  </si>
  <si>
    <t>7197 LNAI</t>
  </si>
  <si>
    <t>http://www.scopus.com/inward/record.url?eid=2-s2.0-84858736372&amp;partnerID=40&amp;md5=043dc9276c9f78827b6ba1a85282d422</t>
  </si>
  <si>
    <t>Chen, Y., Nyemba, S., Malin, B.</t>
  </si>
  <si>
    <t>Detecting anomalous insiders in collaborative information systems</t>
  </si>
  <si>
    <t>http://www.scopus.com/inward/record.url?eid=2-s2.0-84863381941&amp;partnerID=40&amp;md5=9bd6de9769c8ab57ac57960846e3f5b4</t>
  </si>
  <si>
    <t>Xu, S., Chen, L.</t>
  </si>
  <si>
    <t>Shared work list: Hacking amorphous data parallelism in UPC</t>
  </si>
  <si>
    <t>Proceedings of the 2012 International Workshop on Programming Models and Applications for Multicores and Manycores, PMAM 2012</t>
  </si>
  <si>
    <t>http://www.scopus.com/inward/record.url?eid=2-s2.0-84863340910&amp;partnerID=40&amp;md5=f92d0c80a8b7eac817b49f42638b3181</t>
  </si>
  <si>
    <t>Chen, R.-C., Chen, S.-Y., Fan, J.-Y., Chen, Y.-T.</t>
  </si>
  <si>
    <t>Grouping partners for cooperative learning using genetic algorithm and social network analysis</t>
  </si>
  <si>
    <t>Procedia Engineering</t>
  </si>
  <si>
    <t>http://www.scopus.com/inward/record.url?eid=2-s2.0-84863365053&amp;partnerID=40&amp;md5=3a62d4fd04433c48a3282fa1aa3682f7</t>
  </si>
  <si>
    <t>Shams, M., Saffar, M., Shakery, A., Faili, H.</t>
  </si>
  <si>
    <t>Applying sentiment and social network analysis in user modeling</t>
  </si>
  <si>
    <t>7181 LNCS</t>
  </si>
  <si>
    <t>http://www.scopus.com/inward/record.url?eid=2-s2.0-84858321227&amp;partnerID=40&amp;md5=4ffeea666ea45d5123a945356e394769</t>
  </si>
  <si>
    <t>Datta, S., Kumar, N., Sarkar, S.</t>
  </si>
  <si>
    <t>The social network of software engineering research</t>
  </si>
  <si>
    <t>Proceedings of the 5th India Software Engineering Conference, ISEC'12</t>
  </si>
  <si>
    <t>http://www.scopus.com/inward/record.url?eid=2-s2.0-84858305524&amp;partnerID=40&amp;md5=9c3bc77fbcf07d8851ab3bdbae3147a8</t>
  </si>
  <si>
    <t>Eleta, I.</t>
  </si>
  <si>
    <t>Multilingual use of Twitter: Social networks and language choice</t>
  </si>
  <si>
    <t>Proceedings of the ACM Conference on Computer Supported Cooperative Work, CSCW</t>
  </si>
  <si>
    <t>http://www.scopus.com/inward/record.url?eid=2-s2.0-84858241852&amp;partnerID=40&amp;md5=b89a7c091d87e71c0091b1d2a83878f8</t>
  </si>
  <si>
    <t>Ehrlich, K., Cataldo, M.</t>
  </si>
  <si>
    <t>All-for-one and one-for-all? A multi-level analysis of communication patterns and individual performance in geographically distributed software development</t>
  </si>
  <si>
    <t>http://www.scopus.com/inward/record.url?eid=2-s2.0-84858166700&amp;partnerID=40&amp;md5=62f6bd1f3e84cf175230b3a8eb81de18</t>
  </si>
  <si>
    <t>Lee, H., Lee, D.I., Kim, T., Lee, J.</t>
  </si>
  <si>
    <t>The moderating role of socio-semantic networks on online buzz diffusion</t>
  </si>
  <si>
    <t>Journal of Business Research</t>
  </si>
  <si>
    <t>http://www.scopus.com/inward/record.url?eid=2-s2.0-84857878812&amp;partnerID=40&amp;md5=368f8f2b8e639a5392cde3065f18b4d6</t>
  </si>
  <si>
    <t>Novak, A.N., Mascaro, C.M., Goggins, S.P.</t>
  </si>
  <si>
    <t>Virtual play and communities: The evolution of group roles in electronic trace data</t>
  </si>
  <si>
    <t>http://www.scopus.com/inward/record.url?eid=2-s2.0-84857683488&amp;partnerID=40&amp;md5=c9f0adc15f27d844936be15635ffb4fa</t>
  </si>
  <si>
    <t>Baron, L.F., Gomez, R.</t>
  </si>
  <si>
    <t>Social network analysis of public access computing: Relationships as a critical benefit of libraries, telecenters and cybercafés in developing countries</t>
  </si>
  <si>
    <t>http://www.scopus.com/inward/record.url?eid=2-s2.0-84857659770&amp;partnerID=40&amp;md5=acf2a1340d5f0cc128bbf0941b98b6a1</t>
  </si>
  <si>
    <t>Ng, C., Gruzd, A., Cheng, C., Crocker, B., Doiron, D., Stevens, K.</t>
  </si>
  <si>
    <t>From data to knowledge: Discovery of medical laboratory demand patterns through visualisation techniques</t>
  </si>
  <si>
    <t>http://www.scopus.com/inward/record.url?eid=2-s2.0-84857675645&amp;partnerID=40&amp;md5=46ca68cd88ff340f942cd6e9ee36c374</t>
  </si>
  <si>
    <t>Geyer-Schulz, A., Ovelgönne, M., Sonnenbichler, A.C.</t>
  </si>
  <si>
    <t>A social location-based emergency service to eliminate the bystander effect</t>
  </si>
  <si>
    <t>222 CCIS</t>
  </si>
  <si>
    <t>http://www.scopus.com/inward/record.url?eid=2-s2.0-84857617420&amp;partnerID=40&amp;md5=8cec6d2f3c71ccb400a49941877aca5f</t>
  </si>
  <si>
    <t>Meese, N., McMahon, C.</t>
  </si>
  <si>
    <t>Analysing sustainable development social structures in an international civil engineering consultancy</t>
  </si>
  <si>
    <t>Journal of Cleaner Production</t>
  </si>
  <si>
    <t>http://www.scopus.com/inward/record.url?eid=2-s2.0-84055183754&amp;partnerID=40&amp;md5=9eebf23efadb14c9dde700ee32919d21</t>
  </si>
  <si>
    <t>Zhang, Y., Gao, Q., Gao, L., Wang, C.</t>
  </si>
  <si>
    <t>IMapReduce: A Distributed Computing Framework for Iterative Computation</t>
  </si>
  <si>
    <t>Journal of Grid Computing</t>
  </si>
  <si>
    <t>http://www.scopus.com/inward/record.url?eid=2-s2.0-84862787564&amp;partnerID=40&amp;md5=45f97782d7871d5d2b73ae249125d89b</t>
  </si>
  <si>
    <t>Claussen, J., Falck, O., Grohsjean, T.</t>
  </si>
  <si>
    <t>The strength of direct ties: Evidence from the electronic game industry</t>
  </si>
  <si>
    <t>International Journal of Industrial Organization</t>
  </si>
  <si>
    <t>http://www.scopus.com/inward/record.url?eid=2-s2.0-84858081024&amp;partnerID=40&amp;md5=afc443cce9668948d1ec0562ba096e3d</t>
  </si>
  <si>
    <t>Pilny, A., Shumate, M.</t>
  </si>
  <si>
    <t>Hyperlinks as Extensions of offline instrumental collective action</t>
  </si>
  <si>
    <t>Information Communication and Society</t>
  </si>
  <si>
    <t>http://www.scopus.com/inward/record.url?eid=2-s2.0-84858595272&amp;partnerID=40&amp;md5=ab6e00fcb31d4b9c936fedb35b3645bf</t>
  </si>
  <si>
    <t>Wang, M.-F., Tsai, M.-F., Jheng, S.-L., Tang, C.-H.</t>
  </si>
  <si>
    <t>Social feature-based enterprise email classification without examining email contents</t>
  </si>
  <si>
    <t>http://www.scopus.com/inward/record.url?eid=2-s2.0-84856212977&amp;partnerID=40&amp;md5=1a0d720735233a9ca3bf47d12f3e21fb</t>
  </si>
  <si>
    <t>Lambropoulos, N., Faulkner, X., Culwin, F.</t>
  </si>
  <si>
    <t>Supporting social awareness in collaborative e-learning</t>
  </si>
  <si>
    <t>http://www.scopus.com/inward/record.url?eid=2-s2.0-79960751842&amp;partnerID=40&amp;md5=6696dd4fc405a6195083fef444923a39</t>
  </si>
  <si>
    <t>Yang, Z., Lai, Y.-X., Duan, L.-J., Li, Y.-J., Xu, X.</t>
  </si>
  <si>
    <t>Spam collaborative filtering in Enron e-mail network</t>
  </si>
  <si>
    <t>http://www.scopus.com/inward/record.url?eid=2-s2.0-84861676481&amp;partnerID=40&amp;md5=699e979d4b253f2079f0ba235a0b2ad1</t>
  </si>
  <si>
    <t>Przyjaciel-Zablocki, M., Schätzle, A., Hornung, T., Lausen, G.</t>
  </si>
  <si>
    <t>RDFPath: Path query processing on large RDF graphs with MapReduce</t>
  </si>
  <si>
    <t>7117 LNCS</t>
  </si>
  <si>
    <t>http://www.scopus.com/inward/record.url?eid=2-s2.0-84857098167&amp;partnerID=40&amp;md5=a86ee61cf95c1d387f7b386b7032622c</t>
  </si>
  <si>
    <t>Mao, C.</t>
  </si>
  <si>
    <t>A Heuristic Algorithm for Bipartite Community Detection in Social Networks</t>
  </si>
  <si>
    <t>http://www.scopus.com/inward/record.url?eid=2-s2.0-84856570834&amp;partnerID=40&amp;md5=099c47b8ced7ce88f7ad40cff003eaee</t>
  </si>
  <si>
    <t>Ferreira, D.R., Alves, C.</t>
  </si>
  <si>
    <t>Discovering user communities in large event logs</t>
  </si>
  <si>
    <t>99 LNBIP</t>
  </si>
  <si>
    <t>http://www.scopus.com/inward/record.url?eid=2-s2.0-84856585052&amp;partnerID=40&amp;md5=c6605cf097dd5348a5a1229e7e0f5d05</t>
  </si>
  <si>
    <t>Lin, Y.-R., Sundaram, H., De Choudhury, M., Kelliher, A.</t>
  </si>
  <si>
    <t>Discovering multirelational structure in social media streams</t>
  </si>
  <si>
    <t>ACM Transactions on Multimedia Computing, Communications and Applications</t>
  </si>
  <si>
    <t>http://www.scopus.com/inward/record.url?eid=2-s2.0-84863238828&amp;partnerID=40&amp;md5=525f839c1a891d631cf507b64ae93215</t>
  </si>
  <si>
    <t>Li, Y.-K., Le, Y., He, Q.-H., Lu, Y.-J.</t>
  </si>
  <si>
    <t>Complex projects organization power quantification and empirical study based on SNA</t>
  </si>
  <si>
    <t>Xitong Gongcheng Lilun yu Shijian/System Engineering Theory and Practice</t>
  </si>
  <si>
    <t>http://www.scopus.com/inward/record.url?eid=2-s2.0-84863231654&amp;partnerID=40&amp;md5=c1b9a2b99ad4290aedda47608898e87f</t>
  </si>
  <si>
    <t>Zhao, Z., Feng, S., Wang, Q., Huang, J.Z., Williams, G.J., Fan, J.</t>
  </si>
  <si>
    <t>Topic oriented community detection through social objects and link analysis in social networks</t>
  </si>
  <si>
    <t>Knowledge-Based Systems</t>
  </si>
  <si>
    <t>http://www.scopus.com/inward/record.url?eid=2-s2.0-84155181035&amp;partnerID=40&amp;md5=ac7b8f57c3b75dba14f627647ed85da7</t>
  </si>
  <si>
    <t>Snášel, V., Abraham, A., Martinovič, J., Dráždilová, P., Slaninová, K., Daradoumis, T., Xhafa, F., Martiínez-Monés, A.</t>
  </si>
  <si>
    <t>E-assessment of individual and group learning processes</t>
  </si>
  <si>
    <t>Journal of Computational and Theoretical Nanoscience</t>
  </si>
  <si>
    <t>http://www.scopus.com/inward/record.url?eid=2-s2.0-84861542792&amp;partnerID=40&amp;md5=5cc4a254552ff7bfc3fa2c7ff18b3909</t>
  </si>
  <si>
    <t>Wang, T., Zhang, Q., Liu, Z., Liu, W., Wen, D.</t>
  </si>
  <si>
    <t>On social computing research collaboration patterns: A social network perspective</t>
  </si>
  <si>
    <t>Frontiers of Computer Science in China</t>
  </si>
  <si>
    <t>http://www.scopus.com/inward/record.url?eid=2-s2.0-84863035554&amp;partnerID=40&amp;md5=5a7b02a36260343cf5eac942d7b5ab98</t>
  </si>
  <si>
    <t>Ronda-Pupo, G.A., Guerras-Martin, L.A.</t>
  </si>
  <si>
    <t>Dynamics of the evolution of the strategy concept 1962-2008: A co-word analysis</t>
  </si>
  <si>
    <t>Strategic Management Journal</t>
  </si>
  <si>
    <t>http://www.scopus.com/inward/record.url?eid=2-s2.0-83555166024&amp;partnerID=40&amp;md5=a45003efa23dd1dbc0e062b791970d4d</t>
  </si>
  <si>
    <t>Ashton, W.S., Bain, A.C.</t>
  </si>
  <si>
    <t>Assessing the "Short Mental Distance" in Eco-Industrial Networks</t>
  </si>
  <si>
    <t>Journal of Industrial Ecology</t>
  </si>
  <si>
    <t>http://www.scopus.com/inward/record.url?eid=2-s2.0-84858617116&amp;partnerID=40&amp;md5=adfa6e7f147a48e0c6164870817eb8ff</t>
  </si>
  <si>
    <t>Paletto, A., Ferretti, F., De Meo, I.</t>
  </si>
  <si>
    <t>The role of social networks in forest landscape planning</t>
  </si>
  <si>
    <t>Forest Policy and Economics</t>
  </si>
  <si>
    <t>http://www.scopus.com/inward/record.url?eid=2-s2.0-84856519052&amp;partnerID=40&amp;md5=46a9ad83acad57fe8ed36e63d913018f</t>
  </si>
  <si>
    <t>Wu, B.Y.</t>
  </si>
  <si>
    <t>On the maximum disjoint paths problem on edge-colored graphs</t>
  </si>
  <si>
    <t>http://www.scopus.com/inward/record.url?eid=2-s2.0-84857657275&amp;partnerID=40&amp;md5=d9ed9931a0cbc676f2bf417472fde934</t>
  </si>
  <si>
    <t>Shi, C., Yan, Z., Cai, Y., Wu, B.</t>
  </si>
  <si>
    <t>Multi-objective community detection in complex networks</t>
  </si>
  <si>
    <t>Applied Soft Computing Journal</t>
  </si>
  <si>
    <t>http://www.scopus.com/inward/record.url?eid=2-s2.0-84655175044&amp;partnerID=40&amp;md5=bf157b56f64bdfe36394de0e6f41a31d</t>
  </si>
  <si>
    <t>Ruan, X., Ochieng, E.G., Price, A.D.F., Egbu, C.O.</t>
  </si>
  <si>
    <t>Knowledge integration process in construction projects: a social network analysis approach to compare competitive and collaborative working</t>
  </si>
  <si>
    <t>Construction Management and Economics</t>
  </si>
  <si>
    <t>http://www.scopus.com/inward/record.url?eid=2-s2.0-84857022896&amp;partnerID=40&amp;md5=391bb1600921ba449cb496b2108fe356</t>
  </si>
  <si>
    <t>Gumm Jr., K.E.</t>
  </si>
  <si>
    <t>Can Social Network Analysis be Effective at Improving the Intelligence Community While Ensuring Civil Rights?</t>
  </si>
  <si>
    <t>Information Security Journal</t>
  </si>
  <si>
    <t>http://www.scopus.com/inward/record.url?eid=2-s2.0-84862160139&amp;partnerID=40&amp;md5=921c809df25599b8431510b10becbaf4</t>
  </si>
  <si>
    <t>Seo, D.-C., Huang, Y.</t>
  </si>
  <si>
    <t>Systematic review of social network analysis in adolescent cigarette smoking behavior</t>
  </si>
  <si>
    <t>Journal of School Health</t>
  </si>
  <si>
    <t>http://www.scopus.com/inward/record.url?eid=2-s2.0-83155184771&amp;partnerID=40&amp;md5=f3aef817664e77c1964b612a9cd94e5a</t>
  </si>
  <si>
    <t>Yu, Y.H., Yi, K.J., Yeng, H.P.</t>
  </si>
  <si>
    <t>Using patent data to explore technology trajectory and trends of shading device</t>
  </si>
  <si>
    <t>Advanced Materials Research</t>
  </si>
  <si>
    <t>403-408</t>
  </si>
  <si>
    <t>http://www.scopus.com/inward/record.url?eid=2-s2.0-83255171160&amp;partnerID=40&amp;md5=88b2fcf9087961e699741f1d1f19aff9</t>
  </si>
  <si>
    <t>Liu, L., Zhu, F., Jiang, M., Han, J., Sun, L., Yang, S.</t>
  </si>
  <si>
    <t>Mining diversity on social media networks</t>
  </si>
  <si>
    <t>http://www.scopus.com/inward/record.url?eid=2-s2.0-84857368442&amp;partnerID=40&amp;md5=db6127e2e284c35e81ddabdb438a2bb9</t>
  </si>
  <si>
    <t>Korhonen, K., Hujala, T., Kurttila, M.</t>
  </si>
  <si>
    <t>Reaching forest owners through their social networks in timber sales</t>
  </si>
  <si>
    <t>Scandinavian Journal of Forest Research</t>
  </si>
  <si>
    <t>http://www.scopus.com/inward/record.url?eid=2-s2.0-84858317014&amp;partnerID=40&amp;md5=08b718024286f4981cdca5ea427953ab</t>
  </si>
  <si>
    <t>Woo-Young, C., Park, H.W.</t>
  </si>
  <si>
    <t>The network structure of the Korean blogosphere</t>
  </si>
  <si>
    <t>Journal of Computer-Mediated Communication</t>
  </si>
  <si>
    <t>http://www.scopus.com/inward/record.url?eid=2-s2.0-84862933558&amp;partnerID=40&amp;md5=1d61ed5ae3163926d23a84639dbe2803</t>
  </si>
  <si>
    <t>Kim, H.-J.</t>
  </si>
  <si>
    <t>Discovering knowledge flow in social network</t>
  </si>
  <si>
    <t>120 LNEE</t>
  </si>
  <si>
    <t>http://www.scopus.com/inward/record.url?eid=2-s2.0-84255187426&amp;partnerID=40&amp;md5=c0f578d41d42bd6de400eee149618252</t>
  </si>
  <si>
    <t>Warner, S., Bowers, M.T., Dixon, M.A.</t>
  </si>
  <si>
    <t>Team dynamics: A social network perspective</t>
  </si>
  <si>
    <t>Journal of Sport Management</t>
  </si>
  <si>
    <t>http://www.scopus.com/inward/record.url?eid=2-s2.0-84865091155&amp;partnerID=40&amp;md5=9dcc3958177d6c79811111ae3073767a</t>
  </si>
  <si>
    <t>Wang, C.-H., Lin, C.-C., Lee, Y., Kuo, J.-H.</t>
  </si>
  <si>
    <t>Mapping the intellectual structure of mobile ad hoc networks</t>
  </si>
  <si>
    <t>http://www.scopus.com/inward/record.url?eid=2-s2.0-84863048508&amp;partnerID=40&amp;md5=75430c4d3434edc006f255ac42f73d71</t>
  </si>
  <si>
    <t>Weber, M.S.</t>
  </si>
  <si>
    <t>Newspapers and the long-term implications of hyperlinking</t>
  </si>
  <si>
    <t>http://www.scopus.com/inward/record.url?eid=2-s2.0-84855882600&amp;partnerID=40&amp;md5=601261b7126df69ec0111d6d98860442</t>
  </si>
  <si>
    <t>Ramzan, N., Wang, F., Patrikakis, C.Z., Cui, P., Doulamis, N., Yang, S., Sun, G.</t>
  </si>
  <si>
    <t>ACM international workshop on social and behavioral networked media access (SBNMA'11)</t>
  </si>
  <si>
    <t>MM'11 - Proceedings of the 2011 ACM Multimedia Conference and Co-Located Workshops</t>
  </si>
  <si>
    <t>http://www.scopus.com/inward/record.url?eid=2-s2.0-84455192485&amp;partnerID=40&amp;md5=f5a33575355a426dac35e2d57153ffef</t>
  </si>
  <si>
    <t>Cruz, J.D., Bothorel, C., Poulet, F.</t>
  </si>
  <si>
    <t>Entropy based community detection in augmented social networks</t>
  </si>
  <si>
    <t>Proceedings of the 2011 International Conference on Computational Aspects of Social Networks, CASoN'11</t>
  </si>
  <si>
    <t>http://www.scopus.com/inward/record.url?eid=2-s2.0-84055199828&amp;partnerID=40&amp;md5=19d07d381bff3948138814a7dbb6298f</t>
  </si>
  <si>
    <t>Analysing communication channels for social networks</t>
  </si>
  <si>
    <t>http://www.scopus.com/inward/record.url?eid=2-s2.0-84055193537&amp;partnerID=40&amp;md5=ddad319b4a944caf04b93f58a9ee76cc</t>
  </si>
  <si>
    <t>Wegrzyn-Wolska, K., Bougueroua, L., Dziczkowski, G.</t>
  </si>
  <si>
    <t>Social media analysis for e-health and medical purposes</t>
  </si>
  <si>
    <t>http://www.scopus.com/inward/record.url?eid=2-s2.0-84055193532&amp;partnerID=40&amp;md5=5b0ae2029102760b76fa4b1123850253</t>
  </si>
  <si>
    <t>Goel, P., Dey, L.</t>
  </si>
  <si>
    <t>Finding approximately similar patterns in social networks</t>
  </si>
  <si>
    <t>http://www.scopus.com/inward/record.url?eid=2-s2.0-84055190747&amp;partnerID=40&amp;md5=f58051bea991ba3bc66f06730d86726a</t>
  </si>
  <si>
    <t>Takaffoli, M., Fagnan, J., Sangi, F., Zaïane, O.R.</t>
  </si>
  <si>
    <t>Tracking changes in dynamic information networks</t>
  </si>
  <si>
    <t>http://www.scopus.com/inward/record.url?eid=2-s2.0-84055184918&amp;partnerID=40&amp;md5=2757f093cd7c4a6826f8f5b378b00da0</t>
  </si>
  <si>
    <t>Modelling strategic information for networks during collaboration</t>
  </si>
  <si>
    <t>http://www.scopus.com/inward/record.url?eid=2-s2.0-84055184882&amp;partnerID=40&amp;md5=186278df05b684ef716f2674a682ba19</t>
  </si>
  <si>
    <t>Bródka, P., Skibicki, K., Kazienko, P., Musiał, K.</t>
  </si>
  <si>
    <t>A degree centrality in multi-layered social network</t>
  </si>
  <si>
    <t>http://www.scopus.com/inward/record.url?eid=2-s2.0-84055184889&amp;partnerID=40&amp;md5=dd408f74973955b79d23822fa3becbb0</t>
  </si>
  <si>
    <t>Górecki, J., Slaninová, K., Snášel, V.</t>
  </si>
  <si>
    <t>Visual investigation of similarities in global terrorism database by means of synthetic social networks</t>
  </si>
  <si>
    <t>http://www.scopus.com/inward/record.url?eid=2-s2.0-84055190717&amp;partnerID=40&amp;md5=b798f7d1878c63b3a2ab8939545be1e7</t>
  </si>
  <si>
    <t>Pho, H., Han, S.C., Kang, B.H.</t>
  </si>
  <si>
    <t>Emergency-affected population identification and notification by using online social networks</t>
  </si>
  <si>
    <t>257 CCIS</t>
  </si>
  <si>
    <t>http://www.scopus.com/inward/record.url?eid=2-s2.0-83755221035&amp;partnerID=40&amp;md5=d7031b929dc6b10e7b521dcfdccf262a</t>
  </si>
  <si>
    <t>Chang, W.-L.</t>
  </si>
  <si>
    <t>Two steps for self-organized social network pre-construction</t>
  </si>
  <si>
    <t>http://www.scopus.com/inward/record.url?eid=2-s2.0-83755195795&amp;partnerID=40&amp;md5=8852d02d49e24369408d15786398a283</t>
  </si>
  <si>
    <t>Hewett, R.</t>
  </si>
  <si>
    <t>Toward identification of key breakers in social cyber-physical networks</t>
  </si>
  <si>
    <t>http://www.scopus.com/inward/record.url?eid=2-s2.0-83755229143&amp;partnerID=40&amp;md5=d64a196c8f4f1350fc9c904846a8f57c</t>
  </si>
  <si>
    <t>Kuo, J.-H., Lin, C.-F., Hu, M.-H., Wang, C.-H.</t>
  </si>
  <si>
    <t>Twenty-two years of accounting disclosure research: Themes, concepts and relationships</t>
  </si>
  <si>
    <t>Proceedings - 5th International Conference on New Trends in Information Science and Service Science, NISS 2011</t>
  </si>
  <si>
    <t>http://www.scopus.com/inward/record.url?eid=2-s2.0-83755163975&amp;partnerID=40&amp;md5=ad46456cb1d9065bef6fbe2a25271f5b</t>
  </si>
  <si>
    <t>Kuo, J.-H., Hu, M.-H., Lin, C.-F., Wang, C.-H.</t>
  </si>
  <si>
    <t>Focus and diversity in accounting standards research: Themes, concepts and relationships</t>
  </si>
  <si>
    <t>http://www.scopus.com/inward/record.url?eid=2-s2.0-83755174464&amp;partnerID=40&amp;md5=3a95849fa5058d04ea19b87f3c2f1c2a</t>
  </si>
  <si>
    <t>Wang, X., Bai, R., Kang, L.</t>
  </si>
  <si>
    <t>A quantitative analysis of semantic information retrieval research progress in China</t>
  </si>
  <si>
    <t>http://www.scopus.com/inward/record.url?eid=2-s2.0-83755206388&amp;partnerID=40&amp;md5=7aa09fcfe254bc1350d487efe202ba2a</t>
  </si>
  <si>
    <t>Kwon, Y.J., Park, Y.B.</t>
  </si>
  <si>
    <t>A study on automatic analysis of social network services using opinion mining</t>
  </si>
  <si>
    <t>7105 LNCS</t>
  </si>
  <si>
    <t>http://www.scopus.com/inward/record.url?eid=2-s2.0-83755173445&amp;partnerID=40&amp;md5=42fb7662b18986b20832e971c88ad318</t>
  </si>
  <si>
    <t>iMapReduce: A distributed computing framework for iterative computation</t>
  </si>
  <si>
    <t>IEEE International Symposium on Parallel and Distributed Processing Workshops and Phd Forum</t>
  </si>
  <si>
    <t>http://www.scopus.com/inward/record.url?eid=2-s2.0-83455229790&amp;partnerID=40&amp;md5=207a8ecda7ded1c0fb17610d2be8e872</t>
  </si>
  <si>
    <t>Wei, K., Wen-Wu, D., Lin, W.</t>
  </si>
  <si>
    <t>Research on emergency information management based on the social network analysis - A case analysis of panic buying of salt</t>
  </si>
  <si>
    <t>http://www.scopus.com/inward/record.url?eid=2-s2.0-83455185998&amp;partnerID=40&amp;md5=9fcfbd7c661ca5bac7fd07b875775c8a</t>
  </si>
  <si>
    <t>Cantamesse, M., Galimberti, C., Giacoma, G.</t>
  </si>
  <si>
    <t>Interweaving interactions in virtual worlds: A case study</t>
  </si>
  <si>
    <t>Annual Review of CyberTherapy and Telemedicine</t>
  </si>
  <si>
    <t>http://www.scopus.com/inward/record.url?eid=2-s2.0-83455206905&amp;partnerID=40&amp;md5=094387eca6894594ab0f1867dc61034c</t>
  </si>
  <si>
    <t>McIntire, J., Osesina, O.I., Craft, M.</t>
  </si>
  <si>
    <t>Development of visualizations for social network analysis of chatroom text</t>
  </si>
  <si>
    <t>Proceedings of the 2011 International Conference on Collaboration Technologies and Systems, CTS 2011</t>
  </si>
  <si>
    <t>http://www.scopus.com/inward/record.url?eid=2-s2.0-83255162585&amp;partnerID=40&amp;md5=bb2533eb8b1d085299638004e9be8796</t>
  </si>
  <si>
    <t>Dong, Y., Ke, Q., Cai, Y., Wu, B., Wang, B.</t>
  </si>
  <si>
    <t>TeleDatA: Data mining, social network analysis and statistics analysis system based on cloud computing in telecommunication industry</t>
  </si>
  <si>
    <t>http://www.scopus.com/inward/record.url?eid=2-s2.0-83255193366&amp;partnerID=40&amp;md5=df7ab3654527ce87ba718ec21beca09e</t>
  </si>
  <si>
    <t>Yusof, N., Mansur, A.B.F., Othman, M.S.</t>
  </si>
  <si>
    <t>Ontology of moodle e-learning system for social network analysis</t>
  </si>
  <si>
    <t>2011 IEEE Conference on Open Systems, ICOS 2011</t>
  </si>
  <si>
    <t>http://www.scopus.com/inward/record.url?eid=2-s2.0-83155163747&amp;partnerID=40&amp;md5=8ea7eea1d47f096f73339603685e1c14</t>
  </si>
  <si>
    <t>Gau, R.-H., Hsieh, T.-C., Tsai, S.-W., Cheng, C.-P.</t>
  </si>
  <si>
    <t>An implementation framework of mapreduce email social network analysis</t>
  </si>
  <si>
    <t>WMuNeP'11 - Proceedings of the 7th ACM Workshop on Wireless Multimedia Networking and Computing, Co-located with MSWiM'11</t>
  </si>
  <si>
    <t>http://www.scopus.com/inward/record.url?eid=2-s2.0-83055188874&amp;partnerID=40&amp;md5=e30d191a3147b0f2bc839b8ec87c5ebd</t>
  </si>
  <si>
    <t>Shi, X., Li, Y., Yu, P.</t>
  </si>
  <si>
    <t>Collective prediction with latent graphs</t>
  </si>
  <si>
    <t>http://www.scopus.com/inward/record.url?eid=2-s2.0-83055186952&amp;partnerID=40&amp;md5=4a1d42e5de58a2cac7a032ca85c7796b</t>
  </si>
  <si>
    <t>Karweg, B., Hütter, C., Böhm, K.</t>
  </si>
  <si>
    <t>Evolving social search based on bookmarks and status messages from social networks</t>
  </si>
  <si>
    <t>http://www.scopus.com/inward/record.url?eid=2-s2.0-83055166015&amp;partnerID=40&amp;md5=aae58ff408371398bdb0259e0ef9cdb9</t>
  </si>
  <si>
    <t>Temporal link prediction by integrating content and structure information</t>
  </si>
  <si>
    <t>http://www.scopus.com/inward/record.url?eid=2-s2.0-83055191208&amp;partnerID=40&amp;md5=eb51c92cb4820b29edd7b2ba24f2319c</t>
  </si>
  <si>
    <t>Liu, K., Tang, L.</t>
  </si>
  <si>
    <t>Large-scale behavioral targeting with a social twist</t>
  </si>
  <si>
    <t>http://www.scopus.com/inward/record.url?eid=2-s2.0-83055161590&amp;partnerID=40&amp;md5=c36c489c2af14aa2fed0abff1fbd49d3</t>
  </si>
  <si>
    <t>Wang, C., Zheng, W., Liu, Z., Bai, Y., Wang, J.</t>
  </si>
  <si>
    <t>Using random walks for multi-label classification</t>
  </si>
  <si>
    <t>http://www.scopus.com/inward/record.url?eid=2-s2.0-83055161510&amp;partnerID=40&amp;md5=88365ece7e6e667425049d727d4c9e0d</t>
  </si>
  <si>
    <t>Li, R.-H., Yu, J.X., Liu, J.</t>
  </si>
  <si>
    <t>Link prediction: The power of maximal entropy random walk</t>
  </si>
  <si>
    <t>http://www.scopus.com/inward/record.url?eid=2-s2.0-83055186945&amp;partnerID=40&amp;md5=2382a4f62d964cb250ea56231af63b5b</t>
  </si>
  <si>
    <t>Marczak, S., Damian, D.</t>
  </si>
  <si>
    <t>How interaction between roles shapes the communication structure in requirements-driven collaboration</t>
  </si>
  <si>
    <t>Proceedings of the 2011 IEEE 19th International Requirements Engineering Conference, RE 2011</t>
  </si>
  <si>
    <t>http://www.scopus.com/inward/record.url?eid=2-s2.0-82455212700&amp;partnerID=40&amp;md5=b4ff1837763607773540d071a27821e9</t>
  </si>
  <si>
    <t>Chen, L., Nayak, R.</t>
  </si>
  <si>
    <t>Social network analysis of an online dating network</t>
  </si>
  <si>
    <t>C and T 2011 - 5th International Conference on Communities and Technologies, Conference Proceedings</t>
  </si>
  <si>
    <t>http://www.scopus.com/inward/record.url?eid=2-s2.0-84863166841&amp;partnerID=40&amp;md5=18f3a9ace1593203e18ca6314af4ea63</t>
  </si>
  <si>
    <t>Cheong, F., Cheong, C.</t>
  </si>
  <si>
    <t>Social media data mining: A social network analysis of tweets during the Australian 2010-2011 floods</t>
  </si>
  <si>
    <t>PACIS 2011 - 15th Pacific Asia Conference on Information Systems: Quality Research in Pacific</t>
  </si>
  <si>
    <t>http://www.scopus.com/inward/record.url?eid=2-s2.0-84855837557&amp;partnerID=40&amp;md5=f8934f0ce001d9d33efcd8ea56a67b8f</t>
  </si>
  <si>
    <t>Zeng, W., Huang, Y., Jiang, L.</t>
  </si>
  <si>
    <t>The study of microblog marketing based on social network analysis</t>
  </si>
  <si>
    <t>Proceedings - 2011 4th International Conference on Information Management, Innovation Management and Industrial Engineering, ICIII 2011</t>
  </si>
  <si>
    <t>http://www.scopus.com/inward/record.url?eid=2-s2.0-84863025589&amp;partnerID=40&amp;md5=adbfdd3f666a1326290dd38c507bd7dc</t>
  </si>
  <si>
    <t>Zhang, S., Song, Z., Liang, Z.</t>
  </si>
  <si>
    <t>Behavior statistics and social network analysis of online Go game players</t>
  </si>
  <si>
    <t>Proceedings - 2011 International Conference on Cloud and Service Computing, CSC 2011</t>
  </si>
  <si>
    <t>http://www.scopus.com/inward/record.url?eid=2-s2.0-84863151055&amp;partnerID=40&amp;md5=5f3b338663a86528d1ae37af43a8b13d</t>
  </si>
  <si>
    <t>Reihaneh Rabbany, K., Takaffoli, M., Zäiane, O.R.</t>
  </si>
  <si>
    <t>Analyzing participation of students in online courses using social network analysis techniques</t>
  </si>
  <si>
    <t>EDM 2011 - Proceedings of the 4th International Conference on Educational Data Mining</t>
  </si>
  <si>
    <t>http://www.scopus.com/inward/record.url?eid=2-s2.0-84857496904&amp;partnerID=40&amp;md5=9fb29e4a9bd8e74da60669ae7c6b61f8</t>
  </si>
  <si>
    <t>Ruan, X., Ochieng, E.G., Price, A.D.F.</t>
  </si>
  <si>
    <t>The evaluation of social network analysis application's in the UK construction industry</t>
  </si>
  <si>
    <t>Association of Researchers in Construction Management, ARCOM 2011 - Proceedings of the 27th Annual Conference</t>
  </si>
  <si>
    <t>http://www.scopus.com/inward/record.url?eid=2-s2.0-84861091128&amp;partnerID=40&amp;md5=14fbf1a56c058a5250e3395c52d7749c</t>
  </si>
  <si>
    <t>Zhang, H., Yu, H., Han, X., Ma, N.</t>
  </si>
  <si>
    <t>A study on the key technology of Tibetan social network analysis under web environment</t>
  </si>
  <si>
    <t>Proceedings of 2011 International Conference on Computer Science and Network Technology, ICCSNT 2011</t>
  </si>
  <si>
    <t>http://www.scopus.com/inward/record.url?eid=2-s2.0-84860602633&amp;partnerID=40&amp;md5=ffe19de614f5909c8718e534d667111e</t>
  </si>
  <si>
    <t>Rong, Y., Jiang, L.</t>
  </si>
  <si>
    <t>The semantic network and social network analyses of Vancl's micro-blog</t>
  </si>
  <si>
    <t>IET Conference Publications</t>
  </si>
  <si>
    <t>588 CP</t>
  </si>
  <si>
    <t>http://www.scopus.com/inward/record.url?eid=2-s2.0-84863636833&amp;partnerID=40&amp;md5=53d1de8a3bf9d6594a7bc297c85b4ff1</t>
  </si>
  <si>
    <t>Santoro, N., Quattrociocchi, W., Flocchini, P., Casteigts, A., Amblard, F.</t>
  </si>
  <si>
    <t>Time-varying graphs and social network analysis: Temporal indicators and metrics</t>
  </si>
  <si>
    <t>AISB 2011: Social Networks and Multiagent Systems</t>
  </si>
  <si>
    <t>http://www.scopus.com/inward/record.url?eid=2-s2.0-80051779678&amp;partnerID=40&amp;md5=1aa5b3840821b0c3df6df6b5f2db2d1c</t>
  </si>
  <si>
    <t>Toral, S.L., Bessis, N., Martinez-Torres, M.R., Franc, F., Barrero, F., Xhafa, F.</t>
  </si>
  <si>
    <t>An exploratory social network analysis of academic research networks</t>
  </si>
  <si>
    <t>Proceedings - 3rd IEEE International Conference on Intelligent Networking and Collaborative Systems, INCoS 2011</t>
  </si>
  <si>
    <t>http://www.scopus.com/inward/record.url?eid=2-s2.0-84857151730&amp;partnerID=40&amp;md5=ebee7d9badbdd983b83c4591ce677f8b</t>
  </si>
  <si>
    <t>Gu, G., Deng, W.</t>
  </si>
  <si>
    <t>Identification and evaluation methods of expert knowledge based on social network analysis</t>
  </si>
  <si>
    <t>http://www.scopus.com/inward/record.url?eid=2-s2.0-84555206032&amp;partnerID=40&amp;md5=ee88e64257c91be7f8339334ce13b5d8</t>
  </si>
  <si>
    <t>Tian, Z., Zhang, Z., Xiao, D.</t>
  </si>
  <si>
    <t>Study on the knowledge-sharing network of innovation teams using social network analysis</t>
  </si>
  <si>
    <t>ICEIS 2011 - Proceedings of the 13th International Conference on Enterprise Information Systems</t>
  </si>
  <si>
    <t>2 AIDSS</t>
  </si>
  <si>
    <t>http://www.scopus.com/inward/record.url?eid=2-s2.0-84865146398&amp;partnerID=40&amp;md5=aca75a5d62d76cb8762967824d1fa58e</t>
  </si>
  <si>
    <t>Tang, T., Hämäläinen, M., Virolainen, A., Makkonen, J.</t>
  </si>
  <si>
    <t>Understanding user behavior in a local social media platform by social network analysis</t>
  </si>
  <si>
    <t>Proceedings of the 15th International Academic MindTrek Conference: Envisioning Future Media Environments, MindTrek 2011</t>
  </si>
  <si>
    <t>http://www.scopus.com/inward/record.url?eid=2-s2.0-84860654834&amp;partnerID=40&amp;md5=bb2fe2beafce63a213fb83469ba1dbac</t>
  </si>
  <si>
    <t>Wen, L., Kang, W., Gu, J.-Y.</t>
  </si>
  <si>
    <t>Research on emergency information management based on the social network analysis</t>
  </si>
  <si>
    <t>Proceedings of International Conference on Information Systems for Crisis Response and Management, ISCRAM 2011</t>
  </si>
  <si>
    <t>http://www.scopus.com/inward/record.url?eid=2-s2.0-84861004950&amp;partnerID=40&amp;md5=090db017d529e3edb3c7b1262f557276</t>
  </si>
  <si>
    <t>Marra, M., Ho, W., Edwards, J.S.</t>
  </si>
  <si>
    <t>Managing supply chain knowledge in the new product development process: A social network analysis approach</t>
  </si>
  <si>
    <t>IEEE International Conference on Industrial Engineering and Engineering Management</t>
  </si>
  <si>
    <t>http://www.scopus.com/inward/record.url?eid=2-s2.0-84856523586&amp;partnerID=40&amp;md5=670586e3f717694ac53e435c1a1e5495</t>
  </si>
  <si>
    <t>Halatchliyski, I.</t>
  </si>
  <si>
    <t>Social network analysis of collaborative knowledge creation in wikipedia</t>
  </si>
  <si>
    <t>Connecting Computer-Supported Collaborative Learning to Policy and Practice: CSCL 2011 Conf. Proc. - Community Events Proceedings, 9th International Computer-Supported Collaborative Learning Conf.</t>
  </si>
  <si>
    <t>http://www.scopus.com/inward/record.url?eid=2-s2.0-84858376905&amp;partnerID=40&amp;md5=dbfa97b18b528c36936ee95ccd30dc1a</t>
  </si>
  <si>
    <t>Li, Y.-M., Lai, C.-Y.</t>
  </si>
  <si>
    <t>Social support mechanism in micro-blogosphere</t>
  </si>
  <si>
    <t>http://www.scopus.com/inward/record.url?eid=2-s2.0-84867702067&amp;partnerID=40&amp;md5=145add3a2ec1eb8c9529cc0ca09b5078</t>
  </si>
  <si>
    <t>Ding, X., Zhang, L., Wan, Z., Gu, M.</t>
  </si>
  <si>
    <t>De-anonymizing dynamic social networks</t>
  </si>
  <si>
    <t>GLOBECOM - IEEE Global Telecommunications Conference</t>
  </si>
  <si>
    <t>http://www.scopus.com/inward/record.url?eid=2-s2.0-84863119286&amp;partnerID=40&amp;md5=efcf12fbb83db163baa7761655ed30bf</t>
  </si>
  <si>
    <t>Fire, M., Tenenboim, L., Lesser, O., Puzis, R., Rokach, L., Elovici, Y.</t>
  </si>
  <si>
    <t>Link prediction in social networks using computationally efficient topological features</t>
  </si>
  <si>
    <t>Proceedings - 2011 IEEE International Conference on Privacy, Security, Risk and Trust and IEEE International Conference on Social Computing, PASSAT/SocialCom 2011</t>
  </si>
  <si>
    <t>http://www.scopus.com/inward/record.url?eid=2-s2.0-84856196261&amp;partnerID=40&amp;md5=e506cd0f10924c5d91d848e4bc75bdf4</t>
  </si>
  <si>
    <t>Salem, S., Banitaan, S., Aljarah, I., Brewer, J.E., Alroobi, R.</t>
  </si>
  <si>
    <t>Discovering communities in social networks using topology and attributes</t>
  </si>
  <si>
    <t>Proceedings - 10th International Conference on Machine Learning and Applications, ICMLA 2011</t>
  </si>
  <si>
    <t>http://www.scopus.com/inward/record.url?eid=2-s2.0-84857892693&amp;partnerID=40&amp;md5=d5bcd15efa36d3183c0510b75e1679f1</t>
  </si>
  <si>
    <t>Ding, J., Cruz, I., Li, C.</t>
  </si>
  <si>
    <t>A formal model for building a social network</t>
  </si>
  <si>
    <t>Proceedings of 2011 IEEE International Conference on Service Operations, Logistics and Informatics, SOLI 2011</t>
  </si>
  <si>
    <t>http://www.scopus.com/inward/record.url?eid=2-s2.0-84859995629&amp;partnerID=40&amp;md5=d5944669aba10639cc39a487693ec490</t>
  </si>
  <si>
    <t>Wang, X., Tang, J., Cheng, H., Yu, P.S.</t>
  </si>
  <si>
    <t>ADANA: Active name disambiguation</t>
  </si>
  <si>
    <t>Proceedings - IEEE International Conference on Data Mining, ICDM</t>
  </si>
  <si>
    <t>http://www.scopus.com/inward/record.url?eid=2-s2.0-84863128547&amp;partnerID=40&amp;md5=606ec7dbd76020eb4bc2230637407c82</t>
  </si>
  <si>
    <t>Mascaro, C.M., Novak, A., Goggins, S.</t>
  </si>
  <si>
    <t>Shepherding and censorship: Discourse management in the Tea Party Patriots Facebook group</t>
  </si>
  <si>
    <t>Proceedings of the Annual Hawaii International Conference on System Sciences</t>
  </si>
  <si>
    <t>http://www.scopus.com/inward/record.url?eid=2-s2.0-84857948552&amp;partnerID=40&amp;md5=e3ef21a417e47b52040a419e070d3144</t>
  </si>
  <si>
    <t>Teplovs, C., Fujita, N., Vatrapu, R.</t>
  </si>
  <si>
    <t>Generating predictive models of learner community dynamics</t>
  </si>
  <si>
    <t>http://www.scopus.com/inward/record.url?eid=2-s2.0-84856347623&amp;partnerID=40&amp;md5=75d6962181107c3950771cf32267b320</t>
  </si>
  <si>
    <t>Howison, J., Wiggins, A., Crowston, K.</t>
  </si>
  <si>
    <t>Validity issues in the use of social network analysis with digital trace data</t>
  </si>
  <si>
    <t>Journal of the Association of Information Systems</t>
  </si>
  <si>
    <t>http://www.scopus.com/inward/record.url?eid=2-s2.0-84862273647&amp;partnerID=40&amp;md5=3c07c86172f1fba23bc68add208519c1</t>
  </si>
  <si>
    <t>Butcher, T., Chan, C., Scriven, P., O'Reilly, S., Pereira, S.</t>
  </si>
  <si>
    <t>Participation and engagement in inter-organizational groups: Synthesizing social network analysis with ethnography to evaluate social capital</t>
  </si>
  <si>
    <t>Proceedings - IEEE 9th International Conference on Dependable, Autonomic and Secure Computing, DASC 2011</t>
  </si>
  <si>
    <t>http://www.scopus.com/inward/record.url?eid=2-s2.0-84856082235&amp;partnerID=40&amp;md5=46c5006caab5b2b6c8eed9191d6d456b</t>
  </si>
  <si>
    <t>Gaol, F.L.</t>
  </si>
  <si>
    <t>Homology graph mining for social network analysis</t>
  </si>
  <si>
    <t>Proceeding of the International Conference on e-Education Entertainment and e-Management, ICEEE 2011</t>
  </si>
  <si>
    <t>http://www.scopus.com/inward/record.url?eid=2-s2.0-84857337180&amp;partnerID=40&amp;md5=9209232f280659a6b378b2cdd85d53c3</t>
  </si>
  <si>
    <t>Dekker, A.H.</t>
  </si>
  <si>
    <t>Temporal social network analysis of discourse</t>
  </si>
  <si>
    <t>MODSIM 2011 - 19th International Congress on Modelling and Simulation - Sustaining Our Future: Understanding and Living with Uncertainty</t>
  </si>
  <si>
    <t>http://www.scopus.com/inward/record.url?eid=2-s2.0-84858843269&amp;partnerID=40&amp;md5=0c6a14046c1fdf9fa7d9904295eef793</t>
  </si>
  <si>
    <t>Koochakzadeh, N., Sarraf, A., Kianmehr, K., Rokne, J., Alhajj, R.</t>
  </si>
  <si>
    <t>NetDriller: A powerful social network analysis tool</t>
  </si>
  <si>
    <t>http://www.scopus.com/inward/record.url?eid=2-s2.0-84857188413&amp;partnerID=40&amp;md5=c4d7676faf53bff6b3380305c96e65ba</t>
  </si>
  <si>
    <t>Roy, R.B., Sarkar, U.K.</t>
  </si>
  <si>
    <t>Identifying influential stock indices from global stock markets: A social network analysis approach</t>
  </si>
  <si>
    <t>Procedia Computer Science</t>
  </si>
  <si>
    <t>http://www.scopus.com/inward/record.url?eid=2-s2.0-84856505009&amp;partnerID=40&amp;md5=ba2dad2f854672b797d4e94db479dfe0</t>
  </si>
  <si>
    <t>Randjelović, D., Popović, B.</t>
  </si>
  <si>
    <t>Visual analytics tools and theirs application in social networks analysis</t>
  </si>
  <si>
    <t>2011 19th Telecommunications Forum, TELFOR 2011 - Proceedings of Papers</t>
  </si>
  <si>
    <t>http://www.scopus.com/inward/record.url?eid=2-s2.0-84857497068&amp;partnerID=40&amp;md5=ebc9f9a979d388f626a934a4c223df96</t>
  </si>
  <si>
    <t>Xu, B., Chin, A., Wang, H., Chang, L., Zhang, K., Yin, F., Zhang, L., Weng, H.</t>
  </si>
  <si>
    <t>Physical proximity and online user behaviour in an indoor mobile social networking application</t>
  </si>
  <si>
    <t>Proceedings - 2011 IEEE International Conferences on Internet of Things and Cyber, Physical and Social Computing, iThings/CPSCom 2011</t>
  </si>
  <si>
    <t>http://www.scopus.com/inward/record.url?eid=2-s2.0-84863293190&amp;partnerID=40&amp;md5=db789dea710921fd416c129ba7f87734</t>
  </si>
  <si>
    <t>Sakamoto, Y.</t>
  </si>
  <si>
    <t>Following trendsetters: Collective decisions in online social networks</t>
  </si>
  <si>
    <t>http://www.scopus.com/inward/record.url?eid=2-s2.0-84857969312&amp;partnerID=40&amp;md5=a58c31e540dfa3e210f961fce43a954f</t>
  </si>
  <si>
    <t>Visualizing online interactions in Moodle</t>
  </si>
  <si>
    <t>Proceedings of the IADIS International Conference e-Learning 2011, Part of the IADIS Multi Conference on Computer Science and Information Systems 2011, MCCSIS 2011</t>
  </si>
  <si>
    <t>http://www.scopus.com/inward/record.url?eid=2-s2.0-84865089798&amp;partnerID=40&amp;md5=a0fd24890e69d48677d5d19b75d72229</t>
  </si>
  <si>
    <t>Juszczyszyn, K., Paprocki, M., Prusiewicz, A., Sieniawski, L.</t>
  </si>
  <si>
    <t>Personalization and content awareness in online lab-virtual computational laboratory</t>
  </si>
  <si>
    <t>6591 LNAI</t>
  </si>
  <si>
    <t>http://www.scopus.com/inward/record.url?eid=2-s2.0-84872170356&amp;partnerID=40&amp;md5=64a487d6274ed9e38039936afa045fdf</t>
  </si>
  <si>
    <t>Takaffoli, M.</t>
  </si>
  <si>
    <t>Community evolution in dynamic social networks - Challenges and problems</t>
  </si>
  <si>
    <t>http://www.scopus.com/inward/record.url?eid=2-s2.0-84857179567&amp;partnerID=40&amp;md5=ec99a8f0b8999eaed81963f079bec5c9</t>
  </si>
  <si>
    <t>Whelan, E., Teigland, R.</t>
  </si>
  <si>
    <t>Managing information overload; examining the role of the human filter</t>
  </si>
  <si>
    <t>19th European Conference on Information Systems, ECIS 2011</t>
  </si>
  <si>
    <t>http://www.scopus.com/inward/record.url?eid=2-s2.0-84870630002&amp;partnerID=40&amp;md5=7ae2bd9fd2c46741f15616a885198ca5</t>
  </si>
  <si>
    <t>Voelker, T.A., Wooten, K.C., Mayfield, C.O.</t>
  </si>
  <si>
    <t>Towards a network perspective on change readiness</t>
  </si>
  <si>
    <t>Academy of Management 2011 Annual Meeting - West Meets East: Enlightening. Balancing. Transcending, AOM 2011</t>
  </si>
  <si>
    <t>http://www.scopus.com/inward/record.url?eid=2-s2.0-84858379346&amp;partnerID=40&amp;md5=0a79f0531ba067637d8b31469435bcbf</t>
  </si>
  <si>
    <t>Chapron, P., Sibertin-Blanc, C., Adreit, F.</t>
  </si>
  <si>
    <t>Analysis of power networks among the actors of a social organization</t>
  </si>
  <si>
    <t>http://www.scopus.com/inward/record.url?eid=2-s2.0-84863924999&amp;partnerID=40&amp;md5=ceba070896bbb08c306202dabe960715</t>
  </si>
  <si>
    <t>Dantone, M., Bossard, L., Quack, T., Van Gool, L.</t>
  </si>
  <si>
    <t>Augmented faces</t>
  </si>
  <si>
    <t>Proceedings of the IEEE International Conference on Computer Vision</t>
  </si>
  <si>
    <t>http://www.scopus.com/inward/record.url?eid=2-s2.0-84856666399&amp;partnerID=40&amp;md5=e6cd5ef01c359227c0f2a08322d891ab</t>
  </si>
  <si>
    <t>Li, Y.-M., Lee, Y.-L.</t>
  </si>
  <si>
    <t>Building social decision support mechanisms with friend networks</t>
  </si>
  <si>
    <t>http://www.scopus.com/inward/record.url?eid=2-s2.0-84863293630&amp;partnerID=40&amp;md5=77b1877d7164a75fdd3789a510998c2d</t>
  </si>
  <si>
    <t>Pérez, L.G., Chiclana, F., Ahmadi, S.</t>
  </si>
  <si>
    <t>A social network representation for collaborative filtering recommender systems</t>
  </si>
  <si>
    <t>International Conference on Intelligent Systems Design and Applications, ISDA</t>
  </si>
  <si>
    <t>http://www.scopus.com/inward/record.url?eid=2-s2.0-84857518227&amp;partnerID=40&amp;md5=6f38b12fbc33436b4ef5fc3e6ebaf653</t>
  </si>
  <si>
    <t>Al-Khalifa, H.S.</t>
  </si>
  <si>
    <t>Exploring political activities in the Saudi Twitterverse</t>
  </si>
  <si>
    <t>http://www.scopus.com/inward/record.url?eid=2-s2.0-84856918252&amp;partnerID=40&amp;md5=723e327b988cc43f72a47a0295b2b231</t>
  </si>
  <si>
    <t>Abdelaal, A.M., Ali, H.H.</t>
  </si>
  <si>
    <t>Measuring social capital in the domain of Community Wireless Networks</t>
  </si>
  <si>
    <t>http://www.scopus.com/inward/record.url?eid=2-s2.0-84857985826&amp;partnerID=40&amp;md5=35ff628f83bd76b7d2ca372815c02975</t>
  </si>
  <si>
    <t>Jha, S.K.</t>
  </si>
  <si>
    <t>Social network perspective on innovation: A review</t>
  </si>
  <si>
    <t>2011 IEEE 5th International Conference on Internet Multimedia Systems Architecture and Application, IMSAA 2011 - Conference Proceedings</t>
  </si>
  <si>
    <t>http://www.scopus.com/inward/record.url?eid=2-s2.0-84858240350&amp;partnerID=40&amp;md5=1f3b5dec63b8f81024f29669fef8c21b</t>
  </si>
  <si>
    <t>Karoui, M., Dudezert, A.</t>
  </si>
  <si>
    <t>Enjeux de pouvoir et technologies 2.0: Cas de l'appropriation d'un outil d'analyse des réseaux sociaux au sein d'une Collectivité Territoriale</t>
  </si>
  <si>
    <t>16th International Conference of the Association Information and Management 2011, AIM 2011</t>
  </si>
  <si>
    <t>http://www.scopus.com/inward/record.url?eid=2-s2.0-84870583902&amp;partnerID=40&amp;md5=62f500806d2c89898c3e948f0c54f008</t>
  </si>
  <si>
    <t>Chen, B., Krauskopf, J.</t>
  </si>
  <si>
    <t>Integrated or disconnected? Examining formal and informal networks in a merged nonprofit orgnization</t>
  </si>
  <si>
    <t>http://www.scopus.com/inward/record.url?eid=2-s2.0-84863349223&amp;partnerID=40&amp;md5=90d269f1088405e426fa56ea5d7381b9</t>
  </si>
  <si>
    <t>Li, T., Zeyuan, L., Jiping, G., Yue, C.</t>
  </si>
  <si>
    <t>Knowledge networks of the Mainland social sciences(2009-2010)</t>
  </si>
  <si>
    <t>Proceedings - 2011 IEEE International Conference on Granular Computing, GrC 2011</t>
  </si>
  <si>
    <t>http://www.scopus.com/inward/record.url?eid=2-s2.0-84863043896&amp;partnerID=40&amp;md5=9c106e63cc0bb24b1e3ee40838e71a63</t>
  </si>
  <si>
    <t>Levorato, V.</t>
  </si>
  <si>
    <t>Modeling groups in social networks</t>
  </si>
  <si>
    <t>Proceedings - 25th European Conference on Modelling and Simulation, ECMS 2011</t>
  </si>
  <si>
    <t>http://www.scopus.com/inward/record.url?eid=2-s2.0-84857698088&amp;partnerID=40&amp;md5=6ccf1ffd6bb7b71cd4ed50ef73fba589</t>
  </si>
  <si>
    <t>Suthers, D.D., Desiato, C.</t>
  </si>
  <si>
    <t>Exposing chat features through analysis of uptake between contributions</t>
  </si>
  <si>
    <t>http://www.scopus.com/inward/record.url?eid=2-s2.0-84857967261&amp;partnerID=40&amp;md5=83da6127291acc2765185adb771e0466</t>
  </si>
  <si>
    <t>Coronges, K., Dodge, R., Mukina, C., Radwick, Z., Shevchik, J., Rovira, E.</t>
  </si>
  <si>
    <t>The influences of social networks on phishing vulnerability</t>
  </si>
  <si>
    <t>http://www.scopus.com/inward/record.url?eid=2-s2.0-84857965976&amp;partnerID=40&amp;md5=d6a68195b102dfd1596d6b67f8549da6</t>
  </si>
  <si>
    <t>Tayebi, M.A., Glässer, U.</t>
  </si>
  <si>
    <t>Organized crime structures in co-offending networks</t>
  </si>
  <si>
    <t>http://www.scopus.com/inward/record.url?eid=2-s2.0-84856118960&amp;partnerID=40&amp;md5=0ba59268593c60ce88f3af8650931f02</t>
  </si>
  <si>
    <t>Kane, G.C., Borgatti, S.P.</t>
  </si>
  <si>
    <t>Centrality-is proficiency alignment and workgroup performance</t>
  </si>
  <si>
    <t>MIS Quarterly: Management Information Systems</t>
  </si>
  <si>
    <t>http://www.scopus.com/inward/record.url?eid=2-s2.0-81355153648&amp;partnerID=40&amp;md5=26e8288bed3c659bbe9fcc88e3c4f91d</t>
  </si>
  <si>
    <t>Harrison, A., Mennecke, B.</t>
  </si>
  <si>
    <t>Power interactions in enterprise system assimilation</t>
  </si>
  <si>
    <t>17th Americas Conference on Information Systems 2011, AMCIS 2011</t>
  </si>
  <si>
    <t>http://www.scopus.com/inward/record.url?eid=2-s2.0-84870315623&amp;partnerID=40&amp;md5=bfbb8000dda5ae0e14b67fa6e6e7b375</t>
  </si>
  <si>
    <t>Wang, B., Yao, X.</t>
  </si>
  <si>
    <t>To form a smaller world in the research realm of hierarchical decision models</t>
  </si>
  <si>
    <t>http://www.scopus.com/inward/record.url?eid=2-s2.0-84863046055&amp;partnerID=40&amp;md5=8ac5575baa60877c99e8a99eac735efa</t>
  </si>
  <si>
    <t>Larsen, G.D.</t>
  </si>
  <si>
    <t>Understanding the early stages of the innovation diffusion process: Awareness, influence and communication networks</t>
  </si>
  <si>
    <t>http://www.scopus.com/inward/record.url?eid=2-s2.0-84855989475&amp;partnerID=40&amp;md5=b5ef8f231710f5e271e8a9fa3b59ab55</t>
  </si>
  <si>
    <t>Lin, K., Rodrigues, J.J.P.C., Ge, H., Xiong, N., Liang, X.</t>
  </si>
  <si>
    <t>Energy efficiency QoS assurance routing in wireless multimedia sensor networks</t>
  </si>
  <si>
    <t>IEEE Systems Journal</t>
  </si>
  <si>
    <t>http://www.scopus.com/inward/record.url?eid=2-s2.0-82155162445&amp;partnerID=40&amp;md5=4ac78c0019aaab90f1473750d67f24a3</t>
  </si>
  <si>
    <t>McIntyre, S., Kaminska, K.</t>
  </si>
  <si>
    <t>Capturing lessons that should be learned: An after event review for whole-of-government security planning and operations</t>
  </si>
  <si>
    <t>http://www.scopus.com/inward/record.url?eid=2-s2.0-84871075668&amp;partnerID=40&amp;md5=67556514822a009082553e7c51c13b04</t>
  </si>
  <si>
    <t>Clarke, A., Steele, R.</t>
  </si>
  <si>
    <t>How personal fitness data can be re-used by smart cities</t>
  </si>
  <si>
    <t>Proceedings of the 2011 7th International Conference on Intelligent Sensors, Sensor Networks and Information Processing, ISSNIP 2011</t>
  </si>
  <si>
    <t>http://www.scopus.com/inward/record.url?eid=2-s2.0-84857981731&amp;partnerID=40&amp;md5=77521931de4bea4428c5e00d87f96074</t>
  </si>
  <si>
    <t>Zhang, X., Guo, Y., Cao, C., Hu, Y., Wang, Y.</t>
  </si>
  <si>
    <t>R&amp;D collaboration networks of Chinese universities in medical field: An empirical analysis based on informetrics</t>
  </si>
  <si>
    <t>ITME 2011 - Proceedings: 2011 IEEE International Symposium on IT in Medicine and Education</t>
  </si>
  <si>
    <t>http://www.scopus.com/inward/record.url?eid=2-s2.0-84863082283&amp;partnerID=40&amp;md5=f2dd1bf9f33eccd536267ec734f77b83</t>
  </si>
  <si>
    <t>Wickramasinghe, N., Tatnall, A., Goldberg, S.</t>
  </si>
  <si>
    <t>The advantages of mobile solutions for chronic disease management</t>
  </si>
  <si>
    <t>http://www.scopus.com/inward/record.url?eid=2-s2.0-84855841601&amp;partnerID=40&amp;md5=60771e996df09dcd453f86d9e5fdd914</t>
  </si>
  <si>
    <t>Dong, Y., Ke, Q., Rao, J., Wang, B., Wu, B.</t>
  </si>
  <si>
    <t>Random walk based resource allocation: Predicting and recommending links in cross-operator mobile communication networks</t>
  </si>
  <si>
    <t>http://www.scopus.com/inward/record.url?eid=2-s2.0-84863144372&amp;partnerID=40&amp;md5=21b6d4d1c708826d0571b491e47da14a</t>
  </si>
  <si>
    <t>Khurana, U., Nguyen, V.-A., Cheng, H.-C., Ahn, J.-W., Chen, X., Shneiderman, B.</t>
  </si>
  <si>
    <t>Visual analysis of temporal trends in social networks using edge color coding and metric timelines</t>
  </si>
  <si>
    <t>http://www.scopus.com/inward/record.url?eid=2-s2.0-84862931380&amp;partnerID=40&amp;md5=7d66baba25ec6da28bf90bd1752bc557</t>
  </si>
  <si>
    <t>Almansoori, W., Zarour, O., Jarada, T.N., Karampales, P., Rokne, J., Alhajj, R.</t>
  </si>
  <si>
    <t>Applications of social network construction and analysis in the medical referral process</t>
  </si>
  <si>
    <t>http://www.scopus.com/inward/record.url?eid=2-s2.0-84856102480&amp;partnerID=40&amp;md5=0f91ae397c43459df630a877e0b98c5b</t>
  </si>
  <si>
    <t>Vuorikari, R., Berlanga, A., Cachia, R., Cao, Y., Fetter, S., Gilleran, A., Klamma, R., Punie, Y., Scimeca, S., Sloep, P., Petrushyna, Z.</t>
  </si>
  <si>
    <t>ICT-based school collaboration, teachers' networks and their opportunities for teachers' professional development - A case study on eTwinning</t>
  </si>
  <si>
    <t>7048 LNCS</t>
  </si>
  <si>
    <t>http://www.scopus.com/inward/record.url?eid=2-s2.0-84857336021&amp;partnerID=40&amp;md5=86e2283a147aec1d48b2ce318aac1326</t>
  </si>
  <si>
    <t>Subbian, K., Melville, P.</t>
  </si>
  <si>
    <t>Supervised rank aggregation for predicting influencers in twitter</t>
  </si>
  <si>
    <t>http://www.scopus.com/inward/record.url?eid=2-s2.0-84856208017&amp;partnerID=40&amp;md5=89b43bef8c93ba690738fcd2bfd76d9f</t>
  </si>
  <si>
    <t>Wadell, C., Bergendahl, M.N.</t>
  </si>
  <si>
    <t>Assessing the conditions for dissemination of end-user and purchaser knowledge in a medtech context</t>
  </si>
  <si>
    <t>ICED 11 - 18th International Conference on Engineering Design - Impacting Society Through Engineering Design</t>
  </si>
  <si>
    <t>http://www.scopus.com/inward/record.url?eid=2-s2.0-84858836330&amp;partnerID=40&amp;md5=f17e65a3f7e381f5ae4225358931f4bc</t>
  </si>
  <si>
    <t>Maracine, V., Iandoli, L., Scarlat, E., Nica, A.S.</t>
  </si>
  <si>
    <t>Modelling knowledge sharing into a medical facility using human and virtual agents (Knowbots)</t>
  </si>
  <si>
    <t>http://www.scopus.com/inward/record.url?eid=2-s2.0-84872666039&amp;partnerID=40&amp;md5=877cabce389415e52d3674af13069053</t>
  </si>
  <si>
    <t>Watanabe, C., Amagasa, T., Liu, L.</t>
  </si>
  <si>
    <t>PrIvacy risks and countermeasures in publishing and mining social network data</t>
  </si>
  <si>
    <t>ColiaborateCom 2011 - Proceedings of the 7th International Conference on Collaborative Computing: Networking, Applications and Worksharing</t>
  </si>
  <si>
    <t>http://www.scopus.com/inward/record.url?eid=2-s2.0-84863260283&amp;partnerID=40&amp;md5=bc4dbb6ef2af297c8f963223c82b3930</t>
  </si>
  <si>
    <t>Takeda, H., Cuellar, M., Truex, D., Vidgen, R.</t>
  </si>
  <si>
    <t>Networks of innovation in is research: An exploration of the relationship between co-authorship networks and H-family indices</t>
  </si>
  <si>
    <t>http://www.scopus.com/inward/record.url?eid=2-s2.0-84870640496&amp;partnerID=40&amp;md5=e81686830b281d33db20761c2321097d</t>
  </si>
  <si>
    <t>Oatley, G., Ewart, B.</t>
  </si>
  <si>
    <t>Data mining and crime analysis</t>
  </si>
  <si>
    <t>http://www.scopus.com/inward/record.url?eid=2-s2.0-84873252956&amp;partnerID=40&amp;md5=b91196bce37bb96ddcd32d15b3548e4c</t>
  </si>
  <si>
    <t>Kröger, S., Domahidi, E., Quandt, T.</t>
  </si>
  <si>
    <t>The GAME boys'network. A network analysis of the German digital games industry</t>
  </si>
  <si>
    <t>Proceedings of DiGRA 2011 Conference: Think Design Play</t>
  </si>
  <si>
    <t>http://www.scopus.com/inward/record.url?eid=2-s2.0-84873360501&amp;partnerID=40&amp;md5=5d32125772e7b79a9a3203d4f2bf1ab2</t>
  </si>
  <si>
    <t>Bakharia, A., Dawson, S.</t>
  </si>
  <si>
    <t>SNAPP: A bird's-eye view of temporal participant interaction</t>
  </si>
  <si>
    <t>http://www.scopus.com/inward/record.url?eid=2-s2.0-84856318424&amp;partnerID=40&amp;md5=0e92c7827f580b52b439cf97fea93df3</t>
  </si>
  <si>
    <t>Huang, W.-H., Meng, X.-W., Wang, L.-C.</t>
  </si>
  <si>
    <t>A collaborative filtering algorithm based on users' social relationship mining in mobile communication network</t>
  </si>
  <si>
    <t>Dianzi Yu Xinxi Xuebao/Journal of Electronics and Information Technology</t>
  </si>
  <si>
    <t>http://www.scopus.com/inward/record.url?eid=2-s2.0-84455183841&amp;partnerID=40&amp;md5=acb1e0d1ef3a35713580536499c2f0a1</t>
  </si>
  <si>
    <t>Wang, G., Guan, J.</t>
  </si>
  <si>
    <t>Measuring science-technology interactions using patent citations and author-inventor links: An exploration analysis from Chinese nanotechnology</t>
  </si>
  <si>
    <t>Journal of Nanoparticle Research</t>
  </si>
  <si>
    <t>http://www.scopus.com/inward/record.url?eid=2-s2.0-84857052323&amp;partnerID=40&amp;md5=ff91bb1218bc18e30e836c48659d0655</t>
  </si>
  <si>
    <t>Kale, U., Brush, T., Bryant, A., Saye, J.</t>
  </si>
  <si>
    <t>Online communication patterns of teachers</t>
  </si>
  <si>
    <t>Journal of Interactive Learning Research</t>
  </si>
  <si>
    <t>http://www.scopus.com/inward/record.url?eid=2-s2.0-84858248805&amp;partnerID=40&amp;md5=7cfaf9ed6a6732d9ce3f9d09a59efcf8</t>
  </si>
  <si>
    <t>Kirman, B., Collovà, F., Davide, F., Ferrari, E., Freeman, J., Lawson, S., Linehan, C., Ravaja, N.</t>
  </si>
  <si>
    <t>Social architecture and the emergence of power laws in online social games</t>
  </si>
  <si>
    <t>http://www.scopus.com/inward/record.url?eid=2-s2.0-84873356742&amp;partnerID=40&amp;md5=d27c3bb2aab84d34e32e26fbb5ec8939</t>
  </si>
  <si>
    <t>Sun, W.</t>
  </si>
  <si>
    <t>Detecting community influence echelons in twitter network</t>
  </si>
  <si>
    <t>http://www.scopus.com/inward/record.url?eid=2-s2.0-84870356566&amp;partnerID=40&amp;md5=18bd4dedce024d49b9fd921485e80584</t>
  </si>
  <si>
    <t>Liu, X., Tian, Y., Wang, W., Cui, Y.</t>
  </si>
  <si>
    <t>A social network-based trust model for group-buying</t>
  </si>
  <si>
    <t>Proceedings - 2011 4th IEEE International Conference on Broadband Network and Multimedia Technology, IC-BNMT 2011</t>
  </si>
  <si>
    <t>http://www.scopus.com/inward/record.url?eid=2-s2.0-84863288174&amp;partnerID=40&amp;md5=7702ef0c7d3d0d589c1dfdbe226761a0</t>
  </si>
  <si>
    <t>Hauffa, J., Bossert, G., Richter, N., Wolf, F., Liesenfeld, N., Groh, G.</t>
  </si>
  <si>
    <t>Beyond FOAF: Challenges in characterizing social relations</t>
  </si>
  <si>
    <t>http://www.scopus.com/inward/record.url?eid=2-s2.0-84856170124&amp;partnerID=40&amp;md5=0ca9689c1d863f5b3c3ab0670a7883ba</t>
  </si>
  <si>
    <t>Surma, J., Furmanek, A.</t>
  </si>
  <si>
    <t>Data mining in on-line social network for marketing response analysis</t>
  </si>
  <si>
    <t>http://www.scopus.com/inward/record.url?eid=2-s2.0-84856199538&amp;partnerID=40&amp;md5=df6806168573b9044ccc690af80a2356</t>
  </si>
  <si>
    <t>Kaltenbrunner, A., Gonzalez, G., Ruiz De Querol, R., Volkovich, Y.</t>
  </si>
  <si>
    <t>Comparative analysis of articulated and behavioural social networks in a social news sharing website</t>
  </si>
  <si>
    <t>New Review of Hypermedia and Multimedia</t>
  </si>
  <si>
    <t>http://www.scopus.com/inward/record.url?eid=2-s2.0-84857848291&amp;partnerID=40&amp;md5=4d2624701aeb474c952578e03c65f4ff</t>
  </si>
  <si>
    <t>Schroiff, A., Beimborn, D., Brix, A.</t>
  </si>
  <si>
    <t>The role of interaction structures for client satisfaction in application service provision relationships</t>
  </si>
  <si>
    <t>http://www.scopus.com/inward/record.url?eid=2-s2.0-84870639243&amp;partnerID=40&amp;md5=b993cff9ae3964b9fa8ef0d607757ac4</t>
  </si>
  <si>
    <t>Liu, R., Lin, H., Zhao, H.</t>
  </si>
  <si>
    <t>Research on field characteristics of shared Earth System Science data using keyword analysis and visualization</t>
  </si>
  <si>
    <t>Procedia Environmental Sciences</t>
  </si>
  <si>
    <t>PART A</t>
  </si>
  <si>
    <t>http://www.scopus.com/inward/record.url?eid=2-s2.0-84863173623&amp;partnerID=40&amp;md5=9064e61837cf3c54898c76f0bf238460</t>
  </si>
  <si>
    <t>Heer, J., Perer, A.</t>
  </si>
  <si>
    <t>Orion: A system for modeling, transformation and visualization of multidimensional heterogeneous networks</t>
  </si>
  <si>
    <t>VAST 2011 - IEEE Conference on Visual Analytics Science and Technology 2011, Proceedings</t>
  </si>
  <si>
    <t>http://www.scopus.com/inward/record.url?eid=2-s2.0-84855794181&amp;partnerID=40&amp;md5=0745624524aa8a133158af81c1b6d941</t>
  </si>
  <si>
    <t>A hybrid approach of trust inference and social network analysis for expert search</t>
  </si>
  <si>
    <t>Proceedings - 16th North-East Asia Symposium on Nano, Information Technology and Reliability, NASNIT 2011</t>
  </si>
  <si>
    <t>http://www.scopus.com/inward/record.url?eid=2-s2.0-84855981547&amp;partnerID=40&amp;md5=49ab127cfca5b9ae2e9aa71126c49749</t>
  </si>
  <si>
    <t>Li, Q., Li, B., Liu, J.</t>
  </si>
  <si>
    <t>Predicting developers' contribution with developer networks and social network analysis</t>
  </si>
  <si>
    <t>http://www.scopus.com/inward/record.url?eid=2-s2.0-83255174954&amp;partnerID=40&amp;md5=60c6c1c27f2eb401d1a8bf003cf8fe70</t>
  </si>
  <si>
    <t>Finding her master's voice: The power of collective action among female muslim bloggers</t>
  </si>
  <si>
    <t>http://www.scopus.com/inward/record.url?eid=2-s2.0-84870628192&amp;partnerID=40&amp;md5=5ec66abb35f85754d3f92d27c8a2e81f</t>
  </si>
  <si>
    <t>Mascaro, C.M., Goggins, S.P.</t>
  </si>
  <si>
    <t>Brewing up citizen engagement: The coffee party on facebook</t>
  </si>
  <si>
    <t>http://www.scopus.com/inward/record.url?eid=2-s2.0-84857476534&amp;partnerID=40&amp;md5=d87411324e5c1136ea7d6f356a1ae550</t>
  </si>
  <si>
    <t>Du, H., Dang, Y.</t>
  </si>
  <si>
    <t>Construction of intelligent information service platform for scientific research</t>
  </si>
  <si>
    <t>Proceedings - 2011 4th International Conference on Business Intelligence and Financial Engineering, BIFE 2011</t>
  </si>
  <si>
    <t>http://www.scopus.com/inward/record.url?eid=2-s2.0-84855937133&amp;partnerID=40&amp;md5=33b6a063e2b585f04888d0b74fe46785</t>
  </si>
  <si>
    <t>Emery, C., Carnabuci, G., Brinberg, D.</t>
  </si>
  <si>
    <t>Relational schemas to investigate the process of leadership emergence</t>
  </si>
  <si>
    <t>http://www.scopus.com/inward/record.url?eid=2-s2.0-84858436199&amp;partnerID=40&amp;md5=446926ba22ae5fd48f6ae29850fa42ae</t>
  </si>
  <si>
    <t>Learning designs and learning analytics</t>
  </si>
  <si>
    <t>http://www.scopus.com/inward/record.url?eid=2-s2.0-84856316161&amp;partnerID=40&amp;md5=dbe15bda6829a343751fc16d1ed1ece0</t>
  </si>
  <si>
    <t>Dos Santos, T.A., De Araujo, R.M., Magdaleno, A.M.</t>
  </si>
  <si>
    <t>Bringing out collaboration in software development social networks</t>
  </si>
  <si>
    <t>http://www.scopus.com/inward/record.url?eid=2-s2.0-84865660790&amp;partnerID=40&amp;md5=c3def525bd000c67d939328990ab1138</t>
  </si>
  <si>
    <t>Yang, B.</t>
  </si>
  <si>
    <t>Communities detection with applications to real-world networks analysis</t>
  </si>
  <si>
    <t>Proceedings - 2011 7th International Conference on Computational Intelligence and Security, CIS 2011</t>
  </si>
  <si>
    <t>http://www.scopus.com/inward/record.url?eid=2-s2.0-84856532119&amp;partnerID=40&amp;md5=54597d1d3afd1e191d4d62f69b119553</t>
  </si>
  <si>
    <t>Ding, L., Yilmaz, A.</t>
  </si>
  <si>
    <t>Inferring social relations from visual concepts</t>
  </si>
  <si>
    <t>http://www.scopus.com/inward/record.url?eid=2-s2.0-84856674878&amp;partnerID=40&amp;md5=ea887c5d7a06771e54fe40fe71928835</t>
  </si>
  <si>
    <t>De Liddo, A., Shum, S.B., Quinto, I., Bachler, M., Cannavacciuolo, L.</t>
  </si>
  <si>
    <t>Discourse-centric learning analytics</t>
  </si>
  <si>
    <t>http://www.scopus.com/inward/record.url?eid=2-s2.0-84856342879&amp;partnerID=40&amp;md5=a253f42c5b3ae11ca9c38623905797e9</t>
  </si>
  <si>
    <t>Schatten, M., Fabac, R., Duricin, T.</t>
  </si>
  <si>
    <t>Modeling organizational integration using mixing patterns</t>
  </si>
  <si>
    <t>Proceedings of the International Conference on Information Technology Interfaces, ITI</t>
  </si>
  <si>
    <t>http://www.scopus.com/inward/record.url?eid=2-s2.0-84859071139&amp;partnerID=40&amp;md5=9e0088ba15f2f03811cff32af7675bda</t>
  </si>
  <si>
    <t>Ye, X., Li, Y.</t>
  </si>
  <si>
    <t>A social network-based information dissemination scheme</t>
  </si>
  <si>
    <t>Parallel and Distributed Computing, Applications and Technologies, PDCAT Proceedings</t>
  </si>
  <si>
    <t>http://www.scopus.com/inward/record.url?eid=2-s2.0-84863053726&amp;partnerID=40&amp;md5=f664cb839775c0447ccaeafd0b7128c0</t>
  </si>
  <si>
    <t>Suthers, D., Rosen, D.</t>
  </si>
  <si>
    <t>A unified framework for multi-level analysis of distributed learning</t>
  </si>
  <si>
    <t>http://www.scopus.com/inward/record.url?eid=2-s2.0-84856341209&amp;partnerID=40&amp;md5=0481e565e49db3a4e34abc8e7cb9fe68</t>
  </si>
  <si>
    <t>Huang, J., Hu, X., Lu, C.</t>
  </si>
  <si>
    <t>A comparison study on familiarity-based and similarity-based social networks</t>
  </si>
  <si>
    <t>http://www.scopus.com/inward/record.url?eid=2-s2.0-84863042673&amp;partnerID=40&amp;md5=a139c0b4314e944755f8bb31b7913d09</t>
  </si>
  <si>
    <t>Berk, V.H., Cybenko, G., Gregorio-De Souza, I., Murphy, J.P.</t>
  </si>
  <si>
    <t>Managing malicious insider risk through BANDIT</t>
  </si>
  <si>
    <t>http://www.scopus.com/inward/record.url?eid=2-s2.0-84857941869&amp;partnerID=40&amp;md5=d8834bb173de51077f686c9b6e19ed8b</t>
  </si>
  <si>
    <t>Zhang, H., Huang, L., Li, D., Zheng, B.</t>
  </si>
  <si>
    <t>There exist correlations between editing behaviors and hyperlinks structure in Wikipedia</t>
  </si>
  <si>
    <t>http://www.scopus.com/inward/record.url?eid=2-s2.0-84863075201&amp;partnerID=40&amp;md5=bc42c9d3a91f767a1a73de21e0b968e7</t>
  </si>
  <si>
    <t>Lawrence, J.F.</t>
  </si>
  <si>
    <t>Assessing the organizational impact of executive development: Knowledge transfer in social networks</t>
  </si>
  <si>
    <t>http://www.scopus.com/inward/record.url?eid=2-s2.0-84858396473&amp;partnerID=40&amp;md5=c2ac047dc72d3c2b06828ae44c57f680</t>
  </si>
  <si>
    <t>Rosen, D., Miagkikh, V., Suthers, D.</t>
  </si>
  <si>
    <t>Social and semantic network analysis of chat logs</t>
  </si>
  <si>
    <t>http://www.scopus.com/inward/record.url?eid=2-s2.0-84856322663&amp;partnerID=40&amp;md5=4858bfc73e78365c2e1d353c45d4057c</t>
  </si>
  <si>
    <t>Khorasgani, R.R., Zaïane, O.R.</t>
  </si>
  <si>
    <t>A Diffusion of Innovation-based closeness measure for network associations</t>
  </si>
  <si>
    <t>http://www.scopus.com/inward/record.url?eid=2-s2.0-84857170245&amp;partnerID=40&amp;md5=938278db7a07b5823006d6fbae3a2d7e</t>
  </si>
  <si>
    <t>Erman, N., Todorovski, L.</t>
  </si>
  <si>
    <t>Collaborative network analysis of two eGovernment conferences: Are we building a community?</t>
  </si>
  <si>
    <t>Proceedings of the European Conference on e-Government, ECEG</t>
  </si>
  <si>
    <t>http://www.scopus.com/inward/record.url?eid=2-s2.0-84870949202&amp;partnerID=40&amp;md5=4bb72edad4f30cca5e85b9c99ce59d12</t>
  </si>
  <si>
    <t>An incentive-driven information delivery scheme</t>
  </si>
  <si>
    <t>Proceedings - 2011 IFIP 9th International Conference on Embedded and Ubiquitous Computing, EUC 2011</t>
  </si>
  <si>
    <t>http://www.scopus.com/inward/record.url?eid=2-s2.0-84862911492&amp;partnerID=40&amp;md5=5740879de154bdea0cec693f6ae1a5c6</t>
  </si>
  <si>
    <t>Chelmis, C., Prasanna, V.K.</t>
  </si>
  <si>
    <t>Social networking analysis: A state of the art and the effect of semantics</t>
  </si>
  <si>
    <t>http://www.scopus.com/inward/record.url?eid=2-s2.0-84856152218&amp;partnerID=40&amp;md5=79bf0f076143cbb5170ce8142d1b2c89</t>
  </si>
  <si>
    <t>Peng, Z., Wang, C., Tao, F., Han, L.</t>
  </si>
  <si>
    <t>SkyBoundary: An improved approach to member promotion in social networks</t>
  </si>
  <si>
    <t>http://www.scopus.com/inward/record.url?eid=2-s2.0-84862929716&amp;partnerID=40&amp;md5=bc88df80481ca2a3a31dd595d635523d</t>
  </si>
  <si>
    <t>Kuo, T.-T., Hung, S.-C., Lin, W.-S., Lin, S.-D., Peng, T.-C., Shih, C.-C.</t>
  </si>
  <si>
    <t>Assessing the quality of diffusion models using real-world social network data</t>
  </si>
  <si>
    <t>Proceedings - 2011 Conference on Technologies and Applications of Artificial Intelligence, TAAI 2011</t>
  </si>
  <si>
    <t>http://www.scopus.com/inward/record.url?eid=2-s2.0-84862911500&amp;partnerID=40&amp;md5=fb03ff713d2128a1b9e8b0eeeede6ec1</t>
  </si>
  <si>
    <t>Hernández, J.C., Maldonado, L.F., Valbuena, W.S., Hoppe, H.U.</t>
  </si>
  <si>
    <t>Improving collaboration through visibility of students' learning products in a digital classroom environment</t>
  </si>
  <si>
    <t>Connecting Computer-Supported Collaborative Learning to Policy and Practice: CSCL 2011 Conf. Proc. - Short Papers and Posters, 9th International Computer-Supported Collaborative Learning Conf.</t>
  </si>
  <si>
    <t>http://www.scopus.com/inward/record.url?eid=2-s2.0-84858416181&amp;partnerID=40&amp;md5=2d44c8f8572e81a5f915f2661bcaa819</t>
  </si>
  <si>
    <t>Semantic clustering of social networks using points of view</t>
  </si>
  <si>
    <t>CORIA 2011: COnference en Recherche d'Information et Applications - Conference on Information Retrieval and Applications</t>
  </si>
  <si>
    <t>http://www.scopus.com/inward/record.url?eid=2-s2.0-84855454784&amp;partnerID=40&amp;md5=8580c2402e8a00cee730043f4ae2ec78</t>
  </si>
  <si>
    <t>El-adaway, I.H.</t>
  </si>
  <si>
    <t>Relational contracting and high-performance project outcomes</t>
  </si>
  <si>
    <t>Proceedings, Annual Conference - Canadian Society for Civil Engineering</t>
  </si>
  <si>
    <t>http://www.scopus.com/inward/record.url?eid=2-s2.0-84855762943&amp;partnerID=40&amp;md5=387ae5f18cd58abc37760f9b2a2cdfce</t>
  </si>
  <si>
    <t>Ding, L., Steil, D., Dixon, B., Parrish, A., Brown, D.</t>
  </si>
  <si>
    <t>A relation context oriented approach to identify strong ties in social networks</t>
  </si>
  <si>
    <t>http://www.scopus.com/inward/record.url?eid=2-s2.0-80051474299&amp;partnerID=40&amp;md5=f10ff17bf25bd1ac07a6ba4e10178483</t>
  </si>
  <si>
    <t>Cross-temporal link prediction</t>
  </si>
  <si>
    <t>http://www.scopus.com/inward/record.url?eid=2-s2.0-84857162596&amp;partnerID=40&amp;md5=03d67bc023d11101c5836eb01b1c79b0</t>
  </si>
  <si>
    <t>Still, K., Isomursu, M., Koskela-Huotari, K., Huhtamäki, J.</t>
  </si>
  <si>
    <t>Social media-supported indicators for user-driven service innovation</t>
  </si>
  <si>
    <t>VTT Symposium (Valtion Teknillinen Tutkimuskeskus)</t>
  </si>
  <si>
    <t>http://www.scopus.com/inward/record.url?eid=2-s2.0-84856660740&amp;partnerID=40&amp;md5=d0c85d4ecd21cdc02e23b798b1a3c239</t>
  </si>
  <si>
    <t>Cameron, J.J., Leung, C.K.-S., Tanbeer, S.K.</t>
  </si>
  <si>
    <t>Finding strong groups of friends among friends in social networks</t>
  </si>
  <si>
    <t>http://www.scopus.com/inward/record.url?eid=2-s2.0-84856097545&amp;partnerID=40&amp;md5=667480fa983341712bd6ce413b3bcedc</t>
  </si>
  <si>
    <t>Abbasi, A., Uddin, S., Hossain, L.</t>
  </si>
  <si>
    <t>Social structure of patient-centric networks and delivery of cost effective healthcare services</t>
  </si>
  <si>
    <t>http://www.scopus.com/inward/record.url?eid=2-s2.0-84870201391&amp;partnerID=40&amp;md5=6d4ff176568c2e33df9ab194052594bd</t>
  </si>
  <si>
    <t>Jablokow, K., Vercellone-Smith, P.</t>
  </si>
  <si>
    <t>The impact of cognitive style on social networks in on-line discussions</t>
  </si>
  <si>
    <t>Advances in Engineering Education</t>
  </si>
  <si>
    <t>http://www.scopus.com/inward/record.url?eid=2-s2.0-79955792561&amp;partnerID=40&amp;md5=ce0683f4146122b30a90fc3e99e6a44d</t>
  </si>
  <si>
    <t>Huang, Y.-T., Lin, K.-H., Wu, B.Y.</t>
  </si>
  <si>
    <t>A structural approach for finding real-friend links in internet social networks</t>
  </si>
  <si>
    <t>http://www.scopus.com/inward/record.url?eid=2-s2.0-84863296468&amp;partnerID=40&amp;md5=8c8c4838f2f9bb1d3ac3a6b83afa07c4</t>
  </si>
  <si>
    <t>Romsaiyud, W., Premchaiswadi, W.</t>
  </si>
  <si>
    <t>Applying mining fuzzy sequential patterns technique to predict the leadership in social networks</t>
  </si>
  <si>
    <t>http://www.scopus.com/inward/record.url?eid=2-s2.0-84858791718&amp;partnerID=40&amp;md5=b94e83487637cf74d664ce1b654e3db9</t>
  </si>
  <si>
    <t>http://www.scopus.com/inward/record.url?eid=2-s2.0-84857468286&amp;partnerID=40&amp;md5=7578f6c431181c2c0357b337e0f45b23</t>
  </si>
  <si>
    <t>Munimadugu, H., Ralescu, A.</t>
  </si>
  <si>
    <t>A qualitative analysis of edge closure in information networks</t>
  </si>
  <si>
    <t>Proceedings of the 22nd Midwest Artificial Intelligence and Cognitive Science Conference, MAICS 2011</t>
  </si>
  <si>
    <t>http://www.scopus.com/inward/record.url?eid=2-s2.0-84871480488&amp;partnerID=40&amp;md5=72b1cda04959cfcc76f8315d1913d40a</t>
  </si>
  <si>
    <t>Cheng, J., Ke, Y., Fu, A.W.-C., Yu, J.X., Zhu, L.</t>
  </si>
  <si>
    <t>Finding maximal cliques in massive networks</t>
  </si>
  <si>
    <t>ACM Transactions on Database Systems</t>
  </si>
  <si>
    <t>http://www.scopus.com/inward/record.url?eid=2-s2.0-84855223733&amp;partnerID=40&amp;md5=f7082ed7369e5d34b71eca026a7e242d</t>
  </si>
  <si>
    <t>Yen, N.Y., Shih, T.K., Jin, Q., Lin, L.-C.</t>
  </si>
  <si>
    <t>Automated lecture template generation in CORDRA-based learning object repository</t>
  </si>
  <si>
    <t>http://www.scopus.com/inward/record.url?eid=2-s2.0-84857300196&amp;partnerID=40&amp;md5=3ed5e5ae7a1cf3f74624d5d394e564b6</t>
  </si>
  <si>
    <t>Dascalu, M., Dobre, C., Trausan-Matu, S., Cristea, V.</t>
  </si>
  <si>
    <t>Beyond traditional NLP: A distributed solution for optimizing chat processing - Automatic chat assessment using tagged latent semantic analysis</t>
  </si>
  <si>
    <t>Proceedings - 2011 10th International Symposium on Parallel and Distributed Computing, ISPDC 2011</t>
  </si>
  <si>
    <t>http://www.scopus.com/inward/record.url?eid=2-s2.0-84863334760&amp;partnerID=40&amp;md5=4f97d276904b18aff87dafc12ab596c0</t>
  </si>
  <si>
    <t>Barguñó, L., Muntés-Mulero, V., Dominguez-Sal, D., Valduriez, P.</t>
  </si>
  <si>
    <t>ParallelGDB: A parallel graph database based on cache specialization</t>
  </si>
  <si>
    <t>http://www.scopus.com/inward/record.url?eid=2-s2.0-84855328190&amp;partnerID=40&amp;md5=81c059ab4e7c2646df71c20e2a8a4c84</t>
  </si>
  <si>
    <t>http://www.scopus.com/inward/record.url?eid=2-s2.0-84857247588&amp;partnerID=40&amp;md5=77562a6775a97032bc5d0b3287d9c005</t>
  </si>
  <si>
    <t>Van Der Meer, R., Torlina, L., Mustard, J.</t>
  </si>
  <si>
    <t>Knowledge sharing through virtual layers in regional sustainable development networks</t>
  </si>
  <si>
    <t>http://www.scopus.com/inward/record.url?eid=2-s2.0-84855857030&amp;partnerID=40&amp;md5=4a42bfce635b74cfcf5d2621232e205b</t>
  </si>
  <si>
    <t>Litaker Jr., H.L.</t>
  </si>
  <si>
    <t>Understanding dual rover communications using social network analysis</t>
  </si>
  <si>
    <t>http://www.scopus.com/inward/record.url?eid=2-s2.0-81855185955&amp;partnerID=40&amp;md5=3cfc259821324fe97e5608a83b3d17e6</t>
  </si>
  <si>
    <t>Luo, W., MacEachren, A.M., Yin, P., Hardisty, F.</t>
  </si>
  <si>
    <t>Spatial-social network visualization for exploratory data analysis</t>
  </si>
  <si>
    <t>3rd ACM SIGSPATIAL International Workshop on Location-Based Social Networks, LBSN 2011 - Held in Conjunction with the 19th ACM SIGSPATIAL GIS 2011</t>
  </si>
  <si>
    <t>http://www.scopus.com/inward/record.url?eid=2-s2.0-81855221314&amp;partnerID=40&amp;md5=1b2caf2446731776d01e81a04d2531ec</t>
  </si>
  <si>
    <t>Ying, J.J.-C., Lee, W.-C., Ye, M., Chen, C.-Y., Tseng, V.S.</t>
  </si>
  <si>
    <t>User association analysis of locales on location based social networks</t>
  </si>
  <si>
    <t>http://www.scopus.com/inward/record.url?eid=2-s2.0-81855228604&amp;partnerID=40&amp;md5=2c0cd04f180ce4fd974644bff5604062</t>
  </si>
  <si>
    <t>Koochakzadeh, N., Alhajj, R.</t>
  </si>
  <si>
    <t>Social network analysis in software testing to categorize unit test cases based on coverage information</t>
  </si>
  <si>
    <t>Proc.- 2011 IEEE International Conference on HPCC 2011 - 2011 IEEE International Workshop on FTDCS 2011 -Workshops of the 2011 Int. Conf. on UIC 2011- Workshops of the 2011 Int. Conf. ATC 2011</t>
  </si>
  <si>
    <t>http://www.scopus.com/inward/record.url?eid=2-s2.0-81555215178&amp;partnerID=40&amp;md5=f81849eb8879e8f99be99c9c691b0792</t>
  </si>
  <si>
    <t>Shafiq, M.O., Alhajj, R., Rokne, J.</t>
  </si>
  <si>
    <t>On the social aspects of personalized ranking for web services</t>
  </si>
  <si>
    <t>http://www.scopus.com/inward/record.url?eid=2-s2.0-81555226712&amp;partnerID=40&amp;md5=50f9925600553c1f0a6febbe20c93269</t>
  </si>
  <si>
    <t>Fazel-Zarandi, M., Devlin, H.J., Huang, Y., Contractor, N.</t>
  </si>
  <si>
    <t>Expert recommendation based on social drivers, social network analysis, and semantic data representation</t>
  </si>
  <si>
    <t>Proceedings of the 2nd International Workshop on Information Heterogeneity and Fusion in Recommender Systems, HetRec 2011 - Held at the 5th ACM Conference on Recommender Systems, RecSys 2011</t>
  </si>
  <si>
    <t>http://www.scopus.com/inward/record.url?eid=2-s2.0-81455139572&amp;partnerID=40&amp;md5=50fca2f2ca476d5ebe3da0e97167c91b</t>
  </si>
  <si>
    <t>Lappas, G.</t>
  </si>
  <si>
    <t>Social multimedia mining: A social informatics perspective</t>
  </si>
  <si>
    <t>Proceedings - 2011 Panhellenic Conference on Informatics, PCI 2011</t>
  </si>
  <si>
    <t>http://www.scopus.com/inward/record.url?eid=2-s2.0-81455143933&amp;partnerID=40&amp;md5=c8bffc87b542aabd3ff2705ef9e4a9f9</t>
  </si>
  <si>
    <t>Waegeman, W., Pahikkala, T., Airola, A., Salakoski, T., De Baets, B.</t>
  </si>
  <si>
    <t>Learning valued relations from data</t>
  </si>
  <si>
    <t>http://www.scopus.com/inward/record.url?eid=2-s2.0-81355123331&amp;partnerID=40&amp;md5=8a5f4cde4c5dc4c7fcfccf6ad087a50c</t>
  </si>
  <si>
    <t>Barbian, G.</t>
  </si>
  <si>
    <t>Trust centrality in online social networks</t>
  </si>
  <si>
    <t>Proceedings - 2011 European Intelligence and Security Informatics Conference, EISIC 2011</t>
  </si>
  <si>
    <t>http://www.scopus.com/inward/record.url?eid=2-s2.0-81255128367&amp;partnerID=40&amp;md5=40e1d3ba6653bcf28b4360540c7f8089</t>
  </si>
  <si>
    <t>Murthy, D., Gross, A., Oliveira, D.</t>
  </si>
  <si>
    <t>Understanding cancer-based networks in Twitter using social network analysis</t>
  </si>
  <si>
    <t>Proceedings - 5th IEEE International Conference on Semantic Computing, ICSC 2011</t>
  </si>
  <si>
    <t>http://www.scopus.com/inward/record.url?eid=2-s2.0-81255128071&amp;partnerID=40&amp;md5=b2757e5dab060fe6189ec0fae3824142</t>
  </si>
  <si>
    <t>Joffres, K., Bouchard, M., Frank, R., Westlake, B.</t>
  </si>
  <si>
    <t>Strategies to disrupt online child pornography networks</t>
  </si>
  <si>
    <t>http://www.scopus.com/inward/record.url?eid=2-s2.0-81255179887&amp;partnerID=40&amp;md5=8cf01df4c9982dc2e0c4f5f0d0a4d93d</t>
  </si>
  <si>
    <t>Dahlin, J., Svenson, P.</t>
  </si>
  <si>
    <t>A method for community detection in uncertain networks</t>
  </si>
  <si>
    <t>http://www.scopus.com/inward/record.url?eid=2-s2.0-81255173551&amp;partnerID=40&amp;md5=964704880e0b575e41fc4524b61ec6ae</t>
  </si>
  <si>
    <t>Morris, J.F., Anthony, K., Kennedy, M.K.T., Deckro, R.F.</t>
  </si>
  <si>
    <t>Extraction distractions a comparison of social network model construction methods</t>
  </si>
  <si>
    <t>http://www.scopus.com/inward/record.url?eid=2-s2.0-81255166063&amp;partnerID=40&amp;md5=5905f227065be4a799be5fb6ab99f1f8</t>
  </si>
  <si>
    <t>Gomes, A.K., Maria Da Graça, C.P.</t>
  </si>
  <si>
    <t>Social interactions representation as users behavioral contingencies and evaluation in social networks</t>
  </si>
  <si>
    <t>http://www.scopus.com/inward/record.url?eid=2-s2.0-81255172195&amp;partnerID=40&amp;md5=f0ab74652e3d66ab45431fb22872a651</t>
  </si>
  <si>
    <t>Pryke, S.D., Zagkli, G., Kougia, I.</t>
  </si>
  <si>
    <t>Resource provision ego-networks in small Greek construction firms</t>
  </si>
  <si>
    <t>Building Research and Information</t>
  </si>
  <si>
    <t>http://www.scopus.com/inward/record.url?eid=2-s2.0-81255209173&amp;partnerID=40&amp;md5=16708c080e1d5b4408beea372d02eeda</t>
  </si>
  <si>
    <t>Anastopoulos, V., Karampelas, P., Kalagiakos, P., Alhajj, R.</t>
  </si>
  <si>
    <t>A hybrid framework for building a web-page recommender system</t>
  </si>
  <si>
    <t>http://www.scopus.com/inward/record.url?eid=2-s2.0-81255178673&amp;partnerID=40&amp;md5=cab131ccdcab463f4a4f03dfbb2a2fb8</t>
  </si>
  <si>
    <t>Tsai, I.-C.</t>
  </si>
  <si>
    <t>Levels and patterns of participation and social interaction in an online learning community for learning to teach</t>
  </si>
  <si>
    <t>http://www.scopus.com/inward/record.url?eid=2-s2.0-81255200418&amp;partnerID=40&amp;md5=4ae957161a3b1c6237f2b5687c13e14b</t>
  </si>
  <si>
    <t>Sun, D.-Y., Guo, S.-Q., Liu, X.-P., Li, J.</t>
  </si>
  <si>
    <t>Multi-relational network analysis for covert organizations</t>
  </si>
  <si>
    <t>http://www.scopus.com/inward/record.url?eid=2-s2.0-81255166113&amp;partnerID=40&amp;md5=333e6b23fc5217b9286b885aded60c40</t>
  </si>
  <si>
    <t>Petersen, R.R., Rhodes, C.J., Wiil, U.K.</t>
  </si>
  <si>
    <t>Node removal in criminal networks</t>
  </si>
  <si>
    <t>http://www.scopus.com/inward/record.url?eid=2-s2.0-81255128370&amp;partnerID=40&amp;md5=e9677d8711e2bb85139a11ab9833c0d5</t>
  </si>
  <si>
    <t>Danowski, J.A., Park, H.W.</t>
  </si>
  <si>
    <t>Web network &amp; content changes associated with the 2011 Muslim Middle-East &amp; North African early uprisings: A naturalistic field experiment</t>
  </si>
  <si>
    <t>http://www.scopus.com/inward/record.url?eid=2-s2.0-81255163678&amp;partnerID=40&amp;md5=79a1207e3c8eafcbdbcd7e8b4f96d739</t>
  </si>
  <si>
    <t>Beaudry, C., Allaoui, S.</t>
  </si>
  <si>
    <t>Impact of research funding on nanobiotechnology scientific production: Does concentration in a few universities make sense?</t>
  </si>
  <si>
    <t>2011 Atlanta Conference on Science and Innovation Policy: Building Capacity for Scientific Innovation and Outcomes, ACSIP 2011, Proceedings</t>
  </si>
  <si>
    <t>http://www.scopus.com/inward/record.url?eid=2-s2.0-81255184316&amp;partnerID=40&amp;md5=f419a1eb2647ec82ee073bdf01aa945e</t>
  </si>
  <si>
    <t>Changes in Muslim nations' centrality mined from open-source world Jihad news: A comparison of networks in late 2010, early 2011, and post-Bin Laden</t>
  </si>
  <si>
    <t>http://www.scopus.com/inward/record.url?eid=2-s2.0-81255166257&amp;partnerID=40&amp;md5=977b88529c1439c3fbb456f2902bc49f</t>
  </si>
  <si>
    <t>Semenov, A., Veijalainen, J., Boukhanovsky, A.</t>
  </si>
  <si>
    <t>A generic architecture for a social network monitoring and analysis system</t>
  </si>
  <si>
    <t>Proceedings - 2011 International Conference on Network-Based Information Systems, NBiS 2011</t>
  </si>
  <si>
    <t>http://www.scopus.com/inward/record.url?eid=2-s2.0-80455128237&amp;partnerID=40&amp;md5=8a870595e797e598961a3ef334683ca9</t>
  </si>
  <si>
    <t>Ríos, S.A., Aguilera, F., Bustos, F., Omitola, T., Shadbolt, N.</t>
  </si>
  <si>
    <t>Leveraging Social Network Analysis with topic models and the semantic web</t>
  </si>
  <si>
    <t>Proceedings - 2011 IEEE/WIC/ACM International Joint Conferences on Web Intelligence and Intelligent Agent Technology - Workshops, WI-IAT 2011</t>
  </si>
  <si>
    <t>http://www.scopus.com/inward/record.url?eid=2-s2.0-80155122723&amp;partnerID=40&amp;md5=fdfb27978ca5e3fa3a96fe2a8f53ad0a</t>
  </si>
  <si>
    <t>Joshi, P., Kuo, C.-C.J.</t>
  </si>
  <si>
    <t>Security and privacy in online social networks: A survey</t>
  </si>
  <si>
    <t>Proceedings - IEEE International Conference on Multimedia and Expo</t>
  </si>
  <si>
    <t>http://www.scopus.com/inward/record.url?eid=2-s2.0-80155202814&amp;partnerID=40&amp;md5=7614144a4ed08ee9d94275330dccd708</t>
  </si>
  <si>
    <t>Tsai, Y.-H., Chen, S.-C.</t>
  </si>
  <si>
    <t>Developing social network analysis of self-expression in the blogosphere</t>
  </si>
  <si>
    <t>http://www.scopus.com/inward/record.url?eid=2-s2.0-82155181615&amp;partnerID=40&amp;md5=d57d3a11ac7220cf3055722b54fb7967</t>
  </si>
  <si>
    <t>Hu, D., Sun, S.X., Leon Zhao, J., Zhao, X.</t>
  </si>
  <si>
    <t>Strategic choices of inter-organizational information systems: A network perspective</t>
  </si>
  <si>
    <t>http://www.scopus.com/inward/record.url?eid=2-s2.0-84855674751&amp;partnerID=40&amp;md5=c37fb005ec172c8849f7f2b2e906f72a</t>
  </si>
  <si>
    <t>Li, Y., Le, Y., Lu, Y.</t>
  </si>
  <si>
    <t>Large scale projects organization controlling mechanisms and empirical study based on SNA</t>
  </si>
  <si>
    <t>Tongji Daxue Xuebao/Journal of Tongji University</t>
  </si>
  <si>
    <t>http://www.scopus.com/inward/record.url?eid=2-s2.0-84855180034&amp;partnerID=40&amp;md5=6dad42dfa09618c15bcfc6ed588dd6de</t>
  </si>
  <si>
    <t>Roland, E.J., Johnson, C., Swain, D.</t>
  </si>
  <si>
    <t>"Blogging" as an educational enhancement tool for improved student performance: A pilot study in undergraduate nursing education</t>
  </si>
  <si>
    <t>New Review of Information Networking</t>
  </si>
  <si>
    <t>http://www.scopus.com/inward/record.url?eid=2-s2.0-84863409143&amp;partnerID=40&amp;md5=4770a5cdfac3e777815f4acf124227c8</t>
  </si>
  <si>
    <t>Tang, L., Liu, H.</t>
  </si>
  <si>
    <t>Leveraging social media networks for classification</t>
  </si>
  <si>
    <t>http://www.scopus.com/inward/record.url?eid=2-s2.0-80855134335&amp;partnerID=40&amp;md5=e068cff55ad5cd1044c994ed06f27949</t>
  </si>
  <si>
    <t>Schoch, N., Oelschlaeger, P., Huskey, L., McNamee, R.C.</t>
  </si>
  <si>
    <t>Collaboration continuum: Benchmarking knowledge sharing environments in organizations</t>
  </si>
  <si>
    <t>Research Technology Management</t>
  </si>
  <si>
    <t>http://www.scopus.com/inward/record.url?eid=2-s2.0-83155188296&amp;partnerID=40&amp;md5=7632d0a5f4b0175e38758551bb87d7c9</t>
  </si>
  <si>
    <t>Yang, C.C., Ng, T.D.</t>
  </si>
  <si>
    <t>Analyzing and visualizing web opinion development and social interactions with density-based clustering</t>
  </si>
  <si>
    <t>IEEE Transactions on Systems, Man, and Cybernetics Part A:Systems and Humans</t>
  </si>
  <si>
    <t>http://www.scopus.com/inward/record.url?eid=2-s2.0-80054822467&amp;partnerID=40&amp;md5=a5f0e1de3df3dfc5da677971dd23ba5f</t>
  </si>
  <si>
    <t>Boulos, M.N.K.</t>
  </si>
  <si>
    <t>BlogBrain Ops: Proposal for a semi-automatic social web mining and cyberinfluence decision-support tool for Info Ops teams</t>
  </si>
  <si>
    <t>Journal of Emerging Technologies in Web Intelligence</t>
  </si>
  <si>
    <t>http://www.scopus.com/inward/record.url?eid=2-s2.0-84856565928&amp;partnerID=40&amp;md5=a4b2b38c181d621d4f10ac7db2f61c71</t>
  </si>
  <si>
    <t>Sayogo, D.S., Zhang, J., Pardo, T.A.</t>
  </si>
  <si>
    <t>Evaluating the structure of cross-boundary digital government research collaboration: A social network approach</t>
  </si>
  <si>
    <t>http://www.scopus.com/inward/record.url?eid=2-s2.0-80054781677&amp;partnerID=40&amp;md5=ff74a199a52723b8602435ba1fe861e1</t>
  </si>
  <si>
    <t>Interweaving interactions in virtual worlds: a case study.</t>
  </si>
  <si>
    <t>Studies in health technology and informatics</t>
  </si>
  <si>
    <t>http://www.scopus.com/inward/record.url?eid=2-s2.0-80054118669&amp;partnerID=40&amp;md5=ff80e646664df7001264de9ca0ecaa80</t>
  </si>
  <si>
    <t>Barão, A., Da Silva, A.R.</t>
  </si>
  <si>
    <t>A model to evaluate the relational capital of organizations (SNARE RCO)</t>
  </si>
  <si>
    <t>219 CCIS</t>
  </si>
  <si>
    <t>http://www.scopus.com/inward/record.url?eid=2-s2.0-80054072997&amp;partnerID=40&amp;md5=70beda290518fc0b089963b9ca57d7a4</t>
  </si>
  <si>
    <t>Federico, P., Aigner, W., Miksch, S., Windhager, F., Zenk, L.</t>
  </si>
  <si>
    <t>A visual analytics approach to dynamic social networks</t>
  </si>
  <si>
    <t>http://www.scopus.com/inward/record.url?eid=2-s2.0-80053583174&amp;partnerID=40&amp;md5=73332af34f43e1fa0dd7fac5ba240b98</t>
  </si>
  <si>
    <t>Anger, I., Kittl, C.</t>
  </si>
  <si>
    <t>Measuring influence on Twitter</t>
  </si>
  <si>
    <t>http://www.scopus.com/inward/record.url?eid=2-s2.0-80053599072&amp;partnerID=40&amp;md5=e57144b7302d485927027610e08ccfc5</t>
  </si>
  <si>
    <t>Whelan, E., Golden, W., Donnellan, B.</t>
  </si>
  <si>
    <t>Digitising the R&amp;D social network: Revisiting the technological gatekeeper</t>
  </si>
  <si>
    <t>Information Systems Journal</t>
  </si>
  <si>
    <t>http://www.scopus.com/inward/record.url?eid=2-s2.0-80053443578&amp;partnerID=40&amp;md5=123eb8537baba0faeeda4be187623dc8</t>
  </si>
  <si>
    <t>Bansal, S.K., Bansal, A.</t>
  </si>
  <si>
    <t>Reputation-based Web service selection for composition</t>
  </si>
  <si>
    <t>Proceedings - 2011 IEEE World Congress on Services, SERVICES 2011</t>
  </si>
  <si>
    <t>http://www.scopus.com/inward/record.url?eid=2-s2.0-80053400834&amp;partnerID=40&amp;md5=ec847e3c96319b445eea424752e935c0</t>
  </si>
  <si>
    <t>Sutanto, J., Tan, C.-H., Battistini, B., Phang, C.W.</t>
  </si>
  <si>
    <t>Emergent leadership in virtual collaboration settings: A social network analysis approach</t>
  </si>
  <si>
    <t>Long Range Planning</t>
  </si>
  <si>
    <t>http://www.scopus.com/inward/record.url?eid=2-s2.0-81055140356&amp;partnerID=40&amp;md5=e4258f4df70e77565ad921e1f474ff2d</t>
  </si>
  <si>
    <t>Lin, Y.-R., Selçuk Candan, K., Sundaram, H., Xie, L.</t>
  </si>
  <si>
    <t>SCENT: Scalable compressed monitoring of evolving multirelational social networks</t>
  </si>
  <si>
    <t>7 S</t>
  </si>
  <si>
    <t>http://www.scopus.com/inward/record.url?eid=2-s2.0-84863634824&amp;partnerID=40&amp;md5=890bbaa9a4922f31dfcaff28588ca718</t>
  </si>
  <si>
    <t>Pan, Q., Guo, M., Lin, P.</t>
  </si>
  <si>
    <t>An algorithm for the maximum clique based on MapReduce</t>
  </si>
  <si>
    <t>SUPPL. 2</t>
  </si>
  <si>
    <t>http://www.scopus.com/inward/record.url?eid=2-s2.0-83455247422&amp;partnerID=40&amp;md5=a04d16ce558d5e33c6ec34dbdd29bfb9</t>
  </si>
  <si>
    <t>Ouzienko, V., Guo, Y., Obradovic, Z.</t>
  </si>
  <si>
    <t>A decoupled exponential random graph model for prediction of structure and attributes in temporal social networks</t>
  </si>
  <si>
    <t>http://www.scopus.com/inward/record.url?eid=2-s2.0-80053064060&amp;partnerID=40&amp;md5=566753be0db71f4390d10c3c6ca62e30</t>
  </si>
  <si>
    <t>Zhang, Z.-Y., Li, J.-H., Chen, X.-Z., Li, S.-H.</t>
  </si>
  <si>
    <t>Complex relationships of web social cluster modeling based on supernetwork</t>
  </si>
  <si>
    <t>Shanghai Jiaotong Daxue Xuebao/Journal of Shanghai Jiaotong University</t>
  </si>
  <si>
    <t>1541+1546</t>
  </si>
  <si>
    <t>http://www.scopus.com/inward/record.url?eid=2-s2.0-81355133034&amp;partnerID=40&amp;md5=0385cfc3e7e0b75eccce9e530ce9b1e5</t>
  </si>
  <si>
    <t>Lerner, J., Kenis, P., Raaij, D.V., Brandes, U.</t>
  </si>
  <si>
    <t>Will they stay or will they go? How network properties of WebICs predict dropout rates of valuable Wikipedians</t>
  </si>
  <si>
    <t>European Management Journal</t>
  </si>
  <si>
    <t>http://www.scopus.com/inward/record.url?eid=2-s2.0-80053051546&amp;partnerID=40&amp;md5=9669a42ababfad9f12bcb3dc35dd2d3c</t>
  </si>
  <si>
    <t>Yu, G., Gu, Y., Bao, Y.-B., Wang, Z.-G.</t>
  </si>
  <si>
    <t>Large scale graph data processing on cloud computing environments</t>
  </si>
  <si>
    <t>http://www.scopus.com/inward/record.url?eid=2-s2.0-81055157270&amp;partnerID=40&amp;md5=be7e0f76cf09cb53eb8e163fec67e17b</t>
  </si>
  <si>
    <t>Wassell, A., Rubin, S.H., Frost, E.G.</t>
  </si>
  <si>
    <t>Integrated social information engineering</t>
  </si>
  <si>
    <t>Proceedings of the 2011 IEEE International Conference on Information Reuse and Integration, IRI 2011</t>
  </si>
  <si>
    <t>http://www.scopus.com/inward/record.url?eid=2-s2.0-80053157415&amp;partnerID=40&amp;md5=81c013acb9e55db53d834774579e0a5b</t>
  </si>
  <si>
    <t>Son, S., Kang, A.R., Kim, H.-C., Kwon, T.T., Park, J., Kim, H.K.</t>
  </si>
  <si>
    <t>Multi-relational social networks in a large-scale MMORPG</t>
  </si>
  <si>
    <t>Proceedings of the ACM SIGCOMM 2011 Conference, SIGCOMM'11</t>
  </si>
  <si>
    <t>http://www.scopus.com/inward/record.url?eid=2-s2.0-80053168136&amp;partnerID=40&amp;md5=88217e673b7347463617a0100fa10871</t>
  </si>
  <si>
    <t>Nagaraja, S., Houmansadr, A., Piyawongwisal, P., Singh, V., Agarwal, P., Borisov, N.</t>
  </si>
  <si>
    <t>Stegobot: A covert social network botnet</t>
  </si>
  <si>
    <t>6958 LNCS</t>
  </si>
  <si>
    <t>http://www.scopus.com/inward/record.url?eid=2-s2.0-80052986561&amp;partnerID=40&amp;md5=f8edb8a2f4f2ac22a7f914ff9f8b9bb4</t>
  </si>
  <si>
    <t>Du, R., Tang, J.</t>
  </si>
  <si>
    <t>Isovist topology analysis in scenic spot planning</t>
  </si>
  <si>
    <t>2011 International Conference on Multimedia Technology, ICMT 2011</t>
  </si>
  <si>
    <t>http://www.scopus.com/inward/record.url?eid=2-s2.0-80052934595&amp;partnerID=40&amp;md5=052db084e6cfb7dc1a72c6ce4e15305b</t>
  </si>
  <si>
    <t>Sun, B., Ng, V.T.Y.</t>
  </si>
  <si>
    <t>Lifespan and popularity measurement of online content on social networks</t>
  </si>
  <si>
    <t>Proceedings of 2011 IEEE International Conference on Intelligence and Security Informatics, ISI 2011</t>
  </si>
  <si>
    <t>http://www.scopus.com/inward/record.url?eid=2-s2.0-80052911922&amp;partnerID=40&amp;md5=9cee05b592f5482004d5e74d59c61ddc</t>
  </si>
  <si>
    <t>Moon, I.-C., Oh, A.H., Carley, K.M.</t>
  </si>
  <si>
    <t>Analyzing social media in escalating crisis situations</t>
  </si>
  <si>
    <t>http://www.scopus.com/inward/record.url?eid=2-s2.0-80052886023&amp;partnerID=40&amp;md5=e557bc066018fc59fef0c9b7f0061e56</t>
  </si>
  <si>
    <t>Wang, C.-S., Li, Y.-C., Ting, I.H.</t>
  </si>
  <si>
    <t>Taiwan academic network discussion via social networks analysis perspecitve</t>
  </si>
  <si>
    <t>Proceedings - 2011 International Conference on Advances in Social Networks Analysis and Mining, ASONAM 2011</t>
  </si>
  <si>
    <t>http://www.scopus.com/inward/record.url?eid=2-s2.0-80052705893&amp;partnerID=40&amp;md5=b320cf67ea4cde28d3c154d40275476d</t>
  </si>
  <si>
    <t>Wen, M.-P., Lin, H.-Y., Chen, A.-P., Yang, C.</t>
  </si>
  <si>
    <t>An integrated home financial investment learning environment applying cloud computing in social network analysis</t>
  </si>
  <si>
    <t>http://www.scopus.com/inward/record.url?eid=2-s2.0-80052768336&amp;partnerID=40&amp;md5=e2a41d98a3791d9138f508b833e38e67</t>
  </si>
  <si>
    <t>Wang, K.-Y., Thongpapanl, N., Wu, H.-J., Ting, I.-H.</t>
  </si>
  <si>
    <t>Identifying structural heterogeneities between online social networks for effective word-of-mouth marketing</t>
  </si>
  <si>
    <t>http://www.scopus.com/inward/record.url?eid=2-s2.0-80052703941&amp;partnerID=40&amp;md5=730cff64384b7b8658dd1b9bdab01dd1</t>
  </si>
  <si>
    <t>Maruhashi, K., Guo, F., Faloutsos, C.</t>
  </si>
  <si>
    <t>MultiAspectForensics: Pattern mining on large-scale heterogeneous networks with tensor analysis</t>
  </si>
  <si>
    <t>http://www.scopus.com/inward/record.url?eid=2-s2.0-80052744565&amp;partnerID=40&amp;md5=46e5d3f859fc2ba63a4ca78db877012d</t>
  </si>
  <si>
    <t>A semantic and multidisciplinary model for professional and social networks analysis</t>
  </si>
  <si>
    <t>http://www.scopus.com/inward/record.url?eid=2-s2.0-80052768339&amp;partnerID=40&amp;md5=9f760e236c444e14e4b8066bc39cb29e</t>
  </si>
  <si>
    <t>Bródka, P., Saganowski, S., Kazienko, P.</t>
  </si>
  <si>
    <t>Group evolution discovery in social networks</t>
  </si>
  <si>
    <t>http://www.scopus.com/inward/record.url?eid=2-s2.0-80052732347&amp;partnerID=40&amp;md5=9d92a4105a208c2e89c150db334be368</t>
  </si>
  <si>
    <t>Lin, F.-L., Chiou, G.-F.</t>
  </si>
  <si>
    <t>Social brokerage behind knowledge sharing</t>
  </si>
  <si>
    <t>http://www.scopus.com/inward/record.url?eid=2-s2.0-80052752597&amp;partnerID=40&amp;md5=8a690bf07b3761b36a4ed7a0ca287fbb</t>
  </si>
  <si>
    <t>Ke, Q., Dong, Y., Wu, B.</t>
  </si>
  <si>
    <t>Efficient search in networks using conductance</t>
  </si>
  <si>
    <t>http://www.scopus.com/inward/record.url?eid=2-s2.0-80052746538&amp;partnerID=40&amp;md5=5ff405e7c7aa2400194c58f6ce1b712f</t>
  </si>
  <si>
    <t>Ting, I.H., Lin, C.-H., Wang, C.-S.</t>
  </si>
  <si>
    <t>Constructing a cloud computing based social networks data warehousing and analyzing system</t>
  </si>
  <si>
    <t>http://www.scopus.com/inward/record.url?eid=2-s2.0-80052739205&amp;partnerID=40&amp;md5=fc25c93cefa96b231697d6306ceca1d2</t>
  </si>
  <si>
    <t>Farrugia, M., Hurleyy, N., Quigleyz, A.</t>
  </si>
  <si>
    <t>SNAP: Towards a validation of the Social Network Assembly Pipeline</t>
  </si>
  <si>
    <t>http://www.scopus.com/inward/record.url?eid=2-s2.0-80052701548&amp;partnerID=40&amp;md5=c2e038e53c9e1daa1260f871d77d8075</t>
  </si>
  <si>
    <t>Visualizing bibliographic databases as graphs and mining potential research synergies</t>
  </si>
  <si>
    <t>http://www.scopus.com/inward/record.url?eid=2-s2.0-80052710806&amp;partnerID=40&amp;md5=c9f487d82fbd6b975ba6ac8d13e10b67</t>
  </si>
  <si>
    <t>Lee, T.-L., Tu, I.-C.</t>
  </si>
  <si>
    <t>The way of joining consortia leads to a good performance: A case of Taiwan bike industry</t>
  </si>
  <si>
    <t>http://www.scopus.com/inward/record.url?eid=2-s2.0-80052765473&amp;partnerID=40&amp;md5=293cd2d6e8e50e2a2e278c58979cf79b</t>
  </si>
  <si>
    <t>Liu, J.-S., Ning, K.-C.</t>
  </si>
  <si>
    <t>Applying link prediction to ranking candidates for high-level government post</t>
  </si>
  <si>
    <t>http://www.scopus.com/inward/record.url?eid=2-s2.0-80052744566&amp;partnerID=40&amp;md5=7d562d53544d325ed0943c49d6508e20</t>
  </si>
  <si>
    <t>A social network approach to examine the role of influential stocks in shaping interdependence structure in global stock markets</t>
  </si>
  <si>
    <t>http://www.scopus.com/inward/record.url?eid=2-s2.0-80052760404&amp;partnerID=40&amp;md5=9c02177ace37a9f8eb47655c34e52370</t>
  </si>
  <si>
    <t>From web mining to social multimedia mining</t>
  </si>
  <si>
    <t>http://www.scopus.com/inward/record.url?eid=2-s2.0-80052695268&amp;partnerID=40&amp;md5=d70334b334088baf25f850835a5515db</t>
  </si>
  <si>
    <t>Li, Z., Chen, K., Xu, X.</t>
  </si>
  <si>
    <t>The structure and substance of student asynchronous communication in hybrid STEM courses</t>
  </si>
  <si>
    <t>Proceedings of the 2011 11th IEEE International Conference on Advanced Learning Technologies, ICALT 2011</t>
  </si>
  <si>
    <t>http://www.scopus.com/inward/record.url?eid=2-s2.0-80052717630&amp;partnerID=40&amp;md5=cf7c94e80e61b56f106516e4c3bdd2ac</t>
  </si>
  <si>
    <t>http://www.scopus.com/inward/record.url?eid=2-s2.0-80052772798&amp;partnerID=40&amp;md5=5513d2993f23115efbd81e0ac0b82d62</t>
  </si>
  <si>
    <t>Chang, P.-S., Ting, I.-H., Wang, S.-L.</t>
  </si>
  <si>
    <t>Towards social recommendation system based on the data from microblogs</t>
  </si>
  <si>
    <t>http://www.scopus.com/inward/record.url?eid=2-s2.0-80052699830&amp;partnerID=40&amp;md5=d9cd5ce01479f01d1a7ec647310743ff</t>
  </si>
  <si>
    <t>Perez, C., Lemercier, M., Birregah, B., Corpel, A.</t>
  </si>
  <si>
    <t>SPOT 1.0: Scoring suspicious profiles on Twitter</t>
  </si>
  <si>
    <t>http://www.scopus.com/inward/record.url?eid=2-s2.0-80052707761&amp;partnerID=40&amp;md5=b8139e0c28b1c6886ee23a9893d6be98</t>
  </si>
  <si>
    <t>Teufl, P., Kraxberger, S.</t>
  </si>
  <si>
    <t>Extracting semantic knowledge from Twitter</t>
  </si>
  <si>
    <t>6847 LNCS</t>
  </si>
  <si>
    <t>http://www.scopus.com/inward/record.url?eid=2-s2.0-80052755646&amp;partnerID=40&amp;md5=1250540e6a3597b45d252c88fc9abc3f</t>
  </si>
  <si>
    <t>Dong, Y., Ke, Q., Wang, B., Wu, B.</t>
  </si>
  <si>
    <t>Link prediction based on local information</t>
  </si>
  <si>
    <t>http://www.scopus.com/inward/record.url?eid=2-s2.0-80052720890&amp;partnerID=40&amp;md5=5c4f1ce6b468cfd066bc634312ea6e15</t>
  </si>
  <si>
    <t>Bródka, P., Stawiak, P., Kazienko, P.</t>
  </si>
  <si>
    <t>Shortest path discovery in the multi-layered social network</t>
  </si>
  <si>
    <t>http://www.scopus.com/inward/record.url?eid=2-s2.0-80052750633&amp;partnerID=40&amp;md5=bed10121a1e4d88db22f86f524fb5d7c</t>
  </si>
  <si>
    <t>Zygmunt, A., Bródka, P., Kazienko, P., Koźlak, J.</t>
  </si>
  <si>
    <t>Different approaches to groups and key person identification in blogosphere</t>
  </si>
  <si>
    <t>http://www.scopus.com/inward/record.url?eid=2-s2.0-80052772362&amp;partnerID=40&amp;md5=2a2199ab1e80394e82c277ad58c918f8</t>
  </si>
  <si>
    <t>Maiya, A.S., Berger-Wolf, T.Y.</t>
  </si>
  <si>
    <t>Benefits of bias: Towards better characterization of network sampling</t>
  </si>
  <si>
    <t>http://www.scopus.com/inward/record.url?eid=2-s2.0-80052689976&amp;partnerID=40&amp;md5=2166b7c6bf2f2c8dd0e6c583fada754f</t>
  </si>
  <si>
    <t>Social flocks: A crowd simulation framework for social network generation, community detection, and collective behavior modeling</t>
  </si>
  <si>
    <t>http://www.scopus.com/inward/record.url?eid=2-s2.0-80052651464&amp;partnerID=40&amp;md5=5372893f7450b5114482cd505ffc751a</t>
  </si>
  <si>
    <t>Ubiquitous conference management system for mobile recommendation services based on mobilizing social networks: A case study of u-conference</t>
  </si>
  <si>
    <t>http://www.scopus.com/inward/record.url?eid=2-s2.0-79958015914&amp;partnerID=40&amp;md5=a18dc2bd08dfe976f3fde9140ba50061</t>
  </si>
  <si>
    <t>Palmer, J.</t>
  </si>
  <si>
    <t>Hybrid Elicitation of Latent Intent in Open Societies (HELIOS)</t>
  </si>
  <si>
    <t>2011 2nd Worldwide Cybersecurity Summit, WCS 2011</t>
  </si>
  <si>
    <t>http://www.scopus.com/inward/record.url?eid=2-s2.0-80052613892&amp;partnerID=40&amp;md5=9c54eb302a463045fcfd49e7631ef4cd</t>
  </si>
  <si>
    <t>Ulicny, B., Kokar, M.M.</t>
  </si>
  <si>
    <t>Toward formal reasoning with epistemic policies about information quality in the twittersphere</t>
  </si>
  <si>
    <t>Fusion 2011 - 14th International Conference on Information Fusion</t>
  </si>
  <si>
    <t>http://www.scopus.com/inward/record.url?eid=2-s2.0-80052531315&amp;partnerID=40&amp;md5=0d8b5b3de03f8eaa33aced2eed833c13</t>
  </si>
  <si>
    <t>Stein, C., Ernstson, H., Barron, J.</t>
  </si>
  <si>
    <t>A social network approach to analyzing water governance: The case of the Mkindo catchment, Tanzania</t>
  </si>
  <si>
    <t>Physics and Chemistry of the Earth</t>
  </si>
  <si>
    <t>14-15</t>
  </si>
  <si>
    <t>http://www.scopus.com/inward/record.url?eid=2-s2.0-80054078656&amp;partnerID=40&amp;md5=49b6a3eaa23d32bc58259f2e7047c653</t>
  </si>
  <si>
    <t>Monclar, R.S., Oliveira, J., Firmino De Faria, F., Ventura, L., De Souza, J.M., Campos, M.L.M.</t>
  </si>
  <si>
    <t>Using social networks analysis for collaboration and team formation identification</t>
  </si>
  <si>
    <t>Proceedings of the 2011 15th International Conference on Computer Supported Cooperative Work in Design, CSCWD 2011</t>
  </si>
  <si>
    <t>http://www.scopus.com/inward/record.url?eid=2-s2.0-80052211662&amp;partnerID=40&amp;md5=0ed3f4ec6d90906eaedcb06be58d41eb</t>
  </si>
  <si>
    <t>Zhu, Y., Zhang, W., Yu, C.</t>
  </si>
  <si>
    <t>Detection of feedback reputation fraud in Taobao using social network theory</t>
  </si>
  <si>
    <t>Proceedings - 2011 International Joint Conference on Service Sciences, IJCSS 2011</t>
  </si>
  <si>
    <t>http://www.scopus.com/inward/record.url?eid=2-s2.0-80052216040&amp;partnerID=40&amp;md5=a310cad59b04b6927efea5872abd5465</t>
  </si>
  <si>
    <t>Da Silva, R.T., De Souza, J.M., Oliveira, J.</t>
  </si>
  <si>
    <t>Autonomic analysis of social networks</t>
  </si>
  <si>
    <t>http://www.scopus.com/inward/record.url?eid=2-s2.0-80052241721&amp;partnerID=40&amp;md5=3a6d4ff46f2f1f417c090934723f1c57</t>
  </si>
  <si>
    <t>Stroele, V., Zimbrao, G., Souza, J.M.</t>
  </si>
  <si>
    <t>Evaluating knowledge flow in multirelational scientific social networks</t>
  </si>
  <si>
    <t>http://www.scopus.com/inward/record.url?eid=2-s2.0-80052200294&amp;partnerID=40&amp;md5=844211dbfbf119cf466c52af40c5b437</t>
  </si>
  <si>
    <t>Ilyas, M.U., Radha, H.</t>
  </si>
  <si>
    <t>Identifying influential nodes in online social networks using principal component centrality</t>
  </si>
  <si>
    <t>IEEE International Conference on Communications</t>
  </si>
  <si>
    <t>http://www.scopus.com/inward/record.url?eid=2-s2.0-80052168258&amp;partnerID=40&amp;md5=4d7a970b9201687e88ce77811e9006bc</t>
  </si>
  <si>
    <t>Lu, Z., Wen, Y., Haiwei, Z., Ying, Z., Yuan, X.</t>
  </si>
  <si>
    <t>User relationship index based on social network community analysis</t>
  </si>
  <si>
    <t>BMEI 2011 - Proceedings 2011 International Conference on Business Management and Electronic Information</t>
  </si>
  <si>
    <t>http://www.scopus.com/inward/record.url?eid=2-s2.0-80052184112&amp;partnerID=40&amp;md5=7f13d795982c740c233858558ab98f39</t>
  </si>
  <si>
    <t>Qiao, S., Li, T., Chau, M., Peng, J., Zhu, Y., Li, H.</t>
  </si>
  <si>
    <t>WebScore: An Effective Page Scoring Approach for Uncertain Web Social Networks</t>
  </si>
  <si>
    <t>http://www.scopus.com/inward/record.url?eid=2-s2.0-84857451347&amp;partnerID=40&amp;md5=82dbf375276c14eef9cd7867621ee6a2</t>
  </si>
  <si>
    <t>Kim, H., Cho, H., Jeong, B.</t>
  </si>
  <si>
    <t>Social networks and ideological orientation of South Korean NGOs involved in the unification issues of the Korean Peninsula</t>
  </si>
  <si>
    <t>Asian Survey</t>
  </si>
  <si>
    <t>http://www.scopus.com/inward/record.url?eid=2-s2.0-82155162886&amp;partnerID=40&amp;md5=696d27c423ed66b4f09ad00442572a33</t>
  </si>
  <si>
    <t>Rodríguez, D., Sicilia, M.A., Sánchez-Alonso, S., Lezcano, L., García-Barriocanal, E.</t>
  </si>
  <si>
    <t>Exploring affiliation network models as a collaborative filtering mechanism in e-learning</t>
  </si>
  <si>
    <t>http://www.scopus.com/inward/record.url?eid=2-s2.0-80051605609&amp;partnerID=40&amp;md5=dde3a222eb319f21d2c1b9a139168947</t>
  </si>
  <si>
    <t>Gray, P.H., Salvatore, P., Iyer, B.</t>
  </si>
  <si>
    <t>Innovation impacts of using social bookmarking systems</t>
  </si>
  <si>
    <t>http://www.scopus.com/inward/record.url?eid=2-s2.0-80051751979&amp;partnerID=40&amp;md5=b3aab39d995d1902ec5ec5bd9a6c192e</t>
  </si>
  <si>
    <t>On the maximum locally clustered subgraph and some related problems</t>
  </si>
  <si>
    <t>6831 LNCS</t>
  </si>
  <si>
    <t>http://www.scopus.com/inward/record.url?eid=2-s2.0-80051966795&amp;partnerID=40&amp;md5=135f3a1bfaeffe575152191e0638cd40</t>
  </si>
  <si>
    <t>Zou, Q., Gedik, B., Wang, K.</t>
  </si>
  <si>
    <t>SpamWatcher: A streaming social network analytic on the IBM wire-speed processor</t>
  </si>
  <si>
    <t>DEBS'11 - Proceedings of the 5th ACM International Conference on Distributed Event-Based Systems</t>
  </si>
  <si>
    <t>http://www.scopus.com/inward/record.url?eid=2-s2.0-80051940649&amp;partnerID=40&amp;md5=0a70048d1f7cdc00965d77be2d4dc39e</t>
  </si>
  <si>
    <t>Analyzing opinion formation in online social networks: Mining Services for online market research</t>
  </si>
  <si>
    <t>Proceedings - 2011 Annual SRII Global Conference, SRII 2011</t>
  </si>
  <si>
    <t>http://www.scopus.com/inward/record.url?eid=2-s2.0-80051936299&amp;partnerID=40&amp;md5=59f1f1469140d2a4061c0e8896cdd3da</t>
  </si>
  <si>
    <t>Kardan, A., Omidvar, A., Farahmandnia, F.</t>
  </si>
  <si>
    <t>Expert finding on social network with link analysis approach</t>
  </si>
  <si>
    <t>2011 19th Iranian Conference on Electrical Engineering, ICEE 2011</t>
  </si>
  <si>
    <t>http://www.scopus.com/inward/record.url?eid=2-s2.0-80051932575&amp;partnerID=40&amp;md5=1f11dc35e865c814287f65d67a61de77</t>
  </si>
  <si>
    <t>Lim, S.L., Bentley, P.J.</t>
  </si>
  <si>
    <t>Evolving relationships between social networks and stakeholder involvement in software projects</t>
  </si>
  <si>
    <t>Genetic and Evolutionary Computation Conference, GECCO'11</t>
  </si>
  <si>
    <t>http://www.scopus.com/inward/record.url?eid=2-s2.0-84860416987&amp;partnerID=40&amp;md5=1bee9e85729e0ec84d25747257335d47</t>
  </si>
  <si>
    <t>Wang, E., Silva, J., Willett, R., Carin, L.</t>
  </si>
  <si>
    <t>Time-evolving modeling of social networks</t>
  </si>
  <si>
    <t>http://www.scopus.com/inward/record.url?eid=2-s2.0-80051613053&amp;partnerID=40&amp;md5=e987ec8deec04bf77168768df7f7ce54</t>
  </si>
  <si>
    <t>Rao, T., Nagpal, S.</t>
  </si>
  <si>
    <t>Real-time geo influence in social networks</t>
  </si>
  <si>
    <t>ICECT 2011 - 2011 3rd International Conference on Electronics Computer Technology</t>
  </si>
  <si>
    <t>http://www.scopus.com/inward/record.url?eid=2-s2.0-79961225562&amp;partnerID=40&amp;md5=c7f1945d89d31e7b415bc6f64824a1a1</t>
  </si>
  <si>
    <t>Warning system for online market research - Identifying critical situations in online opinion formation</t>
  </si>
  <si>
    <t>http://www.scopus.com/inward/record.url?eid=2-s2.0-79957481302&amp;partnerID=40&amp;md5=e6ce720d819bab3a9679b80fcb46e37c</t>
  </si>
  <si>
    <t>Vance-Borland, K., Holley, J.</t>
  </si>
  <si>
    <t>Conservation stakeholder network mapping, analysis, and weaving</t>
  </si>
  <si>
    <t>Conservation Letters</t>
  </si>
  <si>
    <t>http://www.scopus.com/inward/record.url?eid=2-s2.0-80053219272&amp;partnerID=40&amp;md5=e458bc7ae8c7526aa0730bc5b0afda9b</t>
  </si>
  <si>
    <t>Letter</t>
  </si>
  <si>
    <t>Lin, Y.-R., Sun, J., Sundaram, H., Kelliher, A., Castro, P., Konuru, R.</t>
  </si>
  <si>
    <t>Community discovery via MetaGraph Factorization</t>
  </si>
  <si>
    <t>http://www.scopus.com/inward/record.url?eid=2-s2.0-80052016150&amp;partnerID=40&amp;md5=1a2f478deb382dd4334c991a70293022</t>
  </si>
  <si>
    <t>Lim, S.-H., Kim, S.-W., Park, S., Yoon, S.-H.</t>
  </si>
  <si>
    <t>Determining diffusion power users in a blogosphere</t>
  </si>
  <si>
    <t>Information</t>
  </si>
  <si>
    <t>http://www.scopus.com/inward/record.url?eid=2-s2.0-84860142281&amp;partnerID=40&amp;md5=78bb5835efabed719f5e992c4837c0ba</t>
  </si>
  <si>
    <t>Herodotou, H., Babu, S.</t>
  </si>
  <si>
    <t>Profiling, what-if analysis, and costbased optimization of mapreduce programs</t>
  </si>
  <si>
    <t>http://www.scopus.com/inward/record.url?eid=2-s2.0-82155174846&amp;partnerID=40&amp;md5=961ce207e5b6e51b67a08bdc581f1cc2</t>
  </si>
  <si>
    <t>Herodotou, H., Dong, F., Babu, S.</t>
  </si>
  <si>
    <t>Mapreduce programming and costbased optimization? Crossing this chasm with starfish</t>
  </si>
  <si>
    <t>http://www.scopus.com/inward/record.url?eid=2-s2.0-84863740820&amp;partnerID=40&amp;md5=9891b609c079f114ea20f426944eade3</t>
  </si>
  <si>
    <t>Catanese, S.A., De Meo, P., Ferrara, E., Fiumara, G., Provetti, A.</t>
  </si>
  <si>
    <t>Crawling Facebook for social network analysis purposes</t>
  </si>
  <si>
    <t>http://www.scopus.com/inward/record.url?eid=2-s2.0-79960577888&amp;partnerID=40&amp;md5=6b689e4854c4abb0912d7cc0d00fc811</t>
  </si>
  <si>
    <t>Lopes, G.R., Da Silva, R., De Oliveira, J.P.M.</t>
  </si>
  <si>
    <t>Applying Gini coefficient to quantify scientific collaboration in researchers network</t>
  </si>
  <si>
    <t>http://www.scopus.com/inward/record.url?eid=2-s2.0-79960603501&amp;partnerID=40&amp;md5=49076e30b561fce17ab0e6c74e9ef051</t>
  </si>
  <si>
    <t>Hussain, D.M.A., Javed, M.A., Ahmed, Z.</t>
  </si>
  <si>
    <t>Visualization through knowledge representation model for social networks</t>
  </si>
  <si>
    <t>IMECS 2011 - International MultiConference of Engineers and Computer Scientists 2011</t>
  </si>
  <si>
    <t>http://www.scopus.com/inward/record.url?eid=2-s2.0-79960587849&amp;partnerID=40&amp;md5=ed87fbf562bf828a2d13efc0d7eccba1</t>
  </si>
  <si>
    <t>Fei, R., Yang, K., Cheng, X.</t>
  </si>
  <si>
    <t>A cooperative social and vehicular network and its dynamic bandwidth allocation algorithms</t>
  </si>
  <si>
    <t>2011 IEEE Conference on Computer Communications Workshops, INFOCOM WKSHPS 2011</t>
  </si>
  <si>
    <t>http://www.scopus.com/inward/record.url?eid=2-s2.0-79960608392&amp;partnerID=40&amp;md5=0575e2476d0778866e31f611c6b60ba2</t>
  </si>
  <si>
    <t>Tchuente, D., Canut, M.-F., Baptiste-Jessel, N., Coutant, A., Stenger, T., Rampnoux, O.</t>
  </si>
  <si>
    <t>Pour une approche interdisciplinaire des TIC: Le cas des réseaux socionumériques</t>
  </si>
  <si>
    <t>Document Numerique</t>
  </si>
  <si>
    <t>http://www.scopus.com/inward/record.url?eid=2-s2.0-79960479790&amp;partnerID=40&amp;md5=2f1317c91365835459a593cfaf264063</t>
  </si>
  <si>
    <t>Tangsripairoj, S., Sripirom, U.</t>
  </si>
  <si>
    <t>Mining social networks of Thai researchers in IT-related areas</t>
  </si>
  <si>
    <t>Proceedings of the 2011 8th International Joint Conference on Computer Science and Software Engineering, JCSSE 2011</t>
  </si>
  <si>
    <t>http://www.scopus.com/inward/record.url?eid=2-s2.0-79960408048&amp;partnerID=40&amp;md5=f5582b3d091b8c383ac3da9787998367</t>
  </si>
  <si>
    <t>Zhang, X., Zhang, W., Gao, C., Cheng, Y.</t>
  </si>
  <si>
    <t>The tri-group analysis of word-of-mouth communication in network community</t>
  </si>
  <si>
    <t>2011 International Conference on E-Business and E-Government, ICEE2011 - Proceedings</t>
  </si>
  <si>
    <t>http://www.scopus.com/inward/record.url?eid=2-s2.0-79960413774&amp;partnerID=40&amp;md5=d22b170b9ade50d0b5e446a5dd4ebff7</t>
  </si>
  <si>
    <t>Gamberini, L., Martino, F., Spagnolli, A., Baù, R., Ferron, M.</t>
  </si>
  <si>
    <t>"Your team cohesion is low": A systematic study of the effects of social network feedback on mediated activity</t>
  </si>
  <si>
    <t>6778 LNCS</t>
  </si>
  <si>
    <t>http://www.scopus.com/inward/record.url?eid=2-s2.0-79960333895&amp;partnerID=40&amp;md5=d4a3fcf925f61b93725c9bf9c6dfe95f</t>
  </si>
  <si>
    <t>Bhardwaj, S., Niyogi, R., Milani, A.</t>
  </si>
  <si>
    <t>Performance analysis of an algorithm for computation of betweenness centrality</t>
  </si>
  <si>
    <t>6786 LNCS</t>
  </si>
  <si>
    <t>PART 5</t>
  </si>
  <si>
    <t>http://www.scopus.com/inward/record.url?eid=2-s2.0-79960287101&amp;partnerID=40&amp;md5=2a51ee0c854ddce82296e20e0422b7bf</t>
  </si>
  <si>
    <t>Pujari, M., Kanawati, R.</t>
  </si>
  <si>
    <t>A supervised machine learning link prediction approach for tag recommendation</t>
  </si>
  <si>
    <t>http://www.scopus.com/inward/record.url?eid=2-s2.0-79960289259&amp;partnerID=40&amp;md5=b82a03ee10ab808e073d9ff684ba6e18</t>
  </si>
  <si>
    <t>Leung, C.K.-S., Carmichael, C.L., Teh, E.W.</t>
  </si>
  <si>
    <t>Visual analytics of social networks: mining and visualizing co-authorship networks</t>
  </si>
  <si>
    <t>6780 LNAI</t>
  </si>
  <si>
    <t>http://www.scopus.com/inward/record.url?eid=2-s2.0-79960301265&amp;partnerID=40&amp;md5=f29cbc748a14d1f08786c85623cb3a1f</t>
  </si>
  <si>
    <t>Shneiderman, B.</t>
  </si>
  <si>
    <t>Technology-mediated social participation: The next 25 years of HCI challenges</t>
  </si>
  <si>
    <t>6761 LNCS</t>
  </si>
  <si>
    <t>http://www.scopus.com/inward/record.url?eid=2-s2.0-79960291525&amp;partnerID=40&amp;md5=448f9edc56e77af1c4d09e119f103e4e</t>
  </si>
  <si>
    <t>Haggerty, J., Haggerty, S.</t>
  </si>
  <si>
    <t>Temporal social network analysis for historians: A case study</t>
  </si>
  <si>
    <t>IMAGAPP and IVAPP 2011 - Proceedings of the International Conference on Imaging Theory and Applications and International Conference on Information Visualization Theory and Applications</t>
  </si>
  <si>
    <t>http://www.scopus.com/inward/record.url?eid=2-s2.0-79960253363&amp;partnerID=40&amp;md5=469792b86d5c0667c8dc300b789aa057</t>
  </si>
  <si>
    <t>Intelligence and Security Informatics - Pacific Asia Workshop, PAISI 2011, Proceedings</t>
  </si>
  <si>
    <t>6749 LNCS</t>
  </si>
  <si>
    <t>http://www.scopus.com/inward/record.url?eid=2-s2.0-79960250962&amp;partnerID=40&amp;md5=ad1449c490d420cff946a8257c37f16e</t>
  </si>
  <si>
    <t>Agarwal, N., Lim, M., Wigand, R.T.</t>
  </si>
  <si>
    <t>Collective action theory meets the blogosphere: A new methodology</t>
  </si>
  <si>
    <t>136 CCIS</t>
  </si>
  <si>
    <t>http://www.scopus.com/inward/record.url?eid=2-s2.0-79960203001&amp;partnerID=40&amp;md5=e581e801cdd31594b1afa53c3494b401</t>
  </si>
  <si>
    <t>Laniado, D., Tasso, R.</t>
  </si>
  <si>
    <t>Co-authorship 2.0 -Patterns of collaboration in Wikipedia</t>
  </si>
  <si>
    <t>HT 2011 - Proceedings of the 22nd ACM Conference on Hypertext and Hypermedia</t>
  </si>
  <si>
    <t>http://www.scopus.com/inward/record.url?eid=2-s2.0-79960162169&amp;partnerID=40&amp;md5=f490370ea765f8a37eb64441e2ac3ab3</t>
  </si>
  <si>
    <t>Massa, P.</t>
  </si>
  <si>
    <t>Social networks of Wikipedia</t>
  </si>
  <si>
    <t>http://www.scopus.com/inward/record.url?eid=2-s2.0-79960163483&amp;partnerID=40&amp;md5=88b4494e58e5a1b1471825057d57235f</t>
  </si>
  <si>
    <t>Hacid, H., Hebbar, K., Maaradji, A., Saidi, M.A., Ribière, M., Daigremont, J.</t>
  </si>
  <si>
    <t>Enhancing navigation in virtual worlds through social networks analysis</t>
  </si>
  <si>
    <t>6804 LNAI</t>
  </si>
  <si>
    <t>http://www.scopus.com/inward/record.url?eid=2-s2.0-79960142942&amp;partnerID=40&amp;md5=394c6b0ee95c240a0b165adde7f89458</t>
  </si>
  <si>
    <t>Brand, J.L., Nagy, G., Ding, H.</t>
  </si>
  <si>
    <t>Using embedded technology badges to derive social networks, patterns of interaction and space utilization in a corporate headquarters</t>
  </si>
  <si>
    <t>6775 LNCS</t>
  </si>
  <si>
    <t>http://www.scopus.com/inward/record.url?eid=2-s2.0-79960076863&amp;partnerID=40&amp;md5=769fd351c04d66d0482c660459dacc08</t>
  </si>
  <si>
    <t>Meneely, A., Williams, L.</t>
  </si>
  <si>
    <t>Socio-technical developer networks: Should we trust our measurements?</t>
  </si>
  <si>
    <t>Proceedings - International Conference on Software Engineering</t>
  </si>
  <si>
    <t>http://www.scopus.com/inward/record.url?eid=2-s2.0-79959866132&amp;partnerID=40&amp;md5=7bb87076fbc0eb1a86a6c7d269d670b7</t>
  </si>
  <si>
    <t>Alahakoon, T., Tripathi, R., Kourtellis, N., Simha, R., Iamnitchi, A.</t>
  </si>
  <si>
    <t>K-path centrality: A new centrality measure in social networks</t>
  </si>
  <si>
    <t>Proceedings of the 4th Workshop on Social Network Systems, SNS'11</t>
  </si>
  <si>
    <t>http://www.scopus.com/inward/record.url?eid=2-s2.0-79959878107&amp;partnerID=40&amp;md5=297a9358426b66b025b84db31b0b8a01</t>
  </si>
  <si>
    <t>Ackland, R., O'Neil, M.</t>
  </si>
  <si>
    <t>Online collective identity: The case of the environmental movement</t>
  </si>
  <si>
    <t>Social Networks</t>
  </si>
  <si>
    <t>http://www.scopus.com/inward/record.url?eid=2-s2.0-79961011687&amp;partnerID=40&amp;md5=017579327a02c2cff7bafcaa9897e895</t>
  </si>
  <si>
    <t>Kazienko, P., Musiał, K., Kajdanowicz, T.</t>
  </si>
  <si>
    <t>Multidimensional social network in the social recommender system</t>
  </si>
  <si>
    <t>http://www.scopus.com/inward/record.url?eid=2-s2.0-79959592223&amp;partnerID=40&amp;md5=2fd1c615be2f5900ed2b2f33f6aba700</t>
  </si>
  <si>
    <t>Lim, S.-H., Kim, S.-W., Kim, S., Park, S.</t>
  </si>
  <si>
    <t>Construction of a blog network based on information diffusion</t>
  </si>
  <si>
    <t>http://www.scopus.com/inward/record.url?eid=2-s2.0-79959298385&amp;partnerID=40&amp;md5=2aabc06987ca5c50748f53d8869b16f0</t>
  </si>
  <si>
    <t>Pan, S.J., Boston, D.J., Borcea, C.</t>
  </si>
  <si>
    <t>Analysis of fusing online and co-presence social networks</t>
  </si>
  <si>
    <t>2011 IEEE International Conference on Pervasive Computing and Communications Workshops, PERCOM Workshops 2011</t>
  </si>
  <si>
    <t>http://www.scopus.com/inward/record.url?eid=2-s2.0-79958037947&amp;partnerID=40&amp;md5=4fb9bcbb655be497d2952648fc0057f1</t>
  </si>
  <si>
    <t>Li, J.-Y., Yeh, M.-Y.</t>
  </si>
  <si>
    <t>On sampling type distribution from heterogeneous social networks</t>
  </si>
  <si>
    <t>6635 LNAI</t>
  </si>
  <si>
    <t>http://www.scopus.com/inward/record.url?eid=2-s2.0-79957952586&amp;partnerID=40&amp;md5=75f7bccb38f4c03315bbaa09740918b2</t>
  </si>
  <si>
    <t>Shen, C., Monge, P.</t>
  </si>
  <si>
    <t>Who connects with whom? A social network analysis of an online open source software community</t>
  </si>
  <si>
    <t>First Monday</t>
  </si>
  <si>
    <t>http://www.scopus.com/inward/record.url?eid=2-s2.0-80052149949&amp;partnerID=40&amp;md5=13806b79a6f9a491afcd6c922d94ae00</t>
  </si>
  <si>
    <t>Goggins, S.P., Laffey, J., Gallagher, M.</t>
  </si>
  <si>
    <t>Completely online group formation and development: Small groups as socio-technical systems</t>
  </si>
  <si>
    <t>Information Technology and People</t>
  </si>
  <si>
    <t>http://www.scopus.com/inward/record.url?eid=2-s2.0-79958084883&amp;partnerID=40&amp;md5=392e0d74c1add872fca347baab15e69d</t>
  </si>
  <si>
    <t>Alguliev, R., Aliguliyev, R., Ganjaliyev, F.</t>
  </si>
  <si>
    <t>Investigation of the role of similarity measure and ranking algorithm in mining social networks</t>
  </si>
  <si>
    <t>Journal of Information Science</t>
  </si>
  <si>
    <t>http://www.scopus.com/inward/record.url?eid=2-s2.0-79959194132&amp;partnerID=40&amp;md5=0cda8ebcdb5777c1519b38154fd530c5</t>
  </si>
  <si>
    <t>Oh, S., Yeom, H.Y., Ahn, J.</t>
  </si>
  <si>
    <t>A method to extract a social network based on semantic association</t>
  </si>
  <si>
    <t>Proceedings of the 5th International Conference on Ubiquitous Information Management and Communication, ICUIMC 2011</t>
  </si>
  <si>
    <t>http://www.scopus.com/inward/record.url?eid=2-s2.0-79955990587&amp;partnerID=40&amp;md5=8e179e730a78639962c95565834f70c5</t>
  </si>
  <si>
    <t>Shaner, J., Maznevski, M.</t>
  </si>
  <si>
    <t>The relationship between networks, institutional development, and performance in foreign investments</t>
  </si>
  <si>
    <t>http://www.scopus.com/inward/record.url?eid=2-s2.0-79953051181&amp;partnerID=40&amp;md5=9db04b17084dae9f363677ddb5f17636</t>
  </si>
  <si>
    <t>Narahari, Y., Narayanam, R.</t>
  </si>
  <si>
    <t>Tutorial: Game theoretic models for social network analysis</t>
  </si>
  <si>
    <t>Proceedings of the 20th International Conference Companion on World Wide Web, WWW 2011</t>
  </si>
  <si>
    <t>http://www.scopus.com/inward/record.url?eid=2-s2.0-79955140833&amp;partnerID=40&amp;md5=531a378039ce6173451938fc6a2224a0</t>
  </si>
  <si>
    <t>Shamma, D.A., Kennedy, L., Churchill, E.F.</t>
  </si>
  <si>
    <t>Peaks and persistence: Modeling the shape of microblog conversations</t>
  </si>
  <si>
    <t>http://www.scopus.com/inward/record.url?eid=2-s2.0-79955132576&amp;partnerID=40&amp;md5=46c4489a4137d82df8adb331ad98d2ff</t>
  </si>
  <si>
    <t>Zheng, M., Spires, H.</t>
  </si>
  <si>
    <t>Teachers' interactions in an online graduate course on moodle: A social network analysis perspective</t>
  </si>
  <si>
    <t>Meridian</t>
  </si>
  <si>
    <t>http://www.scopus.com/inward/record.url?eid=2-s2.0-79954468697&amp;partnerID=40&amp;md5=98ed6455b4d96a972cc979fbf43ddee0</t>
  </si>
  <si>
    <t>Bonchi, F., Castillo, C., Gionis, A., Jaimes, A.</t>
  </si>
  <si>
    <t>Social network analysis and mining for business applications</t>
  </si>
  <si>
    <t>http://www.scopus.com/inward/record.url?eid=2-s2.0-79955676843&amp;partnerID=40&amp;md5=396a0c43cab9537c18d24ebf243e3b2f</t>
  </si>
  <si>
    <t>Wu, I.-C., Wu, C.-Y.</t>
  </si>
  <si>
    <t>Using internal link and social network analysis to support searches in Wikipedia: A model and its evaluation</t>
  </si>
  <si>
    <t>http://www.scopus.com/inward/record.url?eid=2-s2.0-79954549238&amp;partnerID=40&amp;md5=f9fa50b9bf666654b6b391c8feceb9f1</t>
  </si>
  <si>
    <t>Knoot, T.G., Rickenbach, M.</t>
  </si>
  <si>
    <t>Best management practices and timber harvesting: The role of social networks in shaping landowner decisions</t>
  </si>
  <si>
    <t>http://www.scopus.com/inward/record.url?eid=2-s2.0-79951841059&amp;partnerID=40&amp;md5=b6e428475813e8e92ba73dae4b29696c</t>
  </si>
  <si>
    <t>Cuéllar, M.P., Delgado, M., Pegalajar, M.C.</t>
  </si>
  <si>
    <t>Improving learning management through semantic web and social networks in e-learning environments</t>
  </si>
  <si>
    <t>http://www.scopus.com/inward/record.url?eid=2-s2.0-78650700448&amp;partnerID=40&amp;md5=37853d89bbf3002e95ed25fc4b70e434</t>
  </si>
  <si>
    <t>Pfeil, U., Svangstu, K., Ang, C.S., Zaphiris, P.</t>
  </si>
  <si>
    <t>Social Roles in an Online Support Community for Older People</t>
  </si>
  <si>
    <t>International Journal of Human-Computer Interaction</t>
  </si>
  <si>
    <t>http://www.scopus.com/inward/record.url?eid=2-s2.0-79951917632&amp;partnerID=40&amp;md5=0b161338dc957005a4405c7f48f9f210</t>
  </si>
  <si>
    <t>Huffaker, D.A.</t>
  </si>
  <si>
    <t>The impact of group attributes on communication activity and shared language in online communities</t>
  </si>
  <si>
    <t>http://www.scopus.com/inward/record.url?eid=2-s2.0-79958763407&amp;partnerID=40&amp;md5=ca42a26403a4110a856ecd9f2d357c4d</t>
  </si>
  <si>
    <t>Syeed, M.M.M., Aaltonen, T., Hammouda, I., Systä, T.</t>
  </si>
  <si>
    <t>Tool assisted analysis of open source projects: A multi-faceted challenge</t>
  </si>
  <si>
    <t>International Journal of Open Source Software and Processes</t>
  </si>
  <si>
    <t>http://www.scopus.com/inward/record.url?eid=2-s2.0-84860521721&amp;partnerID=40&amp;md5=cfed95e58da29e0a4b77a7eefa6f4dad</t>
  </si>
  <si>
    <t>Chunying, Z., Ruitao, L., Lu, L.</t>
  </si>
  <si>
    <t>Set pair social network analysis model and information mining</t>
  </si>
  <si>
    <t>144 CCIS</t>
  </si>
  <si>
    <t>http://www.scopus.com/inward/record.url?eid=2-s2.0-79953076476&amp;partnerID=40&amp;md5=aa600c6c7f6f3f808c5f276fffb53c94</t>
  </si>
  <si>
    <t>Tu, B.-M., Wu, H.-C., Hsieh, C., Chen, P.-H.</t>
  </si>
  <si>
    <t>Establishing new friendships - From face-to-face to facebook: A case study of college students</t>
  </si>
  <si>
    <t>http://www.scopus.com/inward/record.url?eid=2-s2.0-79952982674&amp;partnerID=40&amp;md5=2351cf6cca77940549292b6e7c22af55</t>
  </si>
  <si>
    <t>Tang, X., Yang, C.C.</t>
  </si>
  <si>
    <t>Following the social media: Aspect evolution of online discussion</t>
  </si>
  <si>
    <t>6589 LNCS</t>
  </si>
  <si>
    <t>http://www.scopus.com/inward/record.url?eid=2-s2.0-79952426411&amp;partnerID=40&amp;md5=b6da8b753987f9c901736c79be1205e3</t>
  </si>
  <si>
    <t>Ahn, J.-W., Taieb-Maimon, M., Sopan, A., Plaisant, C., Shneiderman, B.</t>
  </si>
  <si>
    <t>Temporal visualization of social network dynamics: Prototypes for nation of neighbors</t>
  </si>
  <si>
    <t>http://www.scopus.com/inward/record.url?eid=2-s2.0-79952407290&amp;partnerID=40&amp;md5=d5f11949ddd9e5f3d13f0e012261a677</t>
  </si>
  <si>
    <t>Gómez, J.M., Cissek, P.</t>
  </si>
  <si>
    <t>Information brokering with social networks analysis</t>
  </si>
  <si>
    <t>83 CCIS</t>
  </si>
  <si>
    <t>http://www.scopus.com/inward/record.url?eid=2-s2.0-79952357436&amp;partnerID=40&amp;md5=9d4deaebef733e0babb66db49d8f06ff</t>
  </si>
  <si>
    <t>Yang, H., Zhang, C., Liang, R., Tian, F.</t>
  </si>
  <si>
    <t>Set pair social network analysis model</t>
  </si>
  <si>
    <t>50-51</t>
  </si>
  <si>
    <t>http://www.scopus.com/inward/record.url?eid=2-s2.0-79951634525&amp;partnerID=40&amp;md5=4d93576b7b670384a6f840a2785b12ce</t>
  </si>
  <si>
    <t>Gupta, S., Hossain, L.</t>
  </si>
  <si>
    <t>Towards near-real-time detection of insider trading behaviour through social networks</t>
  </si>
  <si>
    <t>Computer Fraud and Security</t>
  </si>
  <si>
    <t>http://www.scopus.com/inward/record.url?eid=2-s2.0-79551581408&amp;partnerID=40&amp;md5=e58a4d3e74830792c9e82dcd8f5b495c</t>
  </si>
  <si>
    <t>Soon, C., Cho, H.</t>
  </si>
  <si>
    <t>Flows of relations and communication among Singapore political bloggers and organizations: The networked public sphere approach</t>
  </si>
  <si>
    <t>http://www.scopus.com/inward/record.url?eid=2-s2.0-79952528340&amp;partnerID=40&amp;md5=979b14e44a94e3fbb47f29e9241f78c2</t>
  </si>
  <si>
    <t>Niu, H.</t>
  </si>
  <si>
    <t>Social network analysis of university online forum</t>
  </si>
  <si>
    <t>Proceedings - International Conference on Computational Aspects of Social Networks, CASoN'10</t>
  </si>
  <si>
    <t>http://www.scopus.com/inward/record.url?eid=2-s2.0-78650368675&amp;partnerID=40&amp;md5=e4f2ec48ff1f3a7c99fdcf70293f04b0</t>
  </si>
  <si>
    <t>Liu, G., Zhang, M., Yan, F.</t>
  </si>
  <si>
    <t>Large-scale social network analysis based on MapReduce</t>
  </si>
  <si>
    <t>http://www.scopus.com/inward/record.url?eid=2-s2.0-78650382991&amp;partnerID=40&amp;md5=f9017cf83ef575a5c886a1ad91d52dcc</t>
  </si>
  <si>
    <t>Brendel, R., Krawczyk, H.</t>
  </si>
  <si>
    <t>Static and dynamic approach of social roles identification using PISNA and subgraphs matching</t>
  </si>
  <si>
    <t>http://www.scopus.com/inward/record.url?eid=2-s2.0-78650330309&amp;partnerID=40&amp;md5=fd396bf72d7a61af4aa3989b07995efc</t>
  </si>
  <si>
    <t>Tang, L., Barbier, G., Liu, H., Zhang, J.</t>
  </si>
  <si>
    <t>A social network analysis approach to detecting suspicious online financial activities</t>
  </si>
  <si>
    <t>6007 LNCS</t>
  </si>
  <si>
    <t>http://www.scopus.com/inward/record.url?eid=2-s2.0-78650363962&amp;partnerID=40&amp;md5=641dfde1e23207b77410a621fb46b9f5</t>
  </si>
  <si>
    <t>Wang, H., Chin, A.</t>
  </si>
  <si>
    <t>Evolution analysis of a mobile social network</t>
  </si>
  <si>
    <t>6440 LNAI</t>
  </si>
  <si>
    <t>http://www.scopus.com/inward/record.url?eid=2-s2.0-78650216765&amp;partnerID=40&amp;md5=0517c15e2401ec8ef97cbe9605da1160</t>
  </si>
  <si>
    <t>Putting things in context: Challenge on context-aware movie recommendation</t>
  </si>
  <si>
    <t>http://www.scopus.com/inward/record.url?eid=2-s2.0-78650124845&amp;partnerID=40&amp;md5=387505e20193c995b3a4ec1ff5c611b9</t>
  </si>
  <si>
    <t>Memic, H., Joldic, A.</t>
  </si>
  <si>
    <t>A more comprehensive activity analysis of standard online social networking functionalities</t>
  </si>
  <si>
    <t>ICSTE 2010 - 2010 2nd International Conference on Software Technology and Engineering, Proceedings</t>
  </si>
  <si>
    <t>V2108</t>
  </si>
  <si>
    <t>V2111</t>
  </si>
  <si>
    <t>http://www.scopus.com/inward/record.url?eid=2-s2.0-78650007830&amp;partnerID=40&amp;md5=cd838e48ea446ec28586ec07e75d3290</t>
  </si>
  <si>
    <t>Cranshaw, J., Toch, E., Hong, J., Kittur, A., Sadeh, N.</t>
  </si>
  <si>
    <t>Bridging the gap between physical location and online social networks</t>
  </si>
  <si>
    <t>UbiComp'10 - Proceedings of the 2010 ACM Conference on Ubiquitous Computing</t>
  </si>
  <si>
    <t>http://www.scopus.com/inward/record.url?eid=2-s2.0-78649992556&amp;partnerID=40&amp;md5=9e78c2f0e2a91d81361738ac6bb85e60</t>
  </si>
  <si>
    <t>Li, W., Wang, X., Yu, M.</t>
  </si>
  <si>
    <t>A research on collaboration knowledge construction in the virtual learning community by social network analysis</t>
  </si>
  <si>
    <t>ICEIT 2010 - 2010 International Conference on Educational and Information Technology, Proceedings</t>
  </si>
  <si>
    <t>V2323</t>
  </si>
  <si>
    <t>V2327</t>
  </si>
  <si>
    <t>http://www.scopus.com/inward/record.url?eid=2-s2.0-78649968179&amp;partnerID=40&amp;md5=ce0ff33514bdcd2b7c2daaf19659015b</t>
  </si>
  <si>
    <t>Jamali, M., Ester, M.</t>
  </si>
  <si>
    <t>A matrix factorization technique with trust propagation for recommendation in social networks</t>
  </si>
  <si>
    <t>RecSys'10 - Proceedings of the 4th ACM Conference on Recommender Systems</t>
  </si>
  <si>
    <t>http://www.scopus.com/inward/record.url?eid=2-s2.0-78649926860&amp;partnerID=40&amp;md5=e46adbc8a8eef2aba9d116a65797aa75</t>
  </si>
  <si>
    <t>Wu, B., Zhu, T., Wang, W., Ye, Q., Wang, B.</t>
  </si>
  <si>
    <t>Group-level analysis by extracting semantic relations from query graph</t>
  </si>
  <si>
    <t>Proceedings - 2010 IEEE/WIC/ACM International Conference on Web Intelligence, WI 2010</t>
  </si>
  <si>
    <t>http://www.scopus.com/inward/record.url?eid=2-s2.0-78649831344&amp;partnerID=40&amp;md5=90b4ba8066db8083413e08fcdbbf5659</t>
  </si>
  <si>
    <t>Ye, Q., Wu, B., Gao, Y., Wang, B.</t>
  </si>
  <si>
    <t>Empirical analysis and multiple level views in massive social networks</t>
  </si>
  <si>
    <t>http://www.scopus.com/inward/record.url?eid=2-s2.0-78649835348&amp;partnerID=40&amp;md5=358045c6bc8db771995f016a7215f56a</t>
  </si>
  <si>
    <t>Bródka, P., Musial, K., Kazienko, P.</t>
  </si>
  <si>
    <t>A method for group extraction in complex social networks</t>
  </si>
  <si>
    <t>111 CCIS</t>
  </si>
  <si>
    <t>http://www.scopus.com/inward/record.url?eid=2-s2.0-78649891976&amp;partnerID=40&amp;md5=af4f1eaeb1660d6b445a44a62d647b7c</t>
  </si>
  <si>
    <t>Memic, H.</t>
  </si>
  <si>
    <t>Fitcolab experimental online social networking system</t>
  </si>
  <si>
    <t>6422 LNAI</t>
  </si>
  <si>
    <t>http://www.scopus.com/inward/record.url?eid=2-s2.0-78649608071&amp;partnerID=40&amp;md5=5773b3b4bd226e373e11d6a37e4edc15</t>
  </si>
  <si>
    <t>General network properties of friendship online social network</t>
  </si>
  <si>
    <t>http://www.scopus.com/inward/record.url?eid=2-s2.0-78649573221&amp;partnerID=40&amp;md5=8a5c19348e1250bb9d6810309fbdf030</t>
  </si>
  <si>
    <t>Ediger, D., Jiang, K., Riedy, J., Bader, D.A., Corley, C., Farber, R., Reynolds, W.N.</t>
  </si>
  <si>
    <t>Massive social network analysis: Mining twitter for social good</t>
  </si>
  <si>
    <t>Proceedings of the International Conference on Parallel Processing</t>
  </si>
  <si>
    <t>http://www.scopus.com/inward/record.url?eid=2-s2.0-77954764743&amp;partnerID=40&amp;md5=342c24e95fc6ca710dd85f7c2f5dc313</t>
  </si>
  <si>
    <t>L'Huillier, G., Alvarez, H., Aguilera, F., Ríos, S.A.</t>
  </si>
  <si>
    <t>Topic-based Social Network Analysis for Virtual Communities of Interests in the Dark Web</t>
  </si>
  <si>
    <t>Proceedings of the ACM SIGKDD Workshop on Intelligence and Security Informatics 2010, ISI-KDD 2010</t>
  </si>
  <si>
    <t>http://www.scopus.com/inward/record.url?eid=2-s2.0-79952511633&amp;partnerID=40&amp;md5=cc78c3a0dfecbab5ca970f01211095e1</t>
  </si>
  <si>
    <t>Takeda, H., Truex III, D.P., Cuellar, M.J.</t>
  </si>
  <si>
    <t>Evaluating scholarly influence through social network analysis: The next step in evaluating scholarly influence</t>
  </si>
  <si>
    <t>16th Americas Conference on Information Systems 2010, AMCIS 2010</t>
  </si>
  <si>
    <t>http://www.scopus.com/inward/record.url?eid=2-s2.0-84870260177&amp;partnerID=40&amp;md5=2ed6870c61a6702de521e2ab1a82ee39</t>
  </si>
  <si>
    <t>Stocco, G., Savell, R., Cybenko, G.</t>
  </si>
  <si>
    <t>Dynamic social network analysis using conversational dynamics in social networking and microblogging environments</t>
  </si>
  <si>
    <t>http://www.scopus.com/inward/record.url?eid=2-s2.0-79957992178&amp;partnerID=40&amp;md5=1faeb07884e7c14ca49673e42bc294b4</t>
  </si>
  <si>
    <t>Meyer, T., Upton, S., McDonald, M., Bouwens, C.</t>
  </si>
  <si>
    <t>Investigating social network analysis methods for identifying emergent behaviors in agent-based models</t>
  </si>
  <si>
    <t>Fall Simulation Interoperability Workshop 2010, 2010 Fall SIW</t>
  </si>
  <si>
    <t>http://www.scopus.com/inward/record.url?eid=2-s2.0-84865500933&amp;partnerID=40&amp;md5=8c3ffde1d0927a0d438d9be0c98df78c</t>
  </si>
  <si>
    <t>Cucchi, A., Fuhrer, C.</t>
  </si>
  <si>
    <t>Social capital and ICT use; A Social Network Analysis approach [Capital social et usage des TIC; Une analyse par les réseaux sociaux]</t>
  </si>
  <si>
    <t>15th International Conference of the Association Information and Management 2010, AIM 2010</t>
  </si>
  <si>
    <t>http://www.scopus.com/inward/record.url?eid=2-s2.0-84870508845&amp;partnerID=40&amp;md5=95d93d4f36d97b25fee851c63c749b73</t>
  </si>
  <si>
    <t>Levin, F.H., Heuser, C.A.</t>
  </si>
  <si>
    <t>Using Genetic Programming to evaluate the impact of social network analysis in author name disambiguation</t>
  </si>
  <si>
    <t>CEUR Workshop Proceedings</t>
  </si>
  <si>
    <t>http://www.scopus.com/inward/record.url?eid=2-s2.0-84872256242&amp;partnerID=40&amp;md5=16d4055b56dacb3d4d40ee7962519d3c</t>
  </si>
  <si>
    <t>Neto, M., Fernandes, C., Ferreira, A.S., Fernandes, L.M.</t>
  </si>
  <si>
    <t>Enterprise information portals: Potential for evaluating research for knowledge management and human capital assets using social network analysis</t>
  </si>
  <si>
    <t>http://www.scopus.com/inward/record.url?eid=2-s2.0-84871111131&amp;partnerID=40&amp;md5=0c7a0763a080e62d3742855c3d030965</t>
  </si>
  <si>
    <t>Discovering critical situations in online social networks: A neuro fuzzy approach to alert marketing managers</t>
  </si>
  <si>
    <t>KDIR 2010 - Proceedings of the International Conference on Knowledge Discovery and Information Retrieval</t>
  </si>
  <si>
    <t>http://www.scopus.com/inward/record.url?eid=2-s2.0-78651449568&amp;partnerID=40&amp;md5=5568fc8dfa552dd149420905bb9fd834</t>
  </si>
  <si>
    <t>Xu, B., Recker, M.M.</t>
  </si>
  <si>
    <t>Peer production of online learning resources: A social network analysis1</t>
  </si>
  <si>
    <t>Educational Data Mining 2010 - 3rd International Conference on Educational Data Mining</t>
  </si>
  <si>
    <t>http://www.scopus.com/inward/record.url?eid=2-s2.0-84857470639&amp;partnerID=40&amp;md5=07bcfbcc5cc44b875dc85adfe2285037</t>
  </si>
  <si>
    <t>Trausan-Matu, S.</t>
  </si>
  <si>
    <t>Automatic support for the analysis of online collaborative learning chat conversations</t>
  </si>
  <si>
    <t>6248 LNCS</t>
  </si>
  <si>
    <t>http://www.scopus.com/inward/record.url?eid=2-s2.0-82755162990&amp;partnerID=40&amp;md5=d0bf53b5015d8010f32c3fdbef8720f8</t>
  </si>
  <si>
    <t>Shuai, J.-J., Chen, H.-C., Chang, C.-.H.</t>
  </si>
  <si>
    <t>Visualization of the Taiwaness Buddhism web based on social network analysis</t>
  </si>
  <si>
    <t>ICS 2010 - International Computer Symposium</t>
  </si>
  <si>
    <t>http://www.scopus.com/inward/record.url?eid=2-s2.0-79851496075&amp;partnerID=40&amp;md5=a9fb6c1c5e110dc385a7413375abdbf5</t>
  </si>
  <si>
    <t>Romero-Moreno, L.M., Lucena, I.</t>
  </si>
  <si>
    <t>Evaluating collaboration using the methods of Social Network Analysis in a Virtual Training System</t>
  </si>
  <si>
    <t>Proceedings of the IADIS International Conference e-Learning 2010, Part of the IADIS Multi Conference on Computer Science and Information Systems 2010, MCCSIS 2010</t>
  </si>
  <si>
    <t>http://www.scopus.com/inward/record.url?eid=2-s2.0-79955151380&amp;partnerID=40&amp;md5=702cd9ea02d666f2a0fb617ffd655251</t>
  </si>
  <si>
    <t>Frank, R., Westlake, B., Bouchard, M.</t>
  </si>
  <si>
    <t>The structure and content of online child exploitation networks</t>
  </si>
  <si>
    <t>http://www.scopus.com/inward/record.url?eid=2-s2.0-79952499510&amp;partnerID=40&amp;md5=8d945f1a3829dea5e20ba588f73597b3</t>
  </si>
  <si>
    <t>Zhu, B., Chau, M.</t>
  </si>
  <si>
    <t>Understanding awareness diffusion in microblogging</t>
  </si>
  <si>
    <t>http://www.scopus.com/inward/record.url?eid=2-s2.0-84870261994&amp;partnerID=40&amp;md5=1f05c68e5139e86b4a2aac13c2ace31b</t>
  </si>
  <si>
    <t>Wang, S., Groth, P.</t>
  </si>
  <si>
    <t>Measuring the dynamic bi-directional influence between content and social networks</t>
  </si>
  <si>
    <t>6496 LNCS</t>
  </si>
  <si>
    <t>http://www.scopus.com/inward/record.url?eid=2-s2.0-78650892253&amp;partnerID=40&amp;md5=8c48f8a94ec37805fa519ed4f72bcaad</t>
  </si>
  <si>
    <t>An internet mediated domain of local governance</t>
  </si>
  <si>
    <t>http://www.scopus.com/inward/record.url?eid=2-s2.0-84871067428&amp;partnerID=40&amp;md5=558f3e1fd296677b64013d07628f3a40</t>
  </si>
  <si>
    <t>Dynamic and semantic social networks analysis: A new model based on a multidisciplinary approach</t>
  </si>
  <si>
    <t>SEKE 2010 - Proceedings of the 22nd International Conference on Software Engineering and Knowledge Engineering</t>
  </si>
  <si>
    <t>http://www.scopus.com/inward/record.url?eid=2-s2.0-79952383904&amp;partnerID=40&amp;md5=a63a6195c9efddc269ba7c5ebcc2db27</t>
  </si>
  <si>
    <t>Kai, S., Yin, Y., Bin, C., Zhe, X.</t>
  </si>
  <si>
    <t>X-RIME: Hadoop-based large-scale Social Network Analysis</t>
  </si>
  <si>
    <t>Proceedings - 2010 3rd IEEE International Conference on Broadband Network and Multimedia Technology, IC-BNMT2010</t>
  </si>
  <si>
    <t>http://www.scopus.com/inward/record.url?eid=2-s2.0-79951766096&amp;partnerID=40&amp;md5=4ccac4f623f1ed6c99d8bcdb5df99746</t>
  </si>
  <si>
    <t>Hu, Y., Murray, D.W., Shan, Y., Sutinen, A., Mendis, B.S.U., Tang, M.J.</t>
  </si>
  <si>
    <t>Prescriber-consumer social network analysis for risk level re-estimation based on an asymmetrical rating exchange model</t>
  </si>
  <si>
    <t>Conferences in Research and Practice in Information Technology Series</t>
  </si>
  <si>
    <t>http://www.scopus.com/inward/record.url?eid=2-s2.0-84870571724&amp;partnerID=40&amp;md5=de4186d16565ecf67607d135db06547e</t>
  </si>
  <si>
    <t>Busch, P.</t>
  </si>
  <si>
    <t>Business process management, social network analysis and knowledge management: A triangulation of sorts?</t>
  </si>
  <si>
    <t>ACIS 2010 Proceedings - 21st Australasian Conference on Information Systems</t>
  </si>
  <si>
    <t>http://www.scopus.com/inward/record.url?eid=2-s2.0-84870387842&amp;partnerID=40&amp;md5=5f9e877123697024f004b47272d22669</t>
  </si>
  <si>
    <t>Barchiesi, M.A., Battistoni, E., Pasqualino, P., Murgia, G.</t>
  </si>
  <si>
    <t>Key-roles in VLEs: A metric based on social network analysis</t>
  </si>
  <si>
    <t>Proceedings of the IADIS International Conference on Cognition and Exploratory Learning in the Digital Age, CELDA 2010</t>
  </si>
  <si>
    <t>http://www.scopus.com/inward/record.url?eid=2-s2.0-84860704638&amp;partnerID=40&amp;md5=f9890ed3a37fb88802e35610d046b874</t>
  </si>
  <si>
    <t>Cockcroft, S.</t>
  </si>
  <si>
    <t>The use of social network analysis to explore relationships between the medical informatics and information systems literature</t>
  </si>
  <si>
    <t>http://www.scopus.com/inward/record.url?eid=2-s2.0-84870461269&amp;partnerID=40&amp;md5=fd2139c5730f2b98d839e1a05c71bba9</t>
  </si>
  <si>
    <t>Bansal, S.K., Bansal, A., Blake, M.B.</t>
  </si>
  <si>
    <t>Trust-based Dynamic Web service Composition using Social Network Analysis</t>
  </si>
  <si>
    <t>2010 IEEE International Workshop on Business Applications of Social Network Analysis, BASNA 2010</t>
  </si>
  <si>
    <t>http://www.scopus.com/inward/record.url?eid=2-s2.0-79953731616&amp;partnerID=40&amp;md5=05421d48c395fdc5ea68743155c1542f</t>
  </si>
  <si>
    <t>Brownson, R.C., Parra, D.C., Dauti, M., Harris, J.K., Hallal, P.C., Hoehner, C., Malta, D.C., Reis, R.S., Ramos, L.R., Ribeiro, I.C., Soares, J., Pratt, M.</t>
  </si>
  <si>
    <t>Assembling the puzzle for promoting physical activity in Brazil: A social network analysis</t>
  </si>
  <si>
    <t>Journal of Physical Activity and Health</t>
  </si>
  <si>
    <t>S242</t>
  </si>
  <si>
    <t>S252</t>
  </si>
  <si>
    <t>http://www.scopus.com/inward/record.url?eid=2-s2.0-77957368260&amp;partnerID=40&amp;md5=c0bb2dcd91424aaef3c30afb23c87396</t>
  </si>
  <si>
    <t>Heidemann, J., Klier, M., Probst, F.</t>
  </si>
  <si>
    <t>Identifying key users in online social networks: A pagerank based approach</t>
  </si>
  <si>
    <t>ICIS 2010 Proceedings - Thirty First International Conference on Information Systems</t>
  </si>
  <si>
    <t>http://www.scopus.com/inward/record.url?eid=2-s2.0-84870973609&amp;partnerID=40&amp;md5=bb75986210ab17751b156f3e91a15354</t>
  </si>
  <si>
    <t>Durant, K.T., McCray, A.T., Safran, C.</t>
  </si>
  <si>
    <t>Modeling the temporal evolution of an online cancer forum</t>
  </si>
  <si>
    <t>IHI'10 - Proceedings of the 1st ACM International Health Informatics Symposium</t>
  </si>
  <si>
    <t>http://www.scopus.com/inward/record.url?eid=2-s2.0-78650933795&amp;partnerID=40&amp;md5=cdced9b6df6d3f4a23bca79690f2720b</t>
  </si>
  <si>
    <t>Li, X., Chen, H., Li, S.</t>
  </si>
  <si>
    <t>Exploiting emotions in social interactions to detect online social communities</t>
  </si>
  <si>
    <t>PACIS 2010 - 14th Pacific Asia Conference on Information Systems</t>
  </si>
  <si>
    <t>http://www.scopus.com/inward/record.url?eid=2-s2.0-84862972681&amp;partnerID=40&amp;md5=6e32a9cc31533538634f3084e66d05a0</t>
  </si>
  <si>
    <t>Nayak, R., Zhang, M., Chen, L.</t>
  </si>
  <si>
    <t>A social matching system for an online dating network: A preliminary study</t>
  </si>
  <si>
    <t>http://www.scopus.com/inward/record.url?eid=2-s2.0-79951765695&amp;partnerID=40&amp;md5=4d1bdd65c2a18c8c2b090c4ff1ab8896</t>
  </si>
  <si>
    <t>Bischoff, K.</t>
  </si>
  <si>
    <t>Exploiting social ties for search and recommendation in online social networks Challenges and chances</t>
  </si>
  <si>
    <t>http://www.scopus.com/inward/record.url?eid=2-s2.0-84870332635&amp;partnerID=40&amp;md5=b86fc8d0b60e08e4a6949db12f50fd8a</t>
  </si>
  <si>
    <t>Putzke, J., Fischbach, K., Schoder, D.</t>
  </si>
  <si>
    <t>Power structure and the evolution of social networks in massively multiplayer online games</t>
  </si>
  <si>
    <t>18th European Conference on Information Systems, ECIS 2010</t>
  </si>
  <si>
    <t>http://www.scopus.com/inward/record.url?eid=2-s2.0-84870632870&amp;partnerID=40&amp;md5=e0ff523c826afac3abdb753b14f3cd84</t>
  </si>
  <si>
    <t>Mattia, A., Weistroffer, H.R.</t>
  </si>
  <si>
    <t>A social network perspective of information systems project management</t>
  </si>
  <si>
    <t>http://www.scopus.com/inward/record.url?eid=2-s2.0-84870317908&amp;partnerID=40&amp;md5=656a6adf7963ef90cfdb5e35764773b3</t>
  </si>
  <si>
    <t>Kvassay, M., Laclavík, M., Dlugolinský, S.</t>
  </si>
  <si>
    <t>Reconstructing social networks from emails</t>
  </si>
  <si>
    <t>http://www.scopus.com/inward/record.url?eid=2-s2.0-84868683460&amp;partnerID=40&amp;md5=b405ecb9c8b343e7cad641b030744b9e</t>
  </si>
  <si>
    <t>Liao, C.C.Y., Chen, Z.-H., Yang, E.F.Y., Chen, F.-C., Chan, T.-W.</t>
  </si>
  <si>
    <t>Exploring interactive patterns among students in competitive games by a mixed approach</t>
  </si>
  <si>
    <t>Proceedings of the 18th International Conference on Computers in Education: Enhancing and Sustaining New Knowledge Through the Use of Digital Technology in Education, ICCE 2010</t>
  </si>
  <si>
    <t>http://www.scopus.com/inward/record.url?eid=2-s2.0-84863115404&amp;partnerID=40&amp;md5=a25d58248e46df3fc15b0f3c41bb4405</t>
  </si>
  <si>
    <t>Ma, Y., Liu, F.</t>
  </si>
  <si>
    <t>Analysis on Chinese university-enterprise collaboration networks of patent applications - An example of chemical and metallurgical patents</t>
  </si>
  <si>
    <t>2010 International Conference on Management and Service Science, MASS 2010</t>
  </si>
  <si>
    <t>http://www.scopus.com/inward/record.url?eid=2-s2.0-78649414432&amp;partnerID=40&amp;md5=ed04c6e44bfcf979c2cb1ef51f2963ce</t>
  </si>
  <si>
    <t>Ganev, V., Guo, Z., Serrano, D., Barbosa, D., Stroulia, E.</t>
  </si>
  <si>
    <t>Exploring and visualizing academic social networks</t>
  </si>
  <si>
    <t>http://www.scopus.com/inward/record.url?eid=2-s2.0-78651325650&amp;partnerID=40&amp;md5=b91c12b695c653e761514c2abc8a6376</t>
  </si>
  <si>
    <t>Limsaiprom, P., Tantatsanawong, P.</t>
  </si>
  <si>
    <t>Visualization of information diffusion model in future internet</t>
  </si>
  <si>
    <t>Asian Internet Engineering Conference, AINTEC 2010</t>
  </si>
  <si>
    <t>http://www.scopus.com/inward/record.url?eid=2-s2.0-84858328451&amp;partnerID=40&amp;md5=b6c8eaf1b8fabf73d2f7ed68492ae1fe</t>
  </si>
  <si>
    <t>Preserving structural properties in anonymization of social networks</t>
  </si>
  <si>
    <t>Proceedings of the 6th International Conference on Collaborative Computing: Networking, Applications and Worksharing, CollaborateCom 2010</t>
  </si>
  <si>
    <t>http://www.scopus.com/inward/record.url?eid=2-s2.0-79957869342&amp;partnerID=40&amp;md5=fbbf4d952fe50fcbc1eb7d6bf0c96b64</t>
  </si>
  <si>
    <t>Austad, H., Friel, N.</t>
  </si>
  <si>
    <t>Deterministic Bayesian inference for the p* model</t>
  </si>
  <si>
    <t>Journal of Machine Learning Research</t>
  </si>
  <si>
    <t>http://www.scopus.com/inward/record.url?eid=2-s2.0-84862286659&amp;partnerID=40&amp;md5=c7cc67950dd5d85c38068bd6f39212f5</t>
  </si>
  <si>
    <t>Bharath, C., Ganesh, J.</t>
  </si>
  <si>
    <t>A proposal to enhance cross-marketing via social networks by modelling and analyzing market basket like patterns across social network groups</t>
  </si>
  <si>
    <t>http://www.scopus.com/inward/record.url?eid=2-s2.0-79953748039&amp;partnerID=40&amp;md5=c3724985b723f848a4ad7685ecf241a0</t>
  </si>
  <si>
    <t>Grgecic, D., Rosenkranz, C.</t>
  </si>
  <si>
    <t>Information systems change and social interaction: A research agenda</t>
  </si>
  <si>
    <t>http://www.scopus.com/inward/record.url?eid=2-s2.0-84870642908&amp;partnerID=40&amp;md5=53b34c8b99f40343f7ce176e5df24225</t>
  </si>
  <si>
    <t>Kim, H.-N., Jung, J.-G., El Saddik, A.</t>
  </si>
  <si>
    <t>Associative face co-occurrence networks for recommending friends in social networks</t>
  </si>
  <si>
    <t>WSM'10 - Proceedings of the 2nd ACM SIGMM Workshop on Social Media, Co-located with ACM Multimedia 2010</t>
  </si>
  <si>
    <t>http://www.scopus.com/inward/record.url?eid=2-s2.0-78650910254&amp;partnerID=40&amp;md5=2888e7873db098f8e8e7d33016139ebc</t>
  </si>
  <si>
    <t>Uddin, M., Murshed, S.T.H., Hossain, L.</t>
  </si>
  <si>
    <t>Towards a scale free network approach to study organizational communication network</t>
  </si>
  <si>
    <t>http://www.scopus.com/inward/record.url?eid=2-s2.0-84856008533&amp;partnerID=40&amp;md5=895e7488e82e9845987c3eb398099660</t>
  </si>
  <si>
    <t>Gallivan, M.</t>
  </si>
  <si>
    <t>Analyzing frequent collaborators in the IS field: What can we learn about IS coauthorship in general?</t>
  </si>
  <si>
    <t>http://www.scopus.com/inward/record.url?eid=2-s2.0-84870365652&amp;partnerID=40&amp;md5=cc278bbdc2e521236e33027092e90ce7</t>
  </si>
  <si>
    <t>Yang, Q., Zhou, P., Zhang, H., Zhang, J.</t>
  </si>
  <si>
    <t>Ranking answering in social networks</t>
  </si>
  <si>
    <t>Proceedings - 2010 International Conference on Intelligent Computing and Integrated Systems, ICISS2010</t>
  </si>
  <si>
    <t>http://www.scopus.com/inward/record.url?eid=2-s2.0-78651413729&amp;partnerID=40&amp;md5=90bf4b4689b2aa6493933ea184841acd</t>
  </si>
  <si>
    <t>Lin, Y., Desouza, K.C.</t>
  </si>
  <si>
    <t>Co-evolution of organizational network and individual behavior: An agent-based model of interpersonal knowledge transfer</t>
  </si>
  <si>
    <t>http://www.scopus.com/inward/record.url?eid=2-s2.0-84870958754&amp;partnerID=40&amp;md5=c8ebef1b1b8800b8a7450a6b18abbfb4</t>
  </si>
  <si>
    <t>Sadi, S., Öǧüdücü, Ş., Uyar, A.Ş.</t>
  </si>
  <si>
    <t>An efficient community detection method using parallel clique-finding ants</t>
  </si>
  <si>
    <t>2010 IEEE World Congress on Computational Intelligence, WCCI 2010 - 2010 IEEE Congress on Evolutionary Computation, CEC 2010</t>
  </si>
  <si>
    <t>http://www.scopus.com/inward/record.url?eid=2-s2.0-79959448646&amp;partnerID=40&amp;md5=022dd4eb4db03b9b01befc1dfee14b6a</t>
  </si>
  <si>
    <t>Gubbins, C., Dooley, L.</t>
  </si>
  <si>
    <t>The influence of social networks on knowledge management for innovation in life-science discovery networks</t>
  </si>
  <si>
    <t>KMIS 2010 - Proceedings of the International Conference on Knowledge Management and Information Sharing</t>
  </si>
  <si>
    <t>http://www.scopus.com/inward/record.url?eid=2-s2.0-78751510183&amp;partnerID=40&amp;md5=21ab5262c33c640ed31b93b303525f1c</t>
  </si>
  <si>
    <t>Chen, J., Fagnan, J., Goebel, R., Rabbany, R., Sangi, F., Takaffoli, M., Verbeek, E., Zaïane, O.</t>
  </si>
  <si>
    <t>Meerkat: Community mining with dynamic social networks</t>
  </si>
  <si>
    <t>http://www.scopus.com/inward/record.url?eid=2-s2.0-79951765489&amp;partnerID=40&amp;md5=5a9a169fdf7b28f4fe1505964950a499</t>
  </si>
  <si>
    <t>Guo, W., Kim, Y.S., Kang, B.H.</t>
  </si>
  <si>
    <t>Webpage segments classification with incremental knowledge acquisition</t>
  </si>
  <si>
    <t>124 CCIS</t>
  </si>
  <si>
    <t>http://www.scopus.com/inward/record.url?eid=2-s2.0-78650885881&amp;partnerID=40&amp;md5=6fb159871589c0d822897b95df790540</t>
  </si>
  <si>
    <t>Qian, T., Yang, Y., Wang, S.</t>
  </si>
  <si>
    <t>Refining graph partitioning for social network clustering</t>
  </si>
  <si>
    <t>6488 LNCS</t>
  </si>
  <si>
    <t>http://www.scopus.com/inward/record.url?eid=2-s2.0-78751558494&amp;partnerID=40&amp;md5=dee5a6d127c83b526a13ad670248f5c3</t>
  </si>
  <si>
    <t>Lu, Z., Savas, B., Tang, W., Dhillon, I.S.</t>
  </si>
  <si>
    <t>Supervised link prediction using multiple sources</t>
  </si>
  <si>
    <t>http://www.scopus.com/inward/record.url?eid=2-s2.0-79951753036&amp;partnerID=40&amp;md5=00331fcad3befef8ac4b6ab34f2bf04a</t>
  </si>
  <si>
    <t>Ramirez-Cano, D., Colton, S., Baumgarten, R.</t>
  </si>
  <si>
    <t>Player classification using a meta-clustering approach</t>
  </si>
  <si>
    <t>CGAT 2010 - Computer Games, Multimedia and Allied Technology, Proceedings</t>
  </si>
  <si>
    <t>http://www.scopus.com/inward/record.url?eid=2-s2.0-82855169579&amp;partnerID=40&amp;md5=fc8890cd673b8bf4793c1549e877d0cb</t>
  </si>
  <si>
    <t>Goggins, S.P., Galyen, K., Laffey, J.</t>
  </si>
  <si>
    <t>Network analysis of trace data for the support of group work: Activity patterns in a completely online course</t>
  </si>
  <si>
    <t>Proceedings of the 16th ACM International Conference on Supporting Group Work, GROUP'10</t>
  </si>
  <si>
    <t>http://www.scopus.com/inward/record.url?eid=2-s2.0-78751693761&amp;partnerID=40&amp;md5=a2d91c40999445c05082a2d58c99b9b3</t>
  </si>
  <si>
    <t>Ovelgönne, M.</t>
  </si>
  <si>
    <t>On the hierarchicalness of Q &amp; A posting networks</t>
  </si>
  <si>
    <t>http://www.scopus.com/inward/record.url?eid=2-s2.0-78751699344&amp;partnerID=40&amp;md5=35f44d604ba4427b6ac114007d5d295e</t>
  </si>
  <si>
    <t>Park, K., Yilmaz, A.</t>
  </si>
  <si>
    <t>A social network analysis approach to analyze road networks</t>
  </si>
  <si>
    <t>American Society for Photogrammetry and Remote Sensing Annual Conference 2010: Opportunities for Emerging Geospatial Technologies</t>
  </si>
  <si>
    <t>http://www.scopus.com/inward/record.url?eid=2-s2.0-84868535207&amp;partnerID=40&amp;md5=a1fe125a95293007d8e641e6b3a22f85</t>
  </si>
  <si>
    <t>Leung, C.W.-K., Lim, E.-P., Lo, D., Weng, J.</t>
  </si>
  <si>
    <t>Mining interesting link formation rules in social networks</t>
  </si>
  <si>
    <t>http://www.scopus.com/inward/record.url?eid=2-s2.0-78651278853&amp;partnerID=40&amp;md5=74bd32575d589cd9c105902a04c5f4d1</t>
  </si>
  <si>
    <t>Lahdelma, P.</t>
  </si>
  <si>
    <t>The effect of formal and informal intraorganizational structures on the perceived strategic IT-business alignment</t>
  </si>
  <si>
    <t>http://www.scopus.com/inward/record.url?eid=2-s2.0-84870628350&amp;partnerID=40&amp;md5=ca3bf878d2a480b8748870ead698ce7a</t>
  </si>
  <si>
    <t>Pupyrev, S., Tikhonov, A.</t>
  </si>
  <si>
    <t>Analyzing conversations with dynamic graph visualization</t>
  </si>
  <si>
    <t>Proceedings of the 2010 10th International Conference on Intelligent Systems Design and Applications, ISDA'10</t>
  </si>
  <si>
    <t>http://www.scopus.com/inward/record.url?eid=2-s2.0-79851490009&amp;partnerID=40&amp;md5=6f4db51a057aab7b1d7872d77b4883f5</t>
  </si>
  <si>
    <t>Bair, L.J., Weisel, E.W., Brown, R.F.</t>
  </si>
  <si>
    <t>Cultural geography model validation</t>
  </si>
  <si>
    <t>19th Annual Conference on Behavior Representation in Modeling and Simulation 2010, BRiMS 2010</t>
  </si>
  <si>
    <t>http://www.scopus.com/inward/record.url?eid=2-s2.0-84865335525&amp;partnerID=40&amp;md5=c124676be83340b36d4ebb297f0e982f</t>
  </si>
  <si>
    <t>Soltis, S.M., Sterling, C.M., Borgatti, S.P., Ferrier, W.J.</t>
  </si>
  <si>
    <t>College football recruiting: A test of factor market competition theory</t>
  </si>
  <si>
    <t>Academy of Management 2010 Annual Meeting - Dare to Care: Passion and Compassion in Management Practice and Research, AOM 2010</t>
  </si>
  <si>
    <t>http://www.scopus.com/inward/record.url?eid=2-s2.0-84858670762&amp;partnerID=40&amp;md5=a7503e9225e1ef59ece020c30f62d291</t>
  </si>
  <si>
    <t>McQueary, B., Reinert, T., McKnight, M.</t>
  </si>
  <si>
    <t>Knowledge discovery: Analyst reachback environment</t>
  </si>
  <si>
    <t>Proceedings of the 2010 International Conference on Artificial Intelligence, ICAI 2010</t>
  </si>
  <si>
    <t>http://www.scopus.com/inward/record.url?eid=2-s2.0-84866136367&amp;partnerID=40&amp;md5=07461f12a75f1da19ae9b948172f7549</t>
  </si>
  <si>
    <t>Mailliard, M., Sibertin-Blanc, C.</t>
  </si>
  <si>
    <t>What is power: Perspectives from sociology, multi-agents systems and network analysis</t>
  </si>
  <si>
    <t>Combined Proceedings of the International Symposium on Social Network Analysis and Norms for MAS - A Symposium at the AISB 2010 Convention</t>
  </si>
  <si>
    <t>http://www.scopus.com/inward/record.url?eid=2-s2.0-84863896338&amp;partnerID=40&amp;md5=1b211419ec7333ae23d53e263d656e51</t>
  </si>
  <si>
    <t>Da Silva, E.A.A., De Andrade, M.T.C.</t>
  </si>
  <si>
    <t>A process based on the fuzzy set theory for evaluation of link prediction methods</t>
  </si>
  <si>
    <t>http://www.scopus.com/inward/record.url?eid=2-s2.0-84863904713&amp;partnerID=40&amp;md5=6748c801670b820ed41ed9361f12034a</t>
  </si>
  <si>
    <t>Abbasi, A., Altmann, J.</t>
  </si>
  <si>
    <t>A social network system for analyzing publication activities of researchers</t>
  </si>
  <si>
    <t>http://www.scopus.com/inward/record.url?eid=2-s2.0-79953108386&amp;partnerID=40&amp;md5=decc12d24df727577c1113c918876688</t>
  </si>
  <si>
    <t>Van Antwerp, M., Madey, G.</t>
  </si>
  <si>
    <t>Warehousing and studying open source versioning metadata</t>
  </si>
  <si>
    <t>319 AICT</t>
  </si>
  <si>
    <t>http://www.scopus.com/inward/record.url?eid=2-s2.0-84872027507&amp;partnerID=40&amp;md5=978f9632209924ea35484cd4397e7465</t>
  </si>
  <si>
    <t>Kuo, T.-T., Yeh, J.-J., Lin, C.-J., Lin, S.-D.</t>
  </si>
  <si>
    <t>StakeNet: Devise, study and utilize social networks using stakeholder information</t>
  </si>
  <si>
    <t>Proceedings - International Conference on Technologies and Applications of Artificial Intelligence, TAAI 2010</t>
  </si>
  <si>
    <t>http://www.scopus.com/inward/record.url?eid=2-s2.0-79951727766&amp;partnerID=40&amp;md5=34f33babf7e897cae15083431fe1ef13</t>
  </si>
  <si>
    <t>Gamalielsson, J., Lundell, B., Lings, B.</t>
  </si>
  <si>
    <t>The Nagios community: An extended quantitative analysis</t>
  </si>
  <si>
    <t>http://www.scopus.com/inward/record.url?eid=2-s2.0-84872043615&amp;partnerID=40&amp;md5=c2cd63c0a95a26a521e3aaa4f121609e</t>
  </si>
  <si>
    <t>Van Meeteren, M., Poorthuis, A., Dugundji, E.</t>
  </si>
  <si>
    <t>Mapping communities in large virtual social networks: Using Twitter data to find the indie mac community</t>
  </si>
  <si>
    <t>http://www.scopus.com/inward/record.url?eid=2-s2.0-79953758771&amp;partnerID=40&amp;md5=32e99ebbae0ff9a3d32773d853b2ccdf</t>
  </si>
  <si>
    <t>Yuan, Y.C., Carboni, I., Ehrlich, K.</t>
  </si>
  <si>
    <t>The impact of affective relationships and awareness on expertise retrieval: A multilevel network perspective on transactive memory theory</t>
  </si>
  <si>
    <t>http://www.scopus.com/inward/record.url?eid=2-s2.0-84858692223&amp;partnerID=40&amp;md5=60509e25e316764c5a07904ac67bc1aa</t>
  </si>
  <si>
    <t>Deng, X., Chandler, J.</t>
  </si>
  <si>
    <t>Learning in enterprise system support: Specialization, task type and network characteristics</t>
  </si>
  <si>
    <t>http://www.scopus.com/inward/record.url?eid=2-s2.0-84870960582&amp;partnerID=40&amp;md5=75e38ac3418adda375e3411f1131a583</t>
  </si>
  <si>
    <t>Walentowitz, K., Beimborn, D., Weitzel, T.</t>
  </si>
  <si>
    <t>The impact of business/IT social network structures on IT service quality</t>
  </si>
  <si>
    <t>http://www.scopus.com/inward/record.url?eid=2-s2.0-84870276403&amp;partnerID=40&amp;md5=eb1f5f75babe3c5f3d1924c0550ad628</t>
  </si>
  <si>
    <t>Tonkin, E.</t>
  </si>
  <si>
    <t>Writeslike.us: Linking people through OAI Metadata</t>
  </si>
  <si>
    <t>ELPUB 2010 - Publishing in the Networked World: Transforming the Nature of Communication, 14th International Conference on Electronic Publishing</t>
  </si>
  <si>
    <t>http://www.scopus.com/inward/record.url?eid=2-s2.0-84869101463&amp;partnerID=40&amp;md5=6483a5783924437eeeb153114f42c0ce</t>
  </si>
  <si>
    <t>Lin, J., Xu, Y., Cao, S.</t>
  </si>
  <si>
    <t>Unraveling the relationship between co-authorship and research interest</t>
  </si>
  <si>
    <t>http://www.scopus.com/inward/record.url?eid=2-s2.0-84862927036&amp;partnerID=40&amp;md5=c32c4bd8d75a75240ac058a4b578ef6e</t>
  </si>
  <si>
    <t>Xu, Y., Hao, J., Lau, R.Y.K., Ma, J., Xu, W., Zhao, D.</t>
  </si>
  <si>
    <t>A personalized researcher recommendation approach in academic contexts: Combining social networks and semantic concepts analysis</t>
  </si>
  <si>
    <t>http://www.scopus.com/inward/record.url?eid=2-s2.0-84862916318&amp;partnerID=40&amp;md5=9bae8e73fac762b1a90ada76beababdb</t>
  </si>
  <si>
    <t>Shuang, K., Qu, N.</t>
  </si>
  <si>
    <t>A new application of HITS algorithm in social network</t>
  </si>
  <si>
    <t>TriSAI 2010 - Proceedings of Triangle Symposium on Advanced ICT 2010</t>
  </si>
  <si>
    <t>http://www.scopus.com/inward/record.url?eid=2-s2.0-84866526231&amp;partnerID=40&amp;md5=7ce40e6596f9d62d27be39f2293b2e13</t>
  </si>
  <si>
    <t>Schreiber, C., Carley, K.M., Hansberger, J.T.</t>
  </si>
  <si>
    <t>Shifts of critical personnel in network centric organizations</t>
  </si>
  <si>
    <t>http://www.scopus.com/inward/record.url?eid=2-s2.0-84865341251&amp;partnerID=40&amp;md5=41ae66951512f853c08b5f194c6509ff</t>
  </si>
  <si>
    <t>Kimmerle, J., Moskaliuk, J., Harrer, A., Cress, U.</t>
  </si>
  <si>
    <t>Visualizing co-evolution of individual and collective knowledge</t>
  </si>
  <si>
    <t>http://www.scopus.com/inward/record.url?eid=2-s2.0-78649702735&amp;partnerID=40&amp;md5=f09905dcacc7b25811901fd1a038323b</t>
  </si>
  <si>
    <t>http://www.scopus.com/inward/record.url?eid=2-s2.0-79952529030&amp;partnerID=40&amp;md5=139c7f9ba6396750f6028fe02dc73653</t>
  </si>
  <si>
    <t>Al-Sharawneh, J., Williams, M.-A.</t>
  </si>
  <si>
    <t>Credibility-based social network recommendation: Follow the leader</t>
  </si>
  <si>
    <t>http://www.scopus.com/inward/record.url?eid=2-s2.0-84870387684&amp;partnerID=40&amp;md5=6a42ace33ccf236e79fc9722af067213</t>
  </si>
  <si>
    <t>Ashley, K.D., Bridewell, W.</t>
  </si>
  <si>
    <t>Emerging AI &amp; Law approaches to automating analysis and retrieval of electronically stored information in discovery proceedings</t>
  </si>
  <si>
    <t>Artificial Intelligence and Law</t>
  </si>
  <si>
    <t>http://www.scopus.com/inward/record.url?eid=2-s2.0-79951767645&amp;partnerID=40&amp;md5=ea06fdce21817a62fcb0d8d4e9f51835</t>
  </si>
  <si>
    <t>Goggins, S.P., Gallagher, M., Laffey, J., Amelung, C.</t>
  </si>
  <si>
    <t>Social intelligence in completely online groups: Toward social prosthetics from log data analysis and transformation</t>
  </si>
  <si>
    <t>Proceedings - SocialCom 2010: 2nd IEEE International Conference on Social Computing, PASSAT 2010: 2nd IEEE International Conference on Privacy, Security, Risk and Trust</t>
  </si>
  <si>
    <t>http://www.scopus.com/inward/record.url?eid=2-s2.0-78649274366&amp;partnerID=40&amp;md5=66bc4487edc7010f1ecdbcf101ce3475</t>
  </si>
  <si>
    <t>Karikoski, J., Nelimarkka, M.</t>
  </si>
  <si>
    <t>Measuring social relations: Case OtaSizzle</t>
  </si>
  <si>
    <t>http://www.scopus.com/inward/record.url?eid=2-s2.0-78649315434&amp;partnerID=40&amp;md5=6ee6b841d104e0580e355ca988ec6c64</t>
  </si>
  <si>
    <t>Leung, C.K.-S., Carmichael, C.L.</t>
  </si>
  <si>
    <t>Exploring social networks: A frequent pattern visualization approach</t>
  </si>
  <si>
    <t>http://www.scopus.com/inward/record.url?eid=2-s2.0-78649257625&amp;partnerID=40&amp;md5=22bfdde02dcfca56c66cc34bbff5f01a</t>
  </si>
  <si>
    <t>Integrating social networks for context fusion in mobile service platforms</t>
  </si>
  <si>
    <t>http://www.scopus.com/inward/record.url?eid=2-s2.0-78549293564&amp;partnerID=40&amp;md5=42398ed9748a7f3c40885d37b6e3394c</t>
  </si>
  <si>
    <t>Chin, A., Wang, H.</t>
  </si>
  <si>
    <t>Using cohesive subgroups for analyzing the evolution of the friend view mobile social network</t>
  </si>
  <si>
    <t>6406 LNCS</t>
  </si>
  <si>
    <t>http://www.scopus.com/inward/record.url?eid=2-s2.0-78449256719&amp;partnerID=40&amp;md5=c7d0e3098fa22aa89857cbe5e2daf056</t>
  </si>
  <si>
    <t>Nasution, M.K.M., Noah, S.A.</t>
  </si>
  <si>
    <t>Superficial method for extracting social network for academics using web snippets</t>
  </si>
  <si>
    <t>6401 LNAI</t>
  </si>
  <si>
    <t>http://www.scopus.com/inward/record.url?eid=2-s2.0-78349257765&amp;partnerID=40&amp;md5=9cd24221746edf9dd1bf68e264616781</t>
  </si>
  <si>
    <t>Social Learning</t>
  </si>
  <si>
    <t>IEEE Intelligent Systems</t>
  </si>
  <si>
    <t>http://www.scopus.com/inward/record.url?eid=2-s2.0-78349234702&amp;partnerID=40&amp;md5=3f4b09b4e04c1cc6aa43e95acb970a95</t>
  </si>
  <si>
    <t>Sitko-Lutek, A., Chuancharoen, S., Sukpitikul, A., Phusavat, K.</t>
  </si>
  <si>
    <t>Applying social network analysis on customer complaint handling</t>
  </si>
  <si>
    <t>Industrial Management and Data Systems</t>
  </si>
  <si>
    <t>http://www.scopus.com/inward/record.url?eid=2-s2.0-78049496408&amp;partnerID=40&amp;md5=e9bc00774521ffcd553d4f4dec5f91fb</t>
  </si>
  <si>
    <t>Static, dynamic and semantic dimensions: Towards a multidisciplinary approach of social networks analysis</t>
  </si>
  <si>
    <t>6291 LNAI</t>
  </si>
  <si>
    <t>http://www.scopus.com/inward/record.url?eid=2-s2.0-78049397709&amp;partnerID=40&amp;md5=51e50262db93cdf3f3c72d9da6eb771e</t>
  </si>
  <si>
    <t>Ullrich, C., Borau, K., Stepanyan, K.</t>
  </si>
  <si>
    <t>Who students interact with? A social network analysis perspective on the use of twitter in language learning</t>
  </si>
  <si>
    <t>6383 LNCS</t>
  </si>
  <si>
    <t>http://www.scopus.com/inward/record.url?eid=2-s2.0-78049369701&amp;partnerID=40&amp;md5=6f927396a064cc337f86f7304a78eb65</t>
  </si>
  <si>
    <t>Sugathan, S.K., Azlin, A.R.F., Nee, G.K., Akhir, E.A.P., Yie, C.Y.</t>
  </si>
  <si>
    <t>A study on knowledge flow and its implications via social networking site</t>
  </si>
  <si>
    <t>Proceedings 2010 International Symposium on Information Technology - Visual Informatics, ITSim'10</t>
  </si>
  <si>
    <t>http://www.scopus.com/inward/record.url?eid=2-s2.0-78049370478&amp;partnerID=40&amp;md5=420f686e45b3d0880074ff4c370e6337</t>
  </si>
  <si>
    <t>Du, N., Wang, H., Faloutsos, C.</t>
  </si>
  <si>
    <t>Analysis of large multi-modal social networks: Patterns and a generator</t>
  </si>
  <si>
    <t>6321 LNAI</t>
  </si>
  <si>
    <t>http://www.scopus.com/inward/record.url?eid=2-s2.0-78049322823&amp;partnerID=40&amp;md5=659f0aa6e40bd055e9599f1fd3f94392</t>
  </si>
  <si>
    <t>Stepanyan, K., Borau, K., Ullrich, C.</t>
  </si>
  <si>
    <t>A social network analysis perspective on student interaction within the twitter microblogging environment</t>
  </si>
  <si>
    <t>Proceedings - 10th IEEE International Conference on Advanced Learning Technologies, ICALT 2010</t>
  </si>
  <si>
    <t>http://www.scopus.com/inward/record.url?eid=2-s2.0-78049251889&amp;partnerID=40&amp;md5=d2541c001f474fb480bb55577fc1d649</t>
  </si>
  <si>
    <t>Spadavecchia, C., Giovannella, C.</t>
  </si>
  <si>
    <t>Monitoring learning experiences and styles: The socio-emotional level</t>
  </si>
  <si>
    <t>http://www.scopus.com/inward/record.url?eid=2-s2.0-78049268525&amp;partnerID=40&amp;md5=1e4bb1f22031b01b2c750b5876a78e8d</t>
  </si>
  <si>
    <t>Zhu, T., Wu, B., Wang, B.</t>
  </si>
  <si>
    <t>Extracting relational network from the online forums: Methods and applications</t>
  </si>
  <si>
    <t>Proceedings - 2010 IEEE International Conference on Emergency Management and Management Sciences, ICEMMS 2010</t>
  </si>
  <si>
    <t>http://www.scopus.com/inward/record.url?eid=2-s2.0-78049307123&amp;partnerID=40&amp;md5=5e784d0181561aa5d94312191af16511</t>
  </si>
  <si>
    <t>Heo, H., Lim, K.Y., Kim, Y.</t>
  </si>
  <si>
    <t>Exploratory study on the patterns of online interaction and knowledge co-construction in project-based learning</t>
  </si>
  <si>
    <t>http://www.scopus.com/inward/record.url?eid=2-s2.0-77955554650&amp;partnerID=40&amp;md5=9ba6be891d5361a4fcd215ce4f763451</t>
  </si>
  <si>
    <t>Basuchowdhuri, P., Chen, J.</t>
  </si>
  <si>
    <t>Detecting communities using social ties</t>
  </si>
  <si>
    <t>Proceedings - 2010 IEEE International Conference on Granular Computing, GrC 2010</t>
  </si>
  <si>
    <t>http://www.scopus.com/inward/record.url?eid=2-s2.0-77958579669&amp;partnerID=40&amp;md5=5477f4c04a516d89849f5019f183b3da</t>
  </si>
  <si>
    <t>Dirksen, V., Huizing, A., Smit, B.</t>
  </si>
  <si>
    <t>'Piling on layers of understanding': The use of connective ethnography for the study of (online) work practices</t>
  </si>
  <si>
    <t>New Media and Society</t>
  </si>
  <si>
    <t>http://www.scopus.com/inward/record.url?eid=2-s2.0-78349262383&amp;partnerID=40&amp;md5=504421c5ea24c17268a0ca1fb8958c6a</t>
  </si>
  <si>
    <t>Song, M., Lee, W., Kim, J.</t>
  </si>
  <si>
    <t>Extraction and visualization of implicit social relations on social networking services</t>
  </si>
  <si>
    <t>Proceedings of the National Conference on Artificial Intelligence</t>
  </si>
  <si>
    <t>http://www.scopus.com/inward/record.url?eid=2-s2.0-77958531629&amp;partnerID=40&amp;md5=3695a25e42901be4e15dd1707371f45f</t>
  </si>
  <si>
    <t>Modani, N., Dey, K., Mukherjea, S., Nanavati, A.A.</t>
  </si>
  <si>
    <t>Discovery and analysis of tightly knit communities in telecom social networks</t>
  </si>
  <si>
    <t>IBM Journal of Research and Development</t>
  </si>
  <si>
    <t>http://www.scopus.com/inward/record.url?eid=2-s2.0-79953798579&amp;partnerID=40&amp;md5=ca9804a05fbce8b29399f7fe98242e6b</t>
  </si>
  <si>
    <t>Worrall, A.</t>
  </si>
  <si>
    <t>Supporting community-building in digital libraries: A pilot study of library thing</t>
  </si>
  <si>
    <t>Proceedings of the ASIST Annual Meeting</t>
  </si>
  <si>
    <t>http://www.scopus.com/inward/record.url?eid=2-s2.0-84861448427&amp;partnerID=40&amp;md5=d56ec8dd77c2a5fca82f9467cf6180d2</t>
  </si>
  <si>
    <t>Guitton, M.J.</t>
  </si>
  <si>
    <t>Cross-modal compensation between name and visual aspect in socially active avatars</t>
  </si>
  <si>
    <t>http://www.scopus.com/inward/record.url?eid=2-s2.0-77956189450&amp;partnerID=40&amp;md5=5ce11dc622d85066a6f21ad2bef1f50f</t>
  </si>
  <si>
    <t>A multidisciplinary model of dynamic and semantic social networks analysis for institutions</t>
  </si>
  <si>
    <t>Proceedings - 2010 International Conference on Advances in Social Network Analysis and Mining, ASONAM 2010</t>
  </si>
  <si>
    <t>http://www.scopus.com/inward/record.url?eid=2-s2.0-77958174919&amp;partnerID=40&amp;md5=4f9e361a499cb4cf76dc88ed558a6533</t>
  </si>
  <si>
    <t>Khonsari, K.K., Nayeri, Z.A., Fathalian, A., Fathalian, L.</t>
  </si>
  <si>
    <t>Social network analysis of Iran's green movement opposition groups using Twitter</t>
  </si>
  <si>
    <t>http://www.scopus.com/inward/record.url?eid=2-s2.0-77958198670&amp;partnerID=40&amp;md5=39c9ae62d3ff68de5922757518624e61</t>
  </si>
  <si>
    <t>Saravanan, M., Prasad, G., Surana, K., Suganthi, D.</t>
  </si>
  <si>
    <t>Labeling communities using structural properties</t>
  </si>
  <si>
    <t>http://www.scopus.com/inward/record.url?eid=2-s2.0-77958170696&amp;partnerID=40&amp;md5=6627f844d15e9db882d1ba3a435bab38</t>
  </si>
  <si>
    <t>Identifying networks of semantically-similar individuals from public discussion forums</t>
  </si>
  <si>
    <t>http://www.scopus.com/inward/record.url?eid=2-s2.0-77958168859&amp;partnerID=40&amp;md5=d62a181074a8432226cdd217e0bc5348</t>
  </si>
  <si>
    <t>Lou, J.-K., Lin, S.-D., Chen, K.-T., Lei, C.-L.</t>
  </si>
  <si>
    <t>What can the temporal social behavior tell us? An estimation of vertex-betweenness using dynamic social information</t>
  </si>
  <si>
    <t>http://www.scopus.com/inward/record.url?eid=2-s2.0-77958178568&amp;partnerID=40&amp;md5=524eb16184d782d6fdc5b781da662746</t>
  </si>
  <si>
    <t>Varlamis, I., Eirinaki, M., Louta, M.</t>
  </si>
  <si>
    <t>A study on social network metrics and their application in trust networks</t>
  </si>
  <si>
    <t>http://www.scopus.com/inward/record.url?eid=2-s2.0-77958167733&amp;partnerID=40&amp;md5=b51aa89a7b98e0c53bca53e93653ed34</t>
  </si>
  <si>
    <t>Designing, analyzing and exploiting stake-based social networks</t>
  </si>
  <si>
    <t>http://www.scopus.com/inward/record.url?eid=2-s2.0-77958161980&amp;partnerID=40&amp;md5=d170b1962b1620f8f74e468efc279f0c</t>
  </si>
  <si>
    <t>Shafiq, O., Alhajj, R., Rokne, J.G.</t>
  </si>
  <si>
    <t>Community aware personalized web search</t>
  </si>
  <si>
    <t>http://www.scopus.com/inward/record.url?eid=2-s2.0-77958158389&amp;partnerID=40&amp;md5=b319ed8a599cc8e0beb62798e3041e47</t>
  </si>
  <si>
    <t>Chen, B.-W., Wang, J.-F., Wang, J.-C.</t>
  </si>
  <si>
    <t>Video content summarization and augmentation based on structural semantic processing and social network analysis</t>
  </si>
  <si>
    <t>Journal of the Chinese Institute of Engineers, Transactions of the Chinese Institute of Engineers,Series A/Chung-kuo Kung Ch'eng Hsuch K'an</t>
  </si>
  <si>
    <t>http://www.scopus.com/inward/record.url?eid=2-s2.0-77958112122&amp;partnerID=40&amp;md5=852d15f03781b13597d84dbe186e4a52</t>
  </si>
  <si>
    <t>Tang, J., Musolesi, M., Mascolo, C., Latora, V., Nicosia, V.</t>
  </si>
  <si>
    <t>Analysing information flows and key mediators through temporal centrality metrics</t>
  </si>
  <si>
    <t>Proceedings of the 3rd Workshop on Social Network Systems, SNS'10</t>
  </si>
  <si>
    <t>http://www.scopus.com/inward/record.url?eid=2-s2.0-77958028567&amp;partnerID=40&amp;md5=90d0c006fc5afb8b47c7665baba180ad</t>
  </si>
  <si>
    <t>Xue, W., Shi, J., Yang, B.</t>
  </si>
  <si>
    <t>X-RIME: Cloud-based large scale social network analysis</t>
  </si>
  <si>
    <t>Proceedings - 2010 IEEE 7th International Conference on Services Computing, SCC 2010</t>
  </si>
  <si>
    <t>http://www.scopus.com/inward/record.url?eid=2-s2.0-77957914130&amp;partnerID=40&amp;md5=5bb1447d38bdee9c39979abb9854690c</t>
  </si>
  <si>
    <t>http://www.scopus.com/inward/record.url?eid=2-s2.0-77957922307&amp;partnerID=40&amp;md5=0ceb0929250ddbb971ebf0dd014b74ff</t>
  </si>
  <si>
    <t>Rasool, P.A., Memon, N., Wiil, U.K., Karampelas, P.</t>
  </si>
  <si>
    <t>Filtering the open-source information</t>
  </si>
  <si>
    <t>Proceedings 2010 IEEE International Conference on Software Engineering and Service Sciences, ICSESS 2010</t>
  </si>
  <si>
    <t>http://www.scopus.com/inward/record.url?eid=2-s2.0-77957853008&amp;partnerID=40&amp;md5=ab21f0ec032cd8908b857d3322b44152</t>
  </si>
  <si>
    <t>Posea, V., Balint, M., Dimitriu, A., Iosup, A.</t>
  </si>
  <si>
    <t>An analysis of the BBO Fans online social gaming community</t>
  </si>
  <si>
    <t>Proceedings - 9th RoEduNet IEEE International Conference, RoEduNet 2010</t>
  </si>
  <si>
    <t>http://www.scopus.com/inward/record.url?eid=2-s2.0-77957589268&amp;partnerID=40&amp;md5=b3f24e74c21f4d180b5737752ac6929f</t>
  </si>
  <si>
    <t>Huang, Y., Zhang, Z., Zhang, X.</t>
  </si>
  <si>
    <t>Assessment and management vulnerability of supply networks structure based on social networks analysis</t>
  </si>
  <si>
    <t>ICAMS 2010 - Proceedings of 2010 IEEE International Conference on Advanced Management Science</t>
  </si>
  <si>
    <t>http://www.scopus.com/inward/record.url?eid=2-s2.0-77957267992&amp;partnerID=40&amp;md5=5093b06b6a27ecaa8e1000ec3749b2e8</t>
  </si>
  <si>
    <t>Measuring social dynamics in a massive multiplayer online game</t>
  </si>
  <si>
    <t>http://www.scopus.com/inward/record.url?eid=2-s2.0-77956386307&amp;partnerID=40&amp;md5=4473ae7254112e2feb472841cc554504</t>
  </si>
  <si>
    <t>Kang, M., Kim, Y.-G., Bock, G.-W.</t>
  </si>
  <si>
    <t>Identifying different antecedents for closed vs open knowledge transfer</t>
  </si>
  <si>
    <t>http://www.scopus.com/inward/record.url?eid=2-s2.0-77957772390&amp;partnerID=40&amp;md5=63a3f184779e83549971dddca18f7a71</t>
  </si>
  <si>
    <t>Mahdi, K., Torabi, S., Safar, M.</t>
  </si>
  <si>
    <t>Diffusion and reverse diffusion processes in social networks: Analysis using the Degree of Diffusion α</t>
  </si>
  <si>
    <t>2010 3rd IEEE International Conference on Ubi-Media Computing, U-Media 2010</t>
  </si>
  <si>
    <t>http://www.scopus.com/inward/record.url?eid=2-s2.0-77956592974&amp;partnerID=40&amp;md5=326d156b266bde23eafacc4aec8caf6c</t>
  </si>
  <si>
    <t>Bodrow, W., Helfert, M., Steinicke, M.</t>
  </si>
  <si>
    <t>Influence of interpersonal perception on information and knowledge sharing in e-learning networks</t>
  </si>
  <si>
    <t>http://www.scopus.com/inward/record.url?eid=2-s2.0-77956279566&amp;partnerID=40&amp;md5=32b7d7014789bd5417a19e4d2fd361cb</t>
  </si>
  <si>
    <t>Che, L.-M., Wei, Y.-G., Sun, B., Qiu, Q., Zhan, N.-X.</t>
  </si>
  <si>
    <t>Micro-blog social network analysis: "Digu" network as an example</t>
  </si>
  <si>
    <t>2010 2nd International Symposium on Information Engineering and Electronic Commerce, IEEC 2010</t>
  </si>
  <si>
    <t>http://www.scopus.com/inward/record.url?eid=2-s2.0-77956163306&amp;partnerID=40&amp;md5=b75793145281e210efe673b9ef3cce0f</t>
  </si>
  <si>
    <t>Erlin, Yusof, N., Rahman, A.A.</t>
  </si>
  <si>
    <t>Messages segmentation of asynchronous text-based discussion in social network analysis</t>
  </si>
  <si>
    <t>ICETC 2010 - 2010 2nd International Conference on Education Technology and Computer</t>
  </si>
  <si>
    <t>V38</t>
  </si>
  <si>
    <t>V312</t>
  </si>
  <si>
    <t>http://www.scopus.com/inward/record.url?eid=2-s2.0-77956029491&amp;partnerID=40&amp;md5=11456ed257c9a6d2d4611b497c57181c</t>
  </si>
  <si>
    <t>Yao, Y.</t>
  </si>
  <si>
    <t>Comparing two discussion designs in terms of student online interactions</t>
  </si>
  <si>
    <t>V1219</t>
  </si>
  <si>
    <t>V1222</t>
  </si>
  <si>
    <t>http://www.scopus.com/inward/record.url?eid=2-s2.0-77956022267&amp;partnerID=40&amp;md5=33188010fcd8068dd98fcb98a0b3ae53</t>
  </si>
  <si>
    <t>Dawson, S.</t>
  </si>
  <si>
    <t>'Seeing' the learning community: An exploration of the development of a resource for monitoring online student networking</t>
  </si>
  <si>
    <t>http://www.scopus.com/inward/record.url?eid=2-s2.0-77955740240&amp;partnerID=40&amp;md5=d355ef09a3236a2f9da0efc616a8b823</t>
  </si>
  <si>
    <t>Li, J., Chignell, M.</t>
  </si>
  <si>
    <t>Birds of a feather: How personality influences blog writing and reading</t>
  </si>
  <si>
    <t>International Journal of Human Computer Studies</t>
  </si>
  <si>
    <t>http://www.scopus.com/inward/record.url?eid=2-s2.0-84858642761&amp;partnerID=40&amp;md5=8d8ebf375815c04bf6e0e3b6cc3469b4</t>
  </si>
  <si>
    <t>Chen, W., Liu, Z., Sun, X., Wang, Y.</t>
  </si>
  <si>
    <t>A game-theoretic framework to identify overlapping communities in social networks</t>
  </si>
  <si>
    <t>http://www.scopus.com/inward/record.url?eid=2-s2.0-77958063998&amp;partnerID=40&amp;md5=312d976c7c91ebbe92946e4336e6fa21</t>
  </si>
  <si>
    <t>Tan, W., Zhang, J., Foster, I.</t>
  </si>
  <si>
    <t>Network analysis of scientific workflows: A gateway to reuse</t>
  </si>
  <si>
    <t>Computer</t>
  </si>
  <si>
    <t>http://www.scopus.com/inward/record.url?eid=2-s2.0-77956585300&amp;partnerID=40&amp;md5=253dfb19cb59dd1e9a1e8da48b5bd67a</t>
  </si>
  <si>
    <t>Wierzbicki, A., Turek, P., Nielek, R.</t>
  </si>
  <si>
    <t>Learning about team collaboration from wikipedia edit history</t>
  </si>
  <si>
    <t>Proceedings of WikiSym 2010 - The 6th International Symposium on Wikis and Open Collaboration</t>
  </si>
  <si>
    <t>http://www.scopus.com/inward/record.url?eid=2-s2.0-77955783613&amp;partnerID=40&amp;md5=33f15d6228dc782553617c0a697ad360</t>
  </si>
  <si>
    <t>Tung, W.-F., Liu, C.-L.</t>
  </si>
  <si>
    <t>Community-based social network service for travel blog sharing</t>
  </si>
  <si>
    <t>ITNG2010 - 7th International Conference on Information Technology: New Generations</t>
  </si>
  <si>
    <t>http://www.scopus.com/inward/record.url?eid=2-s2.0-77955294987&amp;partnerID=40&amp;md5=45a3e8a0fbf4dee1394a6368db011c55</t>
  </si>
  <si>
    <t>Liu, Z., Wang, C., Zou, Q., Wang, H.</t>
  </si>
  <si>
    <t>Clustering coefficient queries on massive dynamic social networks</t>
  </si>
  <si>
    <t>6184 LNCS</t>
  </si>
  <si>
    <t>http://www.scopus.com/inward/record.url?eid=2-s2.0-77955022167&amp;partnerID=40&amp;md5=fc0dd72cab42ae24cdf3b6e4f52aa08b</t>
  </si>
  <si>
    <t>Iba, T., Nemoto, K., Peters, B., Gloor, P.A.</t>
  </si>
  <si>
    <t>Analyzing the creative editing behavior of wikipedia editors through dynamic social network analysis</t>
  </si>
  <si>
    <t>Procedia - Social and Behavioral Sciences</t>
  </si>
  <si>
    <t>http://www.scopus.com/inward/record.url?eid=2-s2.0-77955003232&amp;partnerID=40&amp;md5=94fc32c16dcdfbaa23bd566adad560f9</t>
  </si>
  <si>
    <t>Feldstein, A., Wilson, B.</t>
  </si>
  <si>
    <t>Polyvore collaboration: Innovation in informal online affiliation networks</t>
  </si>
  <si>
    <t>http://www.scopus.com/inward/record.url?eid=2-s2.0-77954968008&amp;partnerID=40&amp;md5=50062e0feb2df88a8426ae1c8758aff3</t>
  </si>
  <si>
    <t>Suh, A., Shin, K.-S.</t>
  </si>
  <si>
    <t>Exploring the effects of online social ties on knowledge sharing: A comparative analysis of collocated vs dispersed teams</t>
  </si>
  <si>
    <t>http://www.scopus.com/inward/record.url?eid=2-s2.0-77955782944&amp;partnerID=40&amp;md5=0532aa8fd8d35f6477ea85420700e2cf</t>
  </si>
  <si>
    <t>Wang, F.-Y., Zeng, D., Hendler, J.A., Zhang, Q., Feng, Z., Gao, Y., Wang, H., Lai, G.</t>
  </si>
  <si>
    <t>A study of the human flesh search engine: Crowd-powered expansion of online knowledge</t>
  </si>
  <si>
    <t>http://www.scopus.com/inward/record.url?eid=2-s2.0-77956042348&amp;partnerID=40&amp;md5=3af82fa54737d4dea8a78d427360b3e1</t>
  </si>
  <si>
    <t>Aida, M., Honma, Y., Takano, C., Koto, H., Nakamura, H.</t>
  </si>
  <si>
    <t>Unified model of communication frequency between users in social networks</t>
  </si>
  <si>
    <t>2010 IEEE International Conference on Communications Workshops, ICC 2010</t>
  </si>
  <si>
    <t>http://www.scopus.com/inward/record.url?eid=2-s2.0-77954905150&amp;partnerID=40&amp;md5=b4aad2a8d1d910e980770eaed18b14cf</t>
  </si>
  <si>
    <t>De Choudhury, M.</t>
  </si>
  <si>
    <t>Discovery of information disseminators and receptors on online social media</t>
  </si>
  <si>
    <t>HT'10 - Proceedings of the 21st ACM Conference on Hypertext and Hypermedia</t>
  </si>
  <si>
    <t>http://www.scopus.com/inward/record.url?eid=2-s2.0-77954912457&amp;partnerID=40&amp;md5=c385bf5f266840d4cf68a2449b580344</t>
  </si>
  <si>
    <t>Nohuddin, P.N.E., Christley, R., Coenen, F., Setzkorn, C.</t>
  </si>
  <si>
    <t>Trend mining in social networks: A study using a large cattle movement database</t>
  </si>
  <si>
    <t>6171 LNAI</t>
  </si>
  <si>
    <t>http://www.scopus.com/inward/record.url?eid=2-s2.0-77954880318&amp;partnerID=40&amp;md5=bb70d5c75ba86f934129d1a271076e14</t>
  </si>
  <si>
    <t>Generalizing terrorist social networks with K-nearest neighbor and edge betweeness for social network integration and privacy preservation</t>
  </si>
  <si>
    <t>ISI 2010 - 2010 IEEE International Conference on Intelligence and Security Informatics: Public Safety and Security</t>
  </si>
  <si>
    <t>http://www.scopus.com/inward/record.url?eid=2-s2.0-77954801173&amp;partnerID=40&amp;md5=1a7903291ab415326722fa00511c454e</t>
  </si>
  <si>
    <t>Meneely, A., Corcoran, M., Williams, L.</t>
  </si>
  <si>
    <t>Improving developer activity metrics with issue tracking annotations</t>
  </si>
  <si>
    <t>http://www.scopus.com/inward/record.url?eid=2-s2.0-77954698250&amp;partnerID=40&amp;md5=8fd06263b4a5d78544ccb1f1bf679d87</t>
  </si>
  <si>
    <t>Lim, S.L., Quercia, D., Finkelstein, A.</t>
  </si>
  <si>
    <t>StakeSource: Harnessing the power of crowdsourcing and social networks in stakeholder analysis</t>
  </si>
  <si>
    <t>http://www.scopus.com/inward/record.url?eid=2-s2.0-77954728175&amp;partnerID=40&amp;md5=9afed8bfcdae9dd63da800ede7f52c42</t>
  </si>
  <si>
    <t>De Choudhury, M., Mason, W.A., Hofman, J.M., Watts, D.J.</t>
  </si>
  <si>
    <t>Inferring relevant social networks from interpersonal communication</t>
  </si>
  <si>
    <t>Proceedings of the 19th International Conference on World Wide Web, WWW '10</t>
  </si>
  <si>
    <t>http://www.scopus.com/inward/record.url?eid=2-s2.0-77954633421&amp;partnerID=40&amp;md5=689e0cbb929bf0c6ed2742f788f8bca4</t>
  </si>
  <si>
    <t>Ben-Zvi, T.</t>
  </si>
  <si>
    <t>Social networks analysis: A game experiment</t>
  </si>
  <si>
    <t>Behavioral and Quantitative Game Theory: Conference on Future Directions 2010, BQGT 2010</t>
  </si>
  <si>
    <t>http://www.scopus.com/inward/record.url?eid=2-s2.0-77954600209&amp;partnerID=40&amp;md5=35d9f091c1addfd3b361f57c9706551b</t>
  </si>
  <si>
    <t>Bao, H., Chang, E.Y.</t>
  </si>
  <si>
    <t>AdHeat: An influence-based diffusion model for propagating hints to match ads</t>
  </si>
  <si>
    <t>http://www.scopus.com/inward/record.url?eid=2-s2.0-77954597617&amp;partnerID=40&amp;md5=7ddf082281b64b57ee3f9e996d4f0d2a</t>
  </si>
  <si>
    <t>Shang, C., Hou, Y., Zhang, S., Meng, Z.</t>
  </si>
  <si>
    <t>A new closeness metric for social networks based on the k shortest paths</t>
  </si>
  <si>
    <t>6064 LNCS</t>
  </si>
  <si>
    <t>http://www.scopus.com/inward/record.url?eid=2-s2.0-77954417970&amp;partnerID=40&amp;md5=995e4e455fed4b7596102eb1710f6093</t>
  </si>
  <si>
    <t>Kirman, B., Lawson, S., Linehan, C., Martino, F., Gamberini, L., Gaggioli, A.</t>
  </si>
  <si>
    <t>Improving social game engagement on facebook through enhanced socio-contextual information</t>
  </si>
  <si>
    <t>http://www.scopus.com/inward/record.url?eid=2-s2.0-77954006832&amp;partnerID=40&amp;md5=5e95eeb09649ee194d9ec776a71149d4</t>
  </si>
  <si>
    <t>Hoser, B., Nitschke, T.</t>
  </si>
  <si>
    <t>Questions on ethics for research in the virtually connected world</t>
  </si>
  <si>
    <t>http://www.scopus.com/inward/record.url?eid=2-s2.0-77953541079&amp;partnerID=40&amp;md5=8debdacc08e1c477ab808e56bd309cc3</t>
  </si>
  <si>
    <t>Erkunt, H.</t>
  </si>
  <si>
    <t>Emergence of epistemic agency in college level educational technology course for pre-service teachers engaged in CSCL</t>
  </si>
  <si>
    <t>Turkish Online Journal of Educational Technology</t>
  </si>
  <si>
    <t>http://www.scopus.com/inward/record.url?eid=2-s2.0-77957025251&amp;partnerID=40&amp;md5=0e8c9387a30bdc457e75d325d7db2fd1</t>
  </si>
  <si>
    <t>Ang, C.S., Zaphiris, P.</t>
  </si>
  <si>
    <t>Social roles of players in mmorpg guilds: A social network analytic perspective</t>
  </si>
  <si>
    <t>http://www.scopus.com/inward/record.url?eid=2-s2.0-77953674873&amp;partnerID=40&amp;md5=8f6fc733a7c2a800a67fa99ef8200dcc</t>
  </si>
  <si>
    <t>Putzke, J., Fischbach, K., Schoder, D., Gloor, P.A.</t>
  </si>
  <si>
    <t>The evolution of interaction networks in massively multiplayer online games</t>
  </si>
  <si>
    <t>http://www.scopus.com/inward/record.url?eid=2-s2.0-77953103414&amp;partnerID=40&amp;md5=11fe7bea231dae2ae8ba53eb68c36f97</t>
  </si>
  <si>
    <t>Foucault Welles, B., Van Devender, A., Contractor, N.</t>
  </si>
  <si>
    <t>Is a "friend" a friend? Investigating the structure of friendship networks in virtual worlds</t>
  </si>
  <si>
    <t>http://www.scopus.com/inward/record.url?eid=2-s2.0-77953083634&amp;partnerID=40&amp;md5=74f2b3324d31ffa21c603b5240a242a4</t>
  </si>
  <si>
    <t>Creswick, N., Westbrook, J.I.</t>
  </si>
  <si>
    <t>Social network analysis of medication advice-seeking interactions among staff in an Australian hospital</t>
  </si>
  <si>
    <t>International Journal of Medical Informatics</t>
  </si>
  <si>
    <t>e116</t>
  </si>
  <si>
    <t>e125</t>
  </si>
  <si>
    <t>http://www.scopus.com/inward/record.url?eid=2-s2.0-77954221804&amp;partnerID=40&amp;md5=bf79eee462ab5853fcb51c44826a1a03</t>
  </si>
  <si>
    <t>Bezerianos, A., Chevalier, F., Dragicevic, P., Elmqvist, N., Fekete, J.D.</t>
  </si>
  <si>
    <t>GraphDice: A system for exploring multivariate social networks</t>
  </si>
  <si>
    <t>Computer Graphics Forum</t>
  </si>
  <si>
    <t>http://www.scopus.com/inward/record.url?eid=2-s2.0-77955726431&amp;partnerID=40&amp;md5=bd5afdf9d05f57a86c2ed393a6398fec</t>
  </si>
  <si>
    <t>Qureshi, P.A.R., Memon, N., Wiil, U.K.</t>
  </si>
  <si>
    <t>EWaS: Novel approach for generating early warnings to prevent terrorist attacks</t>
  </si>
  <si>
    <t>2010 2nd International Conference on Computer Engineering and Applications, ICCEA 2010</t>
  </si>
  <si>
    <t>http://www.scopus.com/inward/record.url?eid=2-s2.0-77952776254&amp;partnerID=40&amp;md5=b77a0def8a09aa4be7836a52d6384176</t>
  </si>
  <si>
    <t>García-Bañuelos, L., Portilla, A., Chávez-Aragón, A., Reyes-Galaviz, O.F., Ayanegui-Santiago, H.</t>
  </si>
  <si>
    <t>Finding and analyzing social collaboration networks in the Mexican computer science community</t>
  </si>
  <si>
    <t>Proceedings of the Mexican International Conference on Computer Science</t>
  </si>
  <si>
    <t>http://www.scopus.com/inward/record.url?eid=2-s2.0-77952739659&amp;partnerID=40&amp;md5=c62be42610cf197b0767cb78b0946511</t>
  </si>
  <si>
    <t>Green, T., Quigley, A.</t>
  </si>
  <si>
    <t>Perception of online social networks</t>
  </si>
  <si>
    <t>Studies in Computational Intelligence</t>
  </si>
  <si>
    <t>http://www.scopus.com/inward/record.url?eid=2-s2.0-77952718548&amp;partnerID=40&amp;md5=5e2c243f4c21922a2e1c0477841274c3</t>
  </si>
  <si>
    <t>Berlingerio, M., Coscia, M., Giannotti, F., Monreale, A., Pedreschi, D.</t>
  </si>
  <si>
    <t>Towards discovery of eras in social networks</t>
  </si>
  <si>
    <t>http://www.scopus.com/inward/record.url?eid=2-s2.0-77952667855&amp;partnerID=40&amp;md5=365c9bc4d4d0d0032e9f0c7b33fa2e07</t>
  </si>
  <si>
    <t>Bodendorf, F., Kaiser, C.</t>
  </si>
  <si>
    <t>Detecting opinion leaders and trends in online communities</t>
  </si>
  <si>
    <t>4th International Conference on Digital Society, ICDS 2010, Includes CYBERLAWS 2010: The 1st International Conference on Technical and Legal Aspects of the e-Society</t>
  </si>
  <si>
    <t>http://www.scopus.com/inward/record.url?eid=2-s2.0-77952193703&amp;partnerID=40&amp;md5=c1bdff7f14c500d516b16490cc396921</t>
  </si>
  <si>
    <t>Hautz, J., Hutter, K., Füller, J., Matzler, K., Rieger, M.</t>
  </si>
  <si>
    <t>How to establish an online innovation community? The role of users and their innovative content</t>
  </si>
  <si>
    <t>http://www.scopus.com/inward/record.url?eid=2-s2.0-77951757350&amp;partnerID=40&amp;md5=36666a304369ced0b8eaaa5db3f8d024</t>
  </si>
  <si>
    <t>Costa, C.C., Da Cunha, P.R.</t>
  </si>
  <si>
    <t>Who are the players? Finding and characterizing stakeholders in social networks</t>
  </si>
  <si>
    <t>http://www.scopus.com/inward/record.url?eid=2-s2.0-77951713369&amp;partnerID=40&amp;md5=5affa8aac007d6741b2f284686391a83</t>
  </si>
  <si>
    <t>Habib Elamir, E.A.</t>
  </si>
  <si>
    <t>On the use of correlated binary model in social network analysis</t>
  </si>
  <si>
    <t>World Academy of Science, Engineering and Technology</t>
  </si>
  <si>
    <t>http://www.scopus.com/inward/record.url?eid=2-s2.0-78751612437&amp;partnerID=40&amp;md5=6240bbb5ff921124ff190bae01c12e91</t>
  </si>
  <si>
    <t>Lo Storto, C.</t>
  </si>
  <si>
    <t>Assessing product development performance analyzing the information flows structure using social network analysis measurements</t>
  </si>
  <si>
    <t>http://www.scopus.com/inward/record.url?eid=2-s2.0-78751633286&amp;partnerID=40&amp;md5=8d3e63d56a9998811b9b0bd6b4ff13e4</t>
  </si>
  <si>
    <t>Mylläri, J., Åhlberg, M., Dillon, P.</t>
  </si>
  <si>
    <t>The dynamics of an online knowledge building community: A 5-year longitudinal study</t>
  </si>
  <si>
    <t>http://www.scopus.com/inward/record.url?eid=2-s2.0-77951110091&amp;partnerID=40&amp;md5=38f22ca484369636f2139ccd975a9058</t>
  </si>
  <si>
    <t>Datta, S., Kaulgud, V., Sharma, V.S., Kumar, N.</t>
  </si>
  <si>
    <t>A social network based study of software team dynamics</t>
  </si>
  <si>
    <t>ISEC'10 - Proceedings of the 2010 India Software Engineering Conference</t>
  </si>
  <si>
    <t>http://www.scopus.com/inward/record.url?eid=2-s2.0-77951494413&amp;partnerID=40&amp;md5=94743003dbbd98f96588035fc80476f3</t>
  </si>
  <si>
    <t>Chalkiti, K., Sigala, M.</t>
  </si>
  <si>
    <t>Staff turnover in the Greek tourism industry: A comparison between insular and peninsular regions</t>
  </si>
  <si>
    <t>International Journal of Contemporary Hospitality Management</t>
  </si>
  <si>
    <t>http://www.scopus.com/inward/record.url?eid=2-s2.0-77951447097&amp;partnerID=40&amp;md5=2f0fa8b23e3f01683d75ffbacbd1767d</t>
  </si>
  <si>
    <t>Scholand, A.J., Tausczik, Y.R., Pennebaker, J.W.</t>
  </si>
  <si>
    <t>Social language network analysis</t>
  </si>
  <si>
    <t>http://www.scopus.com/inward/record.url?eid=2-s2.0-77950869554&amp;partnerID=40&amp;md5=d3ce534b65651fe0f027c2d63cf9dc1d</t>
  </si>
  <si>
    <t>Enriquez, J.G.</t>
  </si>
  <si>
    <t>Fluid centrality: A social network analysis of social-technical relations in computer-mediated communication</t>
  </si>
  <si>
    <t>International Journal of Research and Method in Education</t>
  </si>
  <si>
    <t>http://www.scopus.com/inward/record.url?eid=2-s2.0-77951523097&amp;partnerID=40&amp;md5=7c7f64d003f8ebc67c7c465562e7173d</t>
  </si>
  <si>
    <t>Chin, A., Keelan, J., Tomlinson, G., Pavri-Garcia, V., Wilson, K., Chignell, M.</t>
  </si>
  <si>
    <t>Automated Delineation of Subgroups in Web Video: A Medical Activism Case Study</t>
  </si>
  <si>
    <t>http://www.scopus.com/inward/record.url?eid=2-s2.0-77955407294&amp;partnerID=40&amp;md5=c4f6611dc771067575ef56d709ab3ec2</t>
  </si>
  <si>
    <t>Jones, B.W., Spigel, B., Malecki, E.J.</t>
  </si>
  <si>
    <t>Blog links as pipelines to buzz elsewhere: The case of newyork theater blogs</t>
  </si>
  <si>
    <t>Environment and Planning B: Planning and Design</t>
  </si>
  <si>
    <t>http://www.scopus.com/inward/record.url?eid=2-s2.0-75949098776&amp;partnerID=40&amp;md5=dc2c859d301982ed7839463118cc34aa</t>
  </si>
  <si>
    <t>Wang, L.</t>
  </si>
  <si>
    <t>How social network position relates to knowledge building in online learning communities</t>
  </si>
  <si>
    <t>Frontiers of Education in China</t>
  </si>
  <si>
    <t>http://www.scopus.com/inward/record.url?eid=2-s2.0-76649084295&amp;partnerID=40&amp;md5=37d8970cd1db1ca2ad6cd20074bec92f</t>
  </si>
  <si>
    <t>Corley, C.D., Cook, D.J., Mikler, A.R., Singh, K.P.</t>
  </si>
  <si>
    <t>Text and structural data mining of influenza mentions in web and social media</t>
  </si>
  <si>
    <t>International Journal of Environmental Research and Public Health</t>
  </si>
  <si>
    <t>http://www.scopus.com/inward/record.url?eid=2-s2.0-77949738013&amp;partnerID=40&amp;md5=4fdd8342f2061ad08fd09204bb3abfb6</t>
  </si>
  <si>
    <t>Shea, P., Hayes, S., Vickers, J., Gozza-Cohen, M., Uzuner, S., Mehta, R., Valchova, A., Rangan, P.</t>
  </si>
  <si>
    <t>A re-examination of the community of inquiry framework: Social network and content analysis</t>
  </si>
  <si>
    <t>Internet and Higher Education</t>
  </si>
  <si>
    <t>http://www.scopus.com/inward/record.url?eid=2-s2.0-76349126360&amp;partnerID=40&amp;md5=a5a8e68971043b24f818659605914777</t>
  </si>
  <si>
    <t>Fieseler, C., Fleck, M., Meckel, M.</t>
  </si>
  <si>
    <t>Corporate social responsibility in the blogosphere</t>
  </si>
  <si>
    <t>Journal of Business Ethics</t>
  </si>
  <si>
    <t>http://www.scopus.com/inward/record.url?eid=2-s2.0-75949118160&amp;partnerID=40&amp;md5=49354ec89c4af726828a14943e6d4595</t>
  </si>
  <si>
    <t>Martínez-Torres, M.R., Toral, S.L., Barrero, F., Cortés, F.</t>
  </si>
  <si>
    <t>The role of Internet in the development of future software projects</t>
  </si>
  <si>
    <t>http://www.scopus.com/inward/record.url?eid=2-s2.0-74349128196&amp;partnerID=40&amp;md5=a57cd1faf254f9a7a85ff1eba40920a5</t>
  </si>
  <si>
    <t>Structural micro forces in online social networking websites: Impact on friendship structure</t>
  </si>
  <si>
    <t>2009 3rd IEEE International Conference on Digital Ecosystems and Technologies, DEST '09</t>
  </si>
  <si>
    <t>http://www.scopus.com/inward/record.url?eid=2-s2.0-71649083038&amp;partnerID=40&amp;md5=d6bcdfef4f24ef68d6ab96b6d4280583</t>
  </si>
  <si>
    <t>Gloor, P.A., Krauss, J., Nann, S., Fischbach, K., Schoder, D.</t>
  </si>
  <si>
    <t>Web science 2.0: Identifying trends through semantic social network analysis</t>
  </si>
  <si>
    <t>Proceedings - 12th IEEE International Conference on Computational Science and Engineering, CSE 2009</t>
  </si>
  <si>
    <t>http://www.scopus.com/inward/record.url?eid=2-s2.0-70849121926&amp;partnerID=40&amp;md5=c928d106543142a6db72d3d8ad3aaf83</t>
  </si>
  <si>
    <t>Kawale, J., Pal, A., Srivastava, J.</t>
  </si>
  <si>
    <t>Churn prediction in MMORPGs: A social influence based approach</t>
  </si>
  <si>
    <t>http://www.scopus.com/inward/record.url?eid=2-s2.0-70849098046&amp;partnerID=40&amp;md5=1a7494644cbc40420936ca62fa0f6d42</t>
  </si>
  <si>
    <t>Cheong, F., Corbitt, B.J.</t>
  </si>
  <si>
    <t>Using social network analysis to evaluate participation in online discussions in a virtual classroom using social network analysis to evaluate participation in online discussions in a virtual classroom</t>
  </si>
  <si>
    <t>ACIS 2009 Proceedings - 20th Australasian Conference on Information Systems</t>
  </si>
  <si>
    <t>http://www.scopus.com/inward/record.url?eid=2-s2.0-84869119693&amp;partnerID=40&amp;md5=81d9f5d26ecfb8c563fe11eff0b58194</t>
  </si>
  <si>
    <t>Analyzing online asynchronous discussion using content and social network analysis</t>
  </si>
  <si>
    <t>ISDA 2009 - 9th International Conference on Intelligent Systems Design and Applications</t>
  </si>
  <si>
    <t>http://www.scopus.com/inward/record.url?eid=2-s2.0-77949509602&amp;partnerID=40&amp;md5=981995ca9379d97709b83257edc32c8c</t>
  </si>
  <si>
    <t>Using social network analysis to evaluate participation in online discussions in a virtual classroom</t>
  </si>
  <si>
    <t>12th Australian Conference on Knowledge Management and Intelligent Decision Support, ACKMIDS 09 and 20th Australasian Conference on Information Systems, ACIS 2009</t>
  </si>
  <si>
    <t>http://www.scopus.com/inward/record.url?eid=2-s2.0-84857004559&amp;partnerID=40&amp;md5=76665d3976f82dadd077e325f1cf171c</t>
  </si>
  <si>
    <t>Xu, Y., Ma, J., Sun, Y., Hao, J., Sun, Y., Zhao, D.</t>
  </si>
  <si>
    <t>Using social network analysis as a strategy for E-commerce recommendation</t>
  </si>
  <si>
    <t>PACIS 2009 - 13th Pacific Asia Conference on Information Systems: IT Services in a Global Environment</t>
  </si>
  <si>
    <t>http://www.scopus.com/inward/record.url?eid=2-s2.0-84862946913&amp;partnerID=40&amp;md5=108bad3c54f32eb23fa90bba871b95f0</t>
  </si>
  <si>
    <t>Xu, A., Zheng, X.</t>
  </si>
  <si>
    <t>Dynamic social network analysis using latent space model and an integrated clustering algorithm</t>
  </si>
  <si>
    <t>8th IEEE International Symposium on Dependable, Autonomic and Secure Computing, DASC 2009</t>
  </si>
  <si>
    <t>http://www.scopus.com/inward/record.url?eid=2-s2.0-77950585085&amp;partnerID=40&amp;md5=9174ad597018abc2feb2f5ef6780e4fb</t>
  </si>
  <si>
    <t>Erétéo, G., Buffa, M., Gandon, F., Corby, O.</t>
  </si>
  <si>
    <t>Analysis of a real online social network using semantic web frameworks</t>
  </si>
  <si>
    <t>5823 LNCS</t>
  </si>
  <si>
    <t>http://www.scopus.com/inward/record.url?eid=2-s2.0-78650491879&amp;partnerID=40&amp;md5=2d7f8d5f5aa7d5a1149ba2c2081a3f71</t>
  </si>
  <si>
    <t>Detecting opinion leaders and trends in online social networks</t>
  </si>
  <si>
    <t>http://www.scopus.com/inward/record.url?eid=2-s2.0-74049148800&amp;partnerID=40&amp;md5=aed7d356d02127ccf0132f5db8155a7b</t>
  </si>
  <si>
    <t>Hu, D., Zhao, J.L.</t>
  </si>
  <si>
    <t>Discovering determinants of project participation in an open source social network</t>
  </si>
  <si>
    <t>ICIS 2009 Proceedings - Thirtieth International Conference on Information Systems</t>
  </si>
  <si>
    <t>http://www.scopus.com/inward/record.url?eid=2-s2.0-84870960729&amp;partnerID=40&amp;md5=a245e20ff4715a2a94e83a2322f6b901</t>
  </si>
  <si>
    <t>Long, Y., Jin, L.</t>
  </si>
  <si>
    <t>A longitudinal study on member contributions in open source user oriented community</t>
  </si>
  <si>
    <t>15th Americas Conference on Information Systems 2009, AMCIS 2009</t>
  </si>
  <si>
    <t>http://www.scopus.com/inward/record.url?eid=2-s2.0-84870343479&amp;partnerID=40&amp;md5=aa296fcdbd498951649b708c5dd16458</t>
  </si>
  <si>
    <t>Mendes Rodrigues, E., Milic-Frayling, N.</t>
  </si>
  <si>
    <t>Socializing or knowledge sharing? Characterizing social intent in community question answering</t>
  </si>
  <si>
    <t>http://www.scopus.com/inward/record.url?eid=2-s2.0-74549172546&amp;partnerID=40&amp;md5=4101799d4d784b90bee22b70eb7780b2</t>
  </si>
  <si>
    <t>Figueira, A.</t>
  </si>
  <si>
    <t>Mapping e-learning interactions using social network analysis</t>
  </si>
  <si>
    <t>Proceedings of the 8th IASTED International Conference on Web-based Education, WBE 2009</t>
  </si>
  <si>
    <t>http://www.scopus.com/inward/record.url?eid=2-s2.0-74549205229&amp;partnerID=40&amp;md5=d852e5f523cadfce173255908c9c460b</t>
  </si>
  <si>
    <t>Liang, C., Wiewiora, A., Gable, G., Trigunarsyah, B.</t>
  </si>
  <si>
    <t>Project team's internal and external social networks and their influence on project performance</t>
  </si>
  <si>
    <t>http://www.scopus.com/inward/record.url?eid=2-s2.0-84871041565&amp;partnerID=40&amp;md5=1fa5a0aa6f77739b9d1e5e37f1c4bfb3</t>
  </si>
  <si>
    <t>Park, H., Jeong, W.Y., Han, S.H.</t>
  </si>
  <si>
    <t>Social network analysis of collaborative entries for construction firms in international construction projects</t>
  </si>
  <si>
    <t>2009 26th International Symposium on Automation and Robotics in Construction, ISARC 2009</t>
  </si>
  <si>
    <t>http://www.scopus.com/inward/record.url?eid=2-s2.0-77956315192&amp;partnerID=40&amp;md5=10a8d3d605d912e38a1d72dcc4731e5b</t>
  </si>
  <si>
    <t>Cheong, F., Corbitt, B.</t>
  </si>
  <si>
    <t>A social network analysis of the co-authorship network of the australasian conference of information systems from 1990 to 2006</t>
  </si>
  <si>
    <t>17th European Conference on Information Systems, ECIS 2009</t>
  </si>
  <si>
    <t>http://www.scopus.com/inward/record.url?eid=2-s2.0-84870669795&amp;partnerID=40&amp;md5=bc9fbb83144fb1dca524a2cffece67e1</t>
  </si>
  <si>
    <t>A social network analysis of the co-authorship network of the pacific asia conference on information systems from 1993 TO 2008</t>
  </si>
  <si>
    <t>http://www.scopus.com/inward/record.url?eid=2-s2.0-84855697859&amp;partnerID=40&amp;md5=f39c6a9f7e0e123ae2654a350c84fdb8</t>
  </si>
  <si>
    <t>Rivinus, C., Baloh, P., Desouza, K.</t>
  </si>
  <si>
    <t>Improving data visualization for high-density information transfer in social network analysis tools</t>
  </si>
  <si>
    <t>http://www.scopus.com/inward/record.url?eid=2-s2.0-84870778911&amp;partnerID=40&amp;md5=9a3bf0082caedc0127cc038b5d73d3c2</t>
  </si>
  <si>
    <t>Will the information security industry die? Applying social network analysis to study industry convergence</t>
  </si>
  <si>
    <t>http://www.scopus.com/inward/record.url?eid=2-s2.0-84870556295&amp;partnerID=40&amp;md5=00c1090c521e817c6d7e0507e0baa3d5</t>
  </si>
  <si>
    <t>Basuchowdhuri, P., Chen, J., Chen, P.P.</t>
  </si>
  <si>
    <t>Degree-based approximate sub-graph matching for social network analysis in terrorist detection</t>
  </si>
  <si>
    <t>Proceedings of the 2009 International Conference on Artificial Intelligence, ICAI 2009</t>
  </si>
  <si>
    <t>http://www.scopus.com/inward/record.url?eid=2-s2.0-84866118185&amp;partnerID=40&amp;md5=8ad276efb9308599103c133d3fc6eee3</t>
  </si>
  <si>
    <t>Gruzd, A.</t>
  </si>
  <si>
    <t>Automated discovery of social networks in text-based online communities</t>
  </si>
  <si>
    <t>GROUP'09 - Proceedings of the 2009 ACM SIGCHI International Conference on Supporting Group Work</t>
  </si>
  <si>
    <t>http://www.scopus.com/inward/record.url?eid=2-s2.0-77950466224&amp;partnerID=40&amp;md5=6e36c03af2fa3f1ed6f4d5ee710544b1</t>
  </si>
  <si>
    <t>Kianmehr, K., Peng, X., Luce, C., Chung, J., Pham, N., Chung, W., Alhajj, R., Rokne, J., Barker, K.</t>
  </si>
  <si>
    <t>Mining online shopping patterns and communities</t>
  </si>
  <si>
    <t>iiWAS2009 - The 11th International Conference on Information Integration and Web-based Applications and Services</t>
  </si>
  <si>
    <t>http://www.scopus.com/inward/record.url?eid=2-s2.0-77954612703&amp;partnerID=40&amp;md5=b2af372f68657234a51546fcc60db14c</t>
  </si>
  <si>
    <t>Opinion and relationship mining in online forums</t>
  </si>
  <si>
    <t>Proceedings - 2009 IEEE/WIC/ACM International Conference on Web Intelligence, WI 2009</t>
  </si>
  <si>
    <t>http://www.scopus.com/inward/record.url?eid=2-s2.0-78651448879&amp;partnerID=40&amp;md5=459b1bbb290be0c34b1a5c92f827644a</t>
  </si>
  <si>
    <t>Yew, J.</t>
  </si>
  <si>
    <t>Social performances: Understanding the motivations for online participatory behavior</t>
  </si>
  <si>
    <t>http://www.scopus.com/inward/record.url?eid=2-s2.0-77950479179&amp;partnerID=40&amp;md5=c2d2d842c8f761f25e034b5276cee4ea</t>
  </si>
  <si>
    <t>Beimborn, D., Moos, B., Schlosser, F., Weitzel, T.</t>
  </si>
  <si>
    <t>The role of client-internal social linkages for outsourcing success - An SNA approach</t>
  </si>
  <si>
    <t>http://www.scopus.com/inward/record.url?eid=2-s2.0-84870333457&amp;partnerID=40&amp;md5=dd76467ca1b7274435167983a9a1559d</t>
  </si>
  <si>
    <t>O Riordan, N., Adam, F., O'Reilly, P.</t>
  </si>
  <si>
    <t>Innovation in virtual worlds: Social structure and diffusion</t>
  </si>
  <si>
    <t>http://www.scopus.com/inward/record.url?eid=2-s2.0-84870687379&amp;partnerID=40&amp;md5=4769f0ecf08f67e020cf00eefa2227cd</t>
  </si>
  <si>
    <t>Li, J., Cheung, W.K., Liu, J., Li, C.H.</t>
  </si>
  <si>
    <t>On discovering community trends in social networks</t>
  </si>
  <si>
    <t>http://www.scopus.com/inward/record.url?eid=2-s2.0-84863115696&amp;partnerID=40&amp;md5=4f6937508a9d499b6a2a98390e6e4e3a</t>
  </si>
  <si>
    <t>Secundo, G., Grippa, F.</t>
  </si>
  <si>
    <t>Monitoring students learning networks dynamics in higher education</t>
  </si>
  <si>
    <t>http://www.scopus.com/inward/record.url?eid=2-s2.0-84555219514&amp;partnerID=40&amp;md5=bd267531e74560c20339165c0e0243d2</t>
  </si>
  <si>
    <t>Tang, J., Wang, T., Wang, J., Wei, D.</t>
  </si>
  <si>
    <t>Efficient social network approximate analysis on blogosphere based on network structure characteristics</t>
  </si>
  <si>
    <t>Proceedings of the 3rd Workshop on Social Network Mining and Analysis, SNA-KDD '09</t>
  </si>
  <si>
    <t>http://www.scopus.com/inward/record.url?eid=2-s2.0-77951468668&amp;partnerID=40&amp;md5=46a3933180c90a4feeb6802889f7d212</t>
  </si>
  <si>
    <t>Abdelaal, A., Ali, H.</t>
  </si>
  <si>
    <t>Analyzing community contributions to the development of community wireless networks</t>
  </si>
  <si>
    <t>http://www.scopus.com/inward/record.url?eid=2-s2.0-84870704808&amp;partnerID=40&amp;md5=49a67fa971157aba9dba170111c1ec93</t>
  </si>
  <si>
    <t>Bakharia, A., Heathcote, E., Dawson, S.</t>
  </si>
  <si>
    <t>Social networks adapting pedagogical practice: SNAPP</t>
  </si>
  <si>
    <t>ASCILITE 2009 - The Australasian Society for Computers in Learning in Tertiary Education</t>
  </si>
  <si>
    <t>http://www.scopus.com/inward/record.url?eid=2-s2.0-84870934605&amp;partnerID=40&amp;md5=50b2de145fbc5beefc0b9925b8d140f2</t>
  </si>
  <si>
    <t>Rajasingh, I., Rajan, B., Florence, I.D.</t>
  </si>
  <si>
    <t>Betweeness-centrality of grid networks</t>
  </si>
  <si>
    <t>ICCTD 2009 - 2009 International Conference on Computer Technology and Development</t>
  </si>
  <si>
    <t>http://www.scopus.com/inward/record.url?eid=2-s2.0-77951113686&amp;partnerID=40&amp;md5=39570425e05560142bf958bcb2f34abf</t>
  </si>
  <si>
    <t>Reijsen, J.V., Helms, R., Jackson, T., Vleugel, A., Tedmori, S.</t>
  </si>
  <si>
    <t>Mining e-Mail to leverage knowledge networks in organizations</t>
  </si>
  <si>
    <t>http://www.scopus.com/inward/record.url?eid=2-s2.0-84871087005&amp;partnerID=40&amp;md5=770b028bd2114761e02f3cd22a930b74</t>
  </si>
  <si>
    <t>Revealing knowledge networks from computer mediated communication in organizations</t>
  </si>
  <si>
    <t>http://www.scopus.com/inward/record.url?eid=2-s2.0-84870680519&amp;partnerID=40&amp;md5=2a21176196d37d7d19bfb3334af516eb</t>
  </si>
  <si>
    <t>Jiang, T., Wang, X.</t>
  </si>
  <si>
    <t>How do bloggers comment: An empirical analysis of the commenting network of a blogging community</t>
  </si>
  <si>
    <t>http://www.scopus.com/inward/record.url?eid=2-s2.0-84870960180&amp;partnerID=40&amp;md5=ee430727bfc472d9b6b56ade0e21e8f2</t>
  </si>
  <si>
    <t>Panchal, J.H.</t>
  </si>
  <si>
    <t>Co-evolution of products &amp; communities in mass collaborative product development - A computational exploration</t>
  </si>
  <si>
    <t>DS 58-1: Proceedings of ICED 09, the 17th International Conference on Engineering Design</t>
  </si>
  <si>
    <t>http://www.scopus.com/inward/record.url?eid=2-s2.0-84859224616&amp;partnerID=40&amp;md5=0ab0894e5c467c6d8e56d3ef19ef46ea</t>
  </si>
  <si>
    <t>Snášel, V., Horák, Z., Kočíbová, J., Abraham, A.</t>
  </si>
  <si>
    <t>Analyzing social networks using FCA: Complexity aspects</t>
  </si>
  <si>
    <t>Proceedings - 2009 IEEE/WIC/ACM International Conference on Web Intelligence and Intelligent Agent Technology - Workshops, WI-IAT Workshops 2009</t>
  </si>
  <si>
    <t>http://www.scopus.com/inward/record.url?eid=2-s2.0-84856895573&amp;partnerID=40&amp;md5=0674b6090f6c0ecfa3e82993ce81dec7</t>
  </si>
  <si>
    <t>Nankani, E., Simoff, S.</t>
  </si>
  <si>
    <t>Predictive analytics that takes in account network relations: A case study of research data of a contemporary university</t>
  </si>
  <si>
    <t>http://www.scopus.com/inward/record.url?eid=2-s2.0-84870509596&amp;partnerID=40&amp;md5=51b672d5711f337a0efb765552cd18db</t>
  </si>
  <si>
    <t>Gomez, M., Pryke, S.</t>
  </si>
  <si>
    <t>An examination of tacit knowledge networks in a colombian construction project: Communities of practice and project culture</t>
  </si>
  <si>
    <t>Association of Researchers in Construction Management, ARCOM 2009 - Proceedings of the 25th Annual Conference</t>
  </si>
  <si>
    <t>http://www.scopus.com/inward/record.url?eid=2-s2.0-84861033898&amp;partnerID=40&amp;md5=4eed3dd03d5127bd0269dd22bc406a8e</t>
  </si>
  <si>
    <t>Xu, J.</t>
  </si>
  <si>
    <t>Identifying cohesive local community structure in networks</t>
  </si>
  <si>
    <t>http://www.scopus.com/inward/record.url?eid=2-s2.0-84870963755&amp;partnerID=40&amp;md5=7046076c946c267ebf32048d826379b0</t>
  </si>
  <si>
    <t>Kunegis, J., Lommatzsch, A., Bauckhage, C.</t>
  </si>
  <si>
    <t>The Slashdot Zoo: Mining a social network with negative edges</t>
  </si>
  <si>
    <t>WWW'09 - Proceedings of the 18th International World Wide Web Conference</t>
  </si>
  <si>
    <t>http://www.scopus.com/inward/record.url?eid=2-s2.0-77952646278&amp;partnerID=40&amp;md5=7598a0ef623d9c73d2d2193c71e0597f</t>
  </si>
  <si>
    <t>Lospinoso, J., McCulloh, I., Carley, K.M.</t>
  </si>
  <si>
    <t>Utility seeking in complex social systems: An applied longitudinal network study on command and control</t>
  </si>
  <si>
    <t>Adaptive and Emergent Behaviour and Complex Systems - Proceedings of the 23rd Convention of the Society for the Study of Artificial Intelligence and Simulation of Behaviour, AISB 2009</t>
  </si>
  <si>
    <t>http://www.scopus.com/inward/record.url?eid=2-s2.0-84859044066&amp;partnerID=40&amp;md5=2d4c45ba9c53d00329232154b6deafa7</t>
  </si>
  <si>
    <t>Unamuno, A.</t>
  </si>
  <si>
    <t>Mapping organizational knowledge networks for breaking down silos</t>
  </si>
  <si>
    <t>WMSCI 2009 - The 13th World Multi-Conference on Systemics, Cybernetics and Informatics, Jointly with the 15th International Conference on Information Systems Analysis and Synthesis, ISAS 2009 - Proc.</t>
  </si>
  <si>
    <t>http://www.scopus.com/inward/record.url?eid=2-s2.0-84867259317&amp;partnerID=40&amp;md5=42a9695511f3b17455866811fc0fb75f</t>
  </si>
  <si>
    <t>Fuhrer, C., Cucchi, A., Picard, P.</t>
  </si>
  <si>
    <t>IT relational capabilities: Is the concept of technical-social capital meaningful? [Les capacités relationnelles des technologies de l'information: Le concept de capital technico-social a-t-il un sens?]</t>
  </si>
  <si>
    <t>14th International Conference of the Association Information and Management 2009, AIM 2009</t>
  </si>
  <si>
    <t>http://www.scopus.com/inward/record.url?eid=2-s2.0-84870468944&amp;partnerID=40&amp;md5=9ce5955ef8fc1d6f43c932c908761c49</t>
  </si>
  <si>
    <t>Web-enabled boundary spanners and their role in the knowledge flow network</t>
  </si>
  <si>
    <t>http://www.scopus.com/inward/record.url?eid=2-s2.0-84870656286&amp;partnerID=40&amp;md5=88b563d5db9b21018432b52aca29837f</t>
  </si>
  <si>
    <t>Retzer, S., Yoong, P.</t>
  </si>
  <si>
    <t>Inter-organisational knowledge transfer and computer mediated social networking</t>
  </si>
  <si>
    <t>5322 LNAI</t>
  </si>
  <si>
    <t>http://www.scopus.com/inward/record.url?eid=2-s2.0-77949375893&amp;partnerID=40&amp;md5=0ec5f056deec37307e23e335edc2f1d8</t>
  </si>
  <si>
    <t>Hurault-Plantet, M., Naulleau, E., Jacquemin, B.</t>
  </si>
  <si>
    <t>GraphDuplex: Simultaneous visualization of the 2 by 2 coupled N networks [GraphDuplex : Visualisation simultanée de N réseaux couplés 2 par 2]</t>
  </si>
  <si>
    <t>CORIA 2009: Actes de la Sixieme Conference Francophone en Recherche d'Information et Applications - Proceedings of the Sixth French Conference on Information Retrieval and Applications</t>
  </si>
  <si>
    <t>http://www.scopus.com/inward/record.url?eid=2-s2.0-84870621824&amp;partnerID=40&amp;md5=520033d769e64b344d84f61dfa1feeae</t>
  </si>
  <si>
    <t>Montazemi, A.R., Pittaway, J.J., Keshavjee, K.</t>
  </si>
  <si>
    <t>Disenfranchised patients: A network analysis of IS integration in the context of patient-centered care</t>
  </si>
  <si>
    <t>http://www.scopus.com/inward/record.url?eid=2-s2.0-84870275343&amp;partnerID=40&amp;md5=6b49c2e7a436dfdb60f8cf0cd275ac6c</t>
  </si>
  <si>
    <t>Kwon, Y.-S., Kim, S.-W., Park, S.</t>
  </si>
  <si>
    <t>An analysis of information diffusion in the blog world</t>
  </si>
  <si>
    <t>http://www.scopus.com/inward/record.url?eid=2-s2.0-74049106953&amp;partnerID=40&amp;md5=646c97d3c03d10e49149b52504cf29bc</t>
  </si>
  <si>
    <t>Lin, Y.-R., Sun, J., Castro, P., Konuru, R., Sundaram, H., Kelliher, A.</t>
  </si>
  <si>
    <t>Extracting community structure through relational hypergraphs</t>
  </si>
  <si>
    <t>http://www.scopus.com/inward/record.url?eid=2-s2.0-84865636178&amp;partnerID=40&amp;md5=25cc71170cca38efd22ca859084d7520</t>
  </si>
  <si>
    <t>Jamali, S., Rangwala, H.</t>
  </si>
  <si>
    <t>Digging Digg: Comment mining, popularity prediction, and social network analysis</t>
  </si>
  <si>
    <t>2009 International Conference on Web Information Systems and Mining, WISM 2009</t>
  </si>
  <si>
    <t>http://www.scopus.com/inward/record.url?eid=2-s2.0-77749289749&amp;partnerID=40&amp;md5=7f554ce99d02917ed570725b993e704c</t>
  </si>
  <si>
    <t>Lim, S., Malladi, S., Saldanha, T., Melville, N.P.</t>
  </si>
  <si>
    <t>Theories used in information systems research: Identifying theory networks in leading is journals</t>
  </si>
  <si>
    <t>http://www.scopus.com/inward/record.url?eid=2-s2.0-84870967144&amp;partnerID=40&amp;md5=a2bbd47a8a72061f6ca9ecb7ff96dd3d</t>
  </si>
  <si>
    <t>Park, H.H., Rethemeyer, R.K., Hatmaker, D.M.</t>
  </si>
  <si>
    <t>The politics of connections: Assessing the determinants of social structure in policy networks</t>
  </si>
  <si>
    <t>Academy of Management 2009 Annual Meeting: Green Management Matters, AOM 2009</t>
  </si>
  <si>
    <t>http://www.scopus.com/inward/record.url?eid=2-s2.0-84863349820&amp;partnerID=40&amp;md5=dbf86fbf0ed2357f57604ba6e0cd4392</t>
  </si>
  <si>
    <t>Brandes, U., Kenis, P., Lerner, J., Van Raaij, D.</t>
  </si>
  <si>
    <t>Network analysis of collaboration structure in Wikipedia</t>
  </si>
  <si>
    <t>http://www.scopus.com/inward/record.url?eid=2-s2.0-70849106743&amp;partnerID=40&amp;md5=67f6fb5f5aa90f66425a9b2600c9e461</t>
  </si>
  <si>
    <t>Haynes, J., Perisic, I.</t>
  </si>
  <si>
    <t>Mapping search relevance to social networks</t>
  </si>
  <si>
    <t>http://www.scopus.com/inward/record.url?eid=2-s2.0-77951437297&amp;partnerID=40&amp;md5=f7644de0f36f53f22828f5b04e43e803</t>
  </si>
  <si>
    <t>Lambropoulos, N., Kampylis, P., Bakharia, A.</t>
  </si>
  <si>
    <t>User innovation networks and research challenges</t>
  </si>
  <si>
    <t>5621 LNCS</t>
  </si>
  <si>
    <t>http://www.scopus.com/inward/record.url?eid=2-s2.0-76649132970&amp;partnerID=40&amp;md5=173fbd10adff7e0cf0e18025dd2afbf2</t>
  </si>
  <si>
    <t>Svihla, V.</t>
  </si>
  <si>
    <t>Methods for triangulation and revealing interaction</t>
  </si>
  <si>
    <t>Computer Supported Collaborative Learning Practices, CSCL 2009 Community Events Proceedings - 9th International Conference</t>
  </si>
  <si>
    <t>http://www.scopus.com/inward/record.url?eid=2-s2.0-84858396805&amp;partnerID=40&amp;md5=406b8b2bd10e12ca345e3e93e05f7ffb</t>
  </si>
  <si>
    <t>Ho, Z.W., Chang, K.T.-T.</t>
  </si>
  <si>
    <t>Simmelian ties, organizational justice, and knowledge sharing in virtual workgroups: Research-in-Progress</t>
  </si>
  <si>
    <t>http://www.scopus.com/inward/record.url?eid=2-s2.0-84870675876&amp;partnerID=40&amp;md5=9e6a0fb841d889c1351226b68f4f133d</t>
  </si>
  <si>
    <t>Ignacio, R., Helms, R., Brinkkemper, S., Zonneveld, A.</t>
  </si>
  <si>
    <t>Limitations of network analysis for studying efficiency and effectiveness of knowledge sharing</t>
  </si>
  <si>
    <t>http://www.scopus.com/inward/record.url?eid=2-s2.0-84872671009&amp;partnerID=40&amp;md5=a9cf6c813fba157116bb6e73bb72d17e</t>
  </si>
  <si>
    <t>Wang, G.A., Jiao, J., Fan, W.</t>
  </si>
  <si>
    <t>Searching for authoritative documents in knowledge-based communities</t>
  </si>
  <si>
    <t>http://www.scopus.com/inward/record.url?eid=2-s2.0-84870969620&amp;partnerID=40&amp;md5=a85b9ee4954c16e9bc12060a115a2fa4</t>
  </si>
  <si>
    <t>Chang, C.-H., Wang, J.-C.</t>
  </si>
  <si>
    <t>A study of MIS scholar community development via a collaboration network structures analysis</t>
  </si>
  <si>
    <t>http://www.scopus.com/inward/record.url?eid=2-s2.0-84870266828&amp;partnerID=40&amp;md5=69dd3c2f59a2352c49bced4d1f75493f</t>
  </si>
  <si>
    <t>Bodner, D.A., Mutnury, B., Cases, M., Rouse, W.B.</t>
  </si>
  <si>
    <t>Modeling design services for improving service delivery effectiveness</t>
  </si>
  <si>
    <t>Designcon 2009</t>
  </si>
  <si>
    <t>http://www.scopus.com/inward/record.url?eid=2-s2.0-84866405133&amp;partnerID=40&amp;md5=bbfd19ff63a58d2cc8d5b5a1bd2240e1</t>
  </si>
  <si>
    <t>http://www.scopus.com/inward/record.url?eid=2-s2.0-74549117183&amp;partnerID=40&amp;md5=44ce27d66defde709cde06da98ff9744</t>
  </si>
  <si>
    <t>Figueira, Á.</t>
  </si>
  <si>
    <t>Temporal online interactions using social network analysis</t>
  </si>
  <si>
    <t>5794 LNCS</t>
  </si>
  <si>
    <t>http://www.scopus.com/inward/record.url?eid=2-s2.0-70450220300&amp;partnerID=40&amp;md5=6f37a0fd38050271cafcdb6638488cb2</t>
  </si>
  <si>
    <t>Structure in online social networks: Bridging the micro-macro gap</t>
  </si>
  <si>
    <t>http://www.scopus.com/inward/record.url?eid=2-s2.0-70450199073&amp;partnerID=40&amp;md5=f9aef24da0a846484d9dca9e150c6746</t>
  </si>
  <si>
    <t>Nguyen-Ngoc, A.V., Law, E.L.-C.</t>
  </si>
  <si>
    <t>Analysis of weblog-based facilitation of a fully online cross-cultural collaborative learning course</t>
  </si>
  <si>
    <t>http://www.scopus.com/inward/record.url?eid=2-s2.0-70450200276&amp;partnerID=40&amp;md5=58797529ed6d748f645b54208ee2ad39</t>
  </si>
  <si>
    <t>Yang, C.C., Tang, X.</t>
  </si>
  <si>
    <t>Social networks integration and privacy preservation using subgraph generalization</t>
  </si>
  <si>
    <t>Proceedings of the ACM SIGKDD Workshop on CyberSecurity and Intelligence Informatics, CSI-KDD in Conjunction with SIGKDD'09</t>
  </si>
  <si>
    <t>http://www.scopus.com/inward/record.url?eid=2-s2.0-70449657763&amp;partnerID=40&amp;md5=a0014673db32b5ef0ea4d2dac9515dc9</t>
  </si>
  <si>
    <t>2009 International Conference on Education Technology and Computer, ICETC 2009</t>
  </si>
  <si>
    <t>http://www.scopus.com/inward/record.url?eid=2-s2.0-70449675009&amp;partnerID=40&amp;md5=1dae42e75ee04116eb1f535f3301982a</t>
  </si>
  <si>
    <t>Students' interactions in online asynchronous discussion forum: A social network analysis</t>
  </si>
  <si>
    <t>http://www.scopus.com/inward/record.url?eid=2-s2.0-70449574195&amp;partnerID=40&amp;md5=c369e05ded46450277214a052504ebdd</t>
  </si>
  <si>
    <t>Wang, J., Chen, H., Zhang, Y.</t>
  </si>
  <si>
    <t>Mining user behavior pattern in mashup community</t>
  </si>
  <si>
    <t>2009 IEEE International Conference on Information Reuse and Integration, IRI 2009</t>
  </si>
  <si>
    <t>http://www.scopus.com/inward/record.url?eid=2-s2.0-70449370063&amp;partnerID=40&amp;md5=f98cdc512a4628bae0c9ddce0b5dca2c</t>
  </si>
  <si>
    <t>MetaFac: Community discovery via relational hypergraph factorization</t>
  </si>
  <si>
    <t>http://www.scopus.com/inward/record.url?eid=2-s2.0-71049136197&amp;partnerID=40&amp;md5=8363654e498c21f18f8b9c87a5875ccd</t>
  </si>
  <si>
    <t>Ackland, R.</t>
  </si>
  <si>
    <t>Social network services as data sources and platforms for e-researching Social networks</t>
  </si>
  <si>
    <t>Social Science Computer Review</t>
  </si>
  <si>
    <t>http://www.scopus.com/inward/record.url?eid=2-s2.0-70350491885&amp;partnerID=40&amp;md5=cf909ceef41c747a300546dbdb07a7b1</t>
  </si>
  <si>
    <t>Ma, Z., Sheng, O.R.L., Pant, G.</t>
  </si>
  <si>
    <t>Discovering company revenue relations from news: A network approach</t>
  </si>
  <si>
    <t>http://www.scopus.com/inward/record.url?eid=2-s2.0-72049121891&amp;partnerID=40&amp;md5=af29f212eda547b42734c0d566c37714</t>
  </si>
  <si>
    <t>Video knowledge augmentation based on summarized contents and online media</t>
  </si>
  <si>
    <t>Proceedings - IEEE International Symposium on Circuits and Systems</t>
  </si>
  <si>
    <t>http://www.scopus.com/inward/record.url?eid=2-s2.0-70350141727&amp;partnerID=40&amp;md5=1da89e3ca8ed926bd301fd42938552bd</t>
  </si>
  <si>
    <t>Hengmin, Z., Zeng, D., Changli, Z.</t>
  </si>
  <si>
    <t>Finding leaders from opinion networks</t>
  </si>
  <si>
    <t>2009 IEEE International Conference on Intelligence and Security Informatics, ISI 2009</t>
  </si>
  <si>
    <t>http://www.scopus.com/inward/record.url?eid=2-s2.0-70350061814&amp;partnerID=40&amp;md5=aad97546c532d6132313dd45188e9283</t>
  </si>
  <si>
    <t>Proceedings of the 2009 International Conference on Advances in Social Network Analysis and Mining, ASONAM 2009</t>
  </si>
  <si>
    <t>http://www.scopus.com/inward/record.url?eid=2-s2.0-70349973067&amp;partnerID=40&amp;md5=e0e832b2dbfeefe92f42fc63f28e69d9</t>
  </si>
  <si>
    <t>Bermingham, A., Conway, M., Mclnerney, L., O'Hare, N., Smeaton, A.F.</t>
  </si>
  <si>
    <t>Combining social network analysis and sentiment analysis to explore the potential for online radicalisation</t>
  </si>
  <si>
    <t>http://www.scopus.com/inward/record.url?eid=2-s2.0-70349804705&amp;partnerID=40&amp;md5=4df84a94595c001c0f610bd0f7c15f41</t>
  </si>
  <si>
    <t>Zaphiris, P., Ang, C.S.</t>
  </si>
  <si>
    <t>Introduction to social network analysis</t>
  </si>
  <si>
    <t>5727 LNCS</t>
  </si>
  <si>
    <t>http://www.scopus.com/inward/record.url?eid=2-s2.0-70349572073&amp;partnerID=40&amp;md5=b6732ceceefcfe245749c797e48ab77c</t>
  </si>
  <si>
    <t>Lam, H.W., Wu, C.</t>
  </si>
  <si>
    <t>Finding influential ebay buyers for viral marketing - A conceptual model of buyerrank</t>
  </si>
  <si>
    <t>http://www.scopus.com/inward/record.url?eid=2-s2.0-70349483954&amp;partnerID=40&amp;md5=c5eb3f8880e9b4142008b154143d6776</t>
  </si>
  <si>
    <t>Wang, Y., Qiu, F.</t>
  </si>
  <si>
    <t>A web-based system for visualizing and analyzing interaction structure in online collaborative learning</t>
  </si>
  <si>
    <t>5686 LNCS</t>
  </si>
  <si>
    <t>http://www.scopus.com/inward/record.url?eid=2-s2.0-70349334112&amp;partnerID=40&amp;md5=b8c8c800e424afd88e63e2427b6fedd1</t>
  </si>
  <si>
    <t>Pfeil, U., Zaphiris, P.</t>
  </si>
  <si>
    <t>Investigating social network patterns within an empathic online community for older people</t>
  </si>
  <si>
    <t>http://www.scopus.com/inward/record.url?eid=2-s2.0-67650076444&amp;partnerID=40&amp;md5=da15a4d581f663d582c03f75fa2e755a</t>
  </si>
  <si>
    <t>Toral, S.L., Martínez-Torres, M.R., Barrero, F., Cortés, F.</t>
  </si>
  <si>
    <t>An empirical study of the driving forces behind online communities</t>
  </si>
  <si>
    <t>http://www.scopus.com/inward/record.url?eid=2-s2.0-70349639385&amp;partnerID=40&amp;md5=caeddeed7118fd4b55469ed2f9ad4763</t>
  </si>
  <si>
    <t>Nasir, A.N.M., Selamat, A., Selamat, M.H.</t>
  </si>
  <si>
    <t>Web mining for malaysia's political social networks using artificial immune system</t>
  </si>
  <si>
    <t>5465 LNAI</t>
  </si>
  <si>
    <t>http://www.scopus.com/inward/record.url?eid=2-s2.0-67650227450&amp;partnerID=40&amp;md5=c6dea5e44adae343b94dee5d0176ec72</t>
  </si>
  <si>
    <t>Hamulic, I., Bijedic, N.</t>
  </si>
  <si>
    <t>Social network analysis in virtual learning community at faculty of information technologies (fit), Mostar</t>
  </si>
  <si>
    <t>http://www.scopus.com/inward/record.url?eid=2-s2.0-67649403448&amp;partnerID=40&amp;md5=e7f5f463e8ddb12721bbacafccffac6d</t>
  </si>
  <si>
    <t>Park, H.W., Kluver, R.</t>
  </si>
  <si>
    <t>Trends in online networking among South Korean politicians - A mixed-method approach</t>
  </si>
  <si>
    <t>http://www.scopus.com/inward/record.url?eid=2-s2.0-67349130769&amp;partnerID=40&amp;md5=3f388acbbaf4a3df06b7c1adb5ae3cba</t>
  </si>
  <si>
    <t>Bollen, J., Van de Sompel, H., Hagberg, A., Chute, R.</t>
  </si>
  <si>
    <t>A principal component analysis of 39 scientific impact measures</t>
  </si>
  <si>
    <t xml:space="preserve"> e6022</t>
  </si>
  <si>
    <t>http://www.scopus.com/inward/record.url?eid=2-s2.0-67650667736&amp;partnerID=40&amp;md5=e4a443794184cb8f01d078efb3067eb9</t>
  </si>
  <si>
    <t>Wasko, M.M., Teigland, R., Faraj, S.</t>
  </si>
  <si>
    <t>The provision of online public goods: Examining social structure in an electronic network of practice</t>
  </si>
  <si>
    <t>http://www.scopus.com/inward/record.url?eid=2-s2.0-67349221769&amp;partnerID=40&amp;md5=64ca58ba61cc4950e965217bdfe98436</t>
  </si>
  <si>
    <t>Potgieter, A., April, K.A., Cooke, R.J.E., Osunmakinde, I.O.</t>
  </si>
  <si>
    <t>Temporality in link prediction: Understanding social complexity</t>
  </si>
  <si>
    <t>E:CO Emergence: Complexity and Organization</t>
  </si>
  <si>
    <t>http://www.scopus.com/inward/record.url?eid=2-s2.0-65749115452&amp;partnerID=40&amp;md5=2594577b7852a4d9148644683de50998</t>
  </si>
  <si>
    <t>Chai, C.S., Tan, S.C.</t>
  </si>
  <si>
    <t>Professional development of teachers for computer-supported collaborative learning: a knowledge-building approach</t>
  </si>
  <si>
    <t>Teachers College Record</t>
  </si>
  <si>
    <t>http://www.scopus.com/inward/record.url?eid=2-s2.0-67149147112&amp;partnerID=40&amp;md5=0ff85f0fa8ecba01bb147a928713c23d</t>
  </si>
  <si>
    <t>Buchegger, S., Datta, A.</t>
  </si>
  <si>
    <t>A case for P2P infrastructure for social networks - Opportunities and challenges</t>
  </si>
  <si>
    <t>WONS 2009 - 6th International Conference on Wireless On-demand Network Systems and Services</t>
  </si>
  <si>
    <t>http://www.scopus.com/inward/record.url?eid=2-s2.0-64849115333&amp;partnerID=40&amp;md5=de6b92a85a74763fc77aa56f7fabb8e3</t>
  </si>
  <si>
    <t>Mingxin, Z.</t>
  </si>
  <si>
    <t>Exploring adolescent peer relationships online and offline: An empirical and social network analysis</t>
  </si>
  <si>
    <t>Proceedings - 2009 WRI International Conference on Communications and Mobile Computing, CMC 2009</t>
  </si>
  <si>
    <t>http://www.scopus.com/inward/record.url?eid=2-s2.0-64749111465&amp;partnerID=40&amp;md5=6ee365b58efb62231c268ba1daeae27b</t>
  </si>
  <si>
    <t>Wu, J., Goh, K.Y.</t>
  </si>
  <si>
    <t>Evaluating longitudinal success of open source software projects: A social network perspective</t>
  </si>
  <si>
    <t>Proceedings of the 42nd Annual Hawaii International Conference on System Sciences, HICSS</t>
  </si>
  <si>
    <t>http://www.scopus.com/inward/record.url?eid=2-s2.0-78650760471&amp;partnerID=40&amp;md5=0b04b33888642645f7906f9be85492d8</t>
  </si>
  <si>
    <t>Manca, S., Delfino, M., Mazzoni, E.</t>
  </si>
  <si>
    <t>Coding procedures to analyse interaction patterns in educational web forums</t>
  </si>
  <si>
    <t>Journal of Computer Assisted Learning</t>
  </si>
  <si>
    <t>http://www.scopus.com/inward/record.url?eid=2-s2.0-62249177818&amp;partnerID=40&amp;md5=9d62d2996e685d52cdd99b1907d5e3cc</t>
  </si>
  <si>
    <t>Caiani, M., Wagemann, C.</t>
  </si>
  <si>
    <t>Online networks of the Italian and German extreme right</t>
  </si>
  <si>
    <t>http://www.scopus.com/inward/record.url?eid=2-s2.0-61449098532&amp;partnerID=40&amp;md5=b879ac6cc3e31acde30799301fef2497</t>
  </si>
  <si>
    <t>Schlager, M.S., Farooq, U., Fusco, J., Schank, P., Dwyer, N.</t>
  </si>
  <si>
    <t>Analyzing online teacher networks: Cyber networks require cyber research tools</t>
  </si>
  <si>
    <t>Journal of Teacher Education</t>
  </si>
  <si>
    <t>http://www.scopus.com/inward/record.url?eid=2-s2.0-58649117576&amp;partnerID=40&amp;md5=61fdf4ea6858971cfa4478cf30f274bd</t>
  </si>
  <si>
    <t>Zhang, J., Scardamalia, M., Reeve, R., Messina, R.</t>
  </si>
  <si>
    <t>Designs for collective cognitive responsibility in knowledge-building communities</t>
  </si>
  <si>
    <t>Journal of the Learning Sciences</t>
  </si>
  <si>
    <t>http://www.scopus.com/inward/record.url?eid=2-s2.0-61449118874&amp;partnerID=40&amp;md5=65a78d8f86dff142df86883ac25cac13</t>
  </si>
  <si>
    <t>Hsu, J.-L., Chou, H.-W.</t>
  </si>
  <si>
    <t>The effects of communicative genres on intra-group conflict in virtual student teams</t>
  </si>
  <si>
    <t>International Journal of Distance Education Technologies</t>
  </si>
  <si>
    <t>http://www.scopus.com/inward/record.url?eid=2-s2.0-70249140539&amp;partnerID=40&amp;md5=f60994044447d3fd47cb18dac6a56315</t>
  </si>
  <si>
    <t>Karamon, J., Matsuo, Y., Ishizuka, M.</t>
  </si>
  <si>
    <t>Generating useful network-based features for analyzing social networks</t>
  </si>
  <si>
    <t>http://www.scopus.com/inward/record.url?eid=2-s2.0-57749186851&amp;partnerID=40&amp;md5=366322e4a57bded5657efa6c6314bdb5</t>
  </si>
  <si>
    <t>Adamic, L.A., Zhang, J., Bakshy, E., Ackerman, M.S.</t>
  </si>
  <si>
    <t>Knowledge sharing and yahoo answers: Everyone knows something</t>
  </si>
  <si>
    <t>Proceeding of the 17th International Conference on World Wide Web 2008, WWW'08</t>
  </si>
  <si>
    <t>http://www.scopus.com/inward/record.url?eid=2-s2.0-57349163398&amp;partnerID=40&amp;md5=000fab9d0eab18ec8bc31bfab77cd5fc</t>
  </si>
  <si>
    <t>Charlton, T., Marshall, L., Devlin, M.</t>
  </si>
  <si>
    <t>Evaluating the extent to which sociability and social presence affects learning performance</t>
  </si>
  <si>
    <t>Proceedings of the Conference on Integrating Technology into Computer Science Education, ITiCSE</t>
  </si>
  <si>
    <t>http://www.scopus.com/inward/record.url?eid=2-s2.0-57349188960&amp;partnerID=40&amp;md5=10ed68f9b5ba82b51cd206e13b90ed56</t>
  </si>
  <si>
    <t>Santos, E.E., Santos Jr., E., Pan, L., Wilkinson, J.T.</t>
  </si>
  <si>
    <t>Culturally infused social network Analysis</t>
  </si>
  <si>
    <t>Proceedings of the 2008 International Conference on Artificial Intelligence, ICAI 2008 and Proceedings of the 2008 International Conference on Machine Learning; Models, Technologies and Applications</t>
  </si>
  <si>
    <t>http://www.scopus.com/inward/record.url?eid=2-s2.0-62749162643&amp;partnerID=40&amp;md5=4a474d74d1997bf86bd2b5158393d04f</t>
  </si>
  <si>
    <t>Kim, H., Barnett, G.A.</t>
  </si>
  <si>
    <t>Social network analysis using author co-citation data</t>
  </si>
  <si>
    <t>14th Americas Conference on Information Systems, AMCIS 2008</t>
  </si>
  <si>
    <t>http://www.scopus.com/inward/record.url?eid=2-s2.0-84870263418&amp;partnerID=40&amp;md5=88bc06ba439b06189fd3280a862165b4</t>
  </si>
  <si>
    <t>Neto, M., Correia, A.M., Pinto, P., Aguiar, J.</t>
  </si>
  <si>
    <t>Social network analysis applied to knowledge creation and transfer in the portuguese agricultural R&amp;D field: An exploratory study</t>
  </si>
  <si>
    <t>http://www.scopus.com/inward/record.url?eid=2-s2.0-84869223920&amp;partnerID=40&amp;md5=d1eda80995e1752a55b34c7893ab1758</t>
  </si>
  <si>
    <t>Mueller, C., Gronau, N., Lembcke, R.</t>
  </si>
  <si>
    <t>Application of social network analysis in knowledge processes</t>
  </si>
  <si>
    <t>16th European Conference on Information Systems, ECIS 2008</t>
  </si>
  <si>
    <t>http://www.scopus.com/inward/record.url?eid=2-s2.0-84870630780&amp;partnerID=40&amp;md5=f5f36b8d3235edfafa9988641eb4a386</t>
  </si>
  <si>
    <t>Vicente, M.</t>
  </si>
  <si>
    <t>Shift to the competences model: A social network analysis of open source professional developers</t>
  </si>
  <si>
    <t>13th International Conference of the Association Information and Management 2008, AIM 2008</t>
  </si>
  <si>
    <t>http://www.scopus.com/inward/record.url?eid=2-s2.0-84870429422&amp;partnerID=40&amp;md5=031e624551d306f8587d2877ad3d3bc5</t>
  </si>
  <si>
    <t>Figueira, A., Laranjeiro, J.</t>
  </si>
  <si>
    <t>Work in progress - iGraphs for characterization of online communities</t>
  </si>
  <si>
    <t>Proceedings - Frontiers in Education Conference, FIE</t>
  </si>
  <si>
    <t>F4E13</t>
  </si>
  <si>
    <t>F4E14</t>
  </si>
  <si>
    <t>http://www.scopus.com/inward/record.url?eid=2-s2.0-78650758965&amp;partnerID=40&amp;md5=cca70d22aee470b02314124d3174301a</t>
  </si>
  <si>
    <t>Wang, Y., Li, X.</t>
  </si>
  <si>
    <t>An exploration of social network analysis on cohesion in online collaborative learning</t>
  </si>
  <si>
    <t>Proceedings of 2008 IEEE International Symposium on IT in Medicine and Education, ITME 2008</t>
  </si>
  <si>
    <t>http://www.scopus.com/inward/record.url?eid=2-s2.0-62949221881&amp;partnerID=40&amp;md5=5972290ef100132312915a678c66cbdd</t>
  </si>
  <si>
    <t>Krauss, J., Nann, S., Simon, D., Fischbach, K., Gloor, P.</t>
  </si>
  <si>
    <t>Predicting movie success and academy awards through sentiment and social network analysis</t>
  </si>
  <si>
    <t>http://www.scopus.com/inward/record.url?eid=2-s2.0-84870634716&amp;partnerID=40&amp;md5=92501b489debd3585921d13f04b52ab7</t>
  </si>
  <si>
    <t>Pikas, C.K.</t>
  </si>
  <si>
    <t>Detecting communities in science blogs</t>
  </si>
  <si>
    <t>Proceedings - 4th IEEE International Conference on eScience, eScience 2008</t>
  </si>
  <si>
    <t>http://www.scopus.com/inward/record.url?eid=2-s2.0-62749187834&amp;partnerID=40&amp;md5=74148428e0cfbee62d7c9f786b10c96f</t>
  </si>
  <si>
    <t>Liaw, S., Wong, W., Liu, W., Glance, D.</t>
  </si>
  <si>
    <t>Extracting and analysing social networks of physicians</t>
  </si>
  <si>
    <t>Proceedings - 2008 IEEE/WIC/ACM International Conference on Web Intelligence and Intelligent Agent Technology - Workshops, WI-IAT Workshops 2008</t>
  </si>
  <si>
    <t>http://www.scopus.com/inward/record.url?eid=2-s2.0-62949109485&amp;partnerID=40&amp;md5=597f5dc131c23d8a159411e7c3f8ef61</t>
  </si>
  <si>
    <t>Brandes, U.</t>
  </si>
  <si>
    <t>Social network analysis and visualization: Applications Corner</t>
  </si>
  <si>
    <t>IEEE Signal Processing Magazine</t>
  </si>
  <si>
    <t>http://www.scopus.com/inward/record.url?eid=2-s2.0-70350366221&amp;partnerID=40&amp;md5=78d0e4b6cb85b82e41111c94f5be911e</t>
  </si>
  <si>
    <t>Use of ICT and organizational structure: An interpretation by social network analysis [Usage des TIC et structure organisationnelle: Une interprétation par l'analyse des réseaux sociaux]</t>
  </si>
  <si>
    <t>http://www.scopus.com/inward/record.url?eid=2-s2.0-84871045414&amp;partnerID=40&amp;md5=b580ca81ea4612cc1d2e0f58b7e8c7ef</t>
  </si>
  <si>
    <t>Krasnova, H., Hildebrand, T., Günther, O., Kovrigin, A., Nowobilska, A.</t>
  </si>
  <si>
    <t>Why participate in an online social network: An empirical analysis</t>
  </si>
  <si>
    <t>http://www.scopus.com/inward/record.url?eid=2-s2.0-84870652705&amp;partnerID=40&amp;md5=a9b610dcd7abdc1a7df28c7e2fc9e289</t>
  </si>
  <si>
    <t>Suthers, D., Chu, K.-H., Joseph, S.</t>
  </si>
  <si>
    <t>Socio-technical capital in online learning: A preliminary investigation</t>
  </si>
  <si>
    <t>Proceedings - ICCE 2008: 16th International Conference on Computers in Education</t>
  </si>
  <si>
    <t>http://www.scopus.com/inward/record.url?eid=2-s2.0-84856961954&amp;partnerID=40&amp;md5=d5fdefc996ee5da65d9cc61e9440b4fd</t>
  </si>
  <si>
    <t>Zhenhong, Z., Zhi, H.</t>
  </si>
  <si>
    <t>A phenomenographic study into conceptions of Social relations in online collaborative learning</t>
  </si>
  <si>
    <t>Proceedings - International Conference on Computer Science and Software Engineering, CSSE 2008</t>
  </si>
  <si>
    <t>http://www.scopus.com/inward/record.url?eid=2-s2.0-79951532872&amp;partnerID=40&amp;md5=0165409eb9168e2ab5c663a4c3303439</t>
  </si>
  <si>
    <t>Kowatsch, T., Maass, W.</t>
  </si>
  <si>
    <t>The impact of pre-defined terms on the vocabulary of collaborative indexing systems</t>
  </si>
  <si>
    <t>http://www.scopus.com/inward/record.url?eid=2-s2.0-84870650289&amp;partnerID=40&amp;md5=cc1b1b3a6a86c386e0e96e128bfc4c98</t>
  </si>
  <si>
    <t>Hu, D., Leon Zhao, J.</t>
  </si>
  <si>
    <t>Expert recommendation via semantic social networks [Recommandation experte via les réseaux sociaux sémantiques]</t>
  </si>
  <si>
    <t>ICIS 2008 Proceedings - Twenty Ninth International Conference on Information Systems</t>
  </si>
  <si>
    <t>http://www.scopus.com/inward/record.url?eid=2-s2.0-84870968260&amp;partnerID=40&amp;md5=71510dc75f3040a849f59cabe4b8824d</t>
  </si>
  <si>
    <t>Smyth, H., Pryke, S.</t>
  </si>
  <si>
    <t>Mapping relationship connections within the business development and client management process of project delivery organisations</t>
  </si>
  <si>
    <t>COBRA 2008 - Construction and Building Research Conference of the Royal Institution of Chartered Surveyors</t>
  </si>
  <si>
    <t>http://www.scopus.com/inward/record.url?eid=2-s2.0-84860356280&amp;partnerID=40&amp;md5=fe71f017212a5a0901e9b6ccc3b8b8df</t>
  </si>
  <si>
    <t>de Maggio, M., Grippa, F., Passiante, G.</t>
  </si>
  <si>
    <t>Social network and content analysis: An integrated methodology to investigate a global community evolution</t>
  </si>
  <si>
    <t>http://www.scopus.com/inward/record.url?eid=2-s2.0-84870268279&amp;partnerID=40&amp;md5=5a630c5e972656f000a9910673e54a77</t>
  </si>
  <si>
    <t>Suh, A., Shin, K.-S., Bock, G.-W.</t>
  </si>
  <si>
    <t>Social network and knowledge accessibility of project teams: A multi-level approach</t>
  </si>
  <si>
    <t>PACIS 2008 - 12th Pacific Asia Conference on Information Systems: Leveraging ICT for Resilient Organizations and Sustainable Growth in the Asia Pacific Region</t>
  </si>
  <si>
    <t>http://www.scopus.com/inward/record.url?eid=2-s2.0-84855597237&amp;partnerID=40&amp;md5=1b2e8a483142fdb3e02b4ac23ff959a9</t>
  </si>
  <si>
    <t>Berger, S.C., Hinz, O.</t>
  </si>
  <si>
    <t>The impact of social networks on inter-organizational effectiveness - The case of IPO deal networks</t>
  </si>
  <si>
    <t>http://www.scopus.com/inward/record.url?eid=2-s2.0-84870651001&amp;partnerID=40&amp;md5=65125371ed7189cdde02fe62dd036162</t>
  </si>
  <si>
    <t>Hamre, L., Vidgen, R.</t>
  </si>
  <si>
    <t>Using social networks and communities of practice to support information systems implementation</t>
  </si>
  <si>
    <t>http://www.scopus.com/inward/record.url?eid=2-s2.0-84870634943&amp;partnerID=40&amp;md5=b3e0b1e9dc1af1777337ba7d0ef54262</t>
  </si>
  <si>
    <t>Omasits, D., Noll, M., Hörlesberger, M.</t>
  </si>
  <si>
    <t>Influence of corporate culture on the effectiveness of communities of practice</t>
  </si>
  <si>
    <t>http://www.scopus.com/inward/record.url?eid=2-s2.0-84869214803&amp;partnerID=40&amp;md5=b85a1e808ee4ea54fd1813312072ebd6</t>
  </si>
  <si>
    <t>Riemer, K., Vom Brocke, J., Richter, D., Große Böckmann, S.</t>
  </si>
  <si>
    <t>Cooperation systems in research networks - Case evidence of network (MIS)fit and adoption challenges</t>
  </si>
  <si>
    <t>http://www.scopus.com/inward/record.url?eid=2-s2.0-84870627472&amp;partnerID=40&amp;md5=ace8e2973f398f47581b7e1b709e6408</t>
  </si>
  <si>
    <t>Ma, H., Yang, H., Lyu, M.R., King, I.</t>
  </si>
  <si>
    <t>SoRec: Social recommendation using probabilistic matrix factorization</t>
  </si>
  <si>
    <t>http://www.scopus.com/inward/record.url?eid=2-s2.0-70349257904&amp;partnerID=40&amp;md5=995c60a11e38e8b6ea7cbd0ce3660720</t>
  </si>
  <si>
    <t>Biddix, J.P., Han Woo Park</t>
  </si>
  <si>
    <t>Online networks of student protest: The case of the living wage campaign</t>
  </si>
  <si>
    <t>http://www.scopus.com/inward/record.url?eid=2-s2.0-55849119515&amp;partnerID=40&amp;md5=f9e8430b1c9f73b08478275322154572</t>
  </si>
  <si>
    <t>Schaefer, C.</t>
  </si>
  <si>
    <t>Motivations and usage patterns on social network sites</t>
  </si>
  <si>
    <t>http://www.scopus.com/inward/record.url?eid=2-s2.0-84870649861&amp;partnerID=40&amp;md5=4a04ca14fab7fe8f956f2bf694263601</t>
  </si>
  <si>
    <t>A comparison of evaluation networks and collaboration networks in open source software communities</t>
  </si>
  <si>
    <t>http://www.scopus.com/inward/record.url?eid=2-s2.0-84870267987&amp;partnerID=40&amp;md5=933b8c99019408ef1f8ad8b973ed4a3f</t>
  </si>
  <si>
    <t>Enkhsaikhan, M., Liu, W., Reynolds, M.</t>
  </si>
  <si>
    <t>Geographical and temporal visualisation of social relationships</t>
  </si>
  <si>
    <t>http://www.scopus.com/inward/record.url?eid=2-s2.0-84862955064&amp;partnerID=40&amp;md5=d6ea21340c71b60098c999c1ca4bbecf</t>
  </si>
  <si>
    <t>Guy, I., Jacovi, M., Meshulam, N., Ronen, I., Shahar, E.</t>
  </si>
  <si>
    <t>Public vs. private: Comparing public social network information with email</t>
  </si>
  <si>
    <t>http://www.scopus.com/inward/record.url?eid=2-s2.0-70349109830&amp;partnerID=40&amp;md5=8904ae8fbe23946186359693a5ad339c</t>
  </si>
  <si>
    <t>Falkowski, T., Barth, A., Spiliopoulou, M.</t>
  </si>
  <si>
    <t>Studying community dynamics with an incremental graph mining algorithm</t>
  </si>
  <si>
    <t>http://www.scopus.com/inward/record.url?eid=2-s2.0-84870274577&amp;partnerID=40&amp;md5=ea326a2b0a693bb9dbd2b9e1a6b68e94</t>
  </si>
  <si>
    <t>Halgin, D.</t>
  </si>
  <si>
    <t>All in the family: Network ties as determinants of reputation and identity in NCAA basketball</t>
  </si>
  <si>
    <t>Academy of Management 2008 Annual Meeting: The Questions We Ask, AOM 2008</t>
  </si>
  <si>
    <t>http://www.scopus.com/inward/record.url?eid=2-s2.0-84858392226&amp;partnerID=40&amp;md5=64f2ce20005ab8d524b0364efbc0d5ac</t>
  </si>
  <si>
    <t>Helms, R., van Reijsen, J.</t>
  </si>
  <si>
    <t>Impact of knowledge network structure on group performance of knowledge workers in a product software company</t>
  </si>
  <si>
    <t>http://www.scopus.com/inward/record.url?eid=2-s2.0-77957307692&amp;partnerID=40&amp;md5=e37ddb4a66afd4ebf8233ad4a578e66b</t>
  </si>
  <si>
    <t>Lin, Y.-R., Sundaram, H., Kelliher, A.</t>
  </si>
  <si>
    <t>Summarization of social activity over time: People, actions and concepts in dynamic networks</t>
  </si>
  <si>
    <t>http://www.scopus.com/inward/record.url?eid=2-s2.0-70349337433&amp;partnerID=40&amp;md5=a3f32f191b36d57fa1a0a7348b4dfce6</t>
  </si>
  <si>
    <t>Nowell, B.</t>
  </si>
  <si>
    <t>Problem frames in community collaboratives: Exploring the effect of frame alignment and obliviousness</t>
  </si>
  <si>
    <t>http://www.scopus.com/inward/record.url?eid=2-s2.0-84858417660&amp;partnerID=40&amp;md5=e65f9f8f80aa57386ad4db687f0983cb</t>
  </si>
  <si>
    <t>Intelligence and Security Informatics: First European Conference, EuroISI 2008 Esbjerg, Denmark, December 3-5, 2008 Proceedings</t>
  </si>
  <si>
    <t>5376 LNCS</t>
  </si>
  <si>
    <t>http://www.scopus.com/inward/record.url?eid=2-s2.0-58849126964&amp;partnerID=40&amp;md5=49927b4565c61cf930233b0e5bbcf686</t>
  </si>
  <si>
    <t>Capuruço, R.A.C., Capretz, L.F.</t>
  </si>
  <si>
    <t>A unifying framework for building social computing applications</t>
  </si>
  <si>
    <t>5288 LNAI</t>
  </si>
  <si>
    <t>http://www.scopus.com/inward/record.url?eid=2-s2.0-56649112724&amp;partnerID=40&amp;md5=0059bef4bdf6fbc9138d653e6df8c8f5</t>
  </si>
  <si>
    <t>Law, E.L.-C., Nguyen-Ngoc, A.V.</t>
  </si>
  <si>
    <t>Fostering self-directed learning with social software: Social network analysis and content analysis</t>
  </si>
  <si>
    <t>5192 LNCS</t>
  </si>
  <si>
    <t>http://www.scopus.com/inward/record.url?eid=2-s2.0-56449120347&amp;partnerID=40&amp;md5=e0b78e093fb8ca5bd9cd023bec47446c</t>
  </si>
  <si>
    <t>Ortega, J.-L., Aguillo, I.-F.</t>
  </si>
  <si>
    <t>Structural analysis of an online social network: The Spanish network of Flickr [Análisis estructural de una red social en línea: La red española de Flickr]</t>
  </si>
  <si>
    <t>Profesional de la Informacion</t>
  </si>
  <si>
    <t>http://www.scopus.com/inward/record.url?eid=2-s2.0-56849128396&amp;partnerID=40&amp;md5=ad9ca296a612eec8afca12f87121f8d5</t>
  </si>
  <si>
    <t>Li, Y., Huang, R.</t>
  </si>
  <si>
    <t>Analyzing peer interactions in computer-supported collaborative learning: Model, method and tool</t>
  </si>
  <si>
    <t>5169 LNCS</t>
  </si>
  <si>
    <t>http://www.scopus.com/inward/record.url?eid=2-s2.0-54249086165&amp;partnerID=40&amp;md5=ec87bbf5c4dada222ccd82b0c5f9e375</t>
  </si>
  <si>
    <t>Zhang, Y., Wu, Z., Chen, H., Sheng, H., Ma, J.</t>
  </si>
  <si>
    <t>Mining target marketing groups from users' web of trust on epinions</t>
  </si>
  <si>
    <t>SS-08-06</t>
  </si>
  <si>
    <t>http://www.scopus.com/inward/record.url?eid=2-s2.0-52449132677&amp;partnerID=40&amp;md5=1da8fda32e1f6c9c479428885528484b</t>
  </si>
  <si>
    <t>Nugroho, Y., Tampubolon, G.</t>
  </si>
  <si>
    <t>Network dynamics in the transition to democracy: Mapping global networks of contemporary Indonesian civil society</t>
  </si>
  <si>
    <t>http://www.scopus.com/inward/record.url?eid=2-s2.0-55249117750&amp;partnerID=40&amp;md5=bc4143883e0cfba8e00194f9b21e2e53</t>
  </si>
  <si>
    <t>Fu, T., Chen, H.</t>
  </si>
  <si>
    <t>Analysis of cyberactivism: A case study of online free Tibet activities</t>
  </si>
  <si>
    <t>IEEE International Conference on Intelligence and Security Informatics, 2008, IEEE ISI 2008</t>
  </si>
  <si>
    <t>http://www.scopus.com/inward/record.url?eid=2-s2.0-51849146985&amp;partnerID=40&amp;md5=1eee3a308d02b2cba53818b01b2e3e13</t>
  </si>
  <si>
    <t>http://www.scopus.com/inward/record.url?eid=2-s2.0-51849140423&amp;partnerID=40&amp;md5=6b3af928e315149b828228077cfb534a</t>
  </si>
  <si>
    <t>Trier, M.</t>
  </si>
  <si>
    <t>Towards dynamic visualization for understanding evolution of digital communication networks</t>
  </si>
  <si>
    <t>Information Systems Research</t>
  </si>
  <si>
    <t>http://www.scopus.com/inward/record.url?eid=2-s2.0-61349162458&amp;partnerID=40&amp;md5=4ee91e71b5cb00da04b3d9e62807b147</t>
  </si>
  <si>
    <t>Morzy, M.</t>
  </si>
  <si>
    <t>New algorithms for mining the reputation of participants of online auctions</t>
  </si>
  <si>
    <t>Algorithmica (New York)</t>
  </si>
  <si>
    <t>http://www.scopus.com/inward/record.url?eid=2-s2.0-49149120850&amp;partnerID=40&amp;md5=74abd38ef36d5b9d6b8883e73c3a7948</t>
  </si>
  <si>
    <t>Lin, S.-D., Chalupsky, H.</t>
  </si>
  <si>
    <t>Discovering and explaining abnormal nodes in semantic graphs</t>
  </si>
  <si>
    <t>IEEE Transactions on Knowledge and Data Engineering</t>
  </si>
  <si>
    <t>http://www.scopus.com/inward/record.url?eid=2-s2.0-46649095259&amp;partnerID=40&amp;md5=27cff65d740324c61304ced60052ad30</t>
  </si>
  <si>
    <t>Park, H.W., Thelwall, M.</t>
  </si>
  <si>
    <t>Developing network indicators for ideological landscapes from the political blogosphere in South Korea</t>
  </si>
  <si>
    <t>http://www.scopus.com/inward/record.url?eid=2-s2.0-51149117372&amp;partnerID=40&amp;md5=bed201a658d4030250395dea66a14334</t>
  </si>
  <si>
    <t>Fan, L., Li, B.</t>
  </si>
  <si>
    <t>VisoLink: A user-centric social relationship mining</t>
  </si>
  <si>
    <t>5009 LNAI</t>
  </si>
  <si>
    <t>http://www.scopus.com/inward/record.url?eid=2-s2.0-44649094033&amp;partnerID=40&amp;md5=7ca0ad32f63ae1facd3f5dc1032b4a41</t>
  </si>
  <si>
    <t>Vergeer, M., Hermans, L.</t>
  </si>
  <si>
    <t>Analysing online political discussions: Methodological considerations</t>
  </si>
  <si>
    <t>Javnost</t>
  </si>
  <si>
    <t>http://www.scopus.com/inward/record.url?eid=2-s2.0-48649107252&amp;partnerID=40&amp;md5=c80765e33f618393464e3b2bd1ea2fd0</t>
  </si>
  <si>
    <t>Markauskaite, L., Sutherland, L.M.</t>
  </si>
  <si>
    <t>Exploring individual and collaborative dimensions of knowledge building in an online learning community of practice</t>
  </si>
  <si>
    <t>Informatics in Education</t>
  </si>
  <si>
    <t>http://www.scopus.com/inward/record.url?eid=2-s2.0-43849107278&amp;partnerID=40&amp;md5=ebe002d7ffcb43141d80866cdb474330</t>
  </si>
  <si>
    <t>Malouf, R., Mullen, T.</t>
  </si>
  <si>
    <t>Taking sides: User classification for informal online political discourse</t>
  </si>
  <si>
    <t>http://www.scopus.com/inward/record.url?eid=2-s2.0-41649089293&amp;partnerID=40&amp;md5=82b6dd9d8f85e1695df9435f08d4b6f8</t>
  </si>
  <si>
    <t>Wang, J.-C., Chiu, C.-C.</t>
  </si>
  <si>
    <t>Recommending trusted online auction sellers using social network analysis</t>
  </si>
  <si>
    <t>http://www.scopus.com/inward/record.url?eid=2-s2.0-37349110851&amp;partnerID=40&amp;md5=4f386f98257fc0db22c14583c8117791</t>
  </si>
  <si>
    <t>Translating networked learning: Un-tying relational ties</t>
  </si>
  <si>
    <t>http://www.scopus.com/inward/record.url?eid=2-s2.0-40549094637&amp;partnerID=40&amp;md5=fe08b2d5cf1e826e8653c4a374802309</t>
  </si>
  <si>
    <t>Gloor, P.A., Paasivaara, M., Schoder, D., Willems, P.</t>
  </si>
  <si>
    <t>Finding collaborative innovation networks through correlating performance with social network structure</t>
  </si>
  <si>
    <t>International Journal of Production Research</t>
  </si>
  <si>
    <t>http://www.scopus.com/inward/record.url?eid=2-s2.0-36248992809&amp;partnerID=40&amp;md5=21e05c427878b1acea6a24d93480262a</t>
  </si>
  <si>
    <t>Shen, D., Nuankhieo, P., Huang, X., Amelung, C., Laffey, J.</t>
  </si>
  <si>
    <t>Using social network analysis to understand sense of community in an online learning environment</t>
  </si>
  <si>
    <t>Journal of Educational Computing Research</t>
  </si>
  <si>
    <t>http://www.scopus.com/inward/record.url?eid=2-s2.0-70350348384&amp;partnerID=40&amp;md5=e17ba9c31abbd470aa68d89fccef22cc</t>
  </si>
  <si>
    <t>Kim, Y.A., Srivastava, J.</t>
  </si>
  <si>
    <t>Impact of social influence in e-commerce decision making</t>
  </si>
  <si>
    <t>http://www.scopus.com/inward/record.url?eid=2-s2.0-36849055511&amp;partnerID=40&amp;md5=5b4e56caa5b38c2433ce3ef7f89472f9</t>
  </si>
  <si>
    <t>Cocciolo, A., Chae, H.S., Natriello, G.</t>
  </si>
  <si>
    <t>Using social network analysis to highlight an emerging online community of practice</t>
  </si>
  <si>
    <t>Computer-Supported Collaborative Learning Conference, CSCL</t>
  </si>
  <si>
    <t>http://www.scopus.com/inward/record.url?eid=2-s2.0-84861046184&amp;partnerID=40&amp;md5=4e735a9b77a2bbccf0443c690d0680ae</t>
  </si>
  <si>
    <t>Kehrwald, B.</t>
  </si>
  <si>
    <t>The ties that bind: Social presence, relations and productive collaboration in online learning environments</t>
  </si>
  <si>
    <t>ASCILITE 2007 - The Australasian Society for Computers in Learning in Tertiary Education</t>
  </si>
  <si>
    <t>http://www.scopus.com/inward/record.url?eid=2-s2.0-84870983523&amp;partnerID=40&amp;md5=9bc141c02fe2c6cc4a86b56138282fb6</t>
  </si>
  <si>
    <t>Law, E.L.-C., Nguyen-Ngoc, A.V., Kuru, S.</t>
  </si>
  <si>
    <t>Mixed-method validation of pedagogical concepts for an intercultural online learning environment: A case study</t>
  </si>
  <si>
    <t>GROUP'07 - Proceedings of the 2007 International ACM Conference on Supporting Group Work</t>
  </si>
  <si>
    <t>http://www.scopus.com/inward/record.url?eid=2-s2.0-77950479463&amp;partnerID=40&amp;md5=732f8eaf5cdb3f1e65df5c51356ef925</t>
  </si>
  <si>
    <t>Chang, Y.-J., Chang, Y.-S., Hsu, S.-Y., Chen, C.-H.</t>
  </si>
  <si>
    <t>Social network analysis to blog-based online community</t>
  </si>
  <si>
    <t>2007 International Conference on Convergence Information Technology, ICCIT 2007</t>
  </si>
  <si>
    <t>http://www.scopus.com/inward/record.url?eid=2-s2.0-49049095045&amp;partnerID=40&amp;md5=81064a800d58a5b9003370aebff34cb0</t>
  </si>
  <si>
    <t>Social network analysis of interaction in online learning communities</t>
  </si>
  <si>
    <t>Proceedings - The 7th IEEE International Conference on Advanced Learning Technologies, ICALT 2007</t>
  </si>
  <si>
    <t>http://www.scopus.com/inward/record.url?eid=2-s2.0-47649088189&amp;partnerID=40&amp;md5=b5de0bae851c311fdb5d9139bb0853a1</t>
  </si>
  <si>
    <t>Zaphiris, P., Pfeil, U.</t>
  </si>
  <si>
    <t>People and Computers XXI HCI.But Not as We Know It - Proceedings of HCI 2007: The 21st British HCI Group Annual Conference</t>
  </si>
  <si>
    <t>http://www.scopus.com/inward/record.url?eid=2-s2.0-84860521303&amp;partnerID=40&amp;md5=de03a68c84f52108b90bedbd8e1324cf</t>
  </si>
  <si>
    <t>Kumar, P., Zhang, K.</t>
  </si>
  <si>
    <t>Social network analysis of online marketplaces</t>
  </si>
  <si>
    <t>Proceedings - ICEBE 2007: IEEE International Conference on e-Business Engineering - Workshops: SOAIC 2007; SOSE 2007; SOKM 2007</t>
  </si>
  <si>
    <t>http://www.scopus.com/inward/record.url?eid=2-s2.0-47349118538&amp;partnerID=40&amp;md5=172078a9e19be5cc841fc97de472f88e</t>
  </si>
  <si>
    <t>Gamberini, L., Martino, F., Scarpetta, F., Spoto, A., Spagnolli, A.</t>
  </si>
  <si>
    <t>Unveiling the structure: Effects of social feedback on communication activity in online multiplayer videogames</t>
  </si>
  <si>
    <t>4564 LNCS</t>
  </si>
  <si>
    <t>http://www.scopus.com/inward/record.url?eid=2-s2.0-38149024038&amp;partnerID=40&amp;md5=85328035f0c2efa00ffabacf304af38b</t>
  </si>
  <si>
    <t>Wu, J., Goh, K.Y., Tang, Q.</t>
  </si>
  <si>
    <t>Investigating success of open source software projects: Asocial network perspective</t>
  </si>
  <si>
    <t>ICIS 2007 Proceedings - Twenty Eighth International Conference on Information Systems</t>
  </si>
  <si>
    <t>http://www.scopus.com/inward/record.url?eid=2-s2.0-84870970977&amp;partnerID=40&amp;md5=67d764f4df03d76dea6c3e990ecf94a5</t>
  </si>
  <si>
    <t>Chen, F.-C., Jiang, H.-M.</t>
  </si>
  <si>
    <t>Using social network analysis to explore the dynamics of tele-mentors' meta-support in practice</t>
  </si>
  <si>
    <t>http://www.scopus.com/inward/record.url?eid=2-s2.0-84861076943&amp;partnerID=40&amp;md5=de8aaed14c97d71f924228b9ae40bf10</t>
  </si>
  <si>
    <t>Hasan Murshed, S.T., Davis, J.G., Hossain, L.</t>
  </si>
  <si>
    <t>Social network analysis and organizational disintegration: The case of enron corporation</t>
  </si>
  <si>
    <t>http://www.scopus.com/inward/record.url?eid=2-s2.0-84870970586&amp;partnerID=40&amp;md5=9cf086200ba0e372adda4380683307e2</t>
  </si>
  <si>
    <t>Harrer, A., Malzahn, N., Zeini, S., Hoppe, H.U.</t>
  </si>
  <si>
    <t>Combining social network analysis with semantic relations to support the evolution of a scientific community</t>
  </si>
  <si>
    <t>http://www.scopus.com/inward/record.url?eid=2-s2.0-84856175567&amp;partnerID=40&amp;md5=44148661d65a881d306312b90bbbb38e</t>
  </si>
  <si>
    <t>Yang, C., Wu, S.-H., Lee, J.</t>
  </si>
  <si>
    <t>A study of collaborative product commerce by co-citation analysis and social network analysis</t>
  </si>
  <si>
    <t>IEEM 2007: 2007 IEEE International Conference on Industrial Engineering and Engineering Management</t>
  </si>
  <si>
    <t>http://www.scopus.com/inward/record.url?eid=2-s2.0-40649083313&amp;partnerID=40&amp;md5=5c5c24537376edffb485cae46ecd7f4e</t>
  </si>
  <si>
    <t>Ehrlich, K., Lin, C.-Y., Griffiths-Fisher, V.</t>
  </si>
  <si>
    <t>Searching for experts in the enterprise: Combining text and social network analysis</t>
  </si>
  <si>
    <t>http://www.scopus.com/inward/record.url?eid=2-s2.0-70349902811&amp;partnerID=40&amp;md5=22965cb4c30157599597782e8865ab12</t>
  </si>
  <si>
    <t>Curran, J.A., Abidi, S.S.R.</t>
  </si>
  <si>
    <t>Evaluation of an online discussion forum for emergency practitioners</t>
  </si>
  <si>
    <t>Health Informatics Journal</t>
  </si>
  <si>
    <t>http://www.scopus.com/inward/record.url?eid=2-s2.0-36148933028&amp;partnerID=40&amp;md5=312f79db301cf5a0c0e828b3f913160e</t>
  </si>
  <si>
    <t>Sylvan, E.</t>
  </si>
  <si>
    <t>Network models of online communities of creators</t>
  </si>
  <si>
    <t>http://www.scopus.com/inward/record.url?eid=2-s2.0-84861021983&amp;partnerID=40&amp;md5=016cf1190074b260feac725e1873ca7d</t>
  </si>
  <si>
    <t>Phang, C.W., Chua, Z., Kankanhalli, A., Goh, K.Y.</t>
  </si>
  <si>
    <t>Investigating participation in online policy discussion forums over time: Does network structure matter?</t>
  </si>
  <si>
    <t>http://www.scopus.com/inward/record.url?eid=2-s2.0-84870966813&amp;partnerID=40&amp;md5=9a6b029bfa4f5234bb8ba4bf187f649f</t>
  </si>
  <si>
    <t>Nuankhieo, P., Tsai, I.-C., Goggins, S., Laffey, J.</t>
  </si>
  <si>
    <t>Comparing the social interaction pattern of online one-on-one peer and small group collaboration activities</t>
  </si>
  <si>
    <t>Proceedings ISM Workshops 2007 9th IEEE International Symposium on Multimedia - Workshops</t>
  </si>
  <si>
    <t>http://www.scopus.com/inward/record.url?eid=2-s2.0-49649089799&amp;partnerID=40&amp;md5=bb686ea604c4781761d436a521d9ed79</t>
  </si>
  <si>
    <t>Gloor, P.A.</t>
  </si>
  <si>
    <t>Coolhunting for trends on the Web</t>
  </si>
  <si>
    <t>Proceedings of the 2007 International Symposium on Collaborative Technologies and Systems, CTS</t>
  </si>
  <si>
    <t>http://www.scopus.com/inward/record.url?eid=2-s2.0-57849093602&amp;partnerID=40&amp;md5=3174c1a9b4eb3d5ad0836e8bfce67da8</t>
  </si>
  <si>
    <t>Guo, H., Cheng, H.K.</t>
  </si>
  <si>
    <t>Computer virus propagation in social networks</t>
  </si>
  <si>
    <t>http://www.scopus.com/inward/record.url?eid=2-s2.0-84870958983&amp;partnerID=40&amp;md5=e6855204a20800839fba69b31b2c241f</t>
  </si>
  <si>
    <t>Noll, M., Hörlesberger, M.</t>
  </si>
  <si>
    <t>Assessment of communities of practice using network analysis</t>
  </si>
  <si>
    <t>http://www.scopus.com/inward/record.url?eid=2-s2.0-84871063705&amp;partnerID=40&amp;md5=89971893fea21bc12ff7fa8f05ae206f</t>
  </si>
  <si>
    <t>Hussain, D.M.A.</t>
  </si>
  <si>
    <t>Destabilization of terrorist networks through argument driven hypothesis model</t>
  </si>
  <si>
    <t>http://www.scopus.com/inward/record.url?eid=2-s2.0-58849084853&amp;partnerID=40&amp;md5=97ab424c62e52cc8923854e2024a5931</t>
  </si>
  <si>
    <t>Ku, Y., Chiu, C.</t>
  </si>
  <si>
    <t>Transactions behavior analysis for internet auction fraud</t>
  </si>
  <si>
    <t>Proceedings of the International Conference on Electronic Business (ICEB)</t>
  </si>
  <si>
    <t>http://www.scopus.com/inward/record.url?eid=2-s2.0-84873480215&amp;partnerID=40&amp;md5=c719a5f3401e51b07b0d0fa255217f1a</t>
  </si>
  <si>
    <t>Wagner-Luptacik, P., Hörlesberger, M.</t>
  </si>
  <si>
    <t>Communities of Research Practice (CoRP): Visualizing Knowledge Networks and Localizing Experts</t>
  </si>
  <si>
    <t>http://www.scopus.com/inward/record.url?eid=2-s2.0-84871096103&amp;partnerID=40&amp;md5=fb95ff841b6c2b4cb7c4f4e2047a8ee8</t>
  </si>
  <si>
    <t>Casciaro, T., Lobo, M.S.</t>
  </si>
  <si>
    <t>When task competence is irrelevant: The role of interpersonal affect in instrumental ties</t>
  </si>
  <si>
    <t>Academy of Management 2007 Annual Meeting: Doing Well by Doing Good, AOM 2007</t>
  </si>
  <si>
    <t>http://www.scopus.com/inward/record.url?eid=2-s2.0-84858421311&amp;partnerID=40&amp;md5=180bb939b47b0847963c598ee55e5296</t>
  </si>
  <si>
    <t>Berger, S., Peters, G.</t>
  </si>
  <si>
    <t>Business administration and IT professionals : A social network analysis perspective</t>
  </si>
  <si>
    <t>ICEIS 2007 - 9th International Conference on Enterprise Information Systems, Proceedings</t>
  </si>
  <si>
    <t>SAIC</t>
  </si>
  <si>
    <t>http://www.scopus.com/inward/record.url?eid=2-s2.0-67650252257&amp;partnerID=40&amp;md5=341beb56ddfebafc852c106c38f4f9ec</t>
  </si>
  <si>
    <t>Forsyth, E.N., Martell, C.H.</t>
  </si>
  <si>
    <t>Lexical and discourse analysis of online chat dialog</t>
  </si>
  <si>
    <t>ICSC 2007 International Conference on Semantic Computing</t>
  </si>
  <si>
    <t>http://www.scopus.com/inward/record.url?eid=2-s2.0-47749097953&amp;partnerID=40&amp;md5=6f75273bdf22f4b36db5828468931f89</t>
  </si>
  <si>
    <t>Wang, W., Barnaghi, P.M., Bargiela, A.</t>
  </si>
  <si>
    <t>Semantic-enhanced information search and retrieval</t>
  </si>
  <si>
    <t>Proceedings - ALPIT 2007 6th International Conference on Advanced Language Processing and Web Information Technology</t>
  </si>
  <si>
    <t>http://www.scopus.com/inward/record.url?eid=2-s2.0-50049130492&amp;partnerID=40&amp;md5=9cbfbcd0fab15eed1e594d0d3dc3d5b6</t>
  </si>
  <si>
    <t>Ellis, T.S., Yao, X.</t>
  </si>
  <si>
    <t>Evolving cooperation in the non-iterated prisoner's dilemma: A social network inspired approach</t>
  </si>
  <si>
    <t>2007 IEEE Congress on Evolutionary Computation, CEC 2007</t>
  </si>
  <si>
    <t>http://www.scopus.com/inward/record.url?eid=2-s2.0-79955250638&amp;partnerID=40&amp;md5=ba3ed5898b729f6a94302360d5c1ada6</t>
  </si>
  <si>
    <t>Zhu, X., Goldberg, A.B., Van Gael, J., Andrzejewski, D.</t>
  </si>
  <si>
    <t>Improving diversity in ranking using absorbing random walks</t>
  </si>
  <si>
    <t>NAACL HLT 2007 - Human Language Technologies 2007: The Conference of the North American Chapter of the Association for Computational Linguistics, Proceedings of the Main Conference</t>
  </si>
  <si>
    <t>http://www.scopus.com/inward/record.url?eid=2-s2.0-84863364326&amp;partnerID=40&amp;md5=ec766e516d0609bb415b1e9635580424</t>
  </si>
  <si>
    <t>Ozgul, F., Bondy, J., Aksoy, H.</t>
  </si>
  <si>
    <t>Mining for offender group detection and story of a police operation</t>
  </si>
  <si>
    <t>http://www.scopus.com/inward/record.url?eid=2-s2.0-84870513436&amp;partnerID=40&amp;md5=6c803607db12a05ad28edc0b99d27b87</t>
  </si>
  <si>
    <t>Li, Y., Liao, J., Wang, J., Huang, R.</t>
  </si>
  <si>
    <t>CSCL interaction analysis for assessing knowledge building outcomes: Method and tool</t>
  </si>
  <si>
    <t>http://www.scopus.com/inward/record.url?eid=2-s2.0-84858433189&amp;partnerID=40&amp;md5=4a66c92ca88a7a2968544f0bf318c55e</t>
  </si>
  <si>
    <t>Yang, K.-S.</t>
  </si>
  <si>
    <t>Firms' network position, industry hierarchy position and innovation and an additional examination on structural equivalent block models and between-sector position</t>
  </si>
  <si>
    <t>http://www.scopus.com/inward/record.url?eid=2-s2.0-84858425952&amp;partnerID=40&amp;md5=1ea8da941d5093224359edc73521686d</t>
  </si>
  <si>
    <t>Siersdorfer, S., Sizov, S., Clough, P.</t>
  </si>
  <si>
    <t>Know the right people? recommender systems forweb 2.0</t>
  </si>
  <si>
    <t>LWA 2007 - Lernen - Wissen - Adaptivitat - Learning, Knowledge, and Adaptivity, Workshop Proceedings</t>
  </si>
  <si>
    <t>http://www.scopus.com/inward/record.url?eid=2-s2.0-84874007391&amp;partnerID=40&amp;md5=1f53c7509c9025563c42e0554b9536d8</t>
  </si>
  <si>
    <t>Malzahn, N., Harrer, A., Zeini, S.</t>
  </si>
  <si>
    <t>The fourth man - Supporting self-organizing group formation in learning communities</t>
  </si>
  <si>
    <t>http://www.scopus.com/inward/record.url?eid=2-s2.0-84861059532&amp;partnerID=40&amp;md5=91140e8f4b4e2d61ffa3df731d7d62f4</t>
  </si>
  <si>
    <t>Zhang, J., Ackerman, M.S., Adamic, L.</t>
  </si>
  <si>
    <t>Expertise networks in online communities: Structure and algorithms</t>
  </si>
  <si>
    <t>16th International World Wide Web Conference, WWW2007</t>
  </si>
  <si>
    <t>http://www.scopus.com/inward/record.url?eid=2-s2.0-35348926088&amp;partnerID=40&amp;md5=5b6c3c1fae8c426dfc2ba1b0f6d8d064</t>
  </si>
  <si>
    <t>Thorpe, M., McCormick, R., Kubiak, C., Carmichael, P.</t>
  </si>
  <si>
    <t>Talk in virtual contexts: Reflecting on participation and online learning models</t>
  </si>
  <si>
    <t>Pedagogy, Culture and Society</t>
  </si>
  <si>
    <t>http://www.scopus.com/inward/record.url?eid=2-s2.0-34848825612&amp;partnerID=40&amp;md5=b31b193e278161cedce1f6b8e494a91f</t>
  </si>
  <si>
    <t>Cho, H., Gay, G., Davidson, B., Ingraffea, A.</t>
  </si>
  <si>
    <t>Social networks, communication styles, and learning performance in a CSCL community</t>
  </si>
  <si>
    <t>http://www.scopus.com/inward/record.url?eid=2-s2.0-34248998867&amp;partnerID=40&amp;md5=f8a636144f61ba69c5c89501bb625727</t>
  </si>
  <si>
    <t>Chin, A., Chignell, M.</t>
  </si>
  <si>
    <t>Identifying communities in blogs: Roles for social network analysis and survey instruments</t>
  </si>
  <si>
    <t>http://www.scopus.com/inward/record.url?eid=2-s2.0-52949115903&amp;partnerID=40&amp;md5=a60afae71184e919fcae0ee6ad988a92</t>
  </si>
  <si>
    <t>Leydesdorff, L.</t>
  </si>
  <si>
    <t>Betweenness centrality as an indicator of the interdisciplinary of scientific journals</t>
  </si>
  <si>
    <t>http://www.scopus.com/inward/record.url?eid=2-s2.0-33847416037&amp;partnerID=40&amp;md5=74890b82680aff94c0cdd002f036eb37</t>
  </si>
  <si>
    <t>Brown, J., Broderick, A.J., Lee, N.</t>
  </si>
  <si>
    <t>Word of mouth communication within online communities: Conceptualizing the online social network</t>
  </si>
  <si>
    <t>Journal of Interactive Marketing</t>
  </si>
  <si>
    <t>http://www.scopus.com/inward/record.url?eid=2-s2.0-34548622644&amp;partnerID=40&amp;md5=0845a91f5e39de8b3278d6ba50a662cf</t>
  </si>
  <si>
    <t>De Laat, M., Lally, V., Lipponen, L., Simons, R.-J.</t>
  </si>
  <si>
    <t>Online teaching in networked learning communities: A multi-method approach to studying the role of the teacher</t>
  </si>
  <si>
    <t>Instructional Science</t>
  </si>
  <si>
    <t>http://www.scopus.com/inward/record.url?eid=2-s2.0-34147119562&amp;partnerID=40&amp;md5=74417196a16122dd80c8d12e79579ed1</t>
  </si>
  <si>
    <t>Saltz, J.S., Hiltz, S.R., Turoff, M., Passerini, K.</t>
  </si>
  <si>
    <t>Increasing participation in distance learning courses</t>
  </si>
  <si>
    <t>IEEE Internet Computing</t>
  </si>
  <si>
    <t>http://www.scopus.com/inward/record.url?eid=2-s2.0-34248367014&amp;partnerID=40&amp;md5=8091604f4a16d300afabb7aeb9ce5dd1</t>
  </si>
  <si>
    <t>Kidane, Y.H., Gloor, P.A.</t>
  </si>
  <si>
    <t>Correlating temporal communication patterns of the Eclipse open source community with performance and creativity</t>
  </si>
  <si>
    <t>Computational and Mathematical Organization Theory</t>
  </si>
  <si>
    <t>http://www.scopus.com/inward/record.url?eid=2-s2.0-33751003796&amp;partnerID=40&amp;md5=77a139a712c88a92ae7e49f3605e1c07</t>
  </si>
  <si>
    <t>Chau, M., Xu, J.</t>
  </si>
  <si>
    <t>Mining communities and their relationships in blogs: A study of online hate groups</t>
  </si>
  <si>
    <t>http://www.scopus.com/inward/record.url?eid=2-s2.0-33751163289&amp;partnerID=40&amp;md5=bbaa08e94708bdba0a3f9bba66e2816a</t>
  </si>
  <si>
    <t>Tomsic, A., Suthers, D.D.</t>
  </si>
  <si>
    <t>Discussion tool effects on collaborative learning and social network structure</t>
  </si>
  <si>
    <t>http://www.scopus.com/inward/record.url?eid=2-s2.0-33845331101&amp;partnerID=40&amp;md5=f4225c27b89ec22278b382bdacc3f0c2</t>
  </si>
  <si>
    <t>Wang, Y., Li, K.</t>
  </si>
  <si>
    <t>An application of social network analysis in evaluation of CSCL</t>
  </si>
  <si>
    <t>Learning by Effective Utilization of Technologies: Facilitating Intercultural Understanding, Proceeding of the 14th International Conference on Computers in Education, ICCE 2006</t>
  </si>
  <si>
    <t>http://www.scopus.com/inward/record.url?eid=2-s2.0-84863122652&amp;partnerID=40&amp;md5=ad152adcda6636ff98bd9d0f61594d15</t>
  </si>
  <si>
    <t>El-Sheikh, A.</t>
  </si>
  <si>
    <t>Application of Social Network Analysis: An approach towards project success and client satisfaction</t>
  </si>
  <si>
    <t>COBRA 2006 - Proceedings of the Annual Research Conference of the Royal Institution of Chartered Surveyors</t>
  </si>
  <si>
    <t>http://www.scopus.com/inward/record.url?eid=2-s2.0-84859081930&amp;partnerID=40&amp;md5=449477e036558d9765c6d81ad58fec8d</t>
  </si>
  <si>
    <t>Cook, S., Siemieniuch, C., Sinclair, M.</t>
  </si>
  <si>
    <t>On the use of Social Network Analysis to understand group decision-making</t>
  </si>
  <si>
    <t>Contemporary Ergonomics 2006</t>
  </si>
  <si>
    <t>http://www.scopus.com/inward/record.url?eid=2-s2.0-84857702318&amp;partnerID=40&amp;md5=2cb000cbdb2f18d0b16a59d24233552f</t>
  </si>
  <si>
    <t>Wagner, H.-T., Weitzel, T.</t>
  </si>
  <si>
    <t>Social interaction as constituting element of routines: Incorporating social network analysis into IS research</t>
  </si>
  <si>
    <t>Association for Information Systems - 12th Americas Conference On Information Systems, AMCIS 2006</t>
  </si>
  <si>
    <t>http://www.scopus.com/inward/record.url?eid=2-s2.0-84870363082&amp;partnerID=40&amp;md5=33676f4a68de5ca8f7756980bc459a31</t>
  </si>
  <si>
    <t>Nolker, R., Zhou, L.</t>
  </si>
  <si>
    <t>Mapping discussion roles: From the classroom to the online discussion board</t>
  </si>
  <si>
    <t>http://www.scopus.com/inward/record.url?eid=2-s2.0-84870347880&amp;partnerID=40&amp;md5=3c3037a4f3015f941f737683a8b05707</t>
  </si>
  <si>
    <t>Ahmad, M.A., Teredesai, A.</t>
  </si>
  <si>
    <t>Modeling spread of ideas in online social networks</t>
  </si>
  <si>
    <t>http://www.scopus.com/inward/record.url?eid=2-s2.0-84870573872&amp;partnerID=40&amp;md5=a1c9a4a4d78382ee68d815b15f790ea3</t>
  </si>
  <si>
    <t>Sharma, S.K., Xu, H.</t>
  </si>
  <si>
    <t>Effects on sales by virtual community interactions: A social network analysis</t>
  </si>
  <si>
    <t>Proceedings - 2006 10th International Conference on Computer Supported Cooperative Work in Design, CSCWD 2006</t>
  </si>
  <si>
    <t>http://www.scopus.com/inward/record.url?eid=2-s2.0-34547697436&amp;partnerID=40&amp;md5=4555ba48ff3384b329f29a68fca780a3</t>
  </si>
  <si>
    <t>Chen, W., Zeng, Q., Wenyin, L.</t>
  </si>
  <si>
    <t>A user reputation model for a user-interactive question answering system</t>
  </si>
  <si>
    <t>2006 2nd International Conference on Semantics Knowledge and Grid, SKG</t>
  </si>
  <si>
    <t>http://www.scopus.com/inward/record.url?eid=2-s2.0-44949226357&amp;partnerID=40&amp;md5=b2c7632d2913d19497d7eeda45918fa8</t>
  </si>
  <si>
    <t>Müller, C., Gronau, N., Weber, E.</t>
  </si>
  <si>
    <t>Analyzing social issues in knowledge organizations</t>
  </si>
  <si>
    <t>http://www.scopus.com/inward/record.url?eid=2-s2.0-84870346550&amp;partnerID=40&amp;md5=32e40de8bc7f869b303ae6dd2c57ef0b</t>
  </si>
  <si>
    <t>Hasan, H., Pousti, H.</t>
  </si>
  <si>
    <t>SNA as an attractor in emergent networks of research groups</t>
  </si>
  <si>
    <t>ACIS 2006 Proceedings - 17th Australasian Conference on Information Systems</t>
  </si>
  <si>
    <t>http://www.scopus.com/inward/record.url?eid=2-s2.0-84869118122&amp;partnerID=40&amp;md5=5db38cd73c795fa0888c84a885d77c04</t>
  </si>
  <si>
    <t>Perer, A.</t>
  </si>
  <si>
    <t>Making sense of social networks</t>
  </si>
  <si>
    <t>http://www.scopus.com/inward/record.url?eid=2-s2.0-56849133286&amp;partnerID=40&amp;md5=3a080f59572cac41454b7c92d4bb1d3a</t>
  </si>
  <si>
    <t>Helms, R., Buijsrogge, K.</t>
  </si>
  <si>
    <t>Application of knowledge network analysis to identify knowledge sharing bottlenecks at an engineering firm</t>
  </si>
  <si>
    <t>Proceedings of the 14th European Conference on Information Systems, ECIS 2006</t>
  </si>
  <si>
    <t>http://www.scopus.com/inward/record.url?eid=2-s2.0-84870634828&amp;partnerID=40&amp;md5=e96bf001ec18a75211633716e8196917</t>
  </si>
  <si>
    <t>Bird, C., Gourley, A., Devanbu, P., Gertz, M., Swaminathan, A.</t>
  </si>
  <si>
    <t>Mining email social networks in Postgres</t>
  </si>
  <si>
    <t>http://www.scopus.com/inward/record.url?eid=2-s2.0-77954018980&amp;partnerID=40&amp;md5=32b7144deb0cd80e3c594f7a1d86e9a6</t>
  </si>
  <si>
    <t>Xu, J., Chau, M.</t>
  </si>
  <si>
    <t>The social identity of is: Analyzing the collaboration network of the ICIS conferences (1980-2005)</t>
  </si>
  <si>
    <t>ICIS 2006 Proceedings - Twenty Seventh International Conference on Information Systems</t>
  </si>
  <si>
    <t>http://www.scopus.com/inward/record.url?eid=2-s2.0-84870194117&amp;partnerID=40&amp;md5=2851441d6fddb9a6fc5a049ec5b977aa</t>
  </si>
  <si>
    <t>Long, Y., Siau, K.</t>
  </si>
  <si>
    <t>Social network dynamics for open source software projects</t>
  </si>
  <si>
    <t>http://www.scopus.com/inward/record.url?eid=2-s2.0-84870024373&amp;partnerID=40&amp;md5=a97ff915649cd319fbd64ea69ee905b6</t>
  </si>
  <si>
    <t>Gloor, P., Paasivaara, M., Schoder, D., Willems, P.</t>
  </si>
  <si>
    <t>Correlating performance with social network structure through teaching social network analysis</t>
  </si>
  <si>
    <t>IFIP International Federation for Information Processing</t>
  </si>
  <si>
    <t>http://www.scopus.com/inward/record.url?eid=2-s2.0-34247221966&amp;partnerID=40&amp;md5=9c7c654bc7d272a83357ca054a4a7a54</t>
  </si>
  <si>
    <t>Falkowski, T., Bartelheimer, J., Spiliopoulou, M.</t>
  </si>
  <si>
    <t>Community dynamics mining</t>
  </si>
  <si>
    <t>http://www.scopus.com/inward/record.url?eid=2-s2.0-84870643616&amp;partnerID=40&amp;md5=3408affb4a559c0bfb444aca81c649b1</t>
  </si>
  <si>
    <t>Hossain, L., Wu, A., Choi, B.</t>
  </si>
  <si>
    <t>Measuring coordination through social networks</t>
  </si>
  <si>
    <t>http://www.scopus.com/inward/record.url?eid=2-s2.0-84870199817&amp;partnerID=40&amp;md5=261c07e41b09ee47fa61ec2117fadf1b</t>
  </si>
  <si>
    <t>Chen, C., Panjwani, G., Proctor, J., Allendoerfer, K., Kuljis, J., Aluker, S., Sturtz, D., Vukovic, M.</t>
  </si>
  <si>
    <t>Visualizing the evolution of HCI</t>
  </si>
  <si>
    <t>People and Computers XIX - The Bigger Picture, Proceedings of HCI 2005</t>
  </si>
  <si>
    <t>http://www.scopus.com/inward/record.url?eid=2-s2.0-80053988388&amp;partnerID=40&amp;md5=6fcc3c2a546ae899dcfa5f87dbc6cf05</t>
  </si>
  <si>
    <t>Verbeek, H.M.W., Van Dongen, B.F., Mendling, J., Van Der Aalst, W.M.P.</t>
  </si>
  <si>
    <t>Interoperability in the ProM framework</t>
  </si>
  <si>
    <t>http://www.scopus.com/inward/record.url?eid=2-s2.0-84873562737&amp;partnerID=40&amp;md5=fad4f41b0c3edbbee2bc56a55bc61d7c</t>
  </si>
  <si>
    <t>Zhou, Y., Davis, J.</t>
  </si>
  <si>
    <t>Community discovery and analysis in blogspace</t>
  </si>
  <si>
    <t>Proceedings of the 15th International Conference on World Wide Web</t>
  </si>
  <si>
    <t>http://www.scopus.com/inward/record.url?eid=2-s2.0-34347266600&amp;partnerID=40&amp;md5=f3b25649b4ae7089401f7e8589d52168</t>
  </si>
  <si>
    <t>Smatt, C.</t>
  </si>
  <si>
    <t>An investigation of the structural and relational characteristics of social networks on knowledge exchange and performance</t>
  </si>
  <si>
    <t>http://www.scopus.com/inward/record.url?eid=2-s2.0-84870359857&amp;partnerID=40&amp;md5=d61dfff07aac76f7fbf06821d9c3e04f</t>
  </si>
  <si>
    <t>Contractor, N., Hesse, B.W.</t>
  </si>
  <si>
    <t>Cyberinfrastructure for public health</t>
  </si>
  <si>
    <t>http://www.scopus.com/inward/record.url?eid=2-s2.0-34250756048&amp;partnerID=40&amp;md5=07b4bc672468de01f1324cc14ecc163b</t>
  </si>
  <si>
    <t>Zhu, E.</t>
  </si>
  <si>
    <t>Interaction and cognitive engagement: An analysis of four asynchronous online discussions</t>
  </si>
  <si>
    <t>http://www.scopus.com/inward/record.url?eid=2-s2.0-33750445982&amp;partnerID=40&amp;md5=2686020c9657ff710b4481edd86cec23</t>
  </si>
  <si>
    <t>Kleinberg, J.</t>
  </si>
  <si>
    <t>Social networks, incentives, and search</t>
  </si>
  <si>
    <t>Proceedings of the Twenty-Ninth Annual International ACM SIGIR Conference on Research and Development in Information Retrieval</t>
  </si>
  <si>
    <t>http://www.scopus.com/inward/record.url?eid=2-s2.0-33750334579&amp;partnerID=40&amp;md5=527dbf4256026479f7fe0096dc77acec</t>
  </si>
  <si>
    <t>Choi, B., Raghu, T.S., Vinze, A.</t>
  </si>
  <si>
    <t>An empirical study of standards development for E-businesses: A social network perspective</t>
  </si>
  <si>
    <t>http://www.scopus.com/inward/record.url?eid=2-s2.0-33749603935&amp;partnerID=40&amp;md5=6ecd909d504c025d380678be53f9d755</t>
  </si>
  <si>
    <t>Fisher, D., Smith, M., Welser, H.T.</t>
  </si>
  <si>
    <t>You are who you talk to: Detecting Roles in usenet newsgroups</t>
  </si>
  <si>
    <t>http://www.scopus.com/inward/record.url?eid=2-s2.0-33749613819&amp;partnerID=40&amp;md5=718263e59687d5b2208b079089cf3d70</t>
  </si>
  <si>
    <t>Zaphiris, P., Sarwar, R.</t>
  </si>
  <si>
    <t>Trends, similarities, and differences in the usage of teen and senior public online newsgroups</t>
  </si>
  <si>
    <t>ACM Transactions on Computer-Human Interaction</t>
  </si>
  <si>
    <t>http://www.scopus.com/inward/record.url?eid=2-s2.0-33845445947&amp;partnerID=40&amp;md5=09e4ed1329587d9fc3274c2bb6c8b5ab</t>
  </si>
  <si>
    <t>Chungt, W., Savell, R., Schütt, J.-P., Cybenko, G.</t>
  </si>
  <si>
    <t>Identifying and tracking dynamic processes in social networks</t>
  </si>
  <si>
    <t>http://www.scopus.com/inward/record.url?eid=2-s2.0-33747684156&amp;partnerID=40&amp;md5=1fd748ad66e2c9e71cb04e04f54416e0</t>
  </si>
  <si>
    <t>Temdee, P., Thipakorn, B., Sirinaovakul, B., Schelhowe, H.</t>
  </si>
  <si>
    <t>Of collaborative learning team: An approach for emergent leadership roles identification by using social network analysis</t>
  </si>
  <si>
    <t>3942 LNCS</t>
  </si>
  <si>
    <t>http://www.scopus.com/inward/record.url?eid=2-s2.0-33745870070&amp;partnerID=40&amp;md5=724057b3ba205780273dcd1eec80c413</t>
  </si>
  <si>
    <t>Daradoumis, T., Martínez-Monés, A., Xhafa, F.</t>
  </si>
  <si>
    <t>A layered framework for evaluating on-line collaborative learning interactions</t>
  </si>
  <si>
    <t>http://www.scopus.com/inward/record.url?eid=2-s2.0-33646145737&amp;partnerID=40&amp;md5=39b6cea1a068acd1f7e915abe485732f</t>
  </si>
  <si>
    <t>Bell, V., Maiden, C., Muñoz-Solomando, A., Reddy, V.</t>
  </si>
  <si>
    <t>'Mind control' experiences on the internet: Implications for the psychiatric diagnosis of delusions</t>
  </si>
  <si>
    <t>Psychopathology</t>
  </si>
  <si>
    <t>http://www.scopus.com/inward/record.url?eid=2-s2.0-32044456667&amp;partnerID=40&amp;md5=1eea3f34523f3b99e898d796c280879b</t>
  </si>
  <si>
    <t>Whelan, E., Donnellan, B.</t>
  </si>
  <si>
    <t>Inter-Organisational Collaboration; A Social Network Analysis Approach</t>
  </si>
  <si>
    <t>http://www.scopus.com/inward/record.url?eid=2-s2.0-84869215772&amp;partnerID=40&amp;md5=acd2090180a2425cbf4c0f9a4dff2006</t>
  </si>
  <si>
    <t>Yang, H.-H., Yu, J.-C., Yang, H.-J.</t>
  </si>
  <si>
    <t>Task-specific network causal structure for social network analysis</t>
  </si>
  <si>
    <t>WMSCI 2005 - The 9th World Multi-Conference on Systemics, Cybernetics and Informatics, Proceedings</t>
  </si>
  <si>
    <t>http://www.scopus.com/inward/record.url?eid=2-s2.0-84867367508&amp;partnerID=40&amp;md5=d8a6eb4a31491916d6f5f5a773104916</t>
  </si>
  <si>
    <t>Nolker, R.D., Zhou, L.</t>
  </si>
  <si>
    <t>Social computing and weighting to identify member roles in online communities</t>
  </si>
  <si>
    <t>Proceedings - 2005 IEEE/WIC/ACM InternationalConference on Web Intelligence, WI 2005</t>
  </si>
  <si>
    <t>http://www.scopus.com/inward/record.url?eid=2-s2.0-33748870256&amp;partnerID=40&amp;md5=b5e65fc6162ed4e63604e40315a68f98</t>
  </si>
  <si>
    <t>Inferring and visualising social networks within virtual learning environments</t>
  </si>
  <si>
    <t>ASCILITE 2005 - The Australasian Society for Computers in Learning in Tertiary Education</t>
  </si>
  <si>
    <t>http://www.scopus.com/inward/record.url?eid=2-s2.0-84870843961&amp;partnerID=40&amp;md5=788d1450014be069e8d76f8961f1e577</t>
  </si>
  <si>
    <t>Jamaludin, A., Lang, Q.C.</t>
  </si>
  <si>
    <t>Stream differences in asynchronous online discussions: Analysing student cohesion and roles in technology-mediated project work classrooms</t>
  </si>
  <si>
    <t>Proc. Int. Conf. on Computers in Education 2005: "Towards Sustainable and Scalable Educational Innovations Informed by the Learning Sciences"- Sharing Research Results and Exemplary Innovations, ICCE</t>
  </si>
  <si>
    <t>http://www.scopus.com/inward/record.url?eid=2-s2.0-84856954545&amp;partnerID=40&amp;md5=293b52e5c8cee37cf5945fce19df5a80</t>
  </si>
  <si>
    <t>3828 LNCS</t>
  </si>
  <si>
    <t>http://www.scopus.com/inward/record.url?eid=2-s2.0-33744926423&amp;partnerID=40&amp;md5=212857b012b1abbb1a53df677a2ff80d</t>
  </si>
  <si>
    <t>Reyes, P., Tchounikine, P.</t>
  </si>
  <si>
    <t>Mining learning groups' activities in forum-type tools</t>
  </si>
  <si>
    <t>Computer Supported Collaborative Learning 2005: The Next 10 Years - Proceedings of the International Conference on Computer Supported Collaborative Learning 2005, CSCL 2005</t>
  </si>
  <si>
    <t>http://www.scopus.com/inward/record.url?eid=2-s2.0-33748696518&amp;partnerID=40&amp;md5=09018d2519df0606290b589a30392e33</t>
  </si>
  <si>
    <t>Rizova, P.S.</t>
  </si>
  <si>
    <t>The double helix of formal and informal structures: Project design for R&amp;D success</t>
  </si>
  <si>
    <t>Academy of Management 2005 Annual Meeting: A New Vision of Management in the 21st Century, AOM 2005</t>
  </si>
  <si>
    <t>http://www.scopus.com/inward/record.url?eid=2-s2.0-84859060808&amp;partnerID=40&amp;md5=3b34f37d1bada49eb261cf46272d029c</t>
  </si>
  <si>
    <t>García-Barriocanal, E., Sicilia, M.A.</t>
  </si>
  <si>
    <t>Filtering information with imprecise social criteria: A FOAF-based backlink model</t>
  </si>
  <si>
    <t>Proceedings - 4th Conference of the European Society for Fuzzy Logic and Technology and 11th French Days on Fuzzy Logic and Applications, EUSFLAT-LFA 2005 Joint Conference</t>
  </si>
  <si>
    <t>http://www.scopus.com/inward/record.url?eid=2-s2.0-77649283141&amp;partnerID=40&amp;md5=399ce57a5b74030f265ec2a3a7249443</t>
  </si>
  <si>
    <t>Long, Y.</t>
  </si>
  <si>
    <t>Social structure for open source software projects</t>
  </si>
  <si>
    <t>Association for Information Systems - 11th Americas Conference on Information Systems, AMCIS 2005: A Conference on a Human Scale</t>
  </si>
  <si>
    <t>http://www.scopus.com/inward/record.url?eid=2-s2.0-84869773044&amp;partnerID=40&amp;md5=92e708ea186e511d983ff90c5db6696c</t>
  </si>
  <si>
    <t>Busch, P., Richards, D.</t>
  </si>
  <si>
    <t>The application of social network analysis to knowledge management</t>
  </si>
  <si>
    <t>ACIS 2005 Proceedings - 16th Australasian Conference on Information Systems</t>
  </si>
  <si>
    <t>http://www.scopus.com/inward/record.url?eid=2-s2.0-84869139651&amp;partnerID=40&amp;md5=2465fdae4b4a3db3c1f3c07e18b41db0</t>
  </si>
  <si>
    <t>Suh, H., Kang, M., Moon, K., Jang, H.</t>
  </si>
  <si>
    <t>Identifying peer interaction patterns and related variables in community-based learning</t>
  </si>
  <si>
    <t>http://www.scopus.com/inward/record.url?eid=2-s2.0-84858387110&amp;partnerID=40&amp;md5=222e2c63044a2f800e3624a618a1ed27</t>
  </si>
  <si>
    <t>Fung, I.P.-W.</t>
  </si>
  <si>
    <t>On finding the social structure among learners in group learning environments</t>
  </si>
  <si>
    <t>http://www.scopus.com/inward/record.url?eid=2-s2.0-84856950340&amp;partnerID=40&amp;md5=7060e3898a91c8ce203bbd5f8bc51307</t>
  </si>
  <si>
    <t>Sarkar, P., Moore, A.W.</t>
  </si>
  <si>
    <t>Dynamic social network analysis using latent space models</t>
  </si>
  <si>
    <t>Advances in Neural Information Processing Systems</t>
  </si>
  <si>
    <t>http://www.scopus.com/inward/record.url?eid=2-s2.0-55149111779&amp;partnerID=40&amp;md5=2ef598c81b587061d455cc018f616207</t>
  </si>
  <si>
    <t>Wang, X., Mohanty, N., McCallum, A.</t>
  </si>
  <si>
    <t>Group and topic discovery from relations and their attributes</t>
  </si>
  <si>
    <t>http://www.scopus.com/inward/record.url?eid=2-s2.0-36849017658&amp;partnerID=40&amp;md5=b08352951c567cae84b234ea11489b92</t>
  </si>
  <si>
    <t>Bolstad, C.A., Cuevas, H.M., Gonzalez, C., Schneider, M.</t>
  </si>
  <si>
    <t>Modeling shared situation awareness</t>
  </si>
  <si>
    <t>Simulation Interoperability Standards Organization - 14th Conference on Behavior Representation in Modeling and Simulation 2005</t>
  </si>
  <si>
    <t>http://www.scopus.com/inward/record.url?eid=2-s2.0-84865341872&amp;partnerID=40&amp;md5=310029b9de322a2badd4ecd9a96412d2</t>
  </si>
  <si>
    <t>Qin, J., Zhou, Y., Xu, J.J., Chen, H.</t>
  </si>
  <si>
    <t>Studying the structure of terrorist networks: A web structural mining approach</t>
  </si>
  <si>
    <t>http://www.scopus.com/inward/record.url?eid=2-s2.0-84869797725&amp;partnerID=40&amp;md5=bcb65e577f5a52c7d174eb564e2d444c</t>
  </si>
  <si>
    <t>Chen, H., Atabakhsh, H., Tseng, C., Marshall, B., Kaza, S., Eggers, S., Gowda, H., Shah, A., Petersen, T., Violette, C.</t>
  </si>
  <si>
    <t>Visualization in law enforcement</t>
  </si>
  <si>
    <t>http://www.scopus.com/inward/record.url?eid=2-s2.0-84869100340&amp;partnerID=40&amp;md5=8b1bfb80244cad63a20ce1279b8c4f8e</t>
  </si>
  <si>
    <t>Yeung, Y.-Y.</t>
  </si>
  <si>
    <t>Macroscopic study of the social networks formed in web-based discussion forums</t>
  </si>
  <si>
    <t>http://www.scopus.com/inward/record.url?eid=2-s2.0-39749100847&amp;partnerID=40&amp;md5=ddc34b90376d3793415355926991f499</t>
  </si>
  <si>
    <t>Impact on open source software performance: A view from social structure</t>
  </si>
  <si>
    <t>http://www.scopus.com/inward/record.url?eid=2-s2.0-84870031960&amp;partnerID=40&amp;md5=c5eace124abc3cb17107ecc247778c20</t>
  </si>
  <si>
    <t>Kienle, A., Wessner, M.</t>
  </si>
  <si>
    <t>Our way to Taipei - An analysis of the first ten years of the CSCL community</t>
  </si>
  <si>
    <t>http://www.scopus.com/inward/record.url?eid=2-s2.0-84858394487&amp;partnerID=40&amp;md5=622277f358b2583632a45753189e6a3d</t>
  </si>
  <si>
    <t>Pryke, S., Nanhou, S., Pearson, S., Richardson, A.</t>
  </si>
  <si>
    <t>A French model of construction procurement: Transferable concepts for clients and professional service providers</t>
  </si>
  <si>
    <t>Queensland University of Technology Research Week International Conference, QUT Research Week 2005 - Conference Proceedings</t>
  </si>
  <si>
    <t>http://www.scopus.com/inward/record.url?eid=2-s2.0-84859066936&amp;partnerID=40&amp;md5=ebca92bd06102e23e49aea474851f2f1</t>
  </si>
  <si>
    <t>Harrer, A., Zeini, S., Pinkwart, N.</t>
  </si>
  <si>
    <t>The effects of electronic communication support on presence learning scenarios</t>
  </si>
  <si>
    <t>http://www.scopus.com/inward/record.url?eid=2-s2.0-33748689253&amp;partnerID=40&amp;md5=43d6c916b9e0afe7e35baceb47472a54</t>
  </si>
  <si>
    <t>Aviv, R., Erlich, Z., Ravid, G.</t>
  </si>
  <si>
    <t>Response neighborhoods in online learning networks: A quantitative analysis</t>
  </si>
  <si>
    <t>http://www.scopus.com/inward/record.url?eid=2-s2.0-27844540463&amp;partnerID=40&amp;md5=e7fee7b2706010c5030b0cefaf1b823b</t>
  </si>
  <si>
    <t>Tang, J.-H., Yang, H.-L.</t>
  </si>
  <si>
    <t>User role and perception of requirements in a web-based community of practice</t>
  </si>
  <si>
    <t>http://www.scopus.com/inward/record.url?eid=2-s2.0-26444560102&amp;partnerID=40&amp;md5=2d49d624255164fa28109eb1e6a6c65f</t>
  </si>
  <si>
    <t>Mika, P.</t>
  </si>
  <si>
    <t>Flink: Semantic Web technology for the extraction and analysis of social networks</t>
  </si>
  <si>
    <t>Web Semantics</t>
  </si>
  <si>
    <t>http://www.scopus.com/inward/record.url?eid=2-s2.0-25144461706&amp;partnerID=40&amp;md5=21020db7a715e0c860ec9941f3f18ee4</t>
  </si>
  <si>
    <t>Fisher, D.</t>
  </si>
  <si>
    <t>Using egocentric networks to understand communication</t>
  </si>
  <si>
    <t>http://www.scopus.com/inward/record.url?eid=2-s2.0-27344458369&amp;partnerID=40&amp;md5=2021de13edec428df436616c9b7ead7f</t>
  </si>
  <si>
    <t>Russo, T.C., Koesten, J.</t>
  </si>
  <si>
    <t>Prestige, centrality, and learning: A social network analysis of an online class</t>
  </si>
  <si>
    <t>Communication Education</t>
  </si>
  <si>
    <t>http://www.scopus.com/inward/record.url?eid=2-s2.0-27944451469&amp;partnerID=40&amp;md5=016a63c7afdfeac15ca2b80dd2101717</t>
  </si>
  <si>
    <t>Saltz, J.S., Hiltz, S.R., Turoff, M.</t>
  </si>
  <si>
    <t>Student social graphs: Visualizing a student's online social network</t>
  </si>
  <si>
    <t>http://www.scopus.com/inward/record.url?eid=2-s2.0-21644471374&amp;partnerID=40&amp;md5=ca7c0ff88a9621a6c1437aa0e32e59f9</t>
  </si>
  <si>
    <t>Mechanisms and architectures of online learning communities</t>
  </si>
  <si>
    <t>Proceedings - IEEE International Conference on Advanced Learning Technologies, ICALT 2004</t>
  </si>
  <si>
    <t>http://www.scopus.com/inward/record.url?eid=2-s2.0-13244268507&amp;partnerID=40&amp;md5=525c7b0afd5ef7ad11da6d45aef75ef2</t>
  </si>
  <si>
    <t>An integrated approach for analysing and assessing the performance of virtual learning groups</t>
  </si>
  <si>
    <t>http://www.scopus.com/inward/record.url?eid=2-s2.0-35048819575&amp;partnerID=40&amp;md5=a3f1642a9c072ae5a6e972af81c029ac</t>
  </si>
  <si>
    <t>Social networks and the Semantic Web</t>
  </si>
  <si>
    <t>Proceedings - IEEE/WIC/ACM International Conference on Web Intelligence, WI 2004</t>
  </si>
  <si>
    <t>http://www.scopus.com/inward/record.url?eid=2-s2.0-14744281615&amp;partnerID=40&amp;md5=fd31efdfe61d03326f2507f7fb16a6eb</t>
  </si>
  <si>
    <t>Plu, M., Agosto, L., Vignollet, L., Marty, J.-C.</t>
  </si>
  <si>
    <t>A contact recommender system for a mediated social media</t>
  </si>
  <si>
    <t>ICEIS 2004 - Proceedings of the Sixth International Conference on Enterprise Information Systems</t>
  </si>
  <si>
    <t>http://www.scopus.com/inward/record.url?eid=2-s2.0-8444249275&amp;partnerID=40&amp;md5=5f9991e828e242d3148e5bd53ba5ee86</t>
  </si>
  <si>
    <t>Kempe, D., Kleinberg, J., Tardos, É.</t>
  </si>
  <si>
    <t>Maximizing the spread of influence through a social network</t>
  </si>
  <si>
    <t>http://www.scopus.com/inward/record.url?eid=2-s2.0-33747172362&amp;partnerID=40&amp;md5=191225ff1f7f26bda6637ca99ec4a843</t>
  </si>
  <si>
    <t>Aviv, R., Erlich, Z., Ravid, G., Geva, A.</t>
  </si>
  <si>
    <t>NEtwork analysis of knowledge construction in asynchronous learning networks</t>
  </si>
  <si>
    <t>Journal of Asynchronous Learning Network</t>
  </si>
  <si>
    <t>http://www.scopus.com/inward/record.url?eid=2-s2.0-3042670843&amp;partnerID=40&amp;md5=a18327bfb0d7c5edf8c0576567ca1129</t>
  </si>
  <si>
    <t>Yang, H.-L., Tang, J.-H.</t>
  </si>
  <si>
    <t>Effects of social network on students' performance: A web-based forum study in Taiwan</t>
  </si>
  <si>
    <t>http://www.scopus.com/inward/record.url?eid=2-s2.0-3042573076&amp;partnerID=40&amp;md5=72777248336612465cf5c111bbdf03e5</t>
  </si>
  <si>
    <t>Hyperlink analyses of the World Wide Web: A review</t>
  </si>
  <si>
    <t>http://www.scopus.com/inward/record.url?eid=2-s2.0-1142296991&amp;partnerID=40&amp;md5=2a9b4f6d025158e869cd8f1073decaff</t>
  </si>
  <si>
    <t>Maloney-Krichmar, D.</t>
  </si>
  <si>
    <t>An ethnographic study of an online, mutual-aid health community: Group dynamics, roles, and relationships</t>
  </si>
  <si>
    <t>http://www.scopus.com/inward/record.url?eid=2-s2.0-0038388028&amp;partnerID=40&amp;md5=64a94d434d662fd0995a17be44faf869</t>
  </si>
  <si>
    <t>Kamps, J., Marx, M.</t>
  </si>
  <si>
    <t>Notions of indistinguishability for Semantic Web languages</t>
  </si>
  <si>
    <t>2342 LNCS</t>
  </si>
  <si>
    <t>http://www.scopus.com/inward/record.url?eid=2-s2.0-34250737602&amp;partnerID=40&amp;md5=51b799902ec51767d42eb53dbd9d4a12</t>
  </si>
  <si>
    <t>Heath, A.</t>
  </si>
  <si>
    <t>Using Social Network Analysis to Study the Interaction Patterns in an Online Knowledge Community</t>
  </si>
  <si>
    <t>http://www.scopus.com/inward/record.url?eid=2-s2.0-1842867028&amp;partnerID=40&amp;md5=fe19de4a27df4dabdfe3d88d4c62bb65</t>
  </si>
  <si>
    <t>Maloney-Krichmar, D., Preece, J.</t>
  </si>
  <si>
    <t>The meaning of an online health community in the lives of its members: Roles, relationships and group dynamics</t>
  </si>
  <si>
    <t>International Symposium on Technology and Society</t>
  </si>
  <si>
    <t>http://www.scopus.com/inward/record.url?eid=2-s2.0-0036049493&amp;partnerID=40&amp;md5=55bcf4f0d136e93058213407db01ca1f</t>
  </si>
  <si>
    <t>Garton, L., Haythornthwaite, C., Wellman, B.</t>
  </si>
  <si>
    <t>Studying online social networks</t>
  </si>
  <si>
    <t>http://www.scopus.com/inward/record.url?eid=2-s2.0-0002929516&amp;partnerID=40&amp;md5=4dc8ef32f2f9e995f5eb9970b1c9f1f1</t>
  </si>
  <si>
    <t>Wellman, Barry</t>
  </si>
  <si>
    <t>For a social network analysis of computer networks: a sociological perspective on collaborative work and virtual community</t>
  </si>
  <si>
    <t>Proceedings of the ACM SIGCPR Conference</t>
  </si>
  <si>
    <t>http://www.scopus.com/inward/record.url?eid=2-s2.0-0029723405&amp;partnerID=40&amp;md5=f26da6a6a5c2b048f3036f8a5816408c</t>
  </si>
  <si>
    <t>AAAAAD0/2uk=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</si>
</sst>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cop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N1243"/>
  <sheetViews>
    <sheetView tabSelected="1" workbookViewId="0"/>
  </sheetViews>
  <sheetFormatPr defaultRowHeight="15"/>
  <cols>
    <col min="1" max="2" width="81.140625" bestFit="1" customWidth="1"/>
    <col min="3" max="3" width="5" bestFit="1" customWidth="1"/>
    <col min="4" max="4" width="81.140625" bestFit="1" customWidth="1"/>
    <col min="5" max="5" width="9.85546875" bestFit="1" customWidth="1"/>
    <col min="6" max="6" width="12.5703125" bestFit="1" customWidth="1"/>
    <col min="7" max="7" width="8" bestFit="1" customWidth="1"/>
    <col min="8" max="8" width="9.7109375" bestFit="1" customWidth="1"/>
    <col min="9" max="9" width="10" bestFit="1" customWidth="1"/>
    <col min="10" max="10" width="10.7109375" bestFit="1" customWidth="1"/>
    <col min="11" max="11" width="8.28515625" bestFit="1" customWidth="1"/>
    <col min="12" max="12" width="81.140625" bestFit="1" customWidth="1"/>
    <col min="13" max="13" width="18.5703125" bestFit="1" customWidth="1"/>
    <col min="14" max="14" width="7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2013</v>
      </c>
      <c r="D2" t="s">
        <v>16</v>
      </c>
      <c r="E2">
        <v>40</v>
      </c>
      <c r="F2">
        <v>7</v>
      </c>
      <c r="H2">
        <v>2503</v>
      </c>
      <c r="I2">
        <v>2510</v>
      </c>
      <c r="L2" t="s">
        <v>17</v>
      </c>
      <c r="M2" t="s">
        <v>18</v>
      </c>
      <c r="N2" t="s">
        <v>19</v>
      </c>
    </row>
    <row r="3" spans="1:14">
      <c r="A3" t="s">
        <v>20</v>
      </c>
      <c r="B3" t="s">
        <v>21</v>
      </c>
      <c r="C3">
        <v>2013</v>
      </c>
      <c r="D3" t="s">
        <v>22</v>
      </c>
      <c r="E3">
        <v>226</v>
      </c>
      <c r="F3">
        <v>2</v>
      </c>
      <c r="H3">
        <v>354</v>
      </c>
      <c r="I3">
        <v>365</v>
      </c>
      <c r="L3" t="s">
        <v>23</v>
      </c>
      <c r="M3" t="s">
        <v>18</v>
      </c>
      <c r="N3" t="s">
        <v>19</v>
      </c>
    </row>
    <row r="4" spans="1:14">
      <c r="A4" t="s">
        <v>24</v>
      </c>
      <c r="B4" t="s">
        <v>25</v>
      </c>
      <c r="C4">
        <v>2013</v>
      </c>
      <c r="D4" t="s">
        <v>22</v>
      </c>
      <c r="E4">
        <v>226</v>
      </c>
      <c r="F4">
        <v>1</v>
      </c>
      <c r="H4">
        <v>9</v>
      </c>
      <c r="I4">
        <v>18</v>
      </c>
      <c r="L4" t="s">
        <v>26</v>
      </c>
      <c r="M4" t="s">
        <v>18</v>
      </c>
      <c r="N4" t="s">
        <v>19</v>
      </c>
    </row>
    <row r="5" spans="1:14">
      <c r="A5" t="s">
        <v>27</v>
      </c>
      <c r="B5" t="s">
        <v>28</v>
      </c>
      <c r="C5">
        <v>2013</v>
      </c>
      <c r="D5" t="s">
        <v>29</v>
      </c>
      <c r="G5">
        <v>6454769</v>
      </c>
      <c r="H5">
        <v>112</v>
      </c>
      <c r="I5">
        <v>115</v>
      </c>
      <c r="L5" t="s">
        <v>30</v>
      </c>
      <c r="M5" t="s">
        <v>31</v>
      </c>
      <c r="N5" t="s">
        <v>19</v>
      </c>
    </row>
    <row r="6" spans="1:14">
      <c r="A6" t="s">
        <v>32</v>
      </c>
      <c r="B6" t="s">
        <v>33</v>
      </c>
      <c r="C6">
        <v>2013</v>
      </c>
      <c r="D6" t="s">
        <v>34</v>
      </c>
      <c r="E6">
        <v>224</v>
      </c>
      <c r="H6">
        <v>1</v>
      </c>
      <c r="I6">
        <v>18</v>
      </c>
      <c r="L6" t="s">
        <v>35</v>
      </c>
      <c r="M6" t="s">
        <v>18</v>
      </c>
      <c r="N6" t="s">
        <v>19</v>
      </c>
    </row>
    <row r="7" spans="1:14">
      <c r="A7" t="s">
        <v>36</v>
      </c>
      <c r="B7" t="s">
        <v>37</v>
      </c>
      <c r="C7">
        <v>2013</v>
      </c>
      <c r="D7" t="s">
        <v>38</v>
      </c>
      <c r="E7">
        <v>24</v>
      </c>
      <c r="F7" s="1">
        <v>41335</v>
      </c>
      <c r="H7">
        <v>181</v>
      </c>
      <c r="I7">
        <v>194</v>
      </c>
      <c r="L7" t="s">
        <v>39</v>
      </c>
      <c r="M7" t="s">
        <v>18</v>
      </c>
      <c r="N7" t="s">
        <v>19</v>
      </c>
    </row>
    <row r="8" spans="1:14">
      <c r="A8" t="s">
        <v>40</v>
      </c>
      <c r="B8" t="s">
        <v>41</v>
      </c>
      <c r="C8">
        <v>2013</v>
      </c>
      <c r="D8" t="s">
        <v>42</v>
      </c>
      <c r="E8">
        <v>21</v>
      </c>
      <c r="H8">
        <v>7</v>
      </c>
      <c r="I8">
        <v>21</v>
      </c>
      <c r="L8" t="s">
        <v>43</v>
      </c>
      <c r="M8" t="s">
        <v>18</v>
      </c>
      <c r="N8" t="s">
        <v>19</v>
      </c>
    </row>
    <row r="9" spans="1:14">
      <c r="A9" t="s">
        <v>44</v>
      </c>
      <c r="B9" t="s">
        <v>45</v>
      </c>
      <c r="C9">
        <v>2013</v>
      </c>
      <c r="D9" t="s">
        <v>46</v>
      </c>
      <c r="H9">
        <v>597</v>
      </c>
      <c r="I9">
        <v>606</v>
      </c>
      <c r="L9" t="s">
        <v>47</v>
      </c>
      <c r="M9" t="s">
        <v>31</v>
      </c>
      <c r="N9" t="s">
        <v>19</v>
      </c>
    </row>
    <row r="10" spans="1:14">
      <c r="A10" t="s">
        <v>48</v>
      </c>
      <c r="B10" t="s">
        <v>49</v>
      </c>
      <c r="C10">
        <v>2013</v>
      </c>
      <c r="D10" t="s">
        <v>50</v>
      </c>
      <c r="H10">
        <v>1</v>
      </c>
      <c r="I10">
        <v>11</v>
      </c>
      <c r="L10" t="s">
        <v>51</v>
      </c>
      <c r="M10" t="s">
        <v>52</v>
      </c>
      <c r="N10" t="s">
        <v>19</v>
      </c>
    </row>
    <row r="11" spans="1:14">
      <c r="A11" t="s">
        <v>53</v>
      </c>
      <c r="B11" t="s">
        <v>54</v>
      </c>
      <c r="C11">
        <v>2013</v>
      </c>
      <c r="D11" t="s">
        <v>55</v>
      </c>
      <c r="E11" t="s">
        <v>56</v>
      </c>
      <c r="H11">
        <v>156</v>
      </c>
      <c r="I11">
        <v>172</v>
      </c>
      <c r="L11" t="s">
        <v>57</v>
      </c>
      <c r="M11" t="s">
        <v>31</v>
      </c>
      <c r="N11" t="s">
        <v>19</v>
      </c>
    </row>
    <row r="12" spans="1:14">
      <c r="A12" t="s">
        <v>58</v>
      </c>
      <c r="B12" t="s">
        <v>59</v>
      </c>
      <c r="C12">
        <v>2013</v>
      </c>
      <c r="D12" t="s">
        <v>60</v>
      </c>
      <c r="E12" t="s">
        <v>61</v>
      </c>
      <c r="H12">
        <v>107</v>
      </c>
      <c r="I12">
        <v>121</v>
      </c>
      <c r="L12" t="s">
        <v>62</v>
      </c>
      <c r="M12" t="s">
        <v>31</v>
      </c>
      <c r="N12" t="s">
        <v>19</v>
      </c>
    </row>
    <row r="13" spans="1:14">
      <c r="A13" t="s">
        <v>63</v>
      </c>
      <c r="B13" t="s">
        <v>64</v>
      </c>
      <c r="C13">
        <v>2013</v>
      </c>
      <c r="D13" t="s">
        <v>65</v>
      </c>
      <c r="E13">
        <v>7</v>
      </c>
      <c r="F13">
        <v>3</v>
      </c>
      <c r="H13">
        <v>534</v>
      </c>
      <c r="I13">
        <v>541</v>
      </c>
      <c r="L13" t="s">
        <v>66</v>
      </c>
      <c r="M13" t="s">
        <v>18</v>
      </c>
      <c r="N13" t="s">
        <v>19</v>
      </c>
    </row>
    <row r="14" spans="1:14">
      <c r="A14" t="s">
        <v>67</v>
      </c>
      <c r="B14" t="s">
        <v>68</v>
      </c>
      <c r="C14">
        <v>2013</v>
      </c>
      <c r="D14" t="s">
        <v>60</v>
      </c>
      <c r="E14" t="s">
        <v>61</v>
      </c>
      <c r="H14">
        <v>322</v>
      </c>
      <c r="I14">
        <v>337</v>
      </c>
      <c r="L14" t="s">
        <v>69</v>
      </c>
      <c r="M14" t="s">
        <v>31</v>
      </c>
      <c r="N14" t="s">
        <v>19</v>
      </c>
    </row>
    <row r="15" spans="1:14">
      <c r="A15" t="s">
        <v>70</v>
      </c>
      <c r="B15" t="s">
        <v>71</v>
      </c>
      <c r="C15">
        <v>2013</v>
      </c>
      <c r="D15" t="s">
        <v>72</v>
      </c>
      <c r="E15">
        <v>8</v>
      </c>
      <c r="F15">
        <v>2</v>
      </c>
      <c r="G15" t="s">
        <v>73</v>
      </c>
      <c r="L15" t="s">
        <v>74</v>
      </c>
      <c r="M15" t="s">
        <v>18</v>
      </c>
      <c r="N15" t="s">
        <v>19</v>
      </c>
    </row>
    <row r="16" spans="1:14">
      <c r="A16" t="s">
        <v>75</v>
      </c>
      <c r="B16" t="s">
        <v>76</v>
      </c>
      <c r="C16">
        <v>2013</v>
      </c>
      <c r="D16" t="s">
        <v>77</v>
      </c>
      <c r="H16">
        <v>1</v>
      </c>
      <c r="I16">
        <v>39</v>
      </c>
      <c r="L16" t="s">
        <v>78</v>
      </c>
      <c r="M16" t="s">
        <v>52</v>
      </c>
      <c r="N16" t="s">
        <v>19</v>
      </c>
    </row>
    <row r="17" spans="1:14">
      <c r="A17" t="s">
        <v>79</v>
      </c>
      <c r="B17" t="s">
        <v>80</v>
      </c>
      <c r="C17">
        <v>2013</v>
      </c>
      <c r="D17" t="s">
        <v>81</v>
      </c>
      <c r="E17">
        <v>8</v>
      </c>
      <c r="F17">
        <v>2</v>
      </c>
      <c r="H17">
        <v>286</v>
      </c>
      <c r="I17">
        <v>295</v>
      </c>
      <c r="L17" t="s">
        <v>82</v>
      </c>
      <c r="M17" t="s">
        <v>18</v>
      </c>
      <c r="N17" t="s">
        <v>19</v>
      </c>
    </row>
    <row r="18" spans="1:14">
      <c r="A18" t="s">
        <v>83</v>
      </c>
      <c r="B18" t="s">
        <v>84</v>
      </c>
      <c r="C18">
        <v>2013</v>
      </c>
      <c r="D18" t="s">
        <v>85</v>
      </c>
      <c r="E18">
        <v>50</v>
      </c>
      <c r="F18">
        <v>1</v>
      </c>
      <c r="H18">
        <v>24</v>
      </c>
      <c r="I18">
        <v>32</v>
      </c>
      <c r="L18" t="s">
        <v>86</v>
      </c>
      <c r="M18" t="s">
        <v>18</v>
      </c>
      <c r="N18" t="s">
        <v>19</v>
      </c>
    </row>
    <row r="19" spans="1:14">
      <c r="A19" t="s">
        <v>87</v>
      </c>
      <c r="B19" t="s">
        <v>88</v>
      </c>
      <c r="C19">
        <v>2013</v>
      </c>
      <c r="D19" t="s">
        <v>34</v>
      </c>
      <c r="E19">
        <v>222</v>
      </c>
      <c r="H19">
        <v>648</v>
      </c>
      <c r="I19">
        <v>668</v>
      </c>
      <c r="L19" t="s">
        <v>89</v>
      </c>
      <c r="M19" t="s">
        <v>18</v>
      </c>
      <c r="N19" t="s">
        <v>19</v>
      </c>
    </row>
    <row r="20" spans="1:14">
      <c r="A20" t="s">
        <v>90</v>
      </c>
      <c r="B20" t="s">
        <v>91</v>
      </c>
      <c r="C20">
        <v>2013</v>
      </c>
      <c r="D20" t="s">
        <v>92</v>
      </c>
      <c r="E20">
        <v>5</v>
      </c>
      <c r="F20">
        <v>2</v>
      </c>
      <c r="H20">
        <v>699</v>
      </c>
      <c r="I20">
        <v>706</v>
      </c>
      <c r="L20" t="s">
        <v>93</v>
      </c>
      <c r="M20" t="s">
        <v>18</v>
      </c>
      <c r="N20" t="s">
        <v>19</v>
      </c>
    </row>
    <row r="21" spans="1:14">
      <c r="A21" t="s">
        <v>94</v>
      </c>
      <c r="B21" t="s">
        <v>95</v>
      </c>
      <c r="C21">
        <v>2013</v>
      </c>
      <c r="D21" t="s">
        <v>96</v>
      </c>
      <c r="E21">
        <v>6</v>
      </c>
      <c r="F21">
        <v>1</v>
      </c>
      <c r="H21">
        <v>40</v>
      </c>
      <c r="I21">
        <v>60</v>
      </c>
      <c r="L21" t="s">
        <v>97</v>
      </c>
      <c r="M21" t="s">
        <v>18</v>
      </c>
      <c r="N21" t="s">
        <v>19</v>
      </c>
    </row>
    <row r="22" spans="1:14">
      <c r="A22" t="s">
        <v>98</v>
      </c>
      <c r="B22" t="s">
        <v>99</v>
      </c>
      <c r="C22">
        <v>2013</v>
      </c>
      <c r="D22" t="s">
        <v>55</v>
      </c>
      <c r="E22" t="s">
        <v>100</v>
      </c>
      <c r="H22">
        <v>67</v>
      </c>
      <c r="I22">
        <v>85</v>
      </c>
      <c r="L22" t="s">
        <v>101</v>
      </c>
      <c r="M22" t="s">
        <v>31</v>
      </c>
      <c r="N22" t="s">
        <v>19</v>
      </c>
    </row>
    <row r="23" spans="1:14">
      <c r="A23" t="s">
        <v>102</v>
      </c>
      <c r="B23" t="s">
        <v>103</v>
      </c>
      <c r="C23">
        <v>2013</v>
      </c>
      <c r="D23" t="s">
        <v>104</v>
      </c>
      <c r="E23">
        <v>29</v>
      </c>
      <c r="F23">
        <v>3</v>
      </c>
      <c r="H23">
        <v>681</v>
      </c>
      <c r="I23">
        <v>686</v>
      </c>
      <c r="L23" t="s">
        <v>105</v>
      </c>
      <c r="M23" t="s">
        <v>18</v>
      </c>
      <c r="N23" t="s">
        <v>19</v>
      </c>
    </row>
    <row r="24" spans="1:14">
      <c r="A24" t="s">
        <v>106</v>
      </c>
      <c r="B24" t="s">
        <v>107</v>
      </c>
      <c r="C24">
        <v>2013</v>
      </c>
      <c r="D24" t="s">
        <v>108</v>
      </c>
      <c r="L24" t="s">
        <v>109</v>
      </c>
      <c r="M24" t="s">
        <v>52</v>
      </c>
      <c r="N24" t="s">
        <v>19</v>
      </c>
    </row>
    <row r="25" spans="1:14">
      <c r="A25" t="s">
        <v>110</v>
      </c>
      <c r="B25" t="s">
        <v>111</v>
      </c>
      <c r="C25">
        <v>2013</v>
      </c>
      <c r="D25" t="s">
        <v>112</v>
      </c>
      <c r="E25">
        <v>58</v>
      </c>
      <c r="H25">
        <v>151</v>
      </c>
      <c r="I25">
        <v>162</v>
      </c>
      <c r="L25" t="s">
        <v>113</v>
      </c>
      <c r="M25" t="s">
        <v>18</v>
      </c>
      <c r="N25" t="s">
        <v>19</v>
      </c>
    </row>
    <row r="26" spans="1:14">
      <c r="A26" t="s">
        <v>114</v>
      </c>
      <c r="B26" t="s">
        <v>115</v>
      </c>
      <c r="C26">
        <v>2013</v>
      </c>
      <c r="D26" t="s">
        <v>16</v>
      </c>
      <c r="L26" t="s">
        <v>116</v>
      </c>
      <c r="M26" t="s">
        <v>52</v>
      </c>
      <c r="N26" t="s">
        <v>19</v>
      </c>
    </row>
    <row r="27" spans="1:14">
      <c r="A27" t="s">
        <v>117</v>
      </c>
      <c r="B27" t="s">
        <v>118</v>
      </c>
      <c r="C27">
        <v>2013</v>
      </c>
      <c r="D27" t="s">
        <v>119</v>
      </c>
      <c r="E27">
        <v>291</v>
      </c>
      <c r="H27">
        <v>113</v>
      </c>
      <c r="I27">
        <v>128</v>
      </c>
      <c r="L27" t="s">
        <v>120</v>
      </c>
      <c r="M27" t="s">
        <v>18</v>
      </c>
      <c r="N27" t="s">
        <v>19</v>
      </c>
    </row>
    <row r="28" spans="1:14">
      <c r="A28" t="s">
        <v>121</v>
      </c>
      <c r="B28" t="s">
        <v>122</v>
      </c>
      <c r="C28">
        <v>2013</v>
      </c>
      <c r="D28" t="s">
        <v>123</v>
      </c>
      <c r="E28" t="s">
        <v>124</v>
      </c>
      <c r="H28">
        <v>195</v>
      </c>
      <c r="I28">
        <v>206</v>
      </c>
      <c r="L28" t="s">
        <v>125</v>
      </c>
      <c r="M28" t="s">
        <v>31</v>
      </c>
      <c r="N28" t="s">
        <v>19</v>
      </c>
    </row>
    <row r="29" spans="1:14">
      <c r="A29" t="s">
        <v>126</v>
      </c>
      <c r="B29" t="s">
        <v>127</v>
      </c>
      <c r="C29">
        <v>2013</v>
      </c>
      <c r="D29" t="s">
        <v>123</v>
      </c>
      <c r="E29" t="s">
        <v>128</v>
      </c>
      <c r="H29">
        <v>333</v>
      </c>
      <c r="I29">
        <v>344</v>
      </c>
      <c r="L29" t="s">
        <v>129</v>
      </c>
      <c r="M29" t="s">
        <v>31</v>
      </c>
      <c r="N29" t="s">
        <v>19</v>
      </c>
    </row>
    <row r="30" spans="1:14">
      <c r="A30" t="s">
        <v>130</v>
      </c>
      <c r="B30" t="s">
        <v>131</v>
      </c>
      <c r="C30">
        <v>2013</v>
      </c>
      <c r="D30" t="s">
        <v>132</v>
      </c>
      <c r="E30">
        <v>109</v>
      </c>
      <c r="H30">
        <v>99</v>
      </c>
      <c r="I30">
        <v>109</v>
      </c>
      <c r="L30" t="s">
        <v>133</v>
      </c>
      <c r="M30" t="s">
        <v>18</v>
      </c>
      <c r="N30" t="s">
        <v>19</v>
      </c>
    </row>
    <row r="31" spans="1:14">
      <c r="A31" t="s">
        <v>134</v>
      </c>
      <c r="B31" t="s">
        <v>135</v>
      </c>
      <c r="C31">
        <v>2013</v>
      </c>
      <c r="D31" t="s">
        <v>136</v>
      </c>
      <c r="E31">
        <v>52</v>
      </c>
      <c r="H31">
        <v>543</v>
      </c>
      <c r="I31">
        <v>553</v>
      </c>
      <c r="L31" t="s">
        <v>137</v>
      </c>
      <c r="M31" t="s">
        <v>18</v>
      </c>
      <c r="N31" t="s">
        <v>19</v>
      </c>
    </row>
    <row r="32" spans="1:14">
      <c r="A32" t="s">
        <v>138</v>
      </c>
      <c r="B32" t="s">
        <v>139</v>
      </c>
      <c r="C32">
        <v>2013</v>
      </c>
      <c r="D32" t="s">
        <v>140</v>
      </c>
      <c r="E32">
        <v>44</v>
      </c>
      <c r="F32">
        <v>1</v>
      </c>
      <c r="H32">
        <v>144</v>
      </c>
      <c r="I32">
        <v>155</v>
      </c>
      <c r="L32" t="s">
        <v>141</v>
      </c>
      <c r="M32" t="s">
        <v>18</v>
      </c>
      <c r="N32" t="s">
        <v>19</v>
      </c>
    </row>
    <row r="33" spans="1:14">
      <c r="A33" t="s">
        <v>142</v>
      </c>
      <c r="B33" t="s">
        <v>143</v>
      </c>
      <c r="C33">
        <v>2013</v>
      </c>
      <c r="D33" t="s">
        <v>144</v>
      </c>
      <c r="E33">
        <v>4</v>
      </c>
      <c r="F33">
        <v>1</v>
      </c>
      <c r="G33">
        <v>13</v>
      </c>
      <c r="L33" t="s">
        <v>145</v>
      </c>
      <c r="M33" t="s">
        <v>18</v>
      </c>
      <c r="N33" t="s">
        <v>19</v>
      </c>
    </row>
    <row r="34" spans="1:14">
      <c r="A34" t="s">
        <v>146</v>
      </c>
      <c r="B34" t="s">
        <v>147</v>
      </c>
      <c r="C34">
        <v>2013</v>
      </c>
      <c r="D34" t="s">
        <v>148</v>
      </c>
      <c r="E34">
        <v>60</v>
      </c>
      <c r="F34">
        <v>1</v>
      </c>
      <c r="H34">
        <v>184</v>
      </c>
      <c r="I34">
        <v>196</v>
      </c>
      <c r="L34" t="s">
        <v>149</v>
      </c>
      <c r="M34" t="s">
        <v>18</v>
      </c>
      <c r="N34" t="s">
        <v>19</v>
      </c>
    </row>
    <row r="35" spans="1:14">
      <c r="A35" t="s">
        <v>150</v>
      </c>
      <c r="B35" t="s">
        <v>151</v>
      </c>
      <c r="C35">
        <v>2013</v>
      </c>
      <c r="D35" t="s">
        <v>152</v>
      </c>
      <c r="E35">
        <v>15</v>
      </c>
      <c r="F35">
        <v>1</v>
      </c>
      <c r="G35">
        <v>6177189</v>
      </c>
      <c r="H35">
        <v>387</v>
      </c>
      <c r="I35">
        <v>401</v>
      </c>
      <c r="L35" t="s">
        <v>153</v>
      </c>
      <c r="M35" t="s">
        <v>18</v>
      </c>
      <c r="N35" t="s">
        <v>19</v>
      </c>
    </row>
    <row r="36" spans="1:14">
      <c r="A36" t="s">
        <v>154</v>
      </c>
      <c r="B36" t="s">
        <v>155</v>
      </c>
      <c r="C36">
        <v>2013</v>
      </c>
      <c r="D36" t="s">
        <v>156</v>
      </c>
      <c r="E36">
        <v>65</v>
      </c>
      <c r="F36">
        <v>1</v>
      </c>
      <c r="H36">
        <v>40</v>
      </c>
      <c r="I36">
        <v>53</v>
      </c>
      <c r="L36" t="s">
        <v>157</v>
      </c>
      <c r="M36" t="s">
        <v>18</v>
      </c>
      <c r="N36" t="s">
        <v>19</v>
      </c>
    </row>
    <row r="37" spans="1:14">
      <c r="A37" t="s">
        <v>158</v>
      </c>
      <c r="B37" t="s">
        <v>159</v>
      </c>
      <c r="C37">
        <v>2013</v>
      </c>
      <c r="D37" t="s">
        <v>160</v>
      </c>
      <c r="E37">
        <v>83</v>
      </c>
      <c r="H37">
        <v>20</v>
      </c>
      <c r="I37">
        <v>38</v>
      </c>
      <c r="L37" t="s">
        <v>161</v>
      </c>
      <c r="M37" t="s">
        <v>18</v>
      </c>
      <c r="N37" t="s">
        <v>19</v>
      </c>
    </row>
    <row r="38" spans="1:14">
      <c r="A38" t="s">
        <v>162</v>
      </c>
      <c r="B38" t="s">
        <v>163</v>
      </c>
      <c r="C38">
        <v>2013</v>
      </c>
      <c r="D38" t="s">
        <v>164</v>
      </c>
      <c r="E38">
        <v>57</v>
      </c>
      <c r="F38">
        <v>1</v>
      </c>
      <c r="H38">
        <v>661</v>
      </c>
      <c r="I38">
        <v>671</v>
      </c>
      <c r="L38" t="s">
        <v>165</v>
      </c>
      <c r="M38" t="s">
        <v>18</v>
      </c>
      <c r="N38" t="s">
        <v>19</v>
      </c>
    </row>
    <row r="39" spans="1:14">
      <c r="A39" t="s">
        <v>166</v>
      </c>
      <c r="B39" t="s">
        <v>167</v>
      </c>
      <c r="C39">
        <v>2013</v>
      </c>
      <c r="D39" t="s">
        <v>168</v>
      </c>
      <c r="E39">
        <v>11</v>
      </c>
      <c r="F39" s="1">
        <v>41365</v>
      </c>
      <c r="H39">
        <v>353</v>
      </c>
      <c r="I39">
        <v>367</v>
      </c>
      <c r="L39" t="s">
        <v>169</v>
      </c>
      <c r="M39" t="s">
        <v>18</v>
      </c>
      <c r="N39" t="s">
        <v>19</v>
      </c>
    </row>
    <row r="40" spans="1:14">
      <c r="A40" t="s">
        <v>170</v>
      </c>
      <c r="B40" t="s">
        <v>171</v>
      </c>
      <c r="C40">
        <v>2013</v>
      </c>
      <c r="D40" t="s">
        <v>172</v>
      </c>
      <c r="E40">
        <v>10</v>
      </c>
      <c r="F40">
        <v>1</v>
      </c>
      <c r="H40">
        <v>35</v>
      </c>
      <c r="I40">
        <v>56</v>
      </c>
      <c r="L40" t="s">
        <v>173</v>
      </c>
      <c r="M40" t="s">
        <v>18</v>
      </c>
      <c r="N40" t="s">
        <v>19</v>
      </c>
    </row>
    <row r="41" spans="1:14">
      <c r="A41" t="s">
        <v>174</v>
      </c>
      <c r="B41" t="s">
        <v>175</v>
      </c>
      <c r="C41">
        <v>2012</v>
      </c>
      <c r="D41" t="s">
        <v>176</v>
      </c>
      <c r="G41">
        <v>6360127</v>
      </c>
      <c r="H41">
        <v>110</v>
      </c>
      <c r="I41">
        <v>115</v>
      </c>
      <c r="L41" t="s">
        <v>177</v>
      </c>
      <c r="M41" t="s">
        <v>31</v>
      </c>
      <c r="N41" t="s">
        <v>19</v>
      </c>
    </row>
    <row r="42" spans="1:14">
      <c r="A42" t="s">
        <v>178</v>
      </c>
      <c r="B42" t="s">
        <v>179</v>
      </c>
      <c r="C42">
        <v>2012</v>
      </c>
      <c r="D42" t="s">
        <v>180</v>
      </c>
      <c r="H42">
        <v>144</v>
      </c>
      <c r="I42">
        <v>149</v>
      </c>
      <c r="L42" t="s">
        <v>181</v>
      </c>
      <c r="M42" t="s">
        <v>31</v>
      </c>
      <c r="N42" t="s">
        <v>19</v>
      </c>
    </row>
    <row r="43" spans="1:14">
      <c r="A43" t="s">
        <v>182</v>
      </c>
      <c r="B43" t="s">
        <v>183</v>
      </c>
      <c r="C43">
        <v>2012</v>
      </c>
      <c r="D43" t="s">
        <v>55</v>
      </c>
      <c r="E43" t="s">
        <v>184</v>
      </c>
      <c r="H43">
        <v>61</v>
      </c>
      <c r="I43">
        <v>72</v>
      </c>
      <c r="L43" t="s">
        <v>185</v>
      </c>
      <c r="M43" t="s">
        <v>31</v>
      </c>
      <c r="N43" t="s">
        <v>19</v>
      </c>
    </row>
    <row r="44" spans="1:14">
      <c r="A44" t="s">
        <v>186</v>
      </c>
      <c r="B44" t="s">
        <v>187</v>
      </c>
      <c r="C44">
        <v>2012</v>
      </c>
      <c r="D44" t="s">
        <v>188</v>
      </c>
      <c r="H44">
        <v>1117</v>
      </c>
      <c r="I44">
        <v>1120</v>
      </c>
      <c r="L44" t="s">
        <v>189</v>
      </c>
      <c r="M44" t="s">
        <v>31</v>
      </c>
      <c r="N44" t="s">
        <v>19</v>
      </c>
    </row>
    <row r="45" spans="1:14">
      <c r="A45" t="s">
        <v>190</v>
      </c>
      <c r="B45" t="s">
        <v>191</v>
      </c>
      <c r="C45">
        <v>2012</v>
      </c>
      <c r="D45" t="s">
        <v>188</v>
      </c>
      <c r="H45">
        <v>1299</v>
      </c>
      <c r="I45">
        <v>1300</v>
      </c>
      <c r="L45" t="s">
        <v>192</v>
      </c>
      <c r="M45" t="s">
        <v>31</v>
      </c>
      <c r="N45" t="s">
        <v>19</v>
      </c>
    </row>
    <row r="46" spans="1:14">
      <c r="A46" t="s">
        <v>193</v>
      </c>
      <c r="B46" t="s">
        <v>194</v>
      </c>
      <c r="C46">
        <v>2012</v>
      </c>
      <c r="D46" t="s">
        <v>195</v>
      </c>
      <c r="H46">
        <v>17</v>
      </c>
      <c r="I46">
        <v>24</v>
      </c>
      <c r="L46" t="s">
        <v>196</v>
      </c>
      <c r="M46" t="s">
        <v>31</v>
      </c>
      <c r="N46" t="s">
        <v>19</v>
      </c>
    </row>
    <row r="47" spans="1:14">
      <c r="A47" t="s">
        <v>197</v>
      </c>
      <c r="B47" t="s">
        <v>198</v>
      </c>
      <c r="C47">
        <v>2012</v>
      </c>
      <c r="D47" t="s">
        <v>195</v>
      </c>
      <c r="H47">
        <v>61</v>
      </c>
      <c r="I47">
        <v>64</v>
      </c>
      <c r="L47" t="s">
        <v>199</v>
      </c>
      <c r="M47" t="s">
        <v>31</v>
      </c>
      <c r="N47" t="s">
        <v>19</v>
      </c>
    </row>
    <row r="48" spans="1:14">
      <c r="A48" t="s">
        <v>200</v>
      </c>
      <c r="B48" t="s">
        <v>201</v>
      </c>
      <c r="C48">
        <v>2012</v>
      </c>
      <c r="D48" t="s">
        <v>55</v>
      </c>
      <c r="E48" t="s">
        <v>202</v>
      </c>
      <c r="H48">
        <v>114</v>
      </c>
      <c r="I48">
        <v>123</v>
      </c>
      <c r="L48" t="s">
        <v>203</v>
      </c>
      <c r="M48" t="s">
        <v>31</v>
      </c>
      <c r="N48" t="s">
        <v>19</v>
      </c>
    </row>
    <row r="49" spans="1:14">
      <c r="A49" t="s">
        <v>204</v>
      </c>
      <c r="B49" t="s">
        <v>205</v>
      </c>
      <c r="C49">
        <v>2012</v>
      </c>
      <c r="D49" t="s">
        <v>206</v>
      </c>
      <c r="E49">
        <v>2</v>
      </c>
      <c r="H49">
        <v>1462</v>
      </c>
      <c r="I49">
        <v>1470</v>
      </c>
      <c r="L49" t="s">
        <v>207</v>
      </c>
      <c r="M49" t="s">
        <v>18</v>
      </c>
      <c r="N49" t="s">
        <v>19</v>
      </c>
    </row>
    <row r="50" spans="1:14">
      <c r="A50" t="s">
        <v>208</v>
      </c>
      <c r="B50" t="s">
        <v>209</v>
      </c>
      <c r="C50">
        <v>2012</v>
      </c>
      <c r="D50" t="s">
        <v>206</v>
      </c>
      <c r="E50">
        <v>2</v>
      </c>
      <c r="H50">
        <v>1570</v>
      </c>
      <c r="I50">
        <v>1572</v>
      </c>
      <c r="L50" t="s">
        <v>210</v>
      </c>
      <c r="M50" t="s">
        <v>18</v>
      </c>
      <c r="N50" t="s">
        <v>19</v>
      </c>
    </row>
    <row r="51" spans="1:14">
      <c r="A51" t="s">
        <v>211</v>
      </c>
      <c r="B51" t="s">
        <v>212</v>
      </c>
      <c r="C51">
        <v>2012</v>
      </c>
      <c r="D51" t="s">
        <v>213</v>
      </c>
      <c r="H51">
        <v>215</v>
      </c>
      <c r="I51">
        <v>224</v>
      </c>
      <c r="L51" t="s">
        <v>214</v>
      </c>
      <c r="M51" t="s">
        <v>31</v>
      </c>
      <c r="N51" t="s">
        <v>19</v>
      </c>
    </row>
    <row r="52" spans="1:14">
      <c r="A52" t="s">
        <v>215</v>
      </c>
      <c r="B52" t="s">
        <v>216</v>
      </c>
      <c r="C52">
        <v>2012</v>
      </c>
      <c r="D52" t="s">
        <v>213</v>
      </c>
      <c r="H52">
        <v>1642</v>
      </c>
      <c r="I52">
        <v>1646</v>
      </c>
      <c r="L52" t="s">
        <v>217</v>
      </c>
      <c r="M52" t="s">
        <v>31</v>
      </c>
      <c r="N52" t="s">
        <v>19</v>
      </c>
    </row>
    <row r="53" spans="1:14">
      <c r="A53" t="s">
        <v>218</v>
      </c>
      <c r="B53" t="s">
        <v>219</v>
      </c>
      <c r="C53">
        <v>2012</v>
      </c>
      <c r="D53" t="s">
        <v>213</v>
      </c>
      <c r="H53">
        <v>2768</v>
      </c>
      <c r="I53">
        <v>2769</v>
      </c>
      <c r="L53" t="s">
        <v>220</v>
      </c>
      <c r="M53" t="s">
        <v>31</v>
      </c>
      <c r="N53" t="s">
        <v>19</v>
      </c>
    </row>
    <row r="54" spans="1:14">
      <c r="A54" t="s">
        <v>221</v>
      </c>
      <c r="B54" t="s">
        <v>222</v>
      </c>
      <c r="C54">
        <v>2012</v>
      </c>
      <c r="D54" t="s">
        <v>223</v>
      </c>
      <c r="H54">
        <v>145</v>
      </c>
      <c r="I54">
        <v>158</v>
      </c>
      <c r="L54" t="s">
        <v>224</v>
      </c>
      <c r="M54" t="s">
        <v>31</v>
      </c>
      <c r="N54" t="s">
        <v>19</v>
      </c>
    </row>
    <row r="55" spans="1:14">
      <c r="A55" t="s">
        <v>225</v>
      </c>
      <c r="B55" t="s">
        <v>226</v>
      </c>
      <c r="C55">
        <v>2012</v>
      </c>
      <c r="D55" t="s">
        <v>55</v>
      </c>
      <c r="E55" t="s">
        <v>227</v>
      </c>
      <c r="F55" t="s">
        <v>228</v>
      </c>
      <c r="H55">
        <v>41</v>
      </c>
      <c r="I55">
        <v>50</v>
      </c>
      <c r="L55" t="s">
        <v>229</v>
      </c>
      <c r="M55" t="s">
        <v>31</v>
      </c>
      <c r="N55" t="s">
        <v>19</v>
      </c>
    </row>
    <row r="56" spans="1:14">
      <c r="A56" t="s">
        <v>230</v>
      </c>
      <c r="B56" t="s">
        <v>231</v>
      </c>
      <c r="C56">
        <v>2012</v>
      </c>
      <c r="D56" t="s">
        <v>223</v>
      </c>
      <c r="L56" t="s">
        <v>232</v>
      </c>
      <c r="M56" t="s">
        <v>233</v>
      </c>
      <c r="N56" t="s">
        <v>19</v>
      </c>
    </row>
    <row r="57" spans="1:14">
      <c r="A57" t="s">
        <v>14</v>
      </c>
      <c r="B57" t="s">
        <v>234</v>
      </c>
      <c r="C57">
        <v>2012</v>
      </c>
      <c r="D57" t="s">
        <v>16</v>
      </c>
      <c r="E57">
        <v>39</v>
      </c>
      <c r="F57">
        <v>18</v>
      </c>
      <c r="H57">
        <v>13182</v>
      </c>
      <c r="I57">
        <v>13192</v>
      </c>
      <c r="K57">
        <v>1</v>
      </c>
      <c r="L57" t="s">
        <v>235</v>
      </c>
      <c r="M57" t="s">
        <v>18</v>
      </c>
      <c r="N57" t="s">
        <v>19</v>
      </c>
    </row>
    <row r="58" spans="1:14">
      <c r="A58" t="s">
        <v>236</v>
      </c>
      <c r="B58" t="s">
        <v>237</v>
      </c>
      <c r="C58">
        <v>2012</v>
      </c>
      <c r="D58" t="s">
        <v>16</v>
      </c>
      <c r="E58">
        <v>39</v>
      </c>
      <c r="F58">
        <v>18</v>
      </c>
      <c r="H58">
        <v>13093</v>
      </c>
      <c r="I58">
        <v>13107</v>
      </c>
      <c r="L58" t="s">
        <v>238</v>
      </c>
      <c r="M58" t="s">
        <v>18</v>
      </c>
      <c r="N58" t="s">
        <v>19</v>
      </c>
    </row>
    <row r="59" spans="1:14">
      <c r="A59" t="s">
        <v>239</v>
      </c>
      <c r="B59" t="s">
        <v>240</v>
      </c>
      <c r="C59">
        <v>2012</v>
      </c>
      <c r="D59" t="s">
        <v>241</v>
      </c>
      <c r="G59">
        <v>6354833</v>
      </c>
      <c r="H59">
        <v>239</v>
      </c>
      <c r="I59">
        <v>246</v>
      </c>
      <c r="L59" t="s">
        <v>242</v>
      </c>
      <c r="M59" t="s">
        <v>31</v>
      </c>
      <c r="N59" t="s">
        <v>19</v>
      </c>
    </row>
    <row r="60" spans="1:14">
      <c r="A60" t="s">
        <v>243</v>
      </c>
      <c r="B60" t="s">
        <v>244</v>
      </c>
      <c r="C60">
        <v>2012</v>
      </c>
      <c r="D60" t="s">
        <v>245</v>
      </c>
      <c r="G60">
        <v>6310992</v>
      </c>
      <c r="H60">
        <v>158</v>
      </c>
      <c r="I60">
        <v>164</v>
      </c>
      <c r="L60" t="s">
        <v>246</v>
      </c>
      <c r="M60" t="s">
        <v>31</v>
      </c>
      <c r="N60" t="s">
        <v>19</v>
      </c>
    </row>
    <row r="61" spans="1:14">
      <c r="A61" t="s">
        <v>247</v>
      </c>
      <c r="B61" t="s">
        <v>248</v>
      </c>
      <c r="C61">
        <v>2012</v>
      </c>
      <c r="D61" t="s">
        <v>249</v>
      </c>
      <c r="L61" t="s">
        <v>250</v>
      </c>
      <c r="M61" t="s">
        <v>52</v>
      </c>
      <c r="N61" t="s">
        <v>19</v>
      </c>
    </row>
    <row r="62" spans="1:14">
      <c r="A62" t="s">
        <v>251</v>
      </c>
      <c r="B62" t="s">
        <v>252</v>
      </c>
      <c r="C62">
        <v>2012</v>
      </c>
      <c r="D62" t="s">
        <v>253</v>
      </c>
      <c r="E62">
        <v>3</v>
      </c>
      <c r="F62">
        <v>6</v>
      </c>
      <c r="H62">
        <v>1591</v>
      </c>
      <c r="I62">
        <v>1596</v>
      </c>
      <c r="L62" t="s">
        <v>254</v>
      </c>
      <c r="M62" t="s">
        <v>18</v>
      </c>
      <c r="N62" t="s">
        <v>19</v>
      </c>
    </row>
    <row r="63" spans="1:14">
      <c r="A63" t="s">
        <v>255</v>
      </c>
      <c r="B63" t="s">
        <v>256</v>
      </c>
      <c r="C63">
        <v>2012</v>
      </c>
      <c r="D63" t="s">
        <v>257</v>
      </c>
      <c r="G63">
        <v>6337971</v>
      </c>
      <c r="H63">
        <v>503</v>
      </c>
      <c r="I63">
        <v>508</v>
      </c>
      <c r="L63" t="s">
        <v>258</v>
      </c>
      <c r="M63" t="s">
        <v>31</v>
      </c>
      <c r="N63" t="s">
        <v>19</v>
      </c>
    </row>
    <row r="64" spans="1:14">
      <c r="A64" t="s">
        <v>255</v>
      </c>
      <c r="B64" t="s">
        <v>259</v>
      </c>
      <c r="C64">
        <v>2012</v>
      </c>
      <c r="D64" t="s">
        <v>257</v>
      </c>
      <c r="G64">
        <v>6337972</v>
      </c>
      <c r="H64">
        <v>509</v>
      </c>
      <c r="I64">
        <v>514</v>
      </c>
      <c r="L64" t="s">
        <v>260</v>
      </c>
      <c r="M64" t="s">
        <v>31</v>
      </c>
      <c r="N64" t="s">
        <v>19</v>
      </c>
    </row>
    <row r="65" spans="1:14">
      <c r="A65" t="s">
        <v>261</v>
      </c>
      <c r="B65" t="s">
        <v>262</v>
      </c>
      <c r="C65">
        <v>2012</v>
      </c>
      <c r="D65" t="s">
        <v>263</v>
      </c>
      <c r="E65">
        <v>1</v>
      </c>
      <c r="G65">
        <v>6339644</v>
      </c>
      <c r="H65">
        <v>244</v>
      </c>
      <c r="I65">
        <v>248</v>
      </c>
      <c r="L65" t="s">
        <v>264</v>
      </c>
      <c r="M65" t="s">
        <v>31</v>
      </c>
      <c r="N65" t="s">
        <v>19</v>
      </c>
    </row>
    <row r="66" spans="1:14">
      <c r="A66" t="s">
        <v>265</v>
      </c>
      <c r="B66" t="s">
        <v>266</v>
      </c>
      <c r="C66">
        <v>2012</v>
      </c>
      <c r="D66" t="s">
        <v>267</v>
      </c>
      <c r="G66">
        <v>6349806</v>
      </c>
      <c r="L66" t="s">
        <v>268</v>
      </c>
      <c r="M66" t="s">
        <v>31</v>
      </c>
      <c r="N66" t="s">
        <v>19</v>
      </c>
    </row>
    <row r="67" spans="1:14">
      <c r="A67" t="s">
        <v>269</v>
      </c>
      <c r="B67" t="s">
        <v>270</v>
      </c>
      <c r="C67">
        <v>2012</v>
      </c>
      <c r="D67" t="s">
        <v>271</v>
      </c>
      <c r="G67">
        <v>6337349</v>
      </c>
      <c r="H67">
        <v>124</v>
      </c>
      <c r="I67">
        <v>133</v>
      </c>
      <c r="L67" t="s">
        <v>272</v>
      </c>
      <c r="M67" t="s">
        <v>31</v>
      </c>
      <c r="N67" t="s">
        <v>19</v>
      </c>
    </row>
    <row r="68" spans="1:14">
      <c r="A68" t="s">
        <v>273</v>
      </c>
      <c r="B68" t="s">
        <v>274</v>
      </c>
      <c r="C68">
        <v>2012</v>
      </c>
      <c r="D68" t="s">
        <v>263</v>
      </c>
      <c r="E68">
        <v>1</v>
      </c>
      <c r="G68">
        <v>6339688</v>
      </c>
      <c r="H68">
        <v>410</v>
      </c>
      <c r="I68">
        <v>413</v>
      </c>
      <c r="L68" t="s">
        <v>275</v>
      </c>
      <c r="M68" t="s">
        <v>31</v>
      </c>
      <c r="N68" t="s">
        <v>19</v>
      </c>
    </row>
    <row r="69" spans="1:14">
      <c r="A69" t="s">
        <v>276</v>
      </c>
      <c r="B69" t="s">
        <v>277</v>
      </c>
      <c r="C69">
        <v>2012</v>
      </c>
      <c r="D69" t="s">
        <v>278</v>
      </c>
      <c r="H69">
        <v>1</v>
      </c>
      <c r="I69">
        <v>25</v>
      </c>
      <c r="L69" t="s">
        <v>279</v>
      </c>
      <c r="M69" t="s">
        <v>52</v>
      </c>
      <c r="N69" t="s">
        <v>19</v>
      </c>
    </row>
    <row r="70" spans="1:14">
      <c r="A70" t="s">
        <v>280</v>
      </c>
      <c r="B70" t="s">
        <v>281</v>
      </c>
      <c r="C70">
        <v>2012</v>
      </c>
      <c r="D70" t="s">
        <v>282</v>
      </c>
      <c r="G70">
        <v>6337102</v>
      </c>
      <c r="H70">
        <v>178</v>
      </c>
      <c r="I70">
        <v>185</v>
      </c>
      <c r="L70" t="s">
        <v>283</v>
      </c>
      <c r="M70" t="s">
        <v>31</v>
      </c>
      <c r="N70" t="s">
        <v>19</v>
      </c>
    </row>
    <row r="71" spans="1:14">
      <c r="A71" t="s">
        <v>284</v>
      </c>
      <c r="B71" t="s">
        <v>285</v>
      </c>
      <c r="C71">
        <v>2012</v>
      </c>
      <c r="D71" t="s">
        <v>286</v>
      </c>
      <c r="E71">
        <v>20</v>
      </c>
      <c r="F71">
        <v>6</v>
      </c>
      <c r="G71">
        <v>6179986</v>
      </c>
      <c r="H71">
        <v>1090</v>
      </c>
      <c r="I71">
        <v>1101</v>
      </c>
      <c r="L71" t="s">
        <v>287</v>
      </c>
      <c r="M71" t="s">
        <v>18</v>
      </c>
      <c r="N71" t="s">
        <v>19</v>
      </c>
    </row>
    <row r="72" spans="1:14">
      <c r="A72" t="s">
        <v>288</v>
      </c>
      <c r="B72" t="s">
        <v>289</v>
      </c>
      <c r="C72">
        <v>2012</v>
      </c>
      <c r="D72" t="s">
        <v>290</v>
      </c>
      <c r="H72">
        <v>11</v>
      </c>
      <c r="I72">
        <v>14</v>
      </c>
      <c r="L72" t="s">
        <v>291</v>
      </c>
      <c r="M72" t="s">
        <v>31</v>
      </c>
      <c r="N72" t="s">
        <v>19</v>
      </c>
    </row>
    <row r="73" spans="1:14">
      <c r="A73" t="s">
        <v>292</v>
      </c>
      <c r="B73" t="s">
        <v>293</v>
      </c>
      <c r="C73">
        <v>2012</v>
      </c>
      <c r="D73" t="s">
        <v>290</v>
      </c>
      <c r="H73">
        <v>75</v>
      </c>
      <c r="I73">
        <v>81</v>
      </c>
      <c r="L73" t="s">
        <v>294</v>
      </c>
      <c r="M73" t="s">
        <v>31</v>
      </c>
      <c r="N73" t="s">
        <v>19</v>
      </c>
    </row>
    <row r="74" spans="1:14">
      <c r="A74" t="s">
        <v>295</v>
      </c>
      <c r="B74" t="s">
        <v>296</v>
      </c>
      <c r="C74">
        <v>2012</v>
      </c>
      <c r="D74" t="s">
        <v>55</v>
      </c>
      <c r="E74" t="s">
        <v>297</v>
      </c>
      <c r="H74">
        <v>483</v>
      </c>
      <c r="I74">
        <v>492</v>
      </c>
      <c r="L74" t="s">
        <v>298</v>
      </c>
      <c r="M74" t="s">
        <v>31</v>
      </c>
      <c r="N74" t="s">
        <v>19</v>
      </c>
    </row>
    <row r="75" spans="1:14">
      <c r="A75" t="s">
        <v>299</v>
      </c>
      <c r="B75" t="s">
        <v>300</v>
      </c>
      <c r="C75">
        <v>2012</v>
      </c>
      <c r="D75" t="s">
        <v>55</v>
      </c>
      <c r="E75" t="s">
        <v>301</v>
      </c>
      <c r="H75">
        <v>306</v>
      </c>
      <c r="I75">
        <v>313</v>
      </c>
      <c r="L75" t="s">
        <v>302</v>
      </c>
      <c r="M75" t="s">
        <v>31</v>
      </c>
      <c r="N75" t="s">
        <v>19</v>
      </c>
    </row>
    <row r="76" spans="1:14">
      <c r="A76" t="s">
        <v>303</v>
      </c>
      <c r="B76" t="s">
        <v>304</v>
      </c>
      <c r="C76">
        <v>2012</v>
      </c>
      <c r="D76" t="s">
        <v>55</v>
      </c>
      <c r="E76" t="s">
        <v>297</v>
      </c>
      <c r="H76">
        <v>411</v>
      </c>
      <c r="I76">
        <v>422</v>
      </c>
      <c r="L76" t="s">
        <v>305</v>
      </c>
      <c r="M76" t="s">
        <v>31</v>
      </c>
      <c r="N76" t="s">
        <v>19</v>
      </c>
    </row>
    <row r="77" spans="1:14">
      <c r="A77" t="s">
        <v>306</v>
      </c>
      <c r="B77" t="s">
        <v>307</v>
      </c>
      <c r="C77">
        <v>2012</v>
      </c>
      <c r="D77" t="s">
        <v>55</v>
      </c>
      <c r="E77" t="s">
        <v>297</v>
      </c>
      <c r="H77">
        <v>584</v>
      </c>
      <c r="I77">
        <v>595</v>
      </c>
      <c r="L77" t="s">
        <v>308</v>
      </c>
      <c r="M77" t="s">
        <v>31</v>
      </c>
      <c r="N77" t="s">
        <v>19</v>
      </c>
    </row>
    <row r="78" spans="1:14">
      <c r="A78" t="s">
        <v>309</v>
      </c>
      <c r="B78" t="s">
        <v>310</v>
      </c>
      <c r="C78">
        <v>2012</v>
      </c>
      <c r="D78" t="s">
        <v>55</v>
      </c>
      <c r="E78" t="s">
        <v>301</v>
      </c>
      <c r="H78">
        <v>462</v>
      </c>
      <c r="I78">
        <v>469</v>
      </c>
      <c r="L78" t="s">
        <v>311</v>
      </c>
      <c r="M78" t="s">
        <v>31</v>
      </c>
      <c r="N78" t="s">
        <v>19</v>
      </c>
    </row>
    <row r="79" spans="1:14">
      <c r="A79" t="s">
        <v>312</v>
      </c>
      <c r="B79" t="s">
        <v>313</v>
      </c>
      <c r="C79">
        <v>2012</v>
      </c>
      <c r="D79" t="s">
        <v>314</v>
      </c>
      <c r="E79" t="s">
        <v>315</v>
      </c>
      <c r="H79">
        <v>262</v>
      </c>
      <c r="I79">
        <v>267</v>
      </c>
      <c r="L79" t="s">
        <v>316</v>
      </c>
      <c r="M79" t="s">
        <v>31</v>
      </c>
      <c r="N79" t="s">
        <v>19</v>
      </c>
    </row>
    <row r="80" spans="1:14">
      <c r="A80" t="s">
        <v>317</v>
      </c>
      <c r="B80" t="s">
        <v>318</v>
      </c>
      <c r="C80">
        <v>2012</v>
      </c>
      <c r="D80" t="s">
        <v>319</v>
      </c>
      <c r="E80">
        <v>8359</v>
      </c>
      <c r="G80">
        <v>835908</v>
      </c>
      <c r="L80" t="s">
        <v>320</v>
      </c>
      <c r="M80" t="s">
        <v>18</v>
      </c>
      <c r="N80" t="s">
        <v>19</v>
      </c>
    </row>
    <row r="81" spans="1:14">
      <c r="A81" t="s">
        <v>321</v>
      </c>
      <c r="B81" t="s">
        <v>322</v>
      </c>
      <c r="C81">
        <v>2012</v>
      </c>
      <c r="D81" t="s">
        <v>323</v>
      </c>
      <c r="G81">
        <v>6384940</v>
      </c>
      <c r="H81">
        <v>27</v>
      </c>
      <c r="I81">
        <v>30</v>
      </c>
      <c r="L81" t="s">
        <v>324</v>
      </c>
      <c r="M81" t="s">
        <v>31</v>
      </c>
      <c r="N81" t="s">
        <v>19</v>
      </c>
    </row>
    <row r="82" spans="1:14">
      <c r="A82" t="s">
        <v>325</v>
      </c>
      <c r="B82" t="s">
        <v>326</v>
      </c>
      <c r="C82">
        <v>2012</v>
      </c>
      <c r="D82" t="s">
        <v>327</v>
      </c>
      <c r="E82">
        <v>4</v>
      </c>
      <c r="F82">
        <v>22</v>
      </c>
      <c r="H82">
        <v>247</v>
      </c>
      <c r="I82">
        <v>255</v>
      </c>
      <c r="L82" t="s">
        <v>328</v>
      </c>
      <c r="M82" t="s">
        <v>18</v>
      </c>
      <c r="N82" t="s">
        <v>19</v>
      </c>
    </row>
    <row r="83" spans="1:14">
      <c r="A83" t="s">
        <v>329</v>
      </c>
      <c r="B83" t="s">
        <v>330</v>
      </c>
      <c r="C83">
        <v>2012</v>
      </c>
      <c r="D83" t="s">
        <v>331</v>
      </c>
      <c r="G83">
        <v>6378488</v>
      </c>
      <c r="H83">
        <v>57</v>
      </c>
      <c r="L83" t="s">
        <v>332</v>
      </c>
      <c r="M83" t="s">
        <v>31</v>
      </c>
      <c r="N83" t="s">
        <v>19</v>
      </c>
    </row>
    <row r="84" spans="1:14">
      <c r="A84" t="s">
        <v>333</v>
      </c>
      <c r="B84" t="s">
        <v>334</v>
      </c>
      <c r="C84">
        <v>2012</v>
      </c>
      <c r="D84" t="s">
        <v>335</v>
      </c>
      <c r="E84">
        <v>2</v>
      </c>
      <c r="F84">
        <v>2</v>
      </c>
      <c r="H84">
        <v>99</v>
      </c>
      <c r="I84">
        <v>115</v>
      </c>
      <c r="L84" t="s">
        <v>336</v>
      </c>
      <c r="M84" t="s">
        <v>18</v>
      </c>
      <c r="N84" t="s">
        <v>19</v>
      </c>
    </row>
    <row r="85" spans="1:14">
      <c r="A85" t="s">
        <v>337</v>
      </c>
      <c r="B85" t="s">
        <v>338</v>
      </c>
      <c r="C85">
        <v>2012</v>
      </c>
      <c r="D85" t="s">
        <v>339</v>
      </c>
      <c r="E85">
        <v>21</v>
      </c>
      <c r="F85">
        <v>5</v>
      </c>
      <c r="H85">
        <v>392</v>
      </c>
      <c r="I85">
        <v>405</v>
      </c>
      <c r="L85" t="s">
        <v>340</v>
      </c>
      <c r="M85" t="s">
        <v>31</v>
      </c>
      <c r="N85" t="s">
        <v>19</v>
      </c>
    </row>
    <row r="86" spans="1:14">
      <c r="A86" t="s">
        <v>341</v>
      </c>
      <c r="B86" t="s">
        <v>342</v>
      </c>
      <c r="C86">
        <v>2012</v>
      </c>
      <c r="D86" t="s">
        <v>343</v>
      </c>
      <c r="E86">
        <v>2</v>
      </c>
      <c r="G86">
        <v>6359000</v>
      </c>
      <c r="H86">
        <v>643</v>
      </c>
      <c r="I86">
        <v>647</v>
      </c>
      <c r="L86" t="s">
        <v>344</v>
      </c>
      <c r="M86" t="s">
        <v>31</v>
      </c>
      <c r="N86" t="s">
        <v>19</v>
      </c>
    </row>
    <row r="87" spans="1:14">
      <c r="A87" t="s">
        <v>345</v>
      </c>
      <c r="B87" t="s">
        <v>346</v>
      </c>
      <c r="C87">
        <v>2012</v>
      </c>
      <c r="D87" t="s">
        <v>347</v>
      </c>
      <c r="H87">
        <v>116</v>
      </c>
      <c r="I87">
        <v>123</v>
      </c>
      <c r="L87" t="s">
        <v>348</v>
      </c>
      <c r="M87" t="s">
        <v>31</v>
      </c>
      <c r="N87" t="s">
        <v>19</v>
      </c>
    </row>
    <row r="88" spans="1:14">
      <c r="A88" t="s">
        <v>349</v>
      </c>
      <c r="B88" t="s">
        <v>350</v>
      </c>
      <c r="C88">
        <v>2012</v>
      </c>
      <c r="D88" t="s">
        <v>351</v>
      </c>
      <c r="G88">
        <v>6391832</v>
      </c>
      <c r="H88">
        <v>201</v>
      </c>
      <c r="I88">
        <v>204</v>
      </c>
      <c r="L88" t="s">
        <v>352</v>
      </c>
      <c r="M88" t="s">
        <v>31</v>
      </c>
      <c r="N88" t="s">
        <v>19</v>
      </c>
    </row>
    <row r="89" spans="1:14">
      <c r="A89" t="s">
        <v>353</v>
      </c>
      <c r="B89" t="s">
        <v>354</v>
      </c>
      <c r="C89">
        <v>2012</v>
      </c>
      <c r="D89" t="s">
        <v>355</v>
      </c>
      <c r="G89">
        <v>6398191</v>
      </c>
      <c r="L89" t="s">
        <v>356</v>
      </c>
      <c r="M89" t="s">
        <v>31</v>
      </c>
      <c r="N89" t="s">
        <v>19</v>
      </c>
    </row>
    <row r="90" spans="1:14">
      <c r="A90" t="s">
        <v>357</v>
      </c>
      <c r="B90" t="s">
        <v>358</v>
      </c>
      <c r="C90">
        <v>2012</v>
      </c>
      <c r="D90" t="s">
        <v>359</v>
      </c>
      <c r="G90">
        <v>6406284</v>
      </c>
      <c r="H90">
        <v>195</v>
      </c>
      <c r="I90">
        <v>202</v>
      </c>
      <c r="L90" t="s">
        <v>360</v>
      </c>
      <c r="M90" t="s">
        <v>31</v>
      </c>
      <c r="N90" t="s">
        <v>19</v>
      </c>
    </row>
    <row r="91" spans="1:14">
      <c r="A91" t="s">
        <v>361</v>
      </c>
      <c r="B91" t="s">
        <v>362</v>
      </c>
      <c r="C91">
        <v>2012</v>
      </c>
      <c r="D91" t="s">
        <v>363</v>
      </c>
      <c r="G91">
        <v>6378022</v>
      </c>
      <c r="H91">
        <v>1942</v>
      </c>
      <c r="I91">
        <v>1947</v>
      </c>
      <c r="L91" t="s">
        <v>364</v>
      </c>
      <c r="M91" t="s">
        <v>31</v>
      </c>
      <c r="N91" t="s">
        <v>19</v>
      </c>
    </row>
    <row r="92" spans="1:14">
      <c r="A92" t="s">
        <v>365</v>
      </c>
      <c r="B92" t="s">
        <v>366</v>
      </c>
      <c r="C92">
        <v>2012</v>
      </c>
      <c r="D92" t="s">
        <v>367</v>
      </c>
      <c r="G92">
        <v>6405341</v>
      </c>
      <c r="H92">
        <v>634</v>
      </c>
      <c r="I92">
        <v>637</v>
      </c>
      <c r="L92" t="s">
        <v>368</v>
      </c>
      <c r="M92" t="s">
        <v>31</v>
      </c>
      <c r="N92" t="s">
        <v>19</v>
      </c>
    </row>
    <row r="93" spans="1:14">
      <c r="A93" t="s">
        <v>369</v>
      </c>
      <c r="B93" t="s">
        <v>370</v>
      </c>
      <c r="C93">
        <v>2012</v>
      </c>
      <c r="D93" t="s">
        <v>108</v>
      </c>
      <c r="E93">
        <v>54</v>
      </c>
      <c r="F93">
        <v>1</v>
      </c>
      <c r="H93">
        <v>564</v>
      </c>
      <c r="I93">
        <v>573</v>
      </c>
      <c r="L93" t="s">
        <v>371</v>
      </c>
      <c r="M93" t="s">
        <v>18</v>
      </c>
      <c r="N93" t="s">
        <v>19</v>
      </c>
    </row>
    <row r="94" spans="1:14">
      <c r="A94" t="s">
        <v>372</v>
      </c>
      <c r="B94" t="s">
        <v>373</v>
      </c>
      <c r="C94">
        <v>2012</v>
      </c>
      <c r="D94" t="s">
        <v>374</v>
      </c>
      <c r="G94">
        <v>6408561</v>
      </c>
      <c r="H94">
        <v>236</v>
      </c>
      <c r="I94">
        <v>243</v>
      </c>
      <c r="L94" t="s">
        <v>375</v>
      </c>
      <c r="M94" t="s">
        <v>31</v>
      </c>
      <c r="N94" t="s">
        <v>19</v>
      </c>
    </row>
    <row r="95" spans="1:14">
      <c r="A95" t="s">
        <v>376</v>
      </c>
      <c r="B95" t="s">
        <v>377</v>
      </c>
      <c r="C95">
        <v>2012</v>
      </c>
      <c r="D95" t="s">
        <v>378</v>
      </c>
      <c r="E95">
        <v>8</v>
      </c>
      <c r="H95">
        <v>6290</v>
      </c>
      <c r="I95">
        <v>6296</v>
      </c>
      <c r="L95" t="s">
        <v>379</v>
      </c>
      <c r="M95" t="s">
        <v>31</v>
      </c>
      <c r="N95" t="s">
        <v>19</v>
      </c>
    </row>
    <row r="96" spans="1:14">
      <c r="A96" t="s">
        <v>380</v>
      </c>
      <c r="B96" t="s">
        <v>381</v>
      </c>
      <c r="C96">
        <v>2012</v>
      </c>
      <c r="D96" t="s">
        <v>382</v>
      </c>
      <c r="E96">
        <v>19</v>
      </c>
      <c r="F96">
        <v>6</v>
      </c>
      <c r="G96">
        <v>6393516</v>
      </c>
      <c r="H96">
        <v>36</v>
      </c>
      <c r="I96">
        <v>43</v>
      </c>
      <c r="L96" t="s">
        <v>383</v>
      </c>
      <c r="M96" t="s">
        <v>18</v>
      </c>
      <c r="N96" t="s">
        <v>19</v>
      </c>
    </row>
    <row r="97" spans="1:14">
      <c r="A97" t="s">
        <v>384</v>
      </c>
      <c r="B97" t="s">
        <v>385</v>
      </c>
      <c r="C97">
        <v>2012</v>
      </c>
      <c r="D97" t="s">
        <v>213</v>
      </c>
      <c r="G97">
        <v>45</v>
      </c>
      <c r="L97" t="s">
        <v>386</v>
      </c>
      <c r="M97" t="s">
        <v>31</v>
      </c>
      <c r="N97" t="s">
        <v>19</v>
      </c>
    </row>
    <row r="98" spans="1:14">
      <c r="A98" t="s">
        <v>387</v>
      </c>
      <c r="B98" t="s">
        <v>388</v>
      </c>
      <c r="C98">
        <v>2012</v>
      </c>
      <c r="D98" t="s">
        <v>389</v>
      </c>
      <c r="G98">
        <v>6400558</v>
      </c>
      <c r="H98">
        <v>133</v>
      </c>
      <c r="I98">
        <v>142</v>
      </c>
      <c r="L98" t="s">
        <v>390</v>
      </c>
      <c r="M98" t="s">
        <v>31</v>
      </c>
      <c r="N98" t="s">
        <v>19</v>
      </c>
    </row>
    <row r="99" spans="1:14">
      <c r="A99" t="s">
        <v>391</v>
      </c>
      <c r="B99" t="s">
        <v>392</v>
      </c>
      <c r="C99">
        <v>2012</v>
      </c>
      <c r="D99" t="s">
        <v>359</v>
      </c>
      <c r="G99">
        <v>6406263</v>
      </c>
      <c r="H99">
        <v>338</v>
      </c>
      <c r="I99">
        <v>347</v>
      </c>
      <c r="L99" t="s">
        <v>393</v>
      </c>
      <c r="M99" t="s">
        <v>31</v>
      </c>
      <c r="N99" t="s">
        <v>19</v>
      </c>
    </row>
    <row r="100" spans="1:14">
      <c r="A100" t="s">
        <v>394</v>
      </c>
      <c r="B100" t="s">
        <v>395</v>
      </c>
      <c r="C100">
        <v>2012</v>
      </c>
      <c r="D100" t="s">
        <v>396</v>
      </c>
      <c r="G100">
        <v>6406449</v>
      </c>
      <c r="H100">
        <v>258</v>
      </c>
      <c r="I100">
        <v>265</v>
      </c>
      <c r="L100" t="s">
        <v>397</v>
      </c>
      <c r="M100" t="s">
        <v>31</v>
      </c>
      <c r="N100" t="s">
        <v>19</v>
      </c>
    </row>
    <row r="101" spans="1:14">
      <c r="A101" t="s">
        <v>398</v>
      </c>
      <c r="B101" t="s">
        <v>399</v>
      </c>
      <c r="C101">
        <v>2012</v>
      </c>
      <c r="D101" t="s">
        <v>400</v>
      </c>
      <c r="E101">
        <v>17</v>
      </c>
      <c r="F101">
        <v>6</v>
      </c>
      <c r="H101">
        <v>75</v>
      </c>
      <c r="I101">
        <v>90</v>
      </c>
      <c r="L101" t="s">
        <v>401</v>
      </c>
      <c r="M101" t="s">
        <v>18</v>
      </c>
      <c r="N101" t="s">
        <v>19</v>
      </c>
    </row>
    <row r="102" spans="1:14">
      <c r="A102" t="s">
        <v>402</v>
      </c>
      <c r="B102" t="s">
        <v>403</v>
      </c>
      <c r="C102">
        <v>2012</v>
      </c>
      <c r="D102" t="s">
        <v>359</v>
      </c>
      <c r="G102">
        <v>6406288</v>
      </c>
      <c r="H102">
        <v>229</v>
      </c>
      <c r="I102">
        <v>238</v>
      </c>
      <c r="L102" t="s">
        <v>404</v>
      </c>
      <c r="M102" t="s">
        <v>31</v>
      </c>
      <c r="N102" t="s">
        <v>19</v>
      </c>
    </row>
    <row r="103" spans="1:14">
      <c r="A103" t="s">
        <v>405</v>
      </c>
      <c r="B103" t="s">
        <v>406</v>
      </c>
      <c r="C103">
        <v>2012</v>
      </c>
      <c r="D103" t="s">
        <v>407</v>
      </c>
      <c r="E103">
        <v>15</v>
      </c>
      <c r="F103">
        <v>3</v>
      </c>
      <c r="H103">
        <v>89</v>
      </c>
      <c r="I103">
        <v>102</v>
      </c>
      <c r="L103" t="s">
        <v>408</v>
      </c>
      <c r="M103" t="s">
        <v>18</v>
      </c>
      <c r="N103" t="s">
        <v>19</v>
      </c>
    </row>
    <row r="104" spans="1:14">
      <c r="A104" t="s">
        <v>409</v>
      </c>
      <c r="B104" t="s">
        <v>410</v>
      </c>
      <c r="C104">
        <v>2012</v>
      </c>
      <c r="D104" t="s">
        <v>411</v>
      </c>
      <c r="G104">
        <v>6425734</v>
      </c>
      <c r="H104">
        <v>389</v>
      </c>
      <c r="I104">
        <v>394</v>
      </c>
      <c r="L104" t="s">
        <v>412</v>
      </c>
      <c r="M104" t="s">
        <v>31</v>
      </c>
      <c r="N104" t="s">
        <v>19</v>
      </c>
    </row>
    <row r="105" spans="1:14">
      <c r="A105" t="s">
        <v>413</v>
      </c>
      <c r="B105" t="s">
        <v>414</v>
      </c>
      <c r="C105">
        <v>2012</v>
      </c>
      <c r="D105" t="s">
        <v>400</v>
      </c>
      <c r="E105">
        <v>17</v>
      </c>
      <c r="F105">
        <v>6</v>
      </c>
      <c r="H105">
        <v>17</v>
      </c>
      <c r="I105">
        <v>39</v>
      </c>
      <c r="L105" t="s">
        <v>415</v>
      </c>
      <c r="M105" t="s">
        <v>18</v>
      </c>
      <c r="N105" t="s">
        <v>19</v>
      </c>
    </row>
    <row r="106" spans="1:14">
      <c r="A106" t="s">
        <v>416</v>
      </c>
      <c r="B106" t="s">
        <v>417</v>
      </c>
      <c r="C106">
        <v>2012</v>
      </c>
      <c r="D106" t="s">
        <v>400</v>
      </c>
      <c r="E106">
        <v>17</v>
      </c>
      <c r="F106">
        <v>6</v>
      </c>
      <c r="H106">
        <v>41</v>
      </c>
      <c r="I106">
        <v>73</v>
      </c>
      <c r="L106" t="s">
        <v>418</v>
      </c>
      <c r="M106" t="s">
        <v>18</v>
      </c>
      <c r="N106" t="s">
        <v>19</v>
      </c>
    </row>
    <row r="107" spans="1:14">
      <c r="A107" t="s">
        <v>419</v>
      </c>
      <c r="B107" t="s">
        <v>420</v>
      </c>
      <c r="C107">
        <v>2012</v>
      </c>
      <c r="D107" t="s">
        <v>421</v>
      </c>
      <c r="G107">
        <v>6382640</v>
      </c>
      <c r="H107">
        <v>739</v>
      </c>
      <c r="I107">
        <v>742</v>
      </c>
      <c r="L107" t="s">
        <v>422</v>
      </c>
      <c r="M107" t="s">
        <v>31</v>
      </c>
      <c r="N107" t="s">
        <v>19</v>
      </c>
    </row>
    <row r="108" spans="1:14">
      <c r="A108" t="s">
        <v>423</v>
      </c>
      <c r="B108" t="s">
        <v>424</v>
      </c>
      <c r="C108">
        <v>2012</v>
      </c>
      <c r="D108" t="s">
        <v>425</v>
      </c>
      <c r="E108">
        <v>13</v>
      </c>
      <c r="F108">
        <v>6</v>
      </c>
      <c r="H108">
        <v>931</v>
      </c>
      <c r="I108">
        <v>937</v>
      </c>
      <c r="L108" t="s">
        <v>426</v>
      </c>
      <c r="M108" t="s">
        <v>18</v>
      </c>
      <c r="N108" t="s">
        <v>19</v>
      </c>
    </row>
    <row r="109" spans="1:14">
      <c r="A109" t="s">
        <v>427</v>
      </c>
      <c r="B109" t="s">
        <v>428</v>
      </c>
      <c r="C109">
        <v>2012</v>
      </c>
      <c r="D109" t="s">
        <v>359</v>
      </c>
      <c r="G109">
        <v>6406375</v>
      </c>
      <c r="H109">
        <v>348</v>
      </c>
      <c r="I109">
        <v>357</v>
      </c>
      <c r="L109" t="s">
        <v>429</v>
      </c>
      <c r="M109" t="s">
        <v>31</v>
      </c>
      <c r="N109" t="s">
        <v>19</v>
      </c>
    </row>
    <row r="110" spans="1:14">
      <c r="A110" t="s">
        <v>430</v>
      </c>
      <c r="B110" t="s">
        <v>431</v>
      </c>
      <c r="C110">
        <v>2012</v>
      </c>
      <c r="D110" t="s">
        <v>359</v>
      </c>
      <c r="G110">
        <v>6406260</v>
      </c>
      <c r="H110">
        <v>312</v>
      </c>
      <c r="I110">
        <v>321</v>
      </c>
      <c r="L110" t="s">
        <v>432</v>
      </c>
      <c r="M110" t="s">
        <v>31</v>
      </c>
      <c r="N110" t="s">
        <v>19</v>
      </c>
    </row>
    <row r="111" spans="1:14">
      <c r="A111" t="s">
        <v>433</v>
      </c>
      <c r="B111" t="s">
        <v>434</v>
      </c>
      <c r="C111">
        <v>2012</v>
      </c>
      <c r="D111" t="s">
        <v>359</v>
      </c>
      <c r="G111">
        <v>6406308</v>
      </c>
      <c r="H111">
        <v>558</v>
      </c>
      <c r="I111">
        <v>565</v>
      </c>
      <c r="L111" t="s">
        <v>435</v>
      </c>
      <c r="M111" t="s">
        <v>31</v>
      </c>
      <c r="N111" t="s">
        <v>19</v>
      </c>
    </row>
    <row r="112" spans="1:14">
      <c r="A112" t="s">
        <v>436</v>
      </c>
      <c r="B112" t="s">
        <v>437</v>
      </c>
      <c r="C112">
        <v>2012</v>
      </c>
      <c r="D112" t="s">
        <v>411</v>
      </c>
      <c r="G112">
        <v>6425712</v>
      </c>
      <c r="H112">
        <v>535</v>
      </c>
      <c r="I112">
        <v>542</v>
      </c>
      <c r="L112" t="s">
        <v>438</v>
      </c>
      <c r="M112" t="s">
        <v>31</v>
      </c>
      <c r="N112" t="s">
        <v>19</v>
      </c>
    </row>
    <row r="113" spans="1:14">
      <c r="A113" t="s">
        <v>230</v>
      </c>
      <c r="B113" t="s">
        <v>411</v>
      </c>
      <c r="C113">
        <v>2012</v>
      </c>
      <c r="D113" t="s">
        <v>411</v>
      </c>
      <c r="L113" t="s">
        <v>439</v>
      </c>
      <c r="M113" t="s">
        <v>233</v>
      </c>
      <c r="N113" t="s">
        <v>19</v>
      </c>
    </row>
    <row r="114" spans="1:14">
      <c r="A114" t="s">
        <v>440</v>
      </c>
      <c r="B114" t="s">
        <v>441</v>
      </c>
      <c r="C114">
        <v>2012</v>
      </c>
      <c r="D114" t="s">
        <v>411</v>
      </c>
      <c r="G114">
        <v>6425609</v>
      </c>
      <c r="H114">
        <v>1111</v>
      </c>
      <c r="I114">
        <v>1116</v>
      </c>
      <c r="L114" t="s">
        <v>442</v>
      </c>
      <c r="M114" t="s">
        <v>31</v>
      </c>
      <c r="N114" t="s">
        <v>19</v>
      </c>
    </row>
    <row r="115" spans="1:14">
      <c r="A115" t="s">
        <v>443</v>
      </c>
      <c r="B115" t="s">
        <v>444</v>
      </c>
      <c r="C115">
        <v>2012</v>
      </c>
      <c r="D115" t="s">
        <v>55</v>
      </c>
      <c r="E115" t="s">
        <v>445</v>
      </c>
      <c r="H115">
        <v>597</v>
      </c>
      <c r="I115">
        <v>607</v>
      </c>
      <c r="L115" t="s">
        <v>446</v>
      </c>
      <c r="M115" t="s">
        <v>31</v>
      </c>
      <c r="N115" t="s">
        <v>19</v>
      </c>
    </row>
    <row r="116" spans="1:14">
      <c r="A116" t="s">
        <v>447</v>
      </c>
      <c r="B116" t="s">
        <v>448</v>
      </c>
      <c r="C116">
        <v>2012</v>
      </c>
      <c r="D116" t="s">
        <v>411</v>
      </c>
      <c r="G116">
        <v>6425623</v>
      </c>
      <c r="H116">
        <v>1032</v>
      </c>
      <c r="I116">
        <v>1039</v>
      </c>
      <c r="L116" t="s">
        <v>449</v>
      </c>
      <c r="M116" t="s">
        <v>31</v>
      </c>
      <c r="N116" t="s">
        <v>19</v>
      </c>
    </row>
    <row r="117" spans="1:14">
      <c r="A117" t="s">
        <v>450</v>
      </c>
      <c r="B117" t="s">
        <v>451</v>
      </c>
      <c r="C117">
        <v>2012</v>
      </c>
      <c r="D117" t="s">
        <v>323</v>
      </c>
      <c r="G117">
        <v>6384939</v>
      </c>
      <c r="H117">
        <v>21</v>
      </c>
      <c r="I117">
        <v>26</v>
      </c>
      <c r="L117" t="s">
        <v>452</v>
      </c>
      <c r="M117" t="s">
        <v>31</v>
      </c>
      <c r="N117" t="s">
        <v>19</v>
      </c>
    </row>
    <row r="118" spans="1:14">
      <c r="A118" t="s">
        <v>453</v>
      </c>
      <c r="B118" t="s">
        <v>454</v>
      </c>
      <c r="C118">
        <v>2012</v>
      </c>
      <c r="D118" t="s">
        <v>378</v>
      </c>
      <c r="E118">
        <v>6</v>
      </c>
      <c r="H118">
        <v>4602</v>
      </c>
      <c r="I118">
        <v>4611</v>
      </c>
      <c r="L118" t="s">
        <v>455</v>
      </c>
      <c r="M118" t="s">
        <v>31</v>
      </c>
      <c r="N118" t="s">
        <v>19</v>
      </c>
    </row>
    <row r="119" spans="1:14">
      <c r="A119" t="s">
        <v>456</v>
      </c>
      <c r="B119" t="s">
        <v>457</v>
      </c>
      <c r="C119">
        <v>2012</v>
      </c>
      <c r="D119" t="s">
        <v>458</v>
      </c>
      <c r="G119">
        <v>6357897</v>
      </c>
      <c r="H119">
        <v>350</v>
      </c>
      <c r="I119">
        <v>354</v>
      </c>
      <c r="L119" t="s">
        <v>459</v>
      </c>
      <c r="M119" t="s">
        <v>31</v>
      </c>
      <c r="N119" t="s">
        <v>19</v>
      </c>
    </row>
    <row r="120" spans="1:14">
      <c r="A120" t="s">
        <v>460</v>
      </c>
      <c r="B120" t="s">
        <v>461</v>
      </c>
      <c r="C120">
        <v>2012</v>
      </c>
      <c r="D120" t="s">
        <v>462</v>
      </c>
      <c r="G120">
        <v>6391727</v>
      </c>
      <c r="H120">
        <v>20</v>
      </c>
      <c r="I120">
        <v>28</v>
      </c>
      <c r="L120" t="s">
        <v>463</v>
      </c>
      <c r="M120" t="s">
        <v>31</v>
      </c>
      <c r="N120" t="s">
        <v>19</v>
      </c>
    </row>
    <row r="121" spans="1:14">
      <c r="A121" t="s">
        <v>464</v>
      </c>
      <c r="B121" t="s">
        <v>465</v>
      </c>
      <c r="C121">
        <v>2012</v>
      </c>
      <c r="D121" t="s">
        <v>466</v>
      </c>
      <c r="E121">
        <v>391</v>
      </c>
      <c r="F121">
        <v>23</v>
      </c>
      <c r="H121">
        <v>6066</v>
      </c>
      <c r="I121">
        <v>6076</v>
      </c>
      <c r="L121" t="s">
        <v>467</v>
      </c>
      <c r="M121" t="s">
        <v>18</v>
      </c>
      <c r="N121" t="s">
        <v>19</v>
      </c>
    </row>
    <row r="122" spans="1:14">
      <c r="A122" t="s">
        <v>468</v>
      </c>
      <c r="B122" t="s">
        <v>469</v>
      </c>
      <c r="C122">
        <v>2012</v>
      </c>
      <c r="D122" t="s">
        <v>411</v>
      </c>
      <c r="G122">
        <v>6425716</v>
      </c>
      <c r="H122">
        <v>511</v>
      </c>
      <c r="I122">
        <v>516</v>
      </c>
      <c r="L122" t="s">
        <v>470</v>
      </c>
      <c r="M122" t="s">
        <v>31</v>
      </c>
      <c r="N122" t="s">
        <v>19</v>
      </c>
    </row>
    <row r="123" spans="1:14">
      <c r="A123" t="s">
        <v>471</v>
      </c>
      <c r="B123" t="s">
        <v>472</v>
      </c>
      <c r="C123">
        <v>2012</v>
      </c>
      <c r="D123" t="s">
        <v>411</v>
      </c>
      <c r="G123">
        <v>6425670</v>
      </c>
      <c r="H123">
        <v>745</v>
      </c>
      <c r="I123">
        <v>750</v>
      </c>
      <c r="L123" t="s">
        <v>473</v>
      </c>
      <c r="M123" t="s">
        <v>31</v>
      </c>
      <c r="N123" t="s">
        <v>19</v>
      </c>
    </row>
    <row r="124" spans="1:14">
      <c r="A124" t="s">
        <v>474</v>
      </c>
      <c r="B124" t="s">
        <v>475</v>
      </c>
      <c r="C124">
        <v>2012</v>
      </c>
      <c r="D124" t="s">
        <v>16</v>
      </c>
      <c r="E124">
        <v>39</v>
      </c>
      <c r="F124">
        <v>17</v>
      </c>
      <c r="H124">
        <v>13009</v>
      </c>
      <c r="I124">
        <v>13018</v>
      </c>
      <c r="L124" t="s">
        <v>476</v>
      </c>
      <c r="M124" t="s">
        <v>18</v>
      </c>
      <c r="N124" t="s">
        <v>19</v>
      </c>
    </row>
    <row r="125" spans="1:14">
      <c r="A125" t="s">
        <v>230</v>
      </c>
      <c r="B125" t="s">
        <v>477</v>
      </c>
      <c r="C125">
        <v>2012</v>
      </c>
      <c r="D125" t="s">
        <v>478</v>
      </c>
      <c r="L125" t="s">
        <v>479</v>
      </c>
      <c r="M125" t="s">
        <v>233</v>
      </c>
      <c r="N125" t="s">
        <v>19</v>
      </c>
    </row>
    <row r="126" spans="1:14">
      <c r="A126" t="s">
        <v>480</v>
      </c>
      <c r="B126" t="s">
        <v>481</v>
      </c>
      <c r="C126">
        <v>2012</v>
      </c>
      <c r="D126" t="s">
        <v>482</v>
      </c>
      <c r="E126">
        <v>37</v>
      </c>
      <c r="F126">
        <v>4</v>
      </c>
      <c r="H126">
        <v>293</v>
      </c>
      <c r="I126">
        <v>303</v>
      </c>
      <c r="L126" t="s">
        <v>483</v>
      </c>
      <c r="M126" t="s">
        <v>18</v>
      </c>
      <c r="N126" t="s">
        <v>19</v>
      </c>
    </row>
    <row r="127" spans="1:14">
      <c r="A127" t="s">
        <v>484</v>
      </c>
      <c r="B127" t="s">
        <v>485</v>
      </c>
      <c r="C127">
        <v>2012</v>
      </c>
      <c r="D127" t="s">
        <v>486</v>
      </c>
      <c r="E127">
        <v>7</v>
      </c>
      <c r="F127" t="s">
        <v>487</v>
      </c>
      <c r="H127">
        <v>15</v>
      </c>
      <c r="I127">
        <v>21</v>
      </c>
      <c r="L127" t="s">
        <v>488</v>
      </c>
      <c r="M127" t="s">
        <v>18</v>
      </c>
      <c r="N127" t="s">
        <v>19</v>
      </c>
    </row>
    <row r="128" spans="1:14">
      <c r="A128" t="s">
        <v>489</v>
      </c>
      <c r="B128" t="s">
        <v>490</v>
      </c>
      <c r="C128">
        <v>2012</v>
      </c>
      <c r="D128" t="s">
        <v>411</v>
      </c>
      <c r="G128">
        <v>6425718</v>
      </c>
      <c r="H128">
        <v>501</v>
      </c>
      <c r="I128">
        <v>505</v>
      </c>
      <c r="L128" t="s">
        <v>491</v>
      </c>
      <c r="M128" t="s">
        <v>31</v>
      </c>
      <c r="N128" t="s">
        <v>19</v>
      </c>
    </row>
    <row r="129" spans="1:14">
      <c r="A129" t="s">
        <v>492</v>
      </c>
      <c r="B129" t="s">
        <v>493</v>
      </c>
      <c r="C129">
        <v>2012</v>
      </c>
      <c r="D129" t="s">
        <v>494</v>
      </c>
      <c r="H129">
        <v>1030</v>
      </c>
      <c r="I129">
        <v>1033</v>
      </c>
      <c r="L129" t="s">
        <v>495</v>
      </c>
      <c r="M129" t="s">
        <v>31</v>
      </c>
      <c r="N129" t="s">
        <v>19</v>
      </c>
    </row>
    <row r="130" spans="1:14">
      <c r="A130" t="s">
        <v>496</v>
      </c>
      <c r="B130" t="s">
        <v>497</v>
      </c>
      <c r="C130">
        <v>2012</v>
      </c>
      <c r="D130" t="s">
        <v>421</v>
      </c>
      <c r="G130">
        <v>6382608</v>
      </c>
      <c r="H130">
        <v>618</v>
      </c>
      <c r="I130">
        <v>621</v>
      </c>
      <c r="L130" t="s">
        <v>498</v>
      </c>
      <c r="M130" t="s">
        <v>31</v>
      </c>
      <c r="N130" t="s">
        <v>19</v>
      </c>
    </row>
    <row r="131" spans="1:14">
      <c r="A131" t="s">
        <v>499</v>
      </c>
      <c r="B131" t="s">
        <v>500</v>
      </c>
      <c r="C131">
        <v>2012</v>
      </c>
      <c r="D131" t="s">
        <v>359</v>
      </c>
      <c r="G131">
        <v>6406280</v>
      </c>
      <c r="H131">
        <v>154</v>
      </c>
      <c r="I131">
        <v>165</v>
      </c>
      <c r="L131" t="s">
        <v>501</v>
      </c>
      <c r="M131" t="s">
        <v>31</v>
      </c>
      <c r="N131" t="s">
        <v>19</v>
      </c>
    </row>
    <row r="132" spans="1:14">
      <c r="A132" t="s">
        <v>502</v>
      </c>
      <c r="B132" t="s">
        <v>503</v>
      </c>
      <c r="C132">
        <v>2012</v>
      </c>
      <c r="D132" t="s">
        <v>359</v>
      </c>
      <c r="G132">
        <v>6406275</v>
      </c>
      <c r="H132">
        <v>111</v>
      </c>
      <c r="I132">
        <v>116</v>
      </c>
      <c r="L132" t="s">
        <v>504</v>
      </c>
      <c r="M132" t="s">
        <v>31</v>
      </c>
      <c r="N132" t="s">
        <v>19</v>
      </c>
    </row>
    <row r="133" spans="1:14">
      <c r="A133" t="s">
        <v>505</v>
      </c>
      <c r="B133" t="s">
        <v>506</v>
      </c>
      <c r="C133">
        <v>2012</v>
      </c>
      <c r="D133" t="s">
        <v>507</v>
      </c>
      <c r="E133">
        <v>160</v>
      </c>
      <c r="F133">
        <v>18</v>
      </c>
      <c r="H133">
        <v>2573</v>
      </c>
      <c r="I133">
        <v>2590</v>
      </c>
      <c r="L133" t="s">
        <v>508</v>
      </c>
      <c r="M133" t="s">
        <v>18</v>
      </c>
      <c r="N133" t="s">
        <v>19</v>
      </c>
    </row>
    <row r="134" spans="1:14">
      <c r="A134" t="s">
        <v>509</v>
      </c>
      <c r="B134" t="s">
        <v>510</v>
      </c>
      <c r="C134">
        <v>2012</v>
      </c>
      <c r="D134" t="s">
        <v>396</v>
      </c>
      <c r="G134">
        <v>6406446</v>
      </c>
      <c r="H134">
        <v>234</v>
      </c>
      <c r="I134">
        <v>241</v>
      </c>
      <c r="L134" t="s">
        <v>511</v>
      </c>
      <c r="M134" t="s">
        <v>31</v>
      </c>
      <c r="N134" t="s">
        <v>19</v>
      </c>
    </row>
    <row r="135" spans="1:14">
      <c r="A135" t="s">
        <v>512</v>
      </c>
      <c r="B135" t="s">
        <v>513</v>
      </c>
      <c r="C135">
        <v>2012</v>
      </c>
      <c r="D135" t="s">
        <v>514</v>
      </c>
      <c r="G135">
        <v>6377407</v>
      </c>
      <c r="H135">
        <v>290</v>
      </c>
      <c r="I135">
        <v>295</v>
      </c>
      <c r="L135" t="s">
        <v>515</v>
      </c>
      <c r="M135" t="s">
        <v>31</v>
      </c>
      <c r="N135" t="s">
        <v>19</v>
      </c>
    </row>
    <row r="136" spans="1:14">
      <c r="A136" t="s">
        <v>516</v>
      </c>
      <c r="B136" t="s">
        <v>517</v>
      </c>
      <c r="C136">
        <v>2012</v>
      </c>
      <c r="D136" t="s">
        <v>148</v>
      </c>
      <c r="E136">
        <v>59</v>
      </c>
      <c r="F136">
        <v>4</v>
      </c>
      <c r="H136">
        <v>1361</v>
      </c>
      <c r="I136">
        <v>1376</v>
      </c>
      <c r="K136">
        <v>1</v>
      </c>
      <c r="L136" t="s">
        <v>518</v>
      </c>
      <c r="M136" t="s">
        <v>18</v>
      </c>
      <c r="N136" t="s">
        <v>19</v>
      </c>
    </row>
    <row r="137" spans="1:14">
      <c r="A137" t="s">
        <v>519</v>
      </c>
      <c r="B137" t="s">
        <v>520</v>
      </c>
      <c r="C137">
        <v>2012</v>
      </c>
      <c r="D137" t="s">
        <v>60</v>
      </c>
      <c r="E137" t="s">
        <v>521</v>
      </c>
      <c r="H137">
        <v>1</v>
      </c>
      <c r="I137">
        <v>8</v>
      </c>
      <c r="L137" t="s">
        <v>522</v>
      </c>
      <c r="M137" t="s">
        <v>31</v>
      </c>
      <c r="N137" t="s">
        <v>19</v>
      </c>
    </row>
    <row r="138" spans="1:14">
      <c r="A138" t="s">
        <v>519</v>
      </c>
      <c r="B138" t="s">
        <v>523</v>
      </c>
      <c r="C138">
        <v>2012</v>
      </c>
      <c r="D138" t="s">
        <v>60</v>
      </c>
      <c r="E138" t="s">
        <v>521</v>
      </c>
      <c r="H138">
        <v>28</v>
      </c>
      <c r="I138">
        <v>35</v>
      </c>
      <c r="L138" t="s">
        <v>524</v>
      </c>
      <c r="M138" t="s">
        <v>31</v>
      </c>
      <c r="N138" t="s">
        <v>19</v>
      </c>
    </row>
    <row r="139" spans="1:14">
      <c r="A139" t="s">
        <v>525</v>
      </c>
      <c r="B139" t="s">
        <v>526</v>
      </c>
      <c r="C139">
        <v>2012</v>
      </c>
      <c r="D139" t="s">
        <v>60</v>
      </c>
      <c r="E139" t="s">
        <v>527</v>
      </c>
      <c r="H139">
        <v>227</v>
      </c>
      <c r="I139">
        <v>238</v>
      </c>
      <c r="L139" t="s">
        <v>528</v>
      </c>
      <c r="M139" t="s">
        <v>31</v>
      </c>
      <c r="N139" t="s">
        <v>19</v>
      </c>
    </row>
    <row r="140" spans="1:14">
      <c r="A140" t="s">
        <v>529</v>
      </c>
      <c r="B140" t="s">
        <v>530</v>
      </c>
      <c r="C140">
        <v>2012</v>
      </c>
      <c r="D140" t="s">
        <v>531</v>
      </c>
      <c r="H140">
        <v>655</v>
      </c>
      <c r="I140">
        <v>667</v>
      </c>
      <c r="L140" t="s">
        <v>532</v>
      </c>
      <c r="M140" t="s">
        <v>31</v>
      </c>
      <c r="N140" t="s">
        <v>19</v>
      </c>
    </row>
    <row r="141" spans="1:14">
      <c r="A141" t="s">
        <v>533</v>
      </c>
      <c r="B141" t="s">
        <v>534</v>
      </c>
      <c r="C141">
        <v>2012</v>
      </c>
      <c r="D141" t="s">
        <v>535</v>
      </c>
      <c r="H141">
        <v>355</v>
      </c>
      <c r="I141">
        <v>358</v>
      </c>
      <c r="L141" t="s">
        <v>536</v>
      </c>
      <c r="M141" t="s">
        <v>31</v>
      </c>
      <c r="N141" t="s">
        <v>19</v>
      </c>
    </row>
    <row r="142" spans="1:14">
      <c r="A142" t="s">
        <v>537</v>
      </c>
      <c r="B142" t="s">
        <v>538</v>
      </c>
      <c r="C142">
        <v>2012</v>
      </c>
      <c r="D142" t="s">
        <v>535</v>
      </c>
      <c r="H142">
        <v>79</v>
      </c>
      <c r="I142">
        <v>82</v>
      </c>
      <c r="L142" t="s">
        <v>539</v>
      </c>
      <c r="M142" t="s">
        <v>31</v>
      </c>
      <c r="N142" t="s">
        <v>19</v>
      </c>
    </row>
    <row r="143" spans="1:14">
      <c r="A143" t="s">
        <v>540</v>
      </c>
      <c r="B143" t="s">
        <v>541</v>
      </c>
      <c r="C143">
        <v>2012</v>
      </c>
      <c r="D143" t="s">
        <v>542</v>
      </c>
      <c r="G143">
        <v>6263142</v>
      </c>
      <c r="L143" t="s">
        <v>543</v>
      </c>
      <c r="M143" t="s">
        <v>31</v>
      </c>
      <c r="N143" t="s">
        <v>19</v>
      </c>
    </row>
    <row r="144" spans="1:14">
      <c r="A144" t="s">
        <v>544</v>
      </c>
      <c r="B144" t="s">
        <v>545</v>
      </c>
      <c r="C144">
        <v>2012</v>
      </c>
      <c r="D144" t="s">
        <v>546</v>
      </c>
      <c r="H144">
        <v>185</v>
      </c>
      <c r="I144">
        <v>194</v>
      </c>
      <c r="L144" t="s">
        <v>547</v>
      </c>
      <c r="M144" t="s">
        <v>31</v>
      </c>
      <c r="N144" t="s">
        <v>19</v>
      </c>
    </row>
    <row r="145" spans="1:14">
      <c r="A145" t="s">
        <v>548</v>
      </c>
      <c r="B145" t="s">
        <v>549</v>
      </c>
      <c r="C145">
        <v>2012</v>
      </c>
      <c r="D145" t="s">
        <v>55</v>
      </c>
      <c r="E145" t="s">
        <v>550</v>
      </c>
      <c r="H145">
        <v>359</v>
      </c>
      <c r="I145">
        <v>360</v>
      </c>
      <c r="L145" t="s">
        <v>551</v>
      </c>
      <c r="M145" t="s">
        <v>31</v>
      </c>
      <c r="N145" t="s">
        <v>19</v>
      </c>
    </row>
    <row r="146" spans="1:14">
      <c r="A146" t="s">
        <v>552</v>
      </c>
      <c r="B146" t="s">
        <v>553</v>
      </c>
      <c r="C146">
        <v>2012</v>
      </c>
      <c r="D146" t="s">
        <v>546</v>
      </c>
      <c r="H146">
        <v>326</v>
      </c>
      <c r="I146">
        <v>329</v>
      </c>
      <c r="L146" t="s">
        <v>554</v>
      </c>
      <c r="M146" t="s">
        <v>31</v>
      </c>
      <c r="N146" t="s">
        <v>19</v>
      </c>
    </row>
    <row r="147" spans="1:14">
      <c r="A147" t="s">
        <v>555</v>
      </c>
      <c r="B147" t="s">
        <v>556</v>
      </c>
      <c r="C147">
        <v>2012</v>
      </c>
      <c r="D147" t="s">
        <v>557</v>
      </c>
      <c r="G147">
        <v>6313703</v>
      </c>
      <c r="H147">
        <v>337</v>
      </c>
      <c r="I147">
        <v>340</v>
      </c>
      <c r="L147" t="s">
        <v>558</v>
      </c>
      <c r="M147" t="s">
        <v>31</v>
      </c>
      <c r="N147" t="s">
        <v>19</v>
      </c>
    </row>
    <row r="148" spans="1:14">
      <c r="A148" t="s">
        <v>559</v>
      </c>
      <c r="B148" t="s">
        <v>560</v>
      </c>
      <c r="C148">
        <v>2012</v>
      </c>
      <c r="D148" t="s">
        <v>561</v>
      </c>
      <c r="G148">
        <v>6311134</v>
      </c>
      <c r="H148">
        <v>109</v>
      </c>
      <c r="I148">
        <v>114</v>
      </c>
      <c r="L148" t="s">
        <v>562</v>
      </c>
      <c r="M148" t="s">
        <v>31</v>
      </c>
      <c r="N148" t="s">
        <v>19</v>
      </c>
    </row>
    <row r="149" spans="1:14">
      <c r="A149" t="s">
        <v>563</v>
      </c>
      <c r="B149" t="s">
        <v>564</v>
      </c>
      <c r="C149">
        <v>2012</v>
      </c>
      <c r="D149" t="s">
        <v>565</v>
      </c>
      <c r="G149">
        <v>6298851</v>
      </c>
      <c r="H149">
        <v>291</v>
      </c>
      <c r="I149">
        <v>296</v>
      </c>
      <c r="L149" t="s">
        <v>566</v>
      </c>
      <c r="M149" t="s">
        <v>31</v>
      </c>
      <c r="N149" t="s">
        <v>19</v>
      </c>
    </row>
    <row r="150" spans="1:14">
      <c r="A150" t="s">
        <v>567</v>
      </c>
      <c r="B150" t="s">
        <v>568</v>
      </c>
      <c r="C150">
        <v>2012</v>
      </c>
      <c r="D150" t="s">
        <v>565</v>
      </c>
      <c r="G150">
        <v>6298852</v>
      </c>
      <c r="H150">
        <v>297</v>
      </c>
      <c r="I150">
        <v>302</v>
      </c>
      <c r="L150" t="s">
        <v>569</v>
      </c>
      <c r="M150" t="s">
        <v>31</v>
      </c>
      <c r="N150" t="s">
        <v>19</v>
      </c>
    </row>
    <row r="151" spans="1:14">
      <c r="A151" t="s">
        <v>570</v>
      </c>
      <c r="B151" t="s">
        <v>571</v>
      </c>
      <c r="C151">
        <v>2012</v>
      </c>
      <c r="D151" t="s">
        <v>565</v>
      </c>
      <c r="G151">
        <v>6298827</v>
      </c>
      <c r="H151">
        <v>164</v>
      </c>
      <c r="I151">
        <v>171</v>
      </c>
      <c r="L151" t="s">
        <v>572</v>
      </c>
      <c r="M151" t="s">
        <v>31</v>
      </c>
      <c r="N151" t="s">
        <v>19</v>
      </c>
    </row>
    <row r="152" spans="1:14">
      <c r="A152" t="s">
        <v>573</v>
      </c>
      <c r="B152" t="s">
        <v>574</v>
      </c>
      <c r="C152">
        <v>2012</v>
      </c>
      <c r="D152" t="s">
        <v>565</v>
      </c>
      <c r="G152">
        <v>6298834</v>
      </c>
      <c r="H152">
        <v>217</v>
      </c>
      <c r="I152">
        <v>224</v>
      </c>
      <c r="L152" t="s">
        <v>575</v>
      </c>
      <c r="M152" t="s">
        <v>31</v>
      </c>
      <c r="N152" t="s">
        <v>19</v>
      </c>
    </row>
    <row r="153" spans="1:14">
      <c r="A153" t="s">
        <v>576</v>
      </c>
      <c r="B153" t="s">
        <v>577</v>
      </c>
      <c r="C153">
        <v>2012</v>
      </c>
      <c r="D153" t="s">
        <v>578</v>
      </c>
      <c r="G153">
        <v>6303073</v>
      </c>
      <c r="H153">
        <v>664</v>
      </c>
      <c r="I153">
        <v>671</v>
      </c>
      <c r="L153" t="s">
        <v>579</v>
      </c>
      <c r="M153" t="s">
        <v>31</v>
      </c>
      <c r="N153" t="s">
        <v>19</v>
      </c>
    </row>
    <row r="154" spans="1:14">
      <c r="A154" t="s">
        <v>580</v>
      </c>
      <c r="B154" t="s">
        <v>581</v>
      </c>
      <c r="C154">
        <v>2012</v>
      </c>
      <c r="D154" t="s">
        <v>60</v>
      </c>
      <c r="E154" t="s">
        <v>582</v>
      </c>
      <c r="H154">
        <v>188</v>
      </c>
      <c r="I154">
        <v>200</v>
      </c>
      <c r="L154" t="s">
        <v>583</v>
      </c>
      <c r="M154" t="s">
        <v>31</v>
      </c>
      <c r="N154" t="s">
        <v>19</v>
      </c>
    </row>
    <row r="155" spans="1:14">
      <c r="A155" t="s">
        <v>584</v>
      </c>
      <c r="B155" t="s">
        <v>585</v>
      </c>
      <c r="C155">
        <v>2012</v>
      </c>
      <c r="D155" t="s">
        <v>55</v>
      </c>
      <c r="E155" t="s">
        <v>586</v>
      </c>
      <c r="H155">
        <v>134</v>
      </c>
      <c r="I155">
        <v>141</v>
      </c>
      <c r="L155" t="s">
        <v>587</v>
      </c>
      <c r="M155" t="s">
        <v>31</v>
      </c>
      <c r="N155" t="s">
        <v>19</v>
      </c>
    </row>
    <row r="156" spans="1:14">
      <c r="A156" t="s">
        <v>588</v>
      </c>
      <c r="B156" t="s">
        <v>589</v>
      </c>
      <c r="C156">
        <v>2012</v>
      </c>
      <c r="D156" t="s">
        <v>590</v>
      </c>
      <c r="E156" t="s">
        <v>591</v>
      </c>
      <c r="H156">
        <v>20</v>
      </c>
      <c r="I156">
        <v>38</v>
      </c>
      <c r="L156" t="s">
        <v>592</v>
      </c>
      <c r="M156" t="s">
        <v>31</v>
      </c>
      <c r="N156" t="s">
        <v>19</v>
      </c>
    </row>
    <row r="157" spans="1:14">
      <c r="A157" t="s">
        <v>593</v>
      </c>
      <c r="B157" t="s">
        <v>594</v>
      </c>
      <c r="C157">
        <v>2012</v>
      </c>
      <c r="D157" t="s">
        <v>595</v>
      </c>
      <c r="G157">
        <v>6296026</v>
      </c>
      <c r="H157">
        <v>602</v>
      </c>
      <c r="I157">
        <v>608</v>
      </c>
      <c r="L157" t="s">
        <v>596</v>
      </c>
      <c r="M157" t="s">
        <v>31</v>
      </c>
      <c r="N157" t="s">
        <v>19</v>
      </c>
    </row>
    <row r="158" spans="1:14">
      <c r="A158" t="s">
        <v>597</v>
      </c>
      <c r="B158" t="s">
        <v>598</v>
      </c>
      <c r="C158">
        <v>2012</v>
      </c>
      <c r="D158" t="s">
        <v>599</v>
      </c>
      <c r="G158">
        <v>6295192</v>
      </c>
      <c r="H158">
        <v>803</v>
      </c>
      <c r="I158">
        <v>806</v>
      </c>
      <c r="L158" t="s">
        <v>600</v>
      </c>
      <c r="M158" t="s">
        <v>31</v>
      </c>
      <c r="N158" t="s">
        <v>19</v>
      </c>
    </row>
    <row r="159" spans="1:14">
      <c r="A159" t="s">
        <v>601</v>
      </c>
      <c r="B159" t="s">
        <v>602</v>
      </c>
      <c r="C159">
        <v>2012</v>
      </c>
      <c r="D159" t="s">
        <v>603</v>
      </c>
      <c r="G159">
        <v>6305170</v>
      </c>
      <c r="H159">
        <v>476</v>
      </c>
      <c r="I159">
        <v>480</v>
      </c>
      <c r="L159" t="s">
        <v>604</v>
      </c>
      <c r="M159" t="s">
        <v>31</v>
      </c>
      <c r="N159" t="s">
        <v>19</v>
      </c>
    </row>
    <row r="160" spans="1:14">
      <c r="A160" t="s">
        <v>605</v>
      </c>
      <c r="B160" t="s">
        <v>606</v>
      </c>
      <c r="C160">
        <v>2012</v>
      </c>
      <c r="D160" t="s">
        <v>603</v>
      </c>
      <c r="G160">
        <v>6305134</v>
      </c>
      <c r="H160">
        <v>308</v>
      </c>
      <c r="I160">
        <v>312</v>
      </c>
      <c r="L160" t="s">
        <v>607</v>
      </c>
      <c r="M160" t="s">
        <v>31</v>
      </c>
      <c r="N160" t="s">
        <v>19</v>
      </c>
    </row>
    <row r="161" spans="1:14">
      <c r="A161" t="s">
        <v>608</v>
      </c>
      <c r="B161" t="s">
        <v>609</v>
      </c>
      <c r="C161">
        <v>2012</v>
      </c>
      <c r="D161" t="s">
        <v>55</v>
      </c>
      <c r="E161" t="s">
        <v>610</v>
      </c>
      <c r="H161">
        <v>668</v>
      </c>
      <c r="I161">
        <v>675</v>
      </c>
      <c r="L161" t="s">
        <v>611</v>
      </c>
      <c r="M161" t="s">
        <v>31</v>
      </c>
      <c r="N161" t="s">
        <v>19</v>
      </c>
    </row>
    <row r="162" spans="1:14">
      <c r="A162" t="s">
        <v>612</v>
      </c>
      <c r="B162" t="s">
        <v>613</v>
      </c>
      <c r="C162">
        <v>2012</v>
      </c>
      <c r="D162" t="s">
        <v>60</v>
      </c>
      <c r="E162" t="s">
        <v>614</v>
      </c>
      <c r="F162" t="s">
        <v>228</v>
      </c>
      <c r="H162">
        <v>201</v>
      </c>
      <c r="I162">
        <v>207</v>
      </c>
      <c r="L162" t="s">
        <v>615</v>
      </c>
      <c r="M162" t="s">
        <v>31</v>
      </c>
      <c r="N162" t="s">
        <v>19</v>
      </c>
    </row>
    <row r="163" spans="1:14">
      <c r="A163" t="s">
        <v>616</v>
      </c>
      <c r="B163" t="s">
        <v>617</v>
      </c>
      <c r="C163">
        <v>2012</v>
      </c>
      <c r="D163" t="s">
        <v>618</v>
      </c>
      <c r="E163">
        <v>14</v>
      </c>
      <c r="F163">
        <v>6</v>
      </c>
      <c r="G163" t="s">
        <v>619</v>
      </c>
      <c r="L163" t="s">
        <v>620</v>
      </c>
      <c r="M163" t="s">
        <v>18</v>
      </c>
      <c r="N163" t="s">
        <v>19</v>
      </c>
    </row>
    <row r="164" spans="1:14">
      <c r="A164" t="s">
        <v>621</v>
      </c>
      <c r="B164" t="s">
        <v>622</v>
      </c>
      <c r="C164">
        <v>2012</v>
      </c>
      <c r="D164" t="s">
        <v>148</v>
      </c>
      <c r="E164">
        <v>59</v>
      </c>
      <c r="F164">
        <v>3</v>
      </c>
      <c r="H164">
        <v>893</v>
      </c>
      <c r="I164">
        <v>906</v>
      </c>
      <c r="K164">
        <v>2</v>
      </c>
      <c r="L164" t="s">
        <v>623</v>
      </c>
      <c r="M164" t="s">
        <v>624</v>
      </c>
      <c r="N164" t="s">
        <v>19</v>
      </c>
    </row>
    <row r="165" spans="1:14">
      <c r="A165" t="s">
        <v>625</v>
      </c>
      <c r="B165" t="s">
        <v>626</v>
      </c>
      <c r="C165">
        <v>2012</v>
      </c>
      <c r="D165" t="s">
        <v>627</v>
      </c>
      <c r="G165">
        <v>6304124</v>
      </c>
      <c r="H165">
        <v>1060</v>
      </c>
      <c r="I165">
        <v>1065</v>
      </c>
      <c r="L165" t="s">
        <v>628</v>
      </c>
      <c r="M165" t="s">
        <v>31</v>
      </c>
      <c r="N165" t="s">
        <v>19</v>
      </c>
    </row>
    <row r="166" spans="1:14">
      <c r="A166" t="s">
        <v>629</v>
      </c>
      <c r="B166" t="s">
        <v>630</v>
      </c>
      <c r="C166">
        <v>2012</v>
      </c>
      <c r="D166" t="s">
        <v>631</v>
      </c>
      <c r="G166">
        <v>6308256</v>
      </c>
      <c r="H166">
        <v>506</v>
      </c>
      <c r="I166">
        <v>510</v>
      </c>
      <c r="L166" t="s">
        <v>632</v>
      </c>
      <c r="M166" t="s">
        <v>31</v>
      </c>
      <c r="N166" t="s">
        <v>19</v>
      </c>
    </row>
    <row r="167" spans="1:14">
      <c r="A167" t="s">
        <v>633</v>
      </c>
      <c r="B167" t="s">
        <v>634</v>
      </c>
      <c r="C167">
        <v>2012</v>
      </c>
      <c r="D167" t="s">
        <v>635</v>
      </c>
      <c r="E167" t="s">
        <v>636</v>
      </c>
      <c r="F167">
        <v>11</v>
      </c>
      <c r="H167">
        <v>2664</v>
      </c>
      <c r="I167">
        <v>2673</v>
      </c>
      <c r="L167" t="s">
        <v>637</v>
      </c>
      <c r="M167" t="s">
        <v>18</v>
      </c>
      <c r="N167" t="s">
        <v>19</v>
      </c>
    </row>
    <row r="168" spans="1:14">
      <c r="A168" t="s">
        <v>638</v>
      </c>
      <c r="B168" t="s">
        <v>639</v>
      </c>
      <c r="C168">
        <v>2012</v>
      </c>
      <c r="D168" t="s">
        <v>627</v>
      </c>
      <c r="G168">
        <v>6304173</v>
      </c>
      <c r="H168">
        <v>1527</v>
      </c>
      <c r="I168">
        <v>1541</v>
      </c>
      <c r="L168" t="s">
        <v>640</v>
      </c>
      <c r="M168" t="s">
        <v>31</v>
      </c>
      <c r="N168" t="s">
        <v>19</v>
      </c>
    </row>
    <row r="169" spans="1:14">
      <c r="A169" t="s">
        <v>79</v>
      </c>
      <c r="B169" t="s">
        <v>641</v>
      </c>
      <c r="C169">
        <v>2012</v>
      </c>
      <c r="D169" t="s">
        <v>642</v>
      </c>
      <c r="E169">
        <v>8</v>
      </c>
      <c r="F169">
        <v>21</v>
      </c>
      <c r="H169">
        <v>8953</v>
      </c>
      <c r="I169">
        <v>8960</v>
      </c>
      <c r="K169">
        <v>1</v>
      </c>
      <c r="L169" t="s">
        <v>643</v>
      </c>
      <c r="M169" t="s">
        <v>18</v>
      </c>
      <c r="N169" t="s">
        <v>19</v>
      </c>
    </row>
    <row r="170" spans="1:14">
      <c r="A170" t="s">
        <v>644</v>
      </c>
      <c r="B170" t="s">
        <v>645</v>
      </c>
      <c r="C170">
        <v>2012</v>
      </c>
      <c r="D170" t="s">
        <v>646</v>
      </c>
      <c r="E170">
        <v>25</v>
      </c>
      <c r="F170">
        <v>3</v>
      </c>
      <c r="H170">
        <v>511</v>
      </c>
      <c r="I170">
        <v>544</v>
      </c>
      <c r="K170">
        <v>1</v>
      </c>
      <c r="L170" t="s">
        <v>647</v>
      </c>
      <c r="M170" t="s">
        <v>31</v>
      </c>
      <c r="N170" t="s">
        <v>19</v>
      </c>
    </row>
    <row r="171" spans="1:14">
      <c r="A171" t="s">
        <v>648</v>
      </c>
      <c r="B171" t="s">
        <v>649</v>
      </c>
      <c r="C171">
        <v>2012</v>
      </c>
      <c r="D171" t="s">
        <v>650</v>
      </c>
      <c r="E171">
        <v>41</v>
      </c>
      <c r="F171">
        <v>9</v>
      </c>
      <c r="H171">
        <v>1534</v>
      </c>
      <c r="I171">
        <v>1543</v>
      </c>
      <c r="L171" t="s">
        <v>651</v>
      </c>
      <c r="M171" t="s">
        <v>18</v>
      </c>
      <c r="N171" t="s">
        <v>19</v>
      </c>
    </row>
    <row r="172" spans="1:14">
      <c r="A172" t="s">
        <v>652</v>
      </c>
      <c r="B172" t="s">
        <v>653</v>
      </c>
      <c r="C172">
        <v>2012</v>
      </c>
      <c r="D172" t="s">
        <v>627</v>
      </c>
      <c r="G172">
        <v>6304316</v>
      </c>
      <c r="H172">
        <v>2983</v>
      </c>
      <c r="I172">
        <v>2990</v>
      </c>
      <c r="L172" t="s">
        <v>654</v>
      </c>
      <c r="M172" t="s">
        <v>31</v>
      </c>
      <c r="N172" t="s">
        <v>19</v>
      </c>
    </row>
    <row r="173" spans="1:14">
      <c r="A173" t="s">
        <v>655</v>
      </c>
      <c r="B173" t="s">
        <v>656</v>
      </c>
      <c r="C173">
        <v>2012</v>
      </c>
      <c r="D173" t="s">
        <v>627</v>
      </c>
      <c r="G173">
        <v>6304109</v>
      </c>
      <c r="H173">
        <v>927</v>
      </c>
      <c r="I173">
        <v>940</v>
      </c>
      <c r="L173" t="s">
        <v>657</v>
      </c>
      <c r="M173" t="s">
        <v>31</v>
      </c>
      <c r="N173" t="s">
        <v>19</v>
      </c>
    </row>
    <row r="174" spans="1:14">
      <c r="A174" t="s">
        <v>658</v>
      </c>
      <c r="B174" t="s">
        <v>659</v>
      </c>
      <c r="C174">
        <v>2012</v>
      </c>
      <c r="D174" t="s">
        <v>660</v>
      </c>
      <c r="E174">
        <v>63</v>
      </c>
      <c r="F174">
        <v>11</v>
      </c>
      <c r="H174">
        <v>2223</v>
      </c>
      <c r="I174">
        <v>2238</v>
      </c>
      <c r="L174" t="s">
        <v>661</v>
      </c>
      <c r="M174" t="s">
        <v>18</v>
      </c>
      <c r="N174" t="s">
        <v>19</v>
      </c>
    </row>
    <row r="175" spans="1:14">
      <c r="A175" t="s">
        <v>662</v>
      </c>
      <c r="B175" t="s">
        <v>663</v>
      </c>
      <c r="C175">
        <v>2012</v>
      </c>
      <c r="D175" t="s">
        <v>664</v>
      </c>
      <c r="G175">
        <v>6287736</v>
      </c>
      <c r="H175">
        <v>37</v>
      </c>
      <c r="I175">
        <v>42</v>
      </c>
      <c r="L175" t="s">
        <v>665</v>
      </c>
      <c r="M175" t="s">
        <v>31</v>
      </c>
      <c r="N175" t="s">
        <v>19</v>
      </c>
    </row>
    <row r="176" spans="1:14">
      <c r="A176" t="s">
        <v>666</v>
      </c>
      <c r="B176" t="s">
        <v>667</v>
      </c>
      <c r="C176">
        <v>2012</v>
      </c>
      <c r="D176" t="s">
        <v>55</v>
      </c>
      <c r="E176" t="s">
        <v>668</v>
      </c>
      <c r="H176">
        <v>138</v>
      </c>
      <c r="I176">
        <v>157</v>
      </c>
      <c r="L176" t="s">
        <v>669</v>
      </c>
      <c r="M176" t="s">
        <v>31</v>
      </c>
      <c r="N176" t="s">
        <v>19</v>
      </c>
    </row>
    <row r="177" spans="1:14">
      <c r="A177" t="s">
        <v>670</v>
      </c>
      <c r="B177" t="s">
        <v>671</v>
      </c>
      <c r="C177">
        <v>2012</v>
      </c>
      <c r="D177" t="s">
        <v>672</v>
      </c>
      <c r="G177">
        <v>6275728</v>
      </c>
      <c r="H177">
        <v>321</v>
      </c>
      <c r="I177">
        <v>326</v>
      </c>
      <c r="L177" t="s">
        <v>673</v>
      </c>
      <c r="M177" t="s">
        <v>31</v>
      </c>
      <c r="N177" t="s">
        <v>19</v>
      </c>
    </row>
    <row r="178" spans="1:14">
      <c r="A178" t="s">
        <v>674</v>
      </c>
      <c r="B178" t="s">
        <v>675</v>
      </c>
      <c r="C178">
        <v>2012</v>
      </c>
      <c r="D178" t="s">
        <v>676</v>
      </c>
      <c r="E178">
        <v>18</v>
      </c>
      <c r="F178">
        <v>12</v>
      </c>
      <c r="G178">
        <v>6327279</v>
      </c>
      <c r="H178">
        <v>2729</v>
      </c>
      <c r="I178">
        <v>2738</v>
      </c>
      <c r="L178" t="s">
        <v>677</v>
      </c>
      <c r="M178" t="s">
        <v>18</v>
      </c>
      <c r="N178" t="s">
        <v>19</v>
      </c>
    </row>
    <row r="179" spans="1:14">
      <c r="A179" t="s">
        <v>678</v>
      </c>
      <c r="B179" t="s">
        <v>679</v>
      </c>
      <c r="C179">
        <v>2012</v>
      </c>
      <c r="D179" t="s">
        <v>680</v>
      </c>
      <c r="G179">
        <v>6288347</v>
      </c>
      <c r="H179">
        <v>2189</v>
      </c>
      <c r="I179">
        <v>2192</v>
      </c>
      <c r="L179" t="s">
        <v>681</v>
      </c>
      <c r="M179" t="s">
        <v>31</v>
      </c>
      <c r="N179" t="s">
        <v>19</v>
      </c>
    </row>
    <row r="180" spans="1:14">
      <c r="A180" t="s">
        <v>682</v>
      </c>
      <c r="B180" t="s">
        <v>683</v>
      </c>
      <c r="C180">
        <v>2012</v>
      </c>
      <c r="D180" t="s">
        <v>684</v>
      </c>
      <c r="G180">
        <v>6251214</v>
      </c>
      <c r="L180" t="s">
        <v>685</v>
      </c>
      <c r="M180" t="s">
        <v>31</v>
      </c>
      <c r="N180" t="s">
        <v>19</v>
      </c>
    </row>
    <row r="181" spans="1:14">
      <c r="A181" t="s">
        <v>686</v>
      </c>
      <c r="B181" t="s">
        <v>687</v>
      </c>
      <c r="C181">
        <v>2012</v>
      </c>
      <c r="D181" t="s">
        <v>680</v>
      </c>
      <c r="G181">
        <v>6289126</v>
      </c>
      <c r="H181">
        <v>5337</v>
      </c>
      <c r="I181">
        <v>5340</v>
      </c>
      <c r="L181" t="s">
        <v>688</v>
      </c>
      <c r="M181" t="s">
        <v>31</v>
      </c>
      <c r="N181" t="s">
        <v>19</v>
      </c>
    </row>
    <row r="182" spans="1:14">
      <c r="A182" t="s">
        <v>689</v>
      </c>
      <c r="B182" t="s">
        <v>690</v>
      </c>
      <c r="C182">
        <v>2012</v>
      </c>
      <c r="D182" t="s">
        <v>691</v>
      </c>
      <c r="E182" t="s">
        <v>692</v>
      </c>
      <c r="H182">
        <v>123</v>
      </c>
      <c r="I182">
        <v>127</v>
      </c>
      <c r="L182" t="s">
        <v>693</v>
      </c>
      <c r="M182" t="s">
        <v>31</v>
      </c>
      <c r="N182" t="s">
        <v>19</v>
      </c>
    </row>
    <row r="183" spans="1:14">
      <c r="A183" t="s">
        <v>694</v>
      </c>
      <c r="B183" t="s">
        <v>695</v>
      </c>
      <c r="C183">
        <v>2012</v>
      </c>
      <c r="D183" t="s">
        <v>696</v>
      </c>
      <c r="H183">
        <v>29</v>
      </c>
      <c r="I183">
        <v>36</v>
      </c>
      <c r="L183" t="s">
        <v>697</v>
      </c>
      <c r="M183" t="s">
        <v>31</v>
      </c>
      <c r="N183" t="s">
        <v>19</v>
      </c>
    </row>
    <row r="184" spans="1:14">
      <c r="A184" t="s">
        <v>698</v>
      </c>
      <c r="B184" t="s">
        <v>699</v>
      </c>
      <c r="C184">
        <v>2012</v>
      </c>
      <c r="D184" t="s">
        <v>700</v>
      </c>
      <c r="G184">
        <v>6284312</v>
      </c>
      <c r="H184">
        <v>215</v>
      </c>
      <c r="I184">
        <v>220</v>
      </c>
      <c r="L184" t="s">
        <v>701</v>
      </c>
      <c r="M184" t="s">
        <v>31</v>
      </c>
      <c r="N184" t="s">
        <v>19</v>
      </c>
    </row>
    <row r="185" spans="1:14">
      <c r="A185" t="s">
        <v>702</v>
      </c>
      <c r="B185" t="s">
        <v>703</v>
      </c>
      <c r="C185">
        <v>2012</v>
      </c>
      <c r="D185" t="s">
        <v>700</v>
      </c>
      <c r="G185">
        <v>6284092</v>
      </c>
      <c r="H185">
        <v>60</v>
      </c>
      <c r="I185">
        <v>65</v>
      </c>
      <c r="L185" t="s">
        <v>704</v>
      </c>
      <c r="M185" t="s">
        <v>31</v>
      </c>
      <c r="N185" t="s">
        <v>19</v>
      </c>
    </row>
    <row r="186" spans="1:14">
      <c r="A186" t="s">
        <v>705</v>
      </c>
      <c r="B186" t="s">
        <v>706</v>
      </c>
      <c r="C186">
        <v>2012</v>
      </c>
      <c r="D186" t="s">
        <v>700</v>
      </c>
      <c r="G186">
        <v>6284278</v>
      </c>
      <c r="H186">
        <v>156</v>
      </c>
      <c r="I186">
        <v>158</v>
      </c>
      <c r="L186" t="s">
        <v>707</v>
      </c>
      <c r="M186" t="s">
        <v>31</v>
      </c>
      <c r="N186" t="s">
        <v>19</v>
      </c>
    </row>
    <row r="187" spans="1:14">
      <c r="A187" t="s">
        <v>708</v>
      </c>
      <c r="B187" t="s">
        <v>709</v>
      </c>
      <c r="C187">
        <v>2012</v>
      </c>
      <c r="D187" t="s">
        <v>700</v>
      </c>
      <c r="G187">
        <v>6284301</v>
      </c>
      <c r="H187">
        <v>193</v>
      </c>
      <c r="L187" t="s">
        <v>710</v>
      </c>
      <c r="M187" t="s">
        <v>31</v>
      </c>
      <c r="N187" t="s">
        <v>19</v>
      </c>
    </row>
    <row r="188" spans="1:14">
      <c r="A188" t="s">
        <v>711</v>
      </c>
      <c r="B188" t="s">
        <v>712</v>
      </c>
      <c r="C188">
        <v>2012</v>
      </c>
      <c r="D188" t="s">
        <v>713</v>
      </c>
      <c r="G188">
        <v>6285778</v>
      </c>
      <c r="H188">
        <v>13</v>
      </c>
      <c r="I188">
        <v>16</v>
      </c>
      <c r="L188" t="s">
        <v>714</v>
      </c>
      <c r="M188" t="s">
        <v>31</v>
      </c>
      <c r="N188" t="s">
        <v>19</v>
      </c>
    </row>
    <row r="189" spans="1:14">
      <c r="A189" t="s">
        <v>715</v>
      </c>
      <c r="B189" t="s">
        <v>716</v>
      </c>
      <c r="C189">
        <v>2012</v>
      </c>
      <c r="D189" t="s">
        <v>717</v>
      </c>
      <c r="G189">
        <v>6274641</v>
      </c>
      <c r="H189">
        <v>174</v>
      </c>
      <c r="I189">
        <v>177</v>
      </c>
      <c r="L189" t="s">
        <v>718</v>
      </c>
      <c r="M189" t="s">
        <v>31</v>
      </c>
      <c r="N189" t="s">
        <v>19</v>
      </c>
    </row>
    <row r="190" spans="1:14">
      <c r="A190" t="s">
        <v>719</v>
      </c>
      <c r="B190" t="s">
        <v>720</v>
      </c>
      <c r="C190">
        <v>2012</v>
      </c>
      <c r="D190" t="s">
        <v>721</v>
      </c>
      <c r="H190">
        <v>1</v>
      </c>
      <c r="I190">
        <v>13</v>
      </c>
      <c r="L190" t="s">
        <v>722</v>
      </c>
      <c r="M190" t="s">
        <v>52</v>
      </c>
      <c r="N190" t="s">
        <v>19</v>
      </c>
    </row>
    <row r="191" spans="1:14">
      <c r="A191" t="s">
        <v>723</v>
      </c>
      <c r="B191" t="s">
        <v>724</v>
      </c>
      <c r="C191">
        <v>2012</v>
      </c>
      <c r="D191" t="s">
        <v>725</v>
      </c>
      <c r="G191">
        <v>6270315</v>
      </c>
      <c r="L191" t="s">
        <v>726</v>
      </c>
      <c r="M191" t="s">
        <v>31</v>
      </c>
      <c r="N191" t="s">
        <v>19</v>
      </c>
    </row>
    <row r="192" spans="1:14">
      <c r="A192" t="s">
        <v>727</v>
      </c>
      <c r="B192" t="s">
        <v>728</v>
      </c>
      <c r="C192">
        <v>2012</v>
      </c>
      <c r="D192" t="s">
        <v>55</v>
      </c>
      <c r="E192" t="s">
        <v>729</v>
      </c>
      <c r="H192">
        <v>165</v>
      </c>
      <c r="I192">
        <v>176</v>
      </c>
      <c r="L192" t="s">
        <v>730</v>
      </c>
      <c r="M192" t="s">
        <v>31</v>
      </c>
      <c r="N192" t="s">
        <v>19</v>
      </c>
    </row>
    <row r="193" spans="1:14">
      <c r="A193" t="s">
        <v>731</v>
      </c>
      <c r="B193" t="s">
        <v>732</v>
      </c>
      <c r="C193">
        <v>2012</v>
      </c>
      <c r="D193" t="s">
        <v>55</v>
      </c>
      <c r="E193" t="s">
        <v>733</v>
      </c>
      <c r="H193">
        <v>113</v>
      </c>
      <c r="I193">
        <v>120</v>
      </c>
      <c r="L193" t="s">
        <v>734</v>
      </c>
      <c r="M193" t="s">
        <v>31</v>
      </c>
      <c r="N193" t="s">
        <v>19</v>
      </c>
    </row>
    <row r="194" spans="1:14">
      <c r="A194" t="s">
        <v>735</v>
      </c>
      <c r="B194" t="s">
        <v>736</v>
      </c>
      <c r="C194">
        <v>2012</v>
      </c>
      <c r="D194" t="s">
        <v>737</v>
      </c>
      <c r="E194">
        <v>3</v>
      </c>
      <c r="G194">
        <v>6272969</v>
      </c>
      <c r="H194">
        <v>344</v>
      </c>
      <c r="I194">
        <v>348</v>
      </c>
      <c r="L194" t="s">
        <v>738</v>
      </c>
      <c r="M194" t="s">
        <v>31</v>
      </c>
      <c r="N194" t="s">
        <v>19</v>
      </c>
    </row>
    <row r="195" spans="1:14">
      <c r="A195" t="s">
        <v>739</v>
      </c>
      <c r="B195" t="s">
        <v>740</v>
      </c>
      <c r="C195">
        <v>2012</v>
      </c>
      <c r="D195" t="s">
        <v>741</v>
      </c>
      <c r="G195">
        <v>6268197</v>
      </c>
      <c r="H195">
        <v>639</v>
      </c>
      <c r="I195">
        <v>641</v>
      </c>
      <c r="L195" t="s">
        <v>742</v>
      </c>
      <c r="M195" t="s">
        <v>31</v>
      </c>
      <c r="N195" t="s">
        <v>19</v>
      </c>
    </row>
    <row r="196" spans="1:14">
      <c r="A196" t="s">
        <v>743</v>
      </c>
      <c r="B196" t="s">
        <v>744</v>
      </c>
      <c r="C196">
        <v>2012</v>
      </c>
      <c r="D196" t="s">
        <v>741</v>
      </c>
      <c r="G196">
        <v>6268248</v>
      </c>
      <c r="H196">
        <v>746</v>
      </c>
      <c r="I196">
        <v>747</v>
      </c>
      <c r="L196" t="s">
        <v>745</v>
      </c>
      <c r="M196" t="s">
        <v>31</v>
      </c>
      <c r="N196" t="s">
        <v>19</v>
      </c>
    </row>
    <row r="197" spans="1:14">
      <c r="A197" t="s">
        <v>746</v>
      </c>
      <c r="B197" t="s">
        <v>747</v>
      </c>
      <c r="C197">
        <v>2012</v>
      </c>
      <c r="D197" t="s">
        <v>748</v>
      </c>
      <c r="E197">
        <v>20</v>
      </c>
      <c r="F197">
        <v>4</v>
      </c>
      <c r="H197">
        <v>281</v>
      </c>
      <c r="I197">
        <v>295</v>
      </c>
      <c r="L197" t="s">
        <v>749</v>
      </c>
      <c r="M197" t="s">
        <v>18</v>
      </c>
      <c r="N197" t="s">
        <v>19</v>
      </c>
    </row>
    <row r="198" spans="1:14">
      <c r="A198" t="s">
        <v>750</v>
      </c>
      <c r="B198" t="s">
        <v>751</v>
      </c>
      <c r="C198">
        <v>2012</v>
      </c>
      <c r="D198" t="s">
        <v>752</v>
      </c>
      <c r="E198">
        <v>3</v>
      </c>
      <c r="G198">
        <v>6269345</v>
      </c>
      <c r="H198">
        <v>604</v>
      </c>
      <c r="I198">
        <v>609</v>
      </c>
      <c r="L198" t="s">
        <v>753</v>
      </c>
      <c r="M198" t="s">
        <v>31</v>
      </c>
      <c r="N198" t="s">
        <v>19</v>
      </c>
    </row>
    <row r="199" spans="1:14">
      <c r="A199" t="s">
        <v>754</v>
      </c>
      <c r="B199" t="s">
        <v>755</v>
      </c>
      <c r="C199">
        <v>2012</v>
      </c>
      <c r="D199" t="s">
        <v>741</v>
      </c>
      <c r="G199">
        <v>6268025</v>
      </c>
      <c r="H199">
        <v>23</v>
      </c>
      <c r="I199">
        <v>25</v>
      </c>
      <c r="L199" t="s">
        <v>756</v>
      </c>
      <c r="M199" t="s">
        <v>31</v>
      </c>
      <c r="N199" t="s">
        <v>19</v>
      </c>
    </row>
    <row r="200" spans="1:14">
      <c r="A200" t="s">
        <v>757</v>
      </c>
      <c r="B200" t="s">
        <v>758</v>
      </c>
      <c r="C200">
        <v>2012</v>
      </c>
      <c r="D200" t="s">
        <v>741</v>
      </c>
      <c r="G200">
        <v>6268071</v>
      </c>
      <c r="H200">
        <v>181</v>
      </c>
      <c r="I200">
        <v>185</v>
      </c>
      <c r="L200" t="s">
        <v>759</v>
      </c>
      <c r="M200" t="s">
        <v>31</v>
      </c>
      <c r="N200" t="s">
        <v>19</v>
      </c>
    </row>
    <row r="201" spans="1:14">
      <c r="A201" t="s">
        <v>760</v>
      </c>
      <c r="B201" t="s">
        <v>761</v>
      </c>
      <c r="C201">
        <v>2012</v>
      </c>
      <c r="D201" t="s">
        <v>762</v>
      </c>
      <c r="G201">
        <v>6261102</v>
      </c>
      <c r="H201">
        <v>539</v>
      </c>
      <c r="I201">
        <v>545</v>
      </c>
      <c r="L201" t="s">
        <v>763</v>
      </c>
      <c r="M201" t="s">
        <v>31</v>
      </c>
      <c r="N201" t="s">
        <v>19</v>
      </c>
    </row>
    <row r="202" spans="1:14">
      <c r="A202" t="s">
        <v>764</v>
      </c>
      <c r="B202" t="s">
        <v>765</v>
      </c>
      <c r="C202">
        <v>2012</v>
      </c>
      <c r="D202" t="s">
        <v>766</v>
      </c>
      <c r="G202">
        <v>6256251</v>
      </c>
      <c r="H202">
        <v>52</v>
      </c>
      <c r="I202">
        <v>56</v>
      </c>
      <c r="L202" t="s">
        <v>767</v>
      </c>
      <c r="M202" t="s">
        <v>31</v>
      </c>
      <c r="N202" t="s">
        <v>19</v>
      </c>
    </row>
    <row r="203" spans="1:14">
      <c r="A203" t="s">
        <v>768</v>
      </c>
      <c r="B203" t="s">
        <v>769</v>
      </c>
      <c r="C203">
        <v>2012</v>
      </c>
      <c r="D203" t="s">
        <v>770</v>
      </c>
      <c r="G203">
        <v>6256135</v>
      </c>
      <c r="L203" t="s">
        <v>771</v>
      </c>
      <c r="M203" t="s">
        <v>31</v>
      </c>
      <c r="N203" t="s">
        <v>19</v>
      </c>
    </row>
    <row r="204" spans="1:14">
      <c r="A204" t="s">
        <v>772</v>
      </c>
      <c r="B204" t="s">
        <v>773</v>
      </c>
      <c r="C204">
        <v>2012</v>
      </c>
      <c r="D204" t="s">
        <v>774</v>
      </c>
      <c r="G204">
        <v>6246131</v>
      </c>
      <c r="H204">
        <v>300</v>
      </c>
      <c r="I204">
        <v>305</v>
      </c>
      <c r="L204" t="s">
        <v>775</v>
      </c>
      <c r="M204" t="s">
        <v>31</v>
      </c>
      <c r="N204" t="s">
        <v>19</v>
      </c>
    </row>
    <row r="205" spans="1:14">
      <c r="A205" t="s">
        <v>776</v>
      </c>
      <c r="B205" t="s">
        <v>777</v>
      </c>
      <c r="C205">
        <v>2012</v>
      </c>
      <c r="D205" t="s">
        <v>778</v>
      </c>
      <c r="E205">
        <v>8</v>
      </c>
      <c r="F205">
        <v>4</v>
      </c>
      <c r="H205">
        <v>422</v>
      </c>
      <c r="I205">
        <v>439</v>
      </c>
      <c r="L205" t="s">
        <v>779</v>
      </c>
      <c r="M205" t="s">
        <v>18</v>
      </c>
      <c r="N205" t="s">
        <v>19</v>
      </c>
    </row>
    <row r="206" spans="1:14">
      <c r="A206" t="s">
        <v>780</v>
      </c>
      <c r="B206" t="s">
        <v>781</v>
      </c>
      <c r="C206">
        <v>2012</v>
      </c>
      <c r="D206" t="s">
        <v>782</v>
      </c>
      <c r="E206">
        <v>37</v>
      </c>
      <c r="F206" t="s">
        <v>783</v>
      </c>
      <c r="H206">
        <v>258</v>
      </c>
      <c r="I206">
        <v>261</v>
      </c>
      <c r="L206" t="s">
        <v>784</v>
      </c>
      <c r="M206" t="s">
        <v>18</v>
      </c>
      <c r="N206" t="s">
        <v>19</v>
      </c>
    </row>
    <row r="207" spans="1:14">
      <c r="A207" t="s">
        <v>785</v>
      </c>
      <c r="B207" t="s">
        <v>786</v>
      </c>
      <c r="C207">
        <v>2012</v>
      </c>
      <c r="D207" t="s">
        <v>787</v>
      </c>
      <c r="E207">
        <v>26</v>
      </c>
      <c r="F207">
        <v>5</v>
      </c>
      <c r="G207">
        <v>6308073</v>
      </c>
      <c r="H207">
        <v>35</v>
      </c>
      <c r="I207">
        <v>43</v>
      </c>
      <c r="L207" t="s">
        <v>788</v>
      </c>
      <c r="M207" t="s">
        <v>18</v>
      </c>
      <c r="N207" t="s">
        <v>19</v>
      </c>
    </row>
    <row r="208" spans="1:14">
      <c r="A208" t="s">
        <v>789</v>
      </c>
      <c r="B208" t="s">
        <v>790</v>
      </c>
      <c r="C208">
        <v>2012</v>
      </c>
      <c r="D208" t="s">
        <v>791</v>
      </c>
      <c r="E208">
        <v>12</v>
      </c>
      <c r="F208">
        <v>4</v>
      </c>
      <c r="H208">
        <v>446</v>
      </c>
      <c r="I208">
        <v>466</v>
      </c>
      <c r="L208" t="s">
        <v>792</v>
      </c>
      <c r="M208" t="s">
        <v>624</v>
      </c>
      <c r="N208" t="s">
        <v>19</v>
      </c>
    </row>
    <row r="209" spans="1:14">
      <c r="A209" t="s">
        <v>793</v>
      </c>
      <c r="B209" t="s">
        <v>794</v>
      </c>
      <c r="C209">
        <v>2012</v>
      </c>
      <c r="D209" t="s">
        <v>795</v>
      </c>
      <c r="E209">
        <v>138</v>
      </c>
      <c r="F209">
        <v>4</v>
      </c>
      <c r="H209">
        <v>289</v>
      </c>
      <c r="I209">
        <v>295</v>
      </c>
      <c r="L209" t="s">
        <v>796</v>
      </c>
      <c r="M209" t="s">
        <v>18</v>
      </c>
      <c r="N209" t="s">
        <v>19</v>
      </c>
    </row>
    <row r="210" spans="1:14">
      <c r="A210" t="s">
        <v>797</v>
      </c>
      <c r="B210" t="s">
        <v>798</v>
      </c>
      <c r="C210">
        <v>2012</v>
      </c>
      <c r="D210" t="s">
        <v>782</v>
      </c>
      <c r="E210">
        <v>37</v>
      </c>
      <c r="F210" t="s">
        <v>783</v>
      </c>
      <c r="H210">
        <v>245</v>
      </c>
      <c r="I210">
        <v>248</v>
      </c>
      <c r="L210" t="s">
        <v>799</v>
      </c>
      <c r="M210" t="s">
        <v>18</v>
      </c>
      <c r="N210" t="s">
        <v>19</v>
      </c>
    </row>
    <row r="211" spans="1:14">
      <c r="A211" t="s">
        <v>800</v>
      </c>
      <c r="B211" t="s">
        <v>801</v>
      </c>
      <c r="C211">
        <v>2012</v>
      </c>
      <c r="D211" t="s">
        <v>802</v>
      </c>
      <c r="E211">
        <v>39</v>
      </c>
      <c r="F211">
        <v>10</v>
      </c>
      <c r="H211">
        <v>87</v>
      </c>
      <c r="I211">
        <v>92</v>
      </c>
      <c r="L211" t="s">
        <v>803</v>
      </c>
      <c r="M211" t="s">
        <v>18</v>
      </c>
      <c r="N211" t="s">
        <v>19</v>
      </c>
    </row>
    <row r="212" spans="1:14">
      <c r="A212" t="s">
        <v>804</v>
      </c>
      <c r="B212" t="s">
        <v>805</v>
      </c>
      <c r="C212">
        <v>2012</v>
      </c>
      <c r="D212" t="s">
        <v>782</v>
      </c>
      <c r="E212">
        <v>37</v>
      </c>
      <c r="F212" t="s">
        <v>783</v>
      </c>
      <c r="H212">
        <v>262</v>
      </c>
      <c r="I212">
        <v>266</v>
      </c>
      <c r="L212" t="s">
        <v>806</v>
      </c>
      <c r="M212" t="s">
        <v>18</v>
      </c>
      <c r="N212" t="s">
        <v>19</v>
      </c>
    </row>
    <row r="213" spans="1:14">
      <c r="A213" t="s">
        <v>807</v>
      </c>
      <c r="B213" t="s">
        <v>808</v>
      </c>
      <c r="C213">
        <v>2012</v>
      </c>
      <c r="D213" t="s">
        <v>782</v>
      </c>
      <c r="E213">
        <v>37</v>
      </c>
      <c r="F213" t="s">
        <v>809</v>
      </c>
      <c r="H213">
        <v>37</v>
      </c>
      <c r="I213">
        <v>41</v>
      </c>
      <c r="L213" t="s">
        <v>810</v>
      </c>
      <c r="M213" t="s">
        <v>18</v>
      </c>
      <c r="N213" t="s">
        <v>19</v>
      </c>
    </row>
    <row r="214" spans="1:14">
      <c r="A214" t="s">
        <v>811</v>
      </c>
      <c r="B214" t="s">
        <v>812</v>
      </c>
      <c r="C214">
        <v>2012</v>
      </c>
      <c r="D214" t="s">
        <v>782</v>
      </c>
      <c r="E214">
        <v>37</v>
      </c>
      <c r="F214" t="s">
        <v>783</v>
      </c>
      <c r="H214">
        <v>236</v>
      </c>
      <c r="I214">
        <v>240</v>
      </c>
      <c r="L214" t="s">
        <v>813</v>
      </c>
      <c r="M214" t="s">
        <v>18</v>
      </c>
      <c r="N214" t="s">
        <v>19</v>
      </c>
    </row>
    <row r="215" spans="1:14">
      <c r="A215" t="s">
        <v>814</v>
      </c>
      <c r="B215" t="s">
        <v>815</v>
      </c>
      <c r="C215">
        <v>2012</v>
      </c>
      <c r="D215" t="s">
        <v>782</v>
      </c>
      <c r="E215">
        <v>37</v>
      </c>
      <c r="F215" t="s">
        <v>809</v>
      </c>
      <c r="H215">
        <v>153</v>
      </c>
      <c r="I215">
        <v>156</v>
      </c>
      <c r="L215" t="s">
        <v>816</v>
      </c>
      <c r="M215" t="s">
        <v>18</v>
      </c>
      <c r="N215" t="s">
        <v>19</v>
      </c>
    </row>
    <row r="216" spans="1:14">
      <c r="A216" t="s">
        <v>817</v>
      </c>
      <c r="B216" t="s">
        <v>818</v>
      </c>
      <c r="C216">
        <v>2012</v>
      </c>
      <c r="D216" t="s">
        <v>782</v>
      </c>
      <c r="E216">
        <v>37</v>
      </c>
      <c r="F216" t="s">
        <v>783</v>
      </c>
      <c r="H216">
        <v>131</v>
      </c>
      <c r="I216">
        <v>135</v>
      </c>
      <c r="L216" t="s">
        <v>819</v>
      </c>
      <c r="M216" t="s">
        <v>18</v>
      </c>
      <c r="N216" t="s">
        <v>19</v>
      </c>
    </row>
    <row r="217" spans="1:14">
      <c r="A217" t="s">
        <v>820</v>
      </c>
      <c r="B217" t="s">
        <v>821</v>
      </c>
      <c r="C217">
        <v>2012</v>
      </c>
      <c r="D217" t="s">
        <v>782</v>
      </c>
      <c r="E217">
        <v>37</v>
      </c>
      <c r="F217" t="s">
        <v>783</v>
      </c>
      <c r="H217">
        <v>267</v>
      </c>
      <c r="I217">
        <v>270</v>
      </c>
      <c r="L217" t="s">
        <v>822</v>
      </c>
      <c r="M217" t="s">
        <v>18</v>
      </c>
      <c r="N217" t="s">
        <v>19</v>
      </c>
    </row>
    <row r="218" spans="1:14">
      <c r="A218" t="s">
        <v>823</v>
      </c>
      <c r="B218" t="s">
        <v>824</v>
      </c>
      <c r="C218">
        <v>2012</v>
      </c>
      <c r="D218" t="s">
        <v>782</v>
      </c>
      <c r="E218">
        <v>37</v>
      </c>
      <c r="F218" t="s">
        <v>809</v>
      </c>
      <c r="H218">
        <v>157</v>
      </c>
      <c r="I218">
        <v>161</v>
      </c>
      <c r="L218" t="s">
        <v>825</v>
      </c>
      <c r="M218" t="s">
        <v>18</v>
      </c>
      <c r="N218" t="s">
        <v>19</v>
      </c>
    </row>
    <row r="219" spans="1:14">
      <c r="A219" t="s">
        <v>826</v>
      </c>
      <c r="B219" t="s">
        <v>827</v>
      </c>
      <c r="C219">
        <v>2012</v>
      </c>
      <c r="D219" t="s">
        <v>782</v>
      </c>
      <c r="E219">
        <v>37</v>
      </c>
      <c r="F219" t="s">
        <v>783</v>
      </c>
      <c r="H219">
        <v>95</v>
      </c>
      <c r="I219">
        <v>99</v>
      </c>
      <c r="L219" t="s">
        <v>828</v>
      </c>
      <c r="M219" t="s">
        <v>18</v>
      </c>
      <c r="N219" t="s">
        <v>19</v>
      </c>
    </row>
    <row r="220" spans="1:14">
      <c r="A220" t="s">
        <v>829</v>
      </c>
      <c r="B220" t="s">
        <v>830</v>
      </c>
      <c r="C220">
        <v>2012</v>
      </c>
      <c r="D220" t="s">
        <v>782</v>
      </c>
      <c r="E220">
        <v>37</v>
      </c>
      <c r="F220" t="s">
        <v>783</v>
      </c>
      <c r="H220">
        <v>30</v>
      </c>
      <c r="I220">
        <v>33</v>
      </c>
      <c r="L220" t="s">
        <v>831</v>
      </c>
      <c r="M220" t="s">
        <v>18</v>
      </c>
      <c r="N220" t="s">
        <v>19</v>
      </c>
    </row>
    <row r="221" spans="1:14">
      <c r="A221" t="s">
        <v>832</v>
      </c>
      <c r="B221" t="s">
        <v>833</v>
      </c>
      <c r="C221">
        <v>2012</v>
      </c>
      <c r="D221" t="s">
        <v>834</v>
      </c>
      <c r="E221">
        <v>23</v>
      </c>
      <c r="F221" t="s">
        <v>835</v>
      </c>
      <c r="H221">
        <v>49</v>
      </c>
      <c r="I221">
        <v>58</v>
      </c>
      <c r="L221" t="s">
        <v>836</v>
      </c>
      <c r="M221" t="s">
        <v>18</v>
      </c>
      <c r="N221" t="s">
        <v>19</v>
      </c>
    </row>
    <row r="222" spans="1:14">
      <c r="A222" t="s">
        <v>837</v>
      </c>
      <c r="B222" t="s">
        <v>838</v>
      </c>
      <c r="C222">
        <v>2012</v>
      </c>
      <c r="D222" t="s">
        <v>839</v>
      </c>
      <c r="E222">
        <v>138</v>
      </c>
      <c r="F222">
        <v>10</v>
      </c>
      <c r="H222">
        <v>1192</v>
      </c>
      <c r="I222">
        <v>1201</v>
      </c>
      <c r="L222" t="s">
        <v>840</v>
      </c>
      <c r="M222" t="s">
        <v>18</v>
      </c>
      <c r="N222" t="s">
        <v>19</v>
      </c>
    </row>
    <row r="223" spans="1:14">
      <c r="A223" t="s">
        <v>841</v>
      </c>
      <c r="B223" t="s">
        <v>842</v>
      </c>
      <c r="C223">
        <v>2012</v>
      </c>
      <c r="D223" t="s">
        <v>843</v>
      </c>
      <c r="E223">
        <v>79</v>
      </c>
      <c r="F223">
        <v>8</v>
      </c>
      <c r="H223">
        <v>1548</v>
      </c>
      <c r="I223">
        <v>1567</v>
      </c>
      <c r="L223" t="s">
        <v>844</v>
      </c>
      <c r="M223" t="s">
        <v>18</v>
      </c>
      <c r="N223" t="s">
        <v>19</v>
      </c>
    </row>
    <row r="224" spans="1:14">
      <c r="A224" t="s">
        <v>845</v>
      </c>
      <c r="B224" t="s">
        <v>846</v>
      </c>
      <c r="C224">
        <v>2012</v>
      </c>
      <c r="D224" t="s">
        <v>172</v>
      </c>
      <c r="E224">
        <v>9</v>
      </c>
      <c r="F224">
        <v>4</v>
      </c>
      <c r="H224">
        <v>370</v>
      </c>
      <c r="I224">
        <v>387</v>
      </c>
      <c r="L224" t="s">
        <v>847</v>
      </c>
      <c r="M224" t="s">
        <v>18</v>
      </c>
      <c r="N224" t="s">
        <v>19</v>
      </c>
    </row>
    <row r="225" spans="1:14">
      <c r="A225" t="s">
        <v>848</v>
      </c>
      <c r="B225" t="s">
        <v>849</v>
      </c>
      <c r="C225">
        <v>2012</v>
      </c>
      <c r="D225" t="s">
        <v>327</v>
      </c>
      <c r="E225">
        <v>4</v>
      </c>
      <c r="F225">
        <v>19</v>
      </c>
      <c r="H225">
        <v>270</v>
      </c>
      <c r="I225">
        <v>277</v>
      </c>
      <c r="L225" t="s">
        <v>850</v>
      </c>
      <c r="M225" t="s">
        <v>18</v>
      </c>
      <c r="N225" t="s">
        <v>19</v>
      </c>
    </row>
    <row r="226" spans="1:14">
      <c r="A226" t="s">
        <v>851</v>
      </c>
      <c r="B226" t="s">
        <v>852</v>
      </c>
      <c r="C226">
        <v>2012</v>
      </c>
      <c r="D226" t="s">
        <v>853</v>
      </c>
      <c r="E226">
        <v>60</v>
      </c>
      <c r="F226">
        <v>3</v>
      </c>
      <c r="H226">
        <v>155</v>
      </c>
      <c r="I226">
        <v>166</v>
      </c>
      <c r="L226" t="s">
        <v>854</v>
      </c>
      <c r="M226" t="s">
        <v>18</v>
      </c>
      <c r="N226" t="s">
        <v>19</v>
      </c>
    </row>
    <row r="227" spans="1:14">
      <c r="A227" t="s">
        <v>529</v>
      </c>
      <c r="B227" t="s">
        <v>855</v>
      </c>
      <c r="C227">
        <v>2012</v>
      </c>
      <c r="D227" t="s">
        <v>856</v>
      </c>
      <c r="E227">
        <v>47</v>
      </c>
      <c r="F227">
        <v>10</v>
      </c>
      <c r="H227">
        <v>655</v>
      </c>
      <c r="I227">
        <v>667</v>
      </c>
      <c r="L227" t="s">
        <v>857</v>
      </c>
      <c r="M227" t="s">
        <v>31</v>
      </c>
      <c r="N227" t="s">
        <v>19</v>
      </c>
    </row>
    <row r="228" spans="1:14">
      <c r="A228" t="s">
        <v>858</v>
      </c>
      <c r="B228" t="s">
        <v>859</v>
      </c>
      <c r="C228">
        <v>2012</v>
      </c>
      <c r="D228" t="s">
        <v>16</v>
      </c>
      <c r="E228">
        <v>39</v>
      </c>
      <c r="F228">
        <v>13</v>
      </c>
      <c r="H228">
        <v>11435</v>
      </c>
      <c r="I228">
        <v>11442</v>
      </c>
      <c r="K228">
        <v>1</v>
      </c>
      <c r="L228" t="s">
        <v>860</v>
      </c>
      <c r="M228" t="s">
        <v>18</v>
      </c>
      <c r="N228" t="s">
        <v>19</v>
      </c>
    </row>
    <row r="229" spans="1:14">
      <c r="A229" t="s">
        <v>861</v>
      </c>
      <c r="B229" t="s">
        <v>862</v>
      </c>
      <c r="C229">
        <v>2012</v>
      </c>
      <c r="D229" t="s">
        <v>863</v>
      </c>
      <c r="E229">
        <v>24</v>
      </c>
      <c r="F229">
        <v>3</v>
      </c>
      <c r="H229">
        <v>347</v>
      </c>
      <c r="I229">
        <v>373</v>
      </c>
      <c r="L229" t="s">
        <v>864</v>
      </c>
      <c r="M229" t="s">
        <v>18</v>
      </c>
      <c r="N229" t="s">
        <v>19</v>
      </c>
    </row>
    <row r="230" spans="1:14">
      <c r="A230" t="s">
        <v>865</v>
      </c>
      <c r="B230" t="s">
        <v>866</v>
      </c>
      <c r="C230">
        <v>2012</v>
      </c>
      <c r="D230" t="s">
        <v>867</v>
      </c>
      <c r="E230">
        <v>25</v>
      </c>
      <c r="F230">
        <v>4</v>
      </c>
      <c r="H230">
        <v>26</v>
      </c>
      <c r="I230">
        <v>45</v>
      </c>
      <c r="L230" t="s">
        <v>868</v>
      </c>
      <c r="M230" t="s">
        <v>18</v>
      </c>
      <c r="N230" t="s">
        <v>19</v>
      </c>
    </row>
    <row r="231" spans="1:14">
      <c r="A231" t="s">
        <v>869</v>
      </c>
      <c r="B231" t="s">
        <v>870</v>
      </c>
      <c r="C231">
        <v>2012</v>
      </c>
      <c r="D231" t="s">
        <v>871</v>
      </c>
      <c r="E231">
        <v>37</v>
      </c>
      <c r="F231">
        <v>9</v>
      </c>
      <c r="H231">
        <v>972</v>
      </c>
      <c r="I231">
        <v>979</v>
      </c>
      <c r="L231" t="s">
        <v>872</v>
      </c>
      <c r="M231" t="s">
        <v>18</v>
      </c>
      <c r="N231" t="s">
        <v>19</v>
      </c>
    </row>
    <row r="232" spans="1:14">
      <c r="A232" t="s">
        <v>873</v>
      </c>
      <c r="B232" t="s">
        <v>874</v>
      </c>
      <c r="C232">
        <v>2012</v>
      </c>
      <c r="D232" t="s">
        <v>875</v>
      </c>
      <c r="G232">
        <v>6245024</v>
      </c>
      <c r="H232">
        <v>134</v>
      </c>
      <c r="I232">
        <v>138</v>
      </c>
      <c r="L232" t="s">
        <v>876</v>
      </c>
      <c r="M232" t="s">
        <v>31</v>
      </c>
      <c r="N232" t="s">
        <v>19</v>
      </c>
    </row>
    <row r="233" spans="1:14">
      <c r="A233" t="s">
        <v>877</v>
      </c>
      <c r="B233" t="s">
        <v>878</v>
      </c>
      <c r="C233">
        <v>2012</v>
      </c>
      <c r="D233" t="s">
        <v>879</v>
      </c>
      <c r="G233">
        <v>6245816</v>
      </c>
      <c r="H233">
        <v>206</v>
      </c>
      <c r="I233">
        <v>209</v>
      </c>
      <c r="L233" t="s">
        <v>880</v>
      </c>
      <c r="M233" t="s">
        <v>31</v>
      </c>
      <c r="N233" t="s">
        <v>19</v>
      </c>
    </row>
    <row r="234" spans="1:14">
      <c r="A234" t="s">
        <v>881</v>
      </c>
      <c r="B234" t="s">
        <v>882</v>
      </c>
      <c r="C234">
        <v>2012</v>
      </c>
      <c r="D234" t="s">
        <v>883</v>
      </c>
      <c r="H234">
        <v>77</v>
      </c>
      <c r="I234">
        <v>84</v>
      </c>
      <c r="L234" t="s">
        <v>884</v>
      </c>
      <c r="M234" t="s">
        <v>31</v>
      </c>
      <c r="N234" t="s">
        <v>19</v>
      </c>
    </row>
    <row r="235" spans="1:14">
      <c r="A235" t="s">
        <v>885</v>
      </c>
      <c r="B235" t="s">
        <v>886</v>
      </c>
      <c r="C235">
        <v>2012</v>
      </c>
      <c r="D235" t="s">
        <v>887</v>
      </c>
      <c r="E235">
        <v>9</v>
      </c>
      <c r="F235">
        <v>6</v>
      </c>
      <c r="G235">
        <v>6255744</v>
      </c>
      <c r="H235">
        <v>877</v>
      </c>
      <c r="I235">
        <v>889</v>
      </c>
      <c r="L235" t="s">
        <v>888</v>
      </c>
      <c r="M235" t="s">
        <v>18</v>
      </c>
      <c r="N235" t="s">
        <v>19</v>
      </c>
    </row>
    <row r="236" spans="1:14">
      <c r="A236" t="s">
        <v>889</v>
      </c>
      <c r="B236" t="s">
        <v>890</v>
      </c>
      <c r="C236">
        <v>2012</v>
      </c>
      <c r="D236" t="s">
        <v>883</v>
      </c>
      <c r="G236">
        <v>10</v>
      </c>
      <c r="L236" t="s">
        <v>891</v>
      </c>
      <c r="M236" t="s">
        <v>31</v>
      </c>
      <c r="N236" t="s">
        <v>19</v>
      </c>
    </row>
    <row r="237" spans="1:14">
      <c r="A237" t="s">
        <v>892</v>
      </c>
      <c r="B237" t="s">
        <v>893</v>
      </c>
      <c r="C237">
        <v>2012</v>
      </c>
      <c r="D237" t="s">
        <v>894</v>
      </c>
      <c r="G237">
        <v>6269404</v>
      </c>
      <c r="H237">
        <v>55</v>
      </c>
      <c r="I237">
        <v>58</v>
      </c>
      <c r="L237" t="s">
        <v>895</v>
      </c>
      <c r="M237" t="s">
        <v>31</v>
      </c>
      <c r="N237" t="s">
        <v>19</v>
      </c>
    </row>
    <row r="238" spans="1:14">
      <c r="A238" t="s">
        <v>896</v>
      </c>
      <c r="B238" t="s">
        <v>897</v>
      </c>
      <c r="C238">
        <v>2012</v>
      </c>
      <c r="D238" t="s">
        <v>898</v>
      </c>
      <c r="G238">
        <v>6261696</v>
      </c>
      <c r="H238">
        <v>217</v>
      </c>
      <c r="I238">
        <v>218</v>
      </c>
      <c r="L238" t="s">
        <v>899</v>
      </c>
      <c r="M238" t="s">
        <v>31</v>
      </c>
      <c r="N238" t="s">
        <v>19</v>
      </c>
    </row>
    <row r="239" spans="1:14">
      <c r="A239" t="s">
        <v>900</v>
      </c>
      <c r="B239" t="s">
        <v>901</v>
      </c>
      <c r="C239">
        <v>2012</v>
      </c>
      <c r="D239" t="s">
        <v>902</v>
      </c>
      <c r="H239">
        <v>1499</v>
      </c>
      <c r="I239">
        <v>1509</v>
      </c>
      <c r="L239" t="s">
        <v>903</v>
      </c>
      <c r="M239" t="s">
        <v>31</v>
      </c>
      <c r="N239" t="s">
        <v>19</v>
      </c>
    </row>
    <row r="240" spans="1:14">
      <c r="A240" t="s">
        <v>904</v>
      </c>
      <c r="B240" t="s">
        <v>905</v>
      </c>
      <c r="C240">
        <v>2012</v>
      </c>
      <c r="D240" t="s">
        <v>902</v>
      </c>
      <c r="H240">
        <v>1460</v>
      </c>
      <c r="I240">
        <v>1470</v>
      </c>
      <c r="L240" t="s">
        <v>906</v>
      </c>
      <c r="M240" t="s">
        <v>31</v>
      </c>
      <c r="N240" t="s">
        <v>19</v>
      </c>
    </row>
    <row r="241" spans="1:14">
      <c r="A241" t="s">
        <v>907</v>
      </c>
      <c r="B241" t="s">
        <v>908</v>
      </c>
      <c r="C241">
        <v>2012</v>
      </c>
      <c r="D241" t="s">
        <v>909</v>
      </c>
      <c r="G241">
        <v>6234572</v>
      </c>
      <c r="H241">
        <v>1238</v>
      </c>
      <c r="I241">
        <v>1241</v>
      </c>
      <c r="L241" t="s">
        <v>910</v>
      </c>
      <c r="M241" t="s">
        <v>31</v>
      </c>
      <c r="N241" t="s">
        <v>19</v>
      </c>
    </row>
    <row r="242" spans="1:14">
      <c r="A242" t="s">
        <v>911</v>
      </c>
      <c r="B242" t="s">
        <v>912</v>
      </c>
      <c r="C242">
        <v>2012</v>
      </c>
      <c r="D242" t="s">
        <v>913</v>
      </c>
      <c r="E242">
        <v>8</v>
      </c>
      <c r="F242">
        <v>9</v>
      </c>
      <c r="H242">
        <v>1496</v>
      </c>
      <c r="I242">
        <v>1500</v>
      </c>
      <c r="L242" t="s">
        <v>914</v>
      </c>
      <c r="M242" t="s">
        <v>18</v>
      </c>
      <c r="N242" t="s">
        <v>19</v>
      </c>
    </row>
    <row r="243" spans="1:14">
      <c r="A243" t="s">
        <v>915</v>
      </c>
      <c r="B243" t="s">
        <v>916</v>
      </c>
      <c r="C243">
        <v>2012</v>
      </c>
      <c r="D243" t="s">
        <v>883</v>
      </c>
      <c r="H243">
        <v>1496</v>
      </c>
      <c r="I243">
        <v>1499</v>
      </c>
      <c r="L243" t="s">
        <v>917</v>
      </c>
      <c r="M243" t="s">
        <v>31</v>
      </c>
      <c r="N243" t="s">
        <v>19</v>
      </c>
    </row>
    <row r="244" spans="1:14">
      <c r="A244" t="s">
        <v>918</v>
      </c>
      <c r="B244" t="s">
        <v>919</v>
      </c>
      <c r="C244">
        <v>2012</v>
      </c>
      <c r="D244" t="s">
        <v>883</v>
      </c>
      <c r="H244">
        <v>1032</v>
      </c>
      <c r="I244">
        <v>1040</v>
      </c>
      <c r="L244" t="s">
        <v>920</v>
      </c>
      <c r="M244" t="s">
        <v>31</v>
      </c>
      <c r="N244" t="s">
        <v>19</v>
      </c>
    </row>
    <row r="245" spans="1:14">
      <c r="A245" t="s">
        <v>921</v>
      </c>
      <c r="B245" t="s">
        <v>922</v>
      </c>
      <c r="C245">
        <v>2012</v>
      </c>
      <c r="D245" t="s">
        <v>55</v>
      </c>
      <c r="E245" t="s">
        <v>923</v>
      </c>
      <c r="H245">
        <v>258</v>
      </c>
      <c r="I245">
        <v>267</v>
      </c>
      <c r="L245" t="s">
        <v>924</v>
      </c>
      <c r="M245" t="s">
        <v>31</v>
      </c>
      <c r="N245" t="s">
        <v>19</v>
      </c>
    </row>
    <row r="246" spans="1:14">
      <c r="A246" t="s">
        <v>925</v>
      </c>
      <c r="B246" t="s">
        <v>926</v>
      </c>
      <c r="C246">
        <v>2012</v>
      </c>
      <c r="D246" t="s">
        <v>213</v>
      </c>
      <c r="H246">
        <v>41</v>
      </c>
      <c r="I246">
        <v>47</v>
      </c>
      <c r="L246" t="s">
        <v>927</v>
      </c>
      <c r="M246" t="s">
        <v>31</v>
      </c>
      <c r="N246" t="s">
        <v>19</v>
      </c>
    </row>
    <row r="247" spans="1:14">
      <c r="A247" t="s">
        <v>928</v>
      </c>
      <c r="B247" t="s">
        <v>929</v>
      </c>
      <c r="C247">
        <v>2012</v>
      </c>
      <c r="D247" t="s">
        <v>883</v>
      </c>
      <c r="H247">
        <v>1568</v>
      </c>
      <c r="I247">
        <v>1571</v>
      </c>
      <c r="L247" t="s">
        <v>930</v>
      </c>
      <c r="M247" t="s">
        <v>31</v>
      </c>
      <c r="N247" t="s">
        <v>19</v>
      </c>
    </row>
    <row r="248" spans="1:14">
      <c r="A248" t="s">
        <v>931</v>
      </c>
      <c r="B248" t="s">
        <v>932</v>
      </c>
      <c r="C248">
        <v>2012</v>
      </c>
      <c r="D248" t="s">
        <v>883</v>
      </c>
      <c r="L248" t="s">
        <v>933</v>
      </c>
      <c r="M248" t="s">
        <v>31</v>
      </c>
      <c r="N248" t="s">
        <v>19</v>
      </c>
    </row>
    <row r="249" spans="1:14">
      <c r="A249" t="s">
        <v>934</v>
      </c>
      <c r="B249" t="s">
        <v>935</v>
      </c>
      <c r="C249">
        <v>2012</v>
      </c>
      <c r="D249" t="s">
        <v>883</v>
      </c>
      <c r="H249">
        <v>696</v>
      </c>
      <c r="I249">
        <v>704</v>
      </c>
      <c r="L249" t="s">
        <v>936</v>
      </c>
      <c r="M249" t="s">
        <v>31</v>
      </c>
      <c r="N249" t="s">
        <v>19</v>
      </c>
    </row>
    <row r="250" spans="1:14">
      <c r="A250" t="s">
        <v>937</v>
      </c>
      <c r="B250" t="s">
        <v>938</v>
      </c>
      <c r="C250">
        <v>2012</v>
      </c>
      <c r="D250" t="s">
        <v>55</v>
      </c>
      <c r="E250" t="s">
        <v>939</v>
      </c>
      <c r="F250" t="s">
        <v>940</v>
      </c>
      <c r="H250">
        <v>345</v>
      </c>
      <c r="I250">
        <v>359</v>
      </c>
      <c r="L250" t="s">
        <v>941</v>
      </c>
      <c r="M250" t="s">
        <v>31</v>
      </c>
      <c r="N250" t="s">
        <v>19</v>
      </c>
    </row>
    <row r="251" spans="1:14">
      <c r="A251" t="s">
        <v>942</v>
      </c>
      <c r="B251" t="s">
        <v>943</v>
      </c>
      <c r="C251">
        <v>2012</v>
      </c>
      <c r="D251" t="s">
        <v>60</v>
      </c>
      <c r="E251" t="s">
        <v>944</v>
      </c>
      <c r="H251">
        <v>133</v>
      </c>
      <c r="I251">
        <v>142</v>
      </c>
      <c r="L251" t="s">
        <v>945</v>
      </c>
      <c r="M251" t="s">
        <v>31</v>
      </c>
      <c r="N251" t="s">
        <v>19</v>
      </c>
    </row>
    <row r="252" spans="1:14">
      <c r="A252" t="s">
        <v>946</v>
      </c>
      <c r="B252" t="s">
        <v>947</v>
      </c>
      <c r="C252">
        <v>2012</v>
      </c>
      <c r="D252" t="s">
        <v>948</v>
      </c>
      <c r="E252">
        <v>9</v>
      </c>
      <c r="F252">
        <v>2</v>
      </c>
      <c r="H252">
        <v>15</v>
      </c>
      <c r="I252">
        <v>31</v>
      </c>
      <c r="L252" t="s">
        <v>949</v>
      </c>
      <c r="M252" t="s">
        <v>18</v>
      </c>
      <c r="N252" t="s">
        <v>19</v>
      </c>
    </row>
    <row r="253" spans="1:14">
      <c r="A253" t="s">
        <v>950</v>
      </c>
      <c r="B253" t="s">
        <v>951</v>
      </c>
      <c r="C253">
        <v>2012</v>
      </c>
      <c r="D253" t="s">
        <v>60</v>
      </c>
      <c r="E253" t="s">
        <v>952</v>
      </c>
      <c r="H253">
        <v>348</v>
      </c>
      <c r="I253">
        <v>356</v>
      </c>
      <c r="L253" t="s">
        <v>953</v>
      </c>
      <c r="M253" t="s">
        <v>31</v>
      </c>
      <c r="N253" t="s">
        <v>19</v>
      </c>
    </row>
    <row r="254" spans="1:14">
      <c r="A254" t="s">
        <v>954</v>
      </c>
      <c r="B254" t="s">
        <v>955</v>
      </c>
      <c r="C254">
        <v>2012</v>
      </c>
      <c r="D254" t="s">
        <v>956</v>
      </c>
      <c r="E254">
        <v>18</v>
      </c>
      <c r="F254" s="1">
        <v>41306</v>
      </c>
      <c r="H254">
        <v>46</v>
      </c>
      <c r="I254">
        <v>60</v>
      </c>
      <c r="L254" t="s">
        <v>957</v>
      </c>
      <c r="M254" t="s">
        <v>18</v>
      </c>
      <c r="N254" t="s">
        <v>19</v>
      </c>
    </row>
    <row r="255" spans="1:14">
      <c r="A255" t="s">
        <v>958</v>
      </c>
      <c r="B255" t="s">
        <v>959</v>
      </c>
      <c r="C255">
        <v>2012</v>
      </c>
      <c r="D255" t="s">
        <v>635</v>
      </c>
      <c r="E255" t="s">
        <v>636</v>
      </c>
      <c r="F255">
        <v>9</v>
      </c>
      <c r="H255">
        <v>2343</v>
      </c>
      <c r="I255">
        <v>2346</v>
      </c>
      <c r="L255" t="s">
        <v>960</v>
      </c>
      <c r="M255" t="s">
        <v>18</v>
      </c>
      <c r="N255" t="s">
        <v>19</v>
      </c>
    </row>
    <row r="256" spans="1:14">
      <c r="A256" t="s">
        <v>961</v>
      </c>
      <c r="B256" t="s">
        <v>962</v>
      </c>
      <c r="C256">
        <v>2012</v>
      </c>
      <c r="D256" t="s">
        <v>963</v>
      </c>
      <c r="E256">
        <v>14</v>
      </c>
      <c r="F256">
        <v>5</v>
      </c>
      <c r="H256">
        <v>469</v>
      </c>
      <c r="I256">
        <v>484</v>
      </c>
      <c r="L256" t="s">
        <v>964</v>
      </c>
      <c r="M256" t="s">
        <v>18</v>
      </c>
      <c r="N256" t="s">
        <v>19</v>
      </c>
    </row>
    <row r="257" spans="1:14">
      <c r="A257" t="s">
        <v>965</v>
      </c>
      <c r="B257" t="s">
        <v>966</v>
      </c>
      <c r="C257">
        <v>2012</v>
      </c>
      <c r="D257" t="s">
        <v>65</v>
      </c>
      <c r="E257">
        <v>6</v>
      </c>
      <c r="F257">
        <v>17</v>
      </c>
      <c r="H257">
        <v>612</v>
      </c>
      <c r="I257">
        <v>619</v>
      </c>
      <c r="K257">
        <v>1</v>
      </c>
      <c r="L257" t="s">
        <v>967</v>
      </c>
      <c r="M257" t="s">
        <v>18</v>
      </c>
      <c r="N257" t="s">
        <v>19</v>
      </c>
    </row>
    <row r="258" spans="1:14">
      <c r="A258" t="s">
        <v>968</v>
      </c>
      <c r="B258" t="s">
        <v>969</v>
      </c>
      <c r="C258">
        <v>2012</v>
      </c>
      <c r="D258" t="s">
        <v>104</v>
      </c>
      <c r="E258">
        <v>28</v>
      </c>
      <c r="F258">
        <v>5</v>
      </c>
      <c r="H258">
        <v>1700</v>
      </c>
      <c r="I258">
        <v>1707</v>
      </c>
      <c r="L258" t="s">
        <v>970</v>
      </c>
      <c r="M258" t="s">
        <v>18</v>
      </c>
      <c r="N258" t="s">
        <v>19</v>
      </c>
    </row>
    <row r="259" spans="1:14">
      <c r="A259" t="s">
        <v>971</v>
      </c>
      <c r="B259" t="s">
        <v>972</v>
      </c>
      <c r="C259">
        <v>2012</v>
      </c>
      <c r="D259" t="s">
        <v>253</v>
      </c>
      <c r="E259">
        <v>3</v>
      </c>
      <c r="F259">
        <v>5</v>
      </c>
      <c r="H259">
        <v>1277</v>
      </c>
      <c r="I259">
        <v>1284</v>
      </c>
      <c r="L259" t="s">
        <v>973</v>
      </c>
      <c r="M259" t="s">
        <v>18</v>
      </c>
      <c r="N259" t="s">
        <v>19</v>
      </c>
    </row>
    <row r="260" spans="1:14">
      <c r="A260" t="s">
        <v>974</v>
      </c>
      <c r="B260" t="s">
        <v>975</v>
      </c>
      <c r="C260">
        <v>2012</v>
      </c>
      <c r="D260" t="s">
        <v>976</v>
      </c>
      <c r="E260" t="s">
        <v>977</v>
      </c>
      <c r="F260" t="s">
        <v>978</v>
      </c>
      <c r="H260">
        <v>333</v>
      </c>
      <c r="I260">
        <v>344</v>
      </c>
      <c r="L260" t="s">
        <v>979</v>
      </c>
      <c r="M260" t="s">
        <v>31</v>
      </c>
      <c r="N260" t="s">
        <v>19</v>
      </c>
    </row>
    <row r="261" spans="1:14">
      <c r="A261" t="s">
        <v>980</v>
      </c>
      <c r="B261" t="s">
        <v>981</v>
      </c>
      <c r="C261">
        <v>2012</v>
      </c>
      <c r="D261" t="s">
        <v>55</v>
      </c>
      <c r="E261" t="s">
        <v>982</v>
      </c>
      <c r="F261" t="s">
        <v>228</v>
      </c>
      <c r="H261">
        <v>379</v>
      </c>
      <c r="I261">
        <v>385</v>
      </c>
      <c r="L261" t="s">
        <v>983</v>
      </c>
      <c r="M261" t="s">
        <v>31</v>
      </c>
      <c r="N261" t="s">
        <v>19</v>
      </c>
    </row>
    <row r="262" spans="1:14">
      <c r="A262" t="s">
        <v>984</v>
      </c>
      <c r="B262" t="s">
        <v>985</v>
      </c>
      <c r="C262">
        <v>2012</v>
      </c>
      <c r="D262" t="s">
        <v>986</v>
      </c>
      <c r="G262">
        <v>6252471</v>
      </c>
      <c r="L262" t="s">
        <v>987</v>
      </c>
      <c r="M262" t="s">
        <v>31</v>
      </c>
      <c r="N262" t="s">
        <v>19</v>
      </c>
    </row>
    <row r="263" spans="1:14">
      <c r="A263" t="s">
        <v>988</v>
      </c>
      <c r="B263" t="s">
        <v>989</v>
      </c>
      <c r="C263">
        <v>2012</v>
      </c>
      <c r="D263" t="s">
        <v>55</v>
      </c>
      <c r="E263" t="s">
        <v>990</v>
      </c>
      <c r="H263">
        <v>155</v>
      </c>
      <c r="I263">
        <v>164</v>
      </c>
      <c r="L263" t="s">
        <v>991</v>
      </c>
      <c r="M263" t="s">
        <v>31</v>
      </c>
      <c r="N263" t="s">
        <v>19</v>
      </c>
    </row>
    <row r="264" spans="1:14">
      <c r="A264" t="s">
        <v>992</v>
      </c>
      <c r="B264" t="s">
        <v>993</v>
      </c>
      <c r="C264">
        <v>2012</v>
      </c>
      <c r="D264" t="s">
        <v>994</v>
      </c>
      <c r="L264" t="s">
        <v>995</v>
      </c>
      <c r="M264" t="s">
        <v>31</v>
      </c>
      <c r="N264" t="s">
        <v>19</v>
      </c>
    </row>
    <row r="265" spans="1:14">
      <c r="A265" t="s">
        <v>996</v>
      </c>
      <c r="B265" t="s">
        <v>997</v>
      </c>
      <c r="C265">
        <v>2012</v>
      </c>
      <c r="D265" t="s">
        <v>55</v>
      </c>
      <c r="E265" t="s">
        <v>990</v>
      </c>
      <c r="H265">
        <v>351</v>
      </c>
      <c r="I265">
        <v>361</v>
      </c>
      <c r="L265" t="s">
        <v>998</v>
      </c>
      <c r="M265" t="s">
        <v>31</v>
      </c>
      <c r="N265" t="s">
        <v>19</v>
      </c>
    </row>
    <row r="266" spans="1:14">
      <c r="A266" t="s">
        <v>999</v>
      </c>
      <c r="B266" t="s">
        <v>1000</v>
      </c>
      <c r="C266">
        <v>2012</v>
      </c>
      <c r="D266" t="s">
        <v>883</v>
      </c>
      <c r="L266" t="s">
        <v>1001</v>
      </c>
      <c r="M266" t="s">
        <v>31</v>
      </c>
      <c r="N266" t="s">
        <v>19</v>
      </c>
    </row>
    <row r="267" spans="1:14">
      <c r="A267" t="s">
        <v>1002</v>
      </c>
      <c r="B267" t="s">
        <v>1003</v>
      </c>
      <c r="C267">
        <v>2012</v>
      </c>
      <c r="D267" t="s">
        <v>1004</v>
      </c>
      <c r="E267">
        <v>14</v>
      </c>
      <c r="F267">
        <v>3</v>
      </c>
      <c r="H267">
        <v>646</v>
      </c>
      <c r="I267">
        <v>658</v>
      </c>
      <c r="L267" t="s">
        <v>1005</v>
      </c>
      <c r="M267" t="s">
        <v>18</v>
      </c>
      <c r="N267" t="s">
        <v>19</v>
      </c>
    </row>
    <row r="268" spans="1:14">
      <c r="A268" t="s">
        <v>1006</v>
      </c>
      <c r="B268" t="s">
        <v>1007</v>
      </c>
      <c r="C268">
        <v>2012</v>
      </c>
      <c r="D268" t="s">
        <v>1008</v>
      </c>
      <c r="E268" t="s">
        <v>1009</v>
      </c>
      <c r="H268">
        <v>39</v>
      </c>
      <c r="I268">
        <v>45</v>
      </c>
      <c r="L268" t="s">
        <v>1010</v>
      </c>
      <c r="M268" t="s">
        <v>31</v>
      </c>
      <c r="N268" t="s">
        <v>19</v>
      </c>
    </row>
    <row r="269" spans="1:14">
      <c r="A269" t="s">
        <v>1011</v>
      </c>
      <c r="B269" t="s">
        <v>1012</v>
      </c>
      <c r="C269">
        <v>2012</v>
      </c>
      <c r="D269" t="s">
        <v>1008</v>
      </c>
      <c r="E269" t="s">
        <v>1009</v>
      </c>
      <c r="H269">
        <v>9</v>
      </c>
      <c r="I269">
        <v>15</v>
      </c>
      <c r="L269" t="s">
        <v>1013</v>
      </c>
      <c r="M269" t="s">
        <v>31</v>
      </c>
      <c r="N269" t="s">
        <v>19</v>
      </c>
    </row>
    <row r="270" spans="1:14">
      <c r="A270" t="s">
        <v>1014</v>
      </c>
      <c r="B270" t="s">
        <v>1015</v>
      </c>
      <c r="C270">
        <v>2012</v>
      </c>
      <c r="D270" t="s">
        <v>1016</v>
      </c>
      <c r="E270">
        <v>2012</v>
      </c>
      <c r="G270">
        <v>971303</v>
      </c>
      <c r="L270" t="s">
        <v>1017</v>
      </c>
      <c r="M270" t="s">
        <v>18</v>
      </c>
      <c r="N270" t="s">
        <v>19</v>
      </c>
    </row>
    <row r="271" spans="1:14">
      <c r="A271" t="s">
        <v>1018</v>
      </c>
      <c r="B271" t="s">
        <v>1019</v>
      </c>
      <c r="C271">
        <v>2012</v>
      </c>
      <c r="D271" t="s">
        <v>1020</v>
      </c>
      <c r="E271">
        <v>1</v>
      </c>
      <c r="H271">
        <v>23</v>
      </c>
      <c r="I271">
        <v>28</v>
      </c>
      <c r="L271" t="s">
        <v>1021</v>
      </c>
      <c r="M271" t="s">
        <v>31</v>
      </c>
      <c r="N271" t="s">
        <v>19</v>
      </c>
    </row>
    <row r="272" spans="1:14">
      <c r="A272" t="s">
        <v>1022</v>
      </c>
      <c r="B272" t="s">
        <v>1023</v>
      </c>
      <c r="C272">
        <v>2012</v>
      </c>
      <c r="D272" t="s">
        <v>1008</v>
      </c>
      <c r="E272" t="s">
        <v>1024</v>
      </c>
      <c r="H272">
        <v>17</v>
      </c>
      <c r="I272">
        <v>18</v>
      </c>
      <c r="L272" t="s">
        <v>1025</v>
      </c>
      <c r="M272" t="s">
        <v>31</v>
      </c>
      <c r="N272" t="s">
        <v>19</v>
      </c>
    </row>
    <row r="273" spans="1:14">
      <c r="A273" t="s">
        <v>1026</v>
      </c>
      <c r="B273" t="s">
        <v>1027</v>
      </c>
      <c r="C273">
        <v>2012</v>
      </c>
      <c r="D273" t="s">
        <v>1008</v>
      </c>
      <c r="E273" t="s">
        <v>1024</v>
      </c>
      <c r="H273">
        <v>42</v>
      </c>
      <c r="I273">
        <v>48</v>
      </c>
      <c r="L273" t="s">
        <v>1028</v>
      </c>
      <c r="M273" t="s">
        <v>31</v>
      </c>
      <c r="N273" t="s">
        <v>19</v>
      </c>
    </row>
    <row r="274" spans="1:14">
      <c r="A274" t="s">
        <v>1029</v>
      </c>
      <c r="B274" t="s">
        <v>1030</v>
      </c>
      <c r="C274">
        <v>2012</v>
      </c>
      <c r="D274" t="s">
        <v>1031</v>
      </c>
      <c r="G274">
        <v>6232815</v>
      </c>
      <c r="H274">
        <v>114</v>
      </c>
      <c r="I274">
        <v>120</v>
      </c>
      <c r="K274">
        <v>1</v>
      </c>
      <c r="L274" t="s">
        <v>1032</v>
      </c>
      <c r="M274" t="s">
        <v>31</v>
      </c>
      <c r="N274" t="s">
        <v>19</v>
      </c>
    </row>
    <row r="275" spans="1:14">
      <c r="A275" t="s">
        <v>1033</v>
      </c>
      <c r="B275" t="s">
        <v>1034</v>
      </c>
      <c r="C275">
        <v>2012</v>
      </c>
      <c r="D275" t="s">
        <v>213</v>
      </c>
      <c r="H275">
        <v>69</v>
      </c>
      <c r="I275">
        <v>72</v>
      </c>
      <c r="L275" t="s">
        <v>1035</v>
      </c>
      <c r="M275" t="s">
        <v>31</v>
      </c>
      <c r="N275" t="s">
        <v>19</v>
      </c>
    </row>
    <row r="276" spans="1:14">
      <c r="A276" t="s">
        <v>1036</v>
      </c>
      <c r="B276" t="s">
        <v>1037</v>
      </c>
      <c r="C276">
        <v>2012</v>
      </c>
      <c r="D276" t="s">
        <v>213</v>
      </c>
      <c r="H276">
        <v>65</v>
      </c>
      <c r="I276">
        <v>68</v>
      </c>
      <c r="L276" t="s">
        <v>1038</v>
      </c>
      <c r="M276" t="s">
        <v>31</v>
      </c>
      <c r="N276" t="s">
        <v>19</v>
      </c>
    </row>
    <row r="277" spans="1:14">
      <c r="A277" t="s">
        <v>1039</v>
      </c>
      <c r="B277" t="s">
        <v>1040</v>
      </c>
      <c r="C277">
        <v>2012</v>
      </c>
      <c r="D277" t="s">
        <v>213</v>
      </c>
      <c r="H277">
        <v>14</v>
      </c>
      <c r="I277">
        <v>15</v>
      </c>
      <c r="L277" t="s">
        <v>1041</v>
      </c>
      <c r="M277" t="s">
        <v>31</v>
      </c>
      <c r="N277" t="s">
        <v>19</v>
      </c>
    </row>
    <row r="278" spans="1:14">
      <c r="A278" t="s">
        <v>1042</v>
      </c>
      <c r="B278" t="s">
        <v>1043</v>
      </c>
      <c r="C278">
        <v>2012</v>
      </c>
      <c r="D278" t="s">
        <v>213</v>
      </c>
      <c r="H278">
        <v>43</v>
      </c>
      <c r="I278">
        <v>53</v>
      </c>
      <c r="L278" t="s">
        <v>1044</v>
      </c>
      <c r="M278" t="s">
        <v>31</v>
      </c>
      <c r="N278" t="s">
        <v>19</v>
      </c>
    </row>
    <row r="279" spans="1:14">
      <c r="A279" t="s">
        <v>1045</v>
      </c>
      <c r="B279" t="s">
        <v>1046</v>
      </c>
      <c r="C279">
        <v>2012</v>
      </c>
      <c r="D279" t="s">
        <v>213</v>
      </c>
      <c r="H279">
        <v>59</v>
      </c>
      <c r="I279">
        <v>64</v>
      </c>
      <c r="L279" t="s">
        <v>1047</v>
      </c>
      <c r="M279" t="s">
        <v>31</v>
      </c>
      <c r="N279" t="s">
        <v>19</v>
      </c>
    </row>
    <row r="280" spans="1:14">
      <c r="A280" t="s">
        <v>1048</v>
      </c>
      <c r="B280" t="s">
        <v>1049</v>
      </c>
      <c r="C280">
        <v>2012</v>
      </c>
      <c r="D280" t="s">
        <v>1050</v>
      </c>
      <c r="E280">
        <v>40</v>
      </c>
      <c r="F280" t="s">
        <v>1051</v>
      </c>
      <c r="H280">
        <v>331</v>
      </c>
      <c r="I280">
        <v>342</v>
      </c>
      <c r="L280" t="s">
        <v>1052</v>
      </c>
      <c r="M280" t="s">
        <v>31</v>
      </c>
      <c r="N280" t="s">
        <v>19</v>
      </c>
    </row>
    <row r="281" spans="1:14">
      <c r="A281" t="s">
        <v>1053</v>
      </c>
      <c r="B281" t="s">
        <v>1054</v>
      </c>
      <c r="C281">
        <v>2012</v>
      </c>
      <c r="D281" t="s">
        <v>1055</v>
      </c>
      <c r="G281">
        <v>6233401</v>
      </c>
      <c r="H281">
        <v>11</v>
      </c>
      <c r="I281">
        <v>15</v>
      </c>
      <c r="L281" t="s">
        <v>1056</v>
      </c>
      <c r="M281" t="s">
        <v>31</v>
      </c>
      <c r="N281" t="s">
        <v>19</v>
      </c>
    </row>
    <row r="282" spans="1:14">
      <c r="A282" t="s">
        <v>1057</v>
      </c>
      <c r="B282" t="s">
        <v>1058</v>
      </c>
      <c r="C282">
        <v>2012</v>
      </c>
      <c r="D282" t="s">
        <v>1059</v>
      </c>
      <c r="E282">
        <v>100</v>
      </c>
      <c r="F282">
        <v>9</v>
      </c>
      <c r="G282">
        <v>6249715</v>
      </c>
      <c r="H282">
        <v>2759</v>
      </c>
      <c r="I282">
        <v>2776</v>
      </c>
      <c r="L282" t="s">
        <v>1060</v>
      </c>
      <c r="M282" t="s">
        <v>18</v>
      </c>
      <c r="N282" t="s">
        <v>19</v>
      </c>
    </row>
    <row r="283" spans="1:14">
      <c r="A283" t="s">
        <v>1061</v>
      </c>
      <c r="B283" t="s">
        <v>1062</v>
      </c>
      <c r="C283">
        <v>2012</v>
      </c>
      <c r="D283" t="s">
        <v>16</v>
      </c>
      <c r="E283">
        <v>39</v>
      </c>
      <c r="F283">
        <v>10</v>
      </c>
      <c r="H283">
        <v>9079</v>
      </c>
      <c r="I283">
        <v>9086</v>
      </c>
      <c r="L283" t="s">
        <v>1063</v>
      </c>
      <c r="M283" t="s">
        <v>18</v>
      </c>
      <c r="N283" t="s">
        <v>19</v>
      </c>
    </row>
    <row r="284" spans="1:14">
      <c r="A284" t="s">
        <v>1064</v>
      </c>
      <c r="B284" t="s">
        <v>1065</v>
      </c>
      <c r="C284">
        <v>2012</v>
      </c>
      <c r="D284" t="s">
        <v>55</v>
      </c>
      <c r="E284" t="s">
        <v>1066</v>
      </c>
      <c r="H284">
        <v>323</v>
      </c>
      <c r="I284">
        <v>332</v>
      </c>
      <c r="L284" t="s">
        <v>1067</v>
      </c>
      <c r="M284" t="s">
        <v>31</v>
      </c>
      <c r="N284" t="s">
        <v>19</v>
      </c>
    </row>
    <row r="285" spans="1:14">
      <c r="A285" t="s">
        <v>1068</v>
      </c>
      <c r="B285" t="s">
        <v>1069</v>
      </c>
      <c r="C285">
        <v>2012</v>
      </c>
      <c r="D285" t="s">
        <v>1070</v>
      </c>
      <c r="E285">
        <v>15</v>
      </c>
      <c r="F285">
        <v>6</v>
      </c>
      <c r="G285">
        <v>1250064</v>
      </c>
      <c r="L285" t="s">
        <v>1071</v>
      </c>
      <c r="M285" t="s">
        <v>31</v>
      </c>
      <c r="N285" t="s">
        <v>19</v>
      </c>
    </row>
    <row r="286" spans="1:14">
      <c r="A286" t="s">
        <v>1072</v>
      </c>
      <c r="B286" t="s">
        <v>1073</v>
      </c>
      <c r="C286">
        <v>2012</v>
      </c>
      <c r="D286" t="s">
        <v>1074</v>
      </c>
      <c r="E286">
        <v>7</v>
      </c>
      <c r="F286">
        <v>14</v>
      </c>
      <c r="H286">
        <v>157</v>
      </c>
      <c r="I286">
        <v>167</v>
      </c>
      <c r="K286">
        <v>2</v>
      </c>
      <c r="L286" t="s">
        <v>1075</v>
      </c>
      <c r="M286" t="s">
        <v>18</v>
      </c>
      <c r="N286" t="s">
        <v>19</v>
      </c>
    </row>
    <row r="287" spans="1:14">
      <c r="A287" t="s">
        <v>1076</v>
      </c>
      <c r="B287" t="s">
        <v>1077</v>
      </c>
      <c r="C287">
        <v>2012</v>
      </c>
      <c r="D287" t="s">
        <v>1078</v>
      </c>
      <c r="E287">
        <v>38</v>
      </c>
      <c r="F287">
        <v>2</v>
      </c>
      <c r="H287">
        <v>129</v>
      </c>
      <c r="I287">
        <v>147</v>
      </c>
      <c r="K287">
        <v>2</v>
      </c>
      <c r="L287" t="s">
        <v>1079</v>
      </c>
      <c r="M287" t="s">
        <v>18</v>
      </c>
      <c r="N287" t="s">
        <v>19</v>
      </c>
    </row>
    <row r="288" spans="1:14">
      <c r="A288" t="s">
        <v>1080</v>
      </c>
      <c r="B288" t="s">
        <v>1081</v>
      </c>
      <c r="C288">
        <v>2012</v>
      </c>
      <c r="D288" t="s">
        <v>55</v>
      </c>
      <c r="E288" t="s">
        <v>1082</v>
      </c>
      <c r="H288">
        <v>393</v>
      </c>
      <c r="I288">
        <v>404</v>
      </c>
      <c r="L288" t="s">
        <v>1083</v>
      </c>
      <c r="M288" t="s">
        <v>31</v>
      </c>
      <c r="N288" t="s">
        <v>19</v>
      </c>
    </row>
    <row r="289" spans="1:14">
      <c r="A289" t="s">
        <v>1084</v>
      </c>
      <c r="B289" t="s">
        <v>1085</v>
      </c>
      <c r="C289">
        <v>2012</v>
      </c>
      <c r="D289" t="s">
        <v>1086</v>
      </c>
      <c r="E289">
        <v>63</v>
      </c>
      <c r="F289">
        <v>8</v>
      </c>
      <c r="H289">
        <v>1153</v>
      </c>
      <c r="I289">
        <v>1164</v>
      </c>
      <c r="L289" t="s">
        <v>1087</v>
      </c>
      <c r="M289" t="s">
        <v>18</v>
      </c>
      <c r="N289" t="s">
        <v>19</v>
      </c>
    </row>
    <row r="290" spans="1:14">
      <c r="A290" t="s">
        <v>1088</v>
      </c>
      <c r="B290" t="s">
        <v>1089</v>
      </c>
      <c r="C290">
        <v>2012</v>
      </c>
      <c r="D290" t="s">
        <v>1090</v>
      </c>
      <c r="E290">
        <v>7</v>
      </c>
      <c r="F290">
        <v>3</v>
      </c>
      <c r="H290">
        <v>250</v>
      </c>
      <c r="I290">
        <v>272</v>
      </c>
      <c r="L290" t="s">
        <v>1091</v>
      </c>
      <c r="M290" t="s">
        <v>18</v>
      </c>
      <c r="N290" t="s">
        <v>19</v>
      </c>
    </row>
    <row r="291" spans="1:14">
      <c r="A291" t="s">
        <v>1092</v>
      </c>
      <c r="B291" t="s">
        <v>1093</v>
      </c>
      <c r="C291">
        <v>2012</v>
      </c>
      <c r="D291" t="s">
        <v>16</v>
      </c>
      <c r="E291">
        <v>39</v>
      </c>
      <c r="F291">
        <v>10</v>
      </c>
      <c r="H291">
        <v>9230</v>
      </c>
      <c r="I291">
        <v>9245</v>
      </c>
      <c r="K291">
        <v>2</v>
      </c>
      <c r="L291" t="s">
        <v>1094</v>
      </c>
      <c r="M291" t="s">
        <v>18</v>
      </c>
      <c r="N291" t="s">
        <v>19</v>
      </c>
    </row>
    <row r="292" spans="1:14">
      <c r="A292" t="s">
        <v>1095</v>
      </c>
      <c r="B292" t="s">
        <v>1096</v>
      </c>
      <c r="C292">
        <v>2012</v>
      </c>
      <c r="D292" t="s">
        <v>1097</v>
      </c>
      <c r="E292">
        <v>5</v>
      </c>
      <c r="F292">
        <v>4</v>
      </c>
      <c r="H292">
        <v>243</v>
      </c>
      <c r="I292">
        <v>264</v>
      </c>
      <c r="L292" t="s">
        <v>1098</v>
      </c>
      <c r="M292" t="s">
        <v>18</v>
      </c>
      <c r="N292" t="s">
        <v>19</v>
      </c>
    </row>
    <row r="293" spans="1:14">
      <c r="A293" t="s">
        <v>1099</v>
      </c>
      <c r="B293" t="s">
        <v>1100</v>
      </c>
      <c r="C293">
        <v>2012</v>
      </c>
      <c r="D293" t="s">
        <v>1101</v>
      </c>
      <c r="G293">
        <v>6228426</v>
      </c>
      <c r="H293">
        <v>789</v>
      </c>
      <c r="I293">
        <v>792</v>
      </c>
      <c r="L293" t="s">
        <v>1102</v>
      </c>
      <c r="M293" t="s">
        <v>31</v>
      </c>
      <c r="N293" t="s">
        <v>19</v>
      </c>
    </row>
    <row r="294" spans="1:14">
      <c r="A294" t="s">
        <v>1103</v>
      </c>
      <c r="B294" t="s">
        <v>1104</v>
      </c>
      <c r="C294">
        <v>2012</v>
      </c>
      <c r="D294" t="s">
        <v>1105</v>
      </c>
      <c r="G294">
        <v>6225809</v>
      </c>
      <c r="H294">
        <v>226</v>
      </c>
      <c r="I294">
        <v>231</v>
      </c>
      <c r="L294" t="s">
        <v>1106</v>
      </c>
      <c r="M294" t="s">
        <v>31</v>
      </c>
      <c r="N294" t="s">
        <v>19</v>
      </c>
    </row>
    <row r="295" spans="1:14">
      <c r="A295" t="s">
        <v>1107</v>
      </c>
      <c r="B295" t="s">
        <v>1108</v>
      </c>
      <c r="C295">
        <v>2012</v>
      </c>
      <c r="D295" t="s">
        <v>1109</v>
      </c>
      <c r="G295">
        <v>6228087</v>
      </c>
      <c r="H295">
        <v>234</v>
      </c>
      <c r="I295">
        <v>245</v>
      </c>
      <c r="L295" t="s">
        <v>1110</v>
      </c>
      <c r="M295" t="s">
        <v>31</v>
      </c>
      <c r="N295" t="s">
        <v>19</v>
      </c>
    </row>
    <row r="296" spans="1:14">
      <c r="A296" t="s">
        <v>1111</v>
      </c>
      <c r="B296" t="s">
        <v>1112</v>
      </c>
      <c r="C296">
        <v>2012</v>
      </c>
      <c r="D296" t="s">
        <v>1113</v>
      </c>
      <c r="G296">
        <v>6221889</v>
      </c>
      <c r="H296">
        <v>666</v>
      </c>
      <c r="I296">
        <v>670</v>
      </c>
      <c r="L296" t="s">
        <v>1114</v>
      </c>
      <c r="M296" t="s">
        <v>31</v>
      </c>
      <c r="N296" t="s">
        <v>19</v>
      </c>
    </row>
    <row r="297" spans="1:14">
      <c r="A297" t="s">
        <v>1115</v>
      </c>
      <c r="B297" t="s">
        <v>1116</v>
      </c>
      <c r="C297">
        <v>2012</v>
      </c>
      <c r="D297" t="s">
        <v>55</v>
      </c>
      <c r="E297" t="s">
        <v>1117</v>
      </c>
      <c r="H297">
        <v>41</v>
      </c>
      <c r="I297">
        <v>53</v>
      </c>
      <c r="L297" t="s">
        <v>1118</v>
      </c>
      <c r="M297" t="s">
        <v>31</v>
      </c>
      <c r="N297" t="s">
        <v>19</v>
      </c>
    </row>
    <row r="298" spans="1:14">
      <c r="A298" t="s">
        <v>1119</v>
      </c>
      <c r="B298" t="s">
        <v>1120</v>
      </c>
      <c r="C298">
        <v>2012</v>
      </c>
      <c r="D298" t="s">
        <v>1105</v>
      </c>
      <c r="G298">
        <v>6225857</v>
      </c>
      <c r="H298">
        <v>504</v>
      </c>
      <c r="I298">
        <v>509</v>
      </c>
      <c r="L298" t="s">
        <v>1121</v>
      </c>
      <c r="M298" t="s">
        <v>31</v>
      </c>
      <c r="N298" t="s">
        <v>19</v>
      </c>
    </row>
    <row r="299" spans="1:14">
      <c r="A299" t="s">
        <v>1122</v>
      </c>
      <c r="B299" t="s">
        <v>1123</v>
      </c>
      <c r="C299">
        <v>2012</v>
      </c>
      <c r="D299" t="s">
        <v>1124</v>
      </c>
      <c r="G299">
        <v>6227700</v>
      </c>
      <c r="H299">
        <v>159</v>
      </c>
      <c r="I299">
        <v>163</v>
      </c>
      <c r="L299" t="s">
        <v>1125</v>
      </c>
      <c r="M299" t="s">
        <v>31</v>
      </c>
      <c r="N299" t="s">
        <v>19</v>
      </c>
    </row>
    <row r="300" spans="1:14">
      <c r="A300" t="s">
        <v>1126</v>
      </c>
      <c r="B300" t="s">
        <v>1127</v>
      </c>
      <c r="C300">
        <v>2012</v>
      </c>
      <c r="D300" t="s">
        <v>1113</v>
      </c>
      <c r="G300">
        <v>6221897</v>
      </c>
      <c r="H300">
        <v>713</v>
      </c>
      <c r="I300">
        <v>718</v>
      </c>
      <c r="L300" t="s">
        <v>1128</v>
      </c>
      <c r="M300" t="s">
        <v>31</v>
      </c>
      <c r="N300" t="s">
        <v>19</v>
      </c>
    </row>
    <row r="301" spans="1:14">
      <c r="A301" t="s">
        <v>1129</v>
      </c>
      <c r="B301" t="s">
        <v>1130</v>
      </c>
      <c r="C301">
        <v>2012</v>
      </c>
      <c r="D301" t="s">
        <v>1131</v>
      </c>
      <c r="G301">
        <v>6201094</v>
      </c>
      <c r="L301" t="s">
        <v>1132</v>
      </c>
      <c r="M301" t="s">
        <v>31</v>
      </c>
      <c r="N301" t="s">
        <v>19</v>
      </c>
    </row>
    <row r="302" spans="1:14">
      <c r="A302" t="s">
        <v>1133</v>
      </c>
      <c r="B302" t="s">
        <v>1134</v>
      </c>
      <c r="C302">
        <v>2012</v>
      </c>
      <c r="D302" t="s">
        <v>1135</v>
      </c>
      <c r="E302">
        <v>23</v>
      </c>
      <c r="F302">
        <v>2</v>
      </c>
      <c r="H302">
        <v>83</v>
      </c>
      <c r="I302">
        <v>89</v>
      </c>
      <c r="L302" t="s">
        <v>1136</v>
      </c>
      <c r="M302" t="s">
        <v>18</v>
      </c>
      <c r="N302" t="s">
        <v>19</v>
      </c>
    </row>
    <row r="303" spans="1:14">
      <c r="A303" t="s">
        <v>1137</v>
      </c>
      <c r="B303" t="s">
        <v>1138</v>
      </c>
      <c r="C303">
        <v>2012</v>
      </c>
      <c r="D303" t="s">
        <v>1139</v>
      </c>
      <c r="G303">
        <v>6226987</v>
      </c>
      <c r="H303">
        <v>1</v>
      </c>
      <c r="L303" t="s">
        <v>1140</v>
      </c>
      <c r="M303" t="s">
        <v>31</v>
      </c>
      <c r="N303" t="s">
        <v>19</v>
      </c>
    </row>
    <row r="304" spans="1:14">
      <c r="A304" t="s">
        <v>1141</v>
      </c>
      <c r="B304" t="s">
        <v>1142</v>
      </c>
      <c r="C304">
        <v>2012</v>
      </c>
      <c r="D304" t="s">
        <v>1143</v>
      </c>
      <c r="H304">
        <v>229</v>
      </c>
      <c r="I304">
        <v>238</v>
      </c>
      <c r="L304" t="s">
        <v>1144</v>
      </c>
      <c r="M304" t="s">
        <v>31</v>
      </c>
      <c r="N304" t="s">
        <v>19</v>
      </c>
    </row>
    <row r="305" spans="1:14">
      <c r="A305" t="s">
        <v>1145</v>
      </c>
      <c r="B305" t="s">
        <v>1146</v>
      </c>
      <c r="C305">
        <v>2012</v>
      </c>
      <c r="D305" t="s">
        <v>1143</v>
      </c>
      <c r="H305">
        <v>245</v>
      </c>
      <c r="I305">
        <v>254</v>
      </c>
      <c r="K305">
        <v>1</v>
      </c>
      <c r="L305" t="s">
        <v>1147</v>
      </c>
      <c r="M305" t="s">
        <v>31</v>
      </c>
      <c r="N305" t="s">
        <v>19</v>
      </c>
    </row>
    <row r="306" spans="1:14">
      <c r="A306" t="s">
        <v>1148</v>
      </c>
      <c r="B306" t="s">
        <v>1149</v>
      </c>
      <c r="C306">
        <v>2012</v>
      </c>
      <c r="D306" t="s">
        <v>1150</v>
      </c>
      <c r="H306">
        <v>33</v>
      </c>
      <c r="I306">
        <v>34</v>
      </c>
      <c r="L306" t="s">
        <v>1151</v>
      </c>
      <c r="M306" t="s">
        <v>31</v>
      </c>
      <c r="N306" t="s">
        <v>19</v>
      </c>
    </row>
    <row r="307" spans="1:14">
      <c r="A307" t="s">
        <v>1152</v>
      </c>
      <c r="B307" t="s">
        <v>1153</v>
      </c>
      <c r="C307">
        <v>2012</v>
      </c>
      <c r="D307" t="s">
        <v>1154</v>
      </c>
      <c r="G307">
        <v>6209102</v>
      </c>
      <c r="H307">
        <v>854</v>
      </c>
      <c r="I307">
        <v>855</v>
      </c>
      <c r="L307" t="s">
        <v>1155</v>
      </c>
      <c r="M307" t="s">
        <v>31</v>
      </c>
      <c r="N307" t="s">
        <v>19</v>
      </c>
    </row>
    <row r="308" spans="1:14">
      <c r="A308" t="s">
        <v>1156</v>
      </c>
      <c r="B308" t="s">
        <v>1157</v>
      </c>
      <c r="C308">
        <v>2012</v>
      </c>
      <c r="D308" t="s">
        <v>60</v>
      </c>
      <c r="E308" t="s">
        <v>1158</v>
      </c>
      <c r="H308">
        <v>139</v>
      </c>
      <c r="I308">
        <v>143</v>
      </c>
      <c r="L308" t="s">
        <v>1159</v>
      </c>
      <c r="M308" t="s">
        <v>31</v>
      </c>
      <c r="N308" t="s">
        <v>19</v>
      </c>
    </row>
    <row r="309" spans="1:14">
      <c r="A309" t="s">
        <v>1160</v>
      </c>
      <c r="B309" t="s">
        <v>1161</v>
      </c>
      <c r="C309">
        <v>2012</v>
      </c>
      <c r="D309" t="s">
        <v>213</v>
      </c>
      <c r="H309">
        <v>8</v>
      </c>
      <c r="I309">
        <v>21</v>
      </c>
      <c r="L309" t="s">
        <v>1162</v>
      </c>
      <c r="M309" t="s">
        <v>31</v>
      </c>
      <c r="N309" t="s">
        <v>19</v>
      </c>
    </row>
    <row r="310" spans="1:14">
      <c r="A310" t="s">
        <v>1163</v>
      </c>
      <c r="B310" t="s">
        <v>1164</v>
      </c>
      <c r="C310">
        <v>2012</v>
      </c>
      <c r="D310" t="s">
        <v>213</v>
      </c>
      <c r="G310">
        <v>61</v>
      </c>
      <c r="L310" t="s">
        <v>1165</v>
      </c>
      <c r="M310" t="s">
        <v>31</v>
      </c>
      <c r="N310" t="s">
        <v>19</v>
      </c>
    </row>
    <row r="311" spans="1:14">
      <c r="A311" t="s">
        <v>1166</v>
      </c>
      <c r="B311" t="s">
        <v>1167</v>
      </c>
      <c r="C311">
        <v>2012</v>
      </c>
      <c r="D311" t="s">
        <v>213</v>
      </c>
      <c r="G311">
        <v>5</v>
      </c>
      <c r="L311" t="s">
        <v>1168</v>
      </c>
      <c r="M311" t="s">
        <v>31</v>
      </c>
      <c r="N311" t="s">
        <v>19</v>
      </c>
    </row>
    <row r="312" spans="1:14">
      <c r="A312" t="s">
        <v>1169</v>
      </c>
      <c r="B312" t="s">
        <v>1170</v>
      </c>
      <c r="C312">
        <v>2012</v>
      </c>
      <c r="D312" t="s">
        <v>213</v>
      </c>
      <c r="G312">
        <v>11</v>
      </c>
      <c r="L312" t="s">
        <v>1171</v>
      </c>
      <c r="M312" t="s">
        <v>31</v>
      </c>
      <c r="N312" t="s">
        <v>19</v>
      </c>
    </row>
    <row r="313" spans="1:14">
      <c r="A313" t="s">
        <v>489</v>
      </c>
      <c r="B313" t="s">
        <v>1172</v>
      </c>
      <c r="C313">
        <v>2012</v>
      </c>
      <c r="D313" t="s">
        <v>213</v>
      </c>
      <c r="G313">
        <v>9</v>
      </c>
      <c r="L313" t="s">
        <v>1173</v>
      </c>
      <c r="M313" t="s">
        <v>31</v>
      </c>
      <c r="N313" t="s">
        <v>19</v>
      </c>
    </row>
    <row r="314" spans="1:14">
      <c r="A314" t="s">
        <v>1174</v>
      </c>
      <c r="B314" t="s">
        <v>1175</v>
      </c>
      <c r="C314">
        <v>2012</v>
      </c>
      <c r="D314" t="s">
        <v>1176</v>
      </c>
      <c r="G314">
        <v>6215722</v>
      </c>
      <c r="L314" t="s">
        <v>1177</v>
      </c>
      <c r="M314" t="s">
        <v>31</v>
      </c>
      <c r="N314" t="s">
        <v>19</v>
      </c>
    </row>
    <row r="315" spans="1:14">
      <c r="A315" t="s">
        <v>1178</v>
      </c>
      <c r="B315" t="s">
        <v>1179</v>
      </c>
      <c r="C315">
        <v>2012</v>
      </c>
      <c r="D315" t="s">
        <v>1176</v>
      </c>
      <c r="G315">
        <v>6215733</v>
      </c>
      <c r="L315" t="s">
        <v>1180</v>
      </c>
      <c r="M315" t="s">
        <v>31</v>
      </c>
      <c r="N315" t="s">
        <v>19</v>
      </c>
    </row>
    <row r="316" spans="1:14">
      <c r="A316" t="s">
        <v>1181</v>
      </c>
      <c r="B316" t="s">
        <v>1182</v>
      </c>
      <c r="C316">
        <v>2012</v>
      </c>
      <c r="D316" t="s">
        <v>1183</v>
      </c>
      <c r="G316">
        <v>6208281</v>
      </c>
      <c r="H316">
        <v>20</v>
      </c>
      <c r="I316">
        <v>24</v>
      </c>
      <c r="L316" t="s">
        <v>1184</v>
      </c>
      <c r="M316" t="s">
        <v>31</v>
      </c>
      <c r="N316" t="s">
        <v>19</v>
      </c>
    </row>
    <row r="317" spans="1:14">
      <c r="A317" t="s">
        <v>1185</v>
      </c>
      <c r="B317" t="s">
        <v>1186</v>
      </c>
      <c r="C317">
        <v>2012</v>
      </c>
      <c r="D317" t="s">
        <v>1187</v>
      </c>
      <c r="E317">
        <v>36</v>
      </c>
      <c r="F317">
        <v>3</v>
      </c>
      <c r="H317">
        <v>401</v>
      </c>
      <c r="I317">
        <v>419</v>
      </c>
      <c r="L317" t="s">
        <v>1188</v>
      </c>
      <c r="M317" t="s">
        <v>18</v>
      </c>
      <c r="N317" t="s">
        <v>19</v>
      </c>
    </row>
    <row r="318" spans="1:14">
      <c r="A318" t="s">
        <v>1189</v>
      </c>
      <c r="B318" t="s">
        <v>1190</v>
      </c>
      <c r="C318">
        <v>2012</v>
      </c>
      <c r="D318" t="s">
        <v>1191</v>
      </c>
      <c r="H318">
        <v>138</v>
      </c>
      <c r="I318">
        <v>143</v>
      </c>
      <c r="L318" t="s">
        <v>1192</v>
      </c>
      <c r="M318" t="s">
        <v>31</v>
      </c>
      <c r="N318" t="s">
        <v>19</v>
      </c>
    </row>
    <row r="319" spans="1:14">
      <c r="A319" t="s">
        <v>1193</v>
      </c>
      <c r="B319" t="s">
        <v>1194</v>
      </c>
      <c r="C319">
        <v>2012</v>
      </c>
      <c r="D319" t="s">
        <v>1195</v>
      </c>
      <c r="H319">
        <v>27</v>
      </c>
      <c r="I319">
        <v>30</v>
      </c>
      <c r="L319" t="s">
        <v>1196</v>
      </c>
      <c r="M319" t="s">
        <v>31</v>
      </c>
      <c r="N319" t="s">
        <v>19</v>
      </c>
    </row>
    <row r="320" spans="1:14">
      <c r="A320" t="s">
        <v>1197</v>
      </c>
      <c r="B320" t="s">
        <v>1198</v>
      </c>
      <c r="C320">
        <v>2012</v>
      </c>
      <c r="D320" t="s">
        <v>213</v>
      </c>
      <c r="H320">
        <v>109</v>
      </c>
      <c r="I320">
        <v>119</v>
      </c>
      <c r="L320" t="s">
        <v>1199</v>
      </c>
      <c r="M320" t="s">
        <v>31</v>
      </c>
      <c r="N320" t="s">
        <v>19</v>
      </c>
    </row>
    <row r="321" spans="1:14">
      <c r="A321" t="s">
        <v>1200</v>
      </c>
      <c r="B321" t="s">
        <v>1201</v>
      </c>
      <c r="C321">
        <v>2012</v>
      </c>
      <c r="D321" t="s">
        <v>1202</v>
      </c>
      <c r="H321">
        <v>109</v>
      </c>
      <c r="I321">
        <v>114</v>
      </c>
      <c r="L321" t="s">
        <v>1203</v>
      </c>
      <c r="M321" t="s">
        <v>31</v>
      </c>
      <c r="N321" t="s">
        <v>19</v>
      </c>
    </row>
    <row r="322" spans="1:14">
      <c r="A322" t="s">
        <v>1204</v>
      </c>
      <c r="B322" t="s">
        <v>1205</v>
      </c>
      <c r="C322">
        <v>2012</v>
      </c>
      <c r="D322" t="s">
        <v>213</v>
      </c>
      <c r="H322">
        <v>480</v>
      </c>
      <c r="I322">
        <v>491</v>
      </c>
      <c r="L322" t="s">
        <v>1206</v>
      </c>
      <c r="M322" t="s">
        <v>31</v>
      </c>
      <c r="N322" t="s">
        <v>19</v>
      </c>
    </row>
    <row r="323" spans="1:14">
      <c r="A323" t="s">
        <v>1207</v>
      </c>
      <c r="B323" t="s">
        <v>1208</v>
      </c>
      <c r="C323">
        <v>2012</v>
      </c>
      <c r="D323" t="s">
        <v>55</v>
      </c>
      <c r="E323" t="s">
        <v>1209</v>
      </c>
      <c r="H323">
        <v>134</v>
      </c>
      <c r="I323">
        <v>143</v>
      </c>
      <c r="L323" t="s">
        <v>1210</v>
      </c>
      <c r="M323" t="s">
        <v>31</v>
      </c>
      <c r="N323" t="s">
        <v>19</v>
      </c>
    </row>
    <row r="324" spans="1:14">
      <c r="A324" t="s">
        <v>1211</v>
      </c>
      <c r="B324" t="s">
        <v>1212</v>
      </c>
      <c r="C324">
        <v>2012</v>
      </c>
      <c r="D324" t="s">
        <v>1213</v>
      </c>
      <c r="H324">
        <v>37</v>
      </c>
      <c r="I324">
        <v>54</v>
      </c>
      <c r="L324" t="s">
        <v>1214</v>
      </c>
      <c r="M324" t="s">
        <v>31</v>
      </c>
      <c r="N324" t="s">
        <v>19</v>
      </c>
    </row>
    <row r="325" spans="1:14">
      <c r="A325" t="s">
        <v>230</v>
      </c>
      <c r="B325" t="s">
        <v>1215</v>
      </c>
      <c r="C325">
        <v>2012</v>
      </c>
      <c r="D325" t="s">
        <v>213</v>
      </c>
      <c r="L325" t="s">
        <v>1216</v>
      </c>
      <c r="M325" t="s">
        <v>233</v>
      </c>
      <c r="N325" t="s">
        <v>19</v>
      </c>
    </row>
    <row r="326" spans="1:14">
      <c r="A326" t="s">
        <v>1217</v>
      </c>
      <c r="B326" t="s">
        <v>1218</v>
      </c>
      <c r="C326">
        <v>2012</v>
      </c>
      <c r="D326" t="s">
        <v>1219</v>
      </c>
      <c r="H326">
        <v>1</v>
      </c>
      <c r="I326">
        <v>14</v>
      </c>
      <c r="L326" t="s">
        <v>1220</v>
      </c>
      <c r="M326" t="s">
        <v>52</v>
      </c>
      <c r="N326" t="s">
        <v>19</v>
      </c>
    </row>
    <row r="327" spans="1:14">
      <c r="A327" t="s">
        <v>974</v>
      </c>
      <c r="B327" t="s">
        <v>1221</v>
      </c>
      <c r="C327">
        <v>2012</v>
      </c>
      <c r="D327" t="s">
        <v>1222</v>
      </c>
      <c r="G327">
        <v>6206756</v>
      </c>
      <c r="H327">
        <v>22</v>
      </c>
      <c r="I327">
        <v>27</v>
      </c>
      <c r="L327" t="s">
        <v>1223</v>
      </c>
      <c r="M327" t="s">
        <v>31</v>
      </c>
      <c r="N327" t="s">
        <v>19</v>
      </c>
    </row>
    <row r="328" spans="1:14">
      <c r="A328" t="s">
        <v>1224</v>
      </c>
      <c r="B328" t="s">
        <v>1225</v>
      </c>
      <c r="C328">
        <v>2012</v>
      </c>
      <c r="D328" t="s">
        <v>1226</v>
      </c>
      <c r="E328">
        <v>4</v>
      </c>
      <c r="F328">
        <v>3</v>
      </c>
      <c r="H328">
        <v>46</v>
      </c>
      <c r="I328">
        <v>58</v>
      </c>
      <c r="L328" t="s">
        <v>1227</v>
      </c>
      <c r="M328" t="s">
        <v>18</v>
      </c>
      <c r="N328" t="s">
        <v>19</v>
      </c>
    </row>
    <row r="329" spans="1:14">
      <c r="A329" t="s">
        <v>1228</v>
      </c>
      <c r="B329" t="s">
        <v>1229</v>
      </c>
      <c r="C329">
        <v>2012</v>
      </c>
      <c r="D329" t="s">
        <v>1230</v>
      </c>
      <c r="E329">
        <v>59</v>
      </c>
      <c r="F329">
        <v>2</v>
      </c>
      <c r="H329">
        <v>601</v>
      </c>
      <c r="I329">
        <v>627</v>
      </c>
      <c r="L329" t="s">
        <v>1231</v>
      </c>
      <c r="M329" t="s">
        <v>31</v>
      </c>
      <c r="N329" t="s">
        <v>19</v>
      </c>
    </row>
    <row r="330" spans="1:14">
      <c r="A330" t="s">
        <v>1232</v>
      </c>
      <c r="B330" t="s">
        <v>1233</v>
      </c>
      <c r="C330">
        <v>2012</v>
      </c>
      <c r="D330" t="s">
        <v>65</v>
      </c>
      <c r="E330">
        <v>6</v>
      </c>
      <c r="F330">
        <v>13</v>
      </c>
      <c r="H330">
        <v>305</v>
      </c>
      <c r="I330">
        <v>313</v>
      </c>
      <c r="K330">
        <v>3</v>
      </c>
      <c r="L330" t="s">
        <v>1234</v>
      </c>
      <c r="M330" t="s">
        <v>18</v>
      </c>
      <c r="N330" t="s">
        <v>19</v>
      </c>
    </row>
    <row r="331" spans="1:14">
      <c r="A331" t="s">
        <v>1235</v>
      </c>
      <c r="B331" t="s">
        <v>1236</v>
      </c>
      <c r="C331">
        <v>2012</v>
      </c>
      <c r="D331" t="s">
        <v>1237</v>
      </c>
      <c r="E331">
        <v>11</v>
      </c>
      <c r="F331">
        <v>1</v>
      </c>
      <c r="H331">
        <v>62</v>
      </c>
      <c r="I331">
        <v>76</v>
      </c>
      <c r="L331" t="s">
        <v>1238</v>
      </c>
      <c r="M331" t="s">
        <v>18</v>
      </c>
      <c r="N331" t="s">
        <v>19</v>
      </c>
    </row>
    <row r="332" spans="1:14">
      <c r="A332" t="s">
        <v>1239</v>
      </c>
      <c r="B332" t="s">
        <v>1240</v>
      </c>
      <c r="C332">
        <v>2012</v>
      </c>
      <c r="D332" t="s">
        <v>1241</v>
      </c>
      <c r="E332">
        <v>40</v>
      </c>
      <c r="F332">
        <v>7</v>
      </c>
      <c r="H332">
        <v>1339</v>
      </c>
      <c r="I332">
        <v>1344</v>
      </c>
      <c r="L332" t="s">
        <v>1242</v>
      </c>
      <c r="M332" t="s">
        <v>18</v>
      </c>
      <c r="N332" t="s">
        <v>19</v>
      </c>
    </row>
    <row r="333" spans="1:14">
      <c r="A333" t="s">
        <v>1243</v>
      </c>
      <c r="B333" t="s">
        <v>1244</v>
      </c>
      <c r="C333">
        <v>2012</v>
      </c>
      <c r="D333" t="s">
        <v>1245</v>
      </c>
      <c r="E333">
        <v>35</v>
      </c>
      <c r="F333">
        <v>4</v>
      </c>
      <c r="H333">
        <v>1210</v>
      </c>
      <c r="I333">
        <v>1217</v>
      </c>
      <c r="K333">
        <v>3</v>
      </c>
      <c r="L333" t="s">
        <v>1246</v>
      </c>
      <c r="M333" t="s">
        <v>18</v>
      </c>
      <c r="N333" t="s">
        <v>19</v>
      </c>
    </row>
    <row r="334" spans="1:14">
      <c r="A334" t="s">
        <v>1247</v>
      </c>
      <c r="B334" t="s">
        <v>1248</v>
      </c>
      <c r="C334">
        <v>2012</v>
      </c>
      <c r="D334" t="s">
        <v>1249</v>
      </c>
      <c r="E334">
        <v>26</v>
      </c>
      <c r="F334">
        <v>3</v>
      </c>
      <c r="H334">
        <v>157</v>
      </c>
      <c r="I334">
        <v>171</v>
      </c>
      <c r="L334" t="s">
        <v>1250</v>
      </c>
      <c r="M334" t="s">
        <v>18</v>
      </c>
      <c r="N334" t="s">
        <v>19</v>
      </c>
    </row>
    <row r="335" spans="1:14">
      <c r="A335" t="s">
        <v>1251</v>
      </c>
      <c r="B335" t="s">
        <v>1252</v>
      </c>
      <c r="C335">
        <v>2012</v>
      </c>
      <c r="D335" t="s">
        <v>1253</v>
      </c>
      <c r="E335">
        <v>48</v>
      </c>
      <c r="F335">
        <v>4</v>
      </c>
      <c r="H335">
        <v>671</v>
      </c>
      <c r="I335">
        <v>679</v>
      </c>
      <c r="L335" t="s">
        <v>1254</v>
      </c>
      <c r="M335" t="s">
        <v>624</v>
      </c>
      <c r="N335" t="s">
        <v>19</v>
      </c>
    </row>
    <row r="336" spans="1:14">
      <c r="A336" t="s">
        <v>1255</v>
      </c>
      <c r="B336" t="s">
        <v>1256</v>
      </c>
      <c r="C336">
        <v>2012</v>
      </c>
      <c r="D336" t="s">
        <v>1257</v>
      </c>
      <c r="E336">
        <v>30</v>
      </c>
      <c r="F336">
        <v>5</v>
      </c>
      <c r="H336">
        <v>554</v>
      </c>
      <c r="I336">
        <v>566</v>
      </c>
      <c r="L336" t="s">
        <v>1258</v>
      </c>
      <c r="M336" t="s">
        <v>18</v>
      </c>
      <c r="N336" t="s">
        <v>19</v>
      </c>
    </row>
    <row r="337" spans="1:14">
      <c r="A337" t="s">
        <v>1259</v>
      </c>
      <c r="B337" t="s">
        <v>1260</v>
      </c>
      <c r="C337">
        <v>2012</v>
      </c>
      <c r="D337" t="s">
        <v>1261</v>
      </c>
      <c r="E337">
        <v>8</v>
      </c>
      <c r="F337" t="s">
        <v>1262</v>
      </c>
      <c r="H337">
        <v>5411</v>
      </c>
      <c r="I337">
        <v>5424</v>
      </c>
      <c r="L337" t="s">
        <v>1263</v>
      </c>
      <c r="M337" t="s">
        <v>18</v>
      </c>
      <c r="N337" t="s">
        <v>19</v>
      </c>
    </row>
    <row r="338" spans="1:14">
      <c r="A338" t="s">
        <v>1264</v>
      </c>
      <c r="B338" t="s">
        <v>1265</v>
      </c>
      <c r="C338">
        <v>2012</v>
      </c>
      <c r="D338" t="s">
        <v>1266</v>
      </c>
      <c r="E338">
        <v>6</v>
      </c>
      <c r="F338">
        <v>2</v>
      </c>
      <c r="G338">
        <v>7</v>
      </c>
      <c r="L338" t="s">
        <v>1267</v>
      </c>
      <c r="M338" t="s">
        <v>18</v>
      </c>
      <c r="N338" t="s">
        <v>19</v>
      </c>
    </row>
    <row r="339" spans="1:14">
      <c r="A339" t="s">
        <v>1268</v>
      </c>
      <c r="B339" t="s">
        <v>1269</v>
      </c>
      <c r="C339">
        <v>2012</v>
      </c>
      <c r="D339" t="s">
        <v>1270</v>
      </c>
      <c r="E339">
        <v>16</v>
      </c>
      <c r="F339">
        <v>4</v>
      </c>
      <c r="H339">
        <v>576</v>
      </c>
      <c r="I339">
        <v>591</v>
      </c>
      <c r="L339" t="s">
        <v>1271</v>
      </c>
      <c r="M339" t="s">
        <v>18</v>
      </c>
      <c r="N339" t="s">
        <v>19</v>
      </c>
    </row>
    <row r="340" spans="1:14">
      <c r="A340" t="s">
        <v>1272</v>
      </c>
      <c r="B340" t="s">
        <v>1273</v>
      </c>
      <c r="C340">
        <v>2012</v>
      </c>
      <c r="D340" t="s">
        <v>1274</v>
      </c>
      <c r="G340">
        <v>6208940</v>
      </c>
      <c r="H340">
        <v>113</v>
      </c>
      <c r="I340">
        <v>117</v>
      </c>
      <c r="L340" t="s">
        <v>1275</v>
      </c>
      <c r="M340" t="s">
        <v>31</v>
      </c>
      <c r="N340" t="s">
        <v>19</v>
      </c>
    </row>
    <row r="341" spans="1:14">
      <c r="A341" t="s">
        <v>1276</v>
      </c>
      <c r="B341" t="s">
        <v>1277</v>
      </c>
      <c r="C341">
        <v>2012</v>
      </c>
      <c r="D341" t="s">
        <v>1278</v>
      </c>
      <c r="E341">
        <v>18</v>
      </c>
      <c r="F341">
        <v>4</v>
      </c>
      <c r="H341">
        <v>487</v>
      </c>
      <c r="I341">
        <v>506</v>
      </c>
      <c r="L341" t="s">
        <v>1279</v>
      </c>
      <c r="M341" t="s">
        <v>18</v>
      </c>
      <c r="N341" t="s">
        <v>19</v>
      </c>
    </row>
    <row r="342" spans="1:14">
      <c r="A342" t="s">
        <v>1280</v>
      </c>
      <c r="B342" t="s">
        <v>1281</v>
      </c>
      <c r="C342">
        <v>2012</v>
      </c>
      <c r="D342" t="s">
        <v>55</v>
      </c>
      <c r="E342" t="s">
        <v>1282</v>
      </c>
      <c r="H342">
        <v>411</v>
      </c>
      <c r="I342">
        <v>416</v>
      </c>
      <c r="L342" t="s">
        <v>1283</v>
      </c>
      <c r="M342" t="s">
        <v>31</v>
      </c>
      <c r="N342" t="s">
        <v>19</v>
      </c>
    </row>
    <row r="343" spans="1:14">
      <c r="A343" t="s">
        <v>1284</v>
      </c>
      <c r="B343" t="s">
        <v>1285</v>
      </c>
      <c r="C343">
        <v>2012</v>
      </c>
      <c r="D343" t="s">
        <v>1286</v>
      </c>
      <c r="H343">
        <v>799</v>
      </c>
      <c r="I343">
        <v>802</v>
      </c>
      <c r="L343" t="s">
        <v>1287</v>
      </c>
      <c r="M343" t="s">
        <v>31</v>
      </c>
      <c r="N343" t="s">
        <v>19</v>
      </c>
    </row>
    <row r="344" spans="1:14">
      <c r="A344" t="s">
        <v>1288</v>
      </c>
      <c r="B344" t="s">
        <v>1289</v>
      </c>
      <c r="C344">
        <v>2012</v>
      </c>
      <c r="D344" t="s">
        <v>16</v>
      </c>
      <c r="E344">
        <v>39</v>
      </c>
      <c r="F344">
        <v>8</v>
      </c>
      <c r="H344">
        <v>6955</v>
      </c>
      <c r="I344">
        <v>6966</v>
      </c>
      <c r="K344">
        <v>1</v>
      </c>
      <c r="L344" t="s">
        <v>1290</v>
      </c>
      <c r="M344" t="s">
        <v>18</v>
      </c>
      <c r="N344" t="s">
        <v>19</v>
      </c>
    </row>
    <row r="345" spans="1:14">
      <c r="A345" t="s">
        <v>1291</v>
      </c>
      <c r="B345" t="s">
        <v>1292</v>
      </c>
      <c r="C345">
        <v>2012</v>
      </c>
      <c r="D345" t="s">
        <v>16</v>
      </c>
      <c r="E345">
        <v>39</v>
      </c>
      <c r="F345">
        <v>8</v>
      </c>
      <c r="H345">
        <v>7403</v>
      </c>
      <c r="I345">
        <v>7410</v>
      </c>
      <c r="L345" t="s">
        <v>1293</v>
      </c>
      <c r="M345" t="s">
        <v>18</v>
      </c>
      <c r="N345" t="s">
        <v>19</v>
      </c>
    </row>
    <row r="346" spans="1:14">
      <c r="A346" t="s">
        <v>1294</v>
      </c>
      <c r="B346" t="s">
        <v>1295</v>
      </c>
      <c r="C346">
        <v>2012</v>
      </c>
      <c r="D346" t="s">
        <v>1296</v>
      </c>
      <c r="E346">
        <v>55</v>
      </c>
      <c r="F346">
        <v>3</v>
      </c>
      <c r="G346">
        <v>6212489</v>
      </c>
      <c r="H346">
        <v>239</v>
      </c>
      <c r="I346">
        <v>253</v>
      </c>
      <c r="L346" t="s">
        <v>1297</v>
      </c>
      <c r="M346" t="s">
        <v>18</v>
      </c>
      <c r="N346" t="s">
        <v>19</v>
      </c>
    </row>
    <row r="347" spans="1:14">
      <c r="A347" t="s">
        <v>892</v>
      </c>
      <c r="B347" t="s">
        <v>1298</v>
      </c>
      <c r="C347">
        <v>2012</v>
      </c>
      <c r="D347" t="s">
        <v>1299</v>
      </c>
      <c r="E347" t="s">
        <v>1300</v>
      </c>
      <c r="H347">
        <v>2001</v>
      </c>
      <c r="I347">
        <v>2005</v>
      </c>
      <c r="L347" t="s">
        <v>1301</v>
      </c>
      <c r="M347" t="s">
        <v>31</v>
      </c>
      <c r="N347" t="s">
        <v>19</v>
      </c>
    </row>
    <row r="348" spans="1:14">
      <c r="A348" t="s">
        <v>1302</v>
      </c>
      <c r="B348" t="s">
        <v>1303</v>
      </c>
      <c r="C348">
        <v>2012</v>
      </c>
      <c r="D348" t="s">
        <v>1299</v>
      </c>
      <c r="E348" t="s">
        <v>1300</v>
      </c>
      <c r="H348">
        <v>2725</v>
      </c>
      <c r="I348">
        <v>2728</v>
      </c>
      <c r="L348" t="s">
        <v>1304</v>
      </c>
      <c r="M348" t="s">
        <v>31</v>
      </c>
      <c r="N348" t="s">
        <v>19</v>
      </c>
    </row>
    <row r="349" spans="1:14">
      <c r="A349" t="s">
        <v>1305</v>
      </c>
      <c r="B349" t="s">
        <v>1306</v>
      </c>
      <c r="C349">
        <v>2012</v>
      </c>
      <c r="D349" t="s">
        <v>676</v>
      </c>
      <c r="E349">
        <v>18</v>
      </c>
      <c r="F349">
        <v>9</v>
      </c>
      <c r="G349">
        <v>6065732</v>
      </c>
      <c r="H349">
        <v>1496</v>
      </c>
      <c r="I349">
        <v>1510</v>
      </c>
      <c r="L349" t="s">
        <v>1307</v>
      </c>
      <c r="M349" t="s">
        <v>18</v>
      </c>
      <c r="N349" t="s">
        <v>19</v>
      </c>
    </row>
    <row r="350" spans="1:14">
      <c r="A350" t="s">
        <v>1308</v>
      </c>
      <c r="B350" t="s">
        <v>1309</v>
      </c>
      <c r="C350">
        <v>2012</v>
      </c>
      <c r="D350" t="s">
        <v>327</v>
      </c>
      <c r="E350">
        <v>4</v>
      </c>
      <c r="F350">
        <v>11</v>
      </c>
      <c r="H350">
        <v>201</v>
      </c>
      <c r="I350">
        <v>209</v>
      </c>
      <c r="K350">
        <v>1</v>
      </c>
      <c r="L350" t="s">
        <v>1310</v>
      </c>
      <c r="M350" t="s">
        <v>18</v>
      </c>
      <c r="N350" t="s">
        <v>19</v>
      </c>
    </row>
    <row r="351" spans="1:14">
      <c r="A351" t="s">
        <v>1311</v>
      </c>
      <c r="B351" t="s">
        <v>1312</v>
      </c>
      <c r="C351">
        <v>2012</v>
      </c>
      <c r="D351" t="s">
        <v>327</v>
      </c>
      <c r="E351">
        <v>4</v>
      </c>
      <c r="F351">
        <v>11</v>
      </c>
      <c r="H351">
        <v>385</v>
      </c>
      <c r="I351">
        <v>392</v>
      </c>
      <c r="K351">
        <v>2</v>
      </c>
      <c r="L351" t="s">
        <v>1313</v>
      </c>
      <c r="M351" t="s">
        <v>18</v>
      </c>
      <c r="N351" t="s">
        <v>19</v>
      </c>
    </row>
    <row r="352" spans="1:14">
      <c r="A352" t="s">
        <v>1314</v>
      </c>
      <c r="B352" t="s">
        <v>1315</v>
      </c>
      <c r="C352">
        <v>2012</v>
      </c>
      <c r="D352" t="s">
        <v>642</v>
      </c>
      <c r="E352">
        <v>8</v>
      </c>
      <c r="F352">
        <v>11</v>
      </c>
      <c r="H352">
        <v>4513</v>
      </c>
      <c r="I352">
        <v>4520</v>
      </c>
      <c r="L352" t="s">
        <v>1316</v>
      </c>
      <c r="M352" t="s">
        <v>18</v>
      </c>
      <c r="N352" t="s">
        <v>19</v>
      </c>
    </row>
    <row r="353" spans="1:14">
      <c r="A353" t="s">
        <v>1317</v>
      </c>
      <c r="B353" t="s">
        <v>1318</v>
      </c>
      <c r="C353">
        <v>2012</v>
      </c>
      <c r="D353" t="s">
        <v>1319</v>
      </c>
      <c r="E353">
        <v>5</v>
      </c>
      <c r="F353">
        <v>3</v>
      </c>
      <c r="H353">
        <v>582</v>
      </c>
      <c r="I353">
        <v>596</v>
      </c>
      <c r="L353" t="s">
        <v>1320</v>
      </c>
      <c r="M353" t="s">
        <v>18</v>
      </c>
      <c r="N353" t="s">
        <v>19</v>
      </c>
    </row>
    <row r="354" spans="1:14">
      <c r="A354" t="s">
        <v>1321</v>
      </c>
      <c r="B354" t="s">
        <v>1322</v>
      </c>
      <c r="C354">
        <v>2012</v>
      </c>
      <c r="D354" t="s">
        <v>1323</v>
      </c>
      <c r="E354">
        <v>32</v>
      </c>
      <c r="F354">
        <v>3</v>
      </c>
      <c r="H354">
        <v>271</v>
      </c>
      <c r="I354">
        <v>281</v>
      </c>
      <c r="K354">
        <v>1</v>
      </c>
      <c r="L354" t="s">
        <v>1324</v>
      </c>
      <c r="M354" t="s">
        <v>18</v>
      </c>
      <c r="N354" t="s">
        <v>19</v>
      </c>
    </row>
    <row r="355" spans="1:14">
      <c r="A355" t="s">
        <v>1325</v>
      </c>
      <c r="B355" t="s">
        <v>1326</v>
      </c>
      <c r="C355">
        <v>2012</v>
      </c>
      <c r="D355" t="s">
        <v>1327</v>
      </c>
      <c r="E355">
        <v>16</v>
      </c>
      <c r="F355">
        <v>2</v>
      </c>
      <c r="H355">
        <v>230</v>
      </c>
      <c r="I355">
        <v>239</v>
      </c>
      <c r="K355">
        <v>1</v>
      </c>
      <c r="L355" t="s">
        <v>1328</v>
      </c>
      <c r="M355" t="s">
        <v>18</v>
      </c>
      <c r="N355" t="s">
        <v>19</v>
      </c>
    </row>
    <row r="356" spans="1:14">
      <c r="A356" t="s">
        <v>1329</v>
      </c>
      <c r="B356" t="s">
        <v>1330</v>
      </c>
      <c r="C356">
        <v>2012</v>
      </c>
      <c r="D356" t="s">
        <v>1331</v>
      </c>
      <c r="E356">
        <v>32</v>
      </c>
      <c r="F356">
        <v>6</v>
      </c>
      <c r="H356">
        <v>380</v>
      </c>
      <c r="I356">
        <v>399</v>
      </c>
      <c r="L356" t="s">
        <v>1332</v>
      </c>
      <c r="M356" t="s">
        <v>18</v>
      </c>
      <c r="N356" t="s">
        <v>19</v>
      </c>
    </row>
    <row r="357" spans="1:14">
      <c r="A357" t="s">
        <v>1333</v>
      </c>
      <c r="B357" t="s">
        <v>1334</v>
      </c>
      <c r="C357">
        <v>2012</v>
      </c>
      <c r="D357" t="s">
        <v>1335</v>
      </c>
      <c r="E357">
        <v>22</v>
      </c>
      <c r="F357">
        <v>3</v>
      </c>
      <c r="H357">
        <v>275</v>
      </c>
      <c r="I357">
        <v>297</v>
      </c>
      <c r="L357" t="s">
        <v>1336</v>
      </c>
      <c r="M357" t="s">
        <v>18</v>
      </c>
      <c r="N357" t="s">
        <v>19</v>
      </c>
    </row>
    <row r="358" spans="1:14">
      <c r="A358" t="s">
        <v>1337</v>
      </c>
      <c r="B358" t="s">
        <v>1338</v>
      </c>
      <c r="C358">
        <v>2012</v>
      </c>
      <c r="D358" t="s">
        <v>108</v>
      </c>
      <c r="E358">
        <v>53</v>
      </c>
      <c r="F358">
        <v>3</v>
      </c>
      <c r="H358">
        <v>526</v>
      </c>
      <c r="I358">
        <v>533</v>
      </c>
      <c r="K358">
        <v>1</v>
      </c>
      <c r="L358" t="s">
        <v>1339</v>
      </c>
      <c r="M358" t="s">
        <v>18</v>
      </c>
      <c r="N358" t="s">
        <v>19</v>
      </c>
    </row>
    <row r="359" spans="1:14">
      <c r="A359" t="s">
        <v>1340</v>
      </c>
      <c r="B359" t="s">
        <v>1341</v>
      </c>
      <c r="C359">
        <v>2012</v>
      </c>
      <c r="D359" t="s">
        <v>1097</v>
      </c>
      <c r="E359">
        <v>5</v>
      </c>
      <c r="F359">
        <v>3</v>
      </c>
      <c r="H359">
        <v>235</v>
      </c>
      <c r="I359">
        <v>242</v>
      </c>
      <c r="K359">
        <v>1</v>
      </c>
      <c r="L359" t="s">
        <v>1342</v>
      </c>
      <c r="M359" t="s">
        <v>18</v>
      </c>
      <c r="N359" t="s">
        <v>19</v>
      </c>
    </row>
    <row r="360" spans="1:14">
      <c r="A360" t="s">
        <v>1343</v>
      </c>
      <c r="B360" t="s">
        <v>1344</v>
      </c>
      <c r="C360">
        <v>2012</v>
      </c>
      <c r="D360" t="s">
        <v>1345</v>
      </c>
      <c r="E360">
        <v>4</v>
      </c>
      <c r="F360">
        <v>3</v>
      </c>
      <c r="H360">
        <v>113</v>
      </c>
      <c r="I360">
        <v>126</v>
      </c>
      <c r="L360" t="s">
        <v>1346</v>
      </c>
      <c r="M360" t="s">
        <v>18</v>
      </c>
      <c r="N360" t="s">
        <v>19</v>
      </c>
    </row>
    <row r="361" spans="1:14">
      <c r="A361" t="s">
        <v>1347</v>
      </c>
      <c r="B361" t="s">
        <v>1348</v>
      </c>
      <c r="C361">
        <v>2012</v>
      </c>
      <c r="D361" t="s">
        <v>1349</v>
      </c>
      <c r="E361">
        <v>22</v>
      </c>
      <c r="F361">
        <v>4</v>
      </c>
      <c r="H361">
        <v>525</v>
      </c>
      <c r="I361">
        <v>548</v>
      </c>
      <c r="L361" t="s">
        <v>1350</v>
      </c>
      <c r="M361" t="s">
        <v>18</v>
      </c>
      <c r="N361" t="s">
        <v>19</v>
      </c>
    </row>
    <row r="362" spans="1:14">
      <c r="A362" t="s">
        <v>1351</v>
      </c>
      <c r="B362" t="s">
        <v>1352</v>
      </c>
      <c r="C362">
        <v>2012</v>
      </c>
      <c r="D362" t="s">
        <v>156</v>
      </c>
      <c r="E362">
        <v>64</v>
      </c>
      <c r="F362">
        <v>4</v>
      </c>
      <c r="H362">
        <v>332</v>
      </c>
      <c r="I362">
        <v>357</v>
      </c>
      <c r="L362" t="s">
        <v>1353</v>
      </c>
      <c r="M362" t="s">
        <v>18</v>
      </c>
      <c r="N362" t="s">
        <v>19</v>
      </c>
    </row>
    <row r="363" spans="1:14">
      <c r="A363" t="s">
        <v>1354</v>
      </c>
      <c r="B363" t="s">
        <v>1355</v>
      </c>
      <c r="C363">
        <v>2012</v>
      </c>
      <c r="D363" t="s">
        <v>55</v>
      </c>
      <c r="E363" t="s">
        <v>1356</v>
      </c>
      <c r="F363" t="s">
        <v>228</v>
      </c>
      <c r="H363">
        <v>493</v>
      </c>
      <c r="I363">
        <v>504</v>
      </c>
      <c r="L363" t="s">
        <v>1357</v>
      </c>
      <c r="M363" t="s">
        <v>31</v>
      </c>
      <c r="N363" t="s">
        <v>19</v>
      </c>
    </row>
    <row r="364" spans="1:14">
      <c r="A364" t="s">
        <v>1358</v>
      </c>
      <c r="B364" t="s">
        <v>1359</v>
      </c>
      <c r="C364">
        <v>2012</v>
      </c>
      <c r="D364" t="s">
        <v>55</v>
      </c>
      <c r="E364" t="s">
        <v>1356</v>
      </c>
      <c r="F364" t="s">
        <v>940</v>
      </c>
      <c r="H364">
        <v>121</v>
      </c>
      <c r="I364">
        <v>132</v>
      </c>
      <c r="L364" t="s">
        <v>1360</v>
      </c>
      <c r="M364" t="s">
        <v>31</v>
      </c>
      <c r="N364" t="s">
        <v>19</v>
      </c>
    </row>
    <row r="365" spans="1:14">
      <c r="A365" t="s">
        <v>1361</v>
      </c>
      <c r="B365" t="s">
        <v>1362</v>
      </c>
      <c r="C365">
        <v>2012</v>
      </c>
      <c r="D365" t="s">
        <v>1363</v>
      </c>
      <c r="H365">
        <v>3081</v>
      </c>
      <c r="I365">
        <v>3090</v>
      </c>
      <c r="L365" t="s">
        <v>1364</v>
      </c>
      <c r="M365" t="s">
        <v>31</v>
      </c>
      <c r="N365" t="s">
        <v>19</v>
      </c>
    </row>
    <row r="366" spans="1:14">
      <c r="A366" t="s">
        <v>1365</v>
      </c>
      <c r="B366" t="s">
        <v>1366</v>
      </c>
      <c r="C366">
        <v>2012</v>
      </c>
      <c r="D366" t="s">
        <v>1367</v>
      </c>
      <c r="H366">
        <v>1121</v>
      </c>
      <c r="I366">
        <v>1129</v>
      </c>
      <c r="L366" t="s">
        <v>1368</v>
      </c>
      <c r="M366" t="s">
        <v>31</v>
      </c>
      <c r="N366" t="s">
        <v>19</v>
      </c>
    </row>
    <row r="367" spans="1:14">
      <c r="A367" t="s">
        <v>1369</v>
      </c>
      <c r="B367" t="s">
        <v>1370</v>
      </c>
      <c r="C367">
        <v>2012</v>
      </c>
      <c r="D367" t="s">
        <v>1367</v>
      </c>
      <c r="H367">
        <v>531</v>
      </c>
      <c r="I367">
        <v>532</v>
      </c>
      <c r="K367">
        <v>1</v>
      </c>
      <c r="L367" t="s">
        <v>1371</v>
      </c>
      <c r="M367" t="s">
        <v>31</v>
      </c>
      <c r="N367" t="s">
        <v>19</v>
      </c>
    </row>
    <row r="368" spans="1:14">
      <c r="A368" t="s">
        <v>1372</v>
      </c>
      <c r="B368" t="s">
        <v>1373</v>
      </c>
      <c r="C368">
        <v>2012</v>
      </c>
      <c r="D368" t="s">
        <v>1367</v>
      </c>
      <c r="H368">
        <v>1233</v>
      </c>
      <c r="I368">
        <v>1239</v>
      </c>
      <c r="L368" t="s">
        <v>1374</v>
      </c>
      <c r="M368" t="s">
        <v>31</v>
      </c>
      <c r="N368" t="s">
        <v>19</v>
      </c>
    </row>
    <row r="369" spans="1:14">
      <c r="A369" t="s">
        <v>1375</v>
      </c>
      <c r="B369" t="s">
        <v>1376</v>
      </c>
      <c r="C369">
        <v>2012</v>
      </c>
      <c r="D369" t="s">
        <v>1367</v>
      </c>
      <c r="H369">
        <v>837</v>
      </c>
      <c r="I369">
        <v>839</v>
      </c>
      <c r="L369" t="s">
        <v>1377</v>
      </c>
      <c r="M369" t="s">
        <v>31</v>
      </c>
      <c r="N369" t="s">
        <v>19</v>
      </c>
    </row>
    <row r="370" spans="1:14">
      <c r="A370" t="s">
        <v>398</v>
      </c>
      <c r="B370" t="s">
        <v>1378</v>
      </c>
      <c r="C370">
        <v>2012</v>
      </c>
      <c r="D370" t="s">
        <v>1367</v>
      </c>
      <c r="H370">
        <v>507</v>
      </c>
      <c r="I370">
        <v>508</v>
      </c>
      <c r="L370" t="s">
        <v>1379</v>
      </c>
      <c r="M370" t="s">
        <v>31</v>
      </c>
      <c r="N370" t="s">
        <v>19</v>
      </c>
    </row>
    <row r="371" spans="1:14">
      <c r="A371" t="s">
        <v>1380</v>
      </c>
      <c r="B371" t="s">
        <v>1381</v>
      </c>
      <c r="C371">
        <v>2012</v>
      </c>
      <c r="D371" t="s">
        <v>1382</v>
      </c>
      <c r="G371">
        <v>6173317</v>
      </c>
      <c r="H371">
        <v>760</v>
      </c>
      <c r="I371">
        <v>763</v>
      </c>
      <c r="L371" t="s">
        <v>1383</v>
      </c>
      <c r="M371" t="s">
        <v>31</v>
      </c>
      <c r="N371" t="s">
        <v>19</v>
      </c>
    </row>
    <row r="372" spans="1:14">
      <c r="A372" t="s">
        <v>1384</v>
      </c>
      <c r="B372" t="s">
        <v>1385</v>
      </c>
      <c r="C372">
        <v>2012</v>
      </c>
      <c r="D372" t="s">
        <v>1386</v>
      </c>
      <c r="E372">
        <v>12</v>
      </c>
      <c r="F372">
        <v>1</v>
      </c>
      <c r="G372">
        <v>118</v>
      </c>
      <c r="L372" t="s">
        <v>1387</v>
      </c>
      <c r="M372" t="s">
        <v>18</v>
      </c>
      <c r="N372" t="s">
        <v>19</v>
      </c>
    </row>
    <row r="373" spans="1:14">
      <c r="A373" t="s">
        <v>1388</v>
      </c>
      <c r="B373" t="s">
        <v>1389</v>
      </c>
      <c r="C373">
        <v>2012</v>
      </c>
      <c r="D373" t="s">
        <v>1390</v>
      </c>
      <c r="H373">
        <v>81</v>
      </c>
      <c r="I373">
        <v>90</v>
      </c>
      <c r="K373">
        <v>1</v>
      </c>
      <c r="L373" t="s">
        <v>1391</v>
      </c>
      <c r="M373" t="s">
        <v>31</v>
      </c>
      <c r="N373" t="s">
        <v>19</v>
      </c>
    </row>
    <row r="374" spans="1:14">
      <c r="A374" t="s">
        <v>1392</v>
      </c>
      <c r="B374" t="s">
        <v>1393</v>
      </c>
      <c r="C374">
        <v>2012</v>
      </c>
      <c r="D374" t="s">
        <v>1394</v>
      </c>
      <c r="G374">
        <v>6180851</v>
      </c>
      <c r="L374" t="s">
        <v>1395</v>
      </c>
      <c r="M374" t="s">
        <v>31</v>
      </c>
      <c r="N374" t="s">
        <v>19</v>
      </c>
    </row>
    <row r="375" spans="1:14">
      <c r="A375" t="s">
        <v>1169</v>
      </c>
      <c r="B375" t="s">
        <v>1396</v>
      </c>
      <c r="C375">
        <v>2012</v>
      </c>
      <c r="D375" t="s">
        <v>1397</v>
      </c>
      <c r="G375">
        <v>6184932</v>
      </c>
      <c r="H375">
        <v>655</v>
      </c>
      <c r="I375">
        <v>662</v>
      </c>
      <c r="L375" t="s">
        <v>1398</v>
      </c>
      <c r="M375" t="s">
        <v>31</v>
      </c>
      <c r="N375" t="s">
        <v>19</v>
      </c>
    </row>
    <row r="376" spans="1:14">
      <c r="A376" t="s">
        <v>1399</v>
      </c>
      <c r="B376" t="s">
        <v>1400</v>
      </c>
      <c r="C376">
        <v>2012</v>
      </c>
      <c r="D376" t="s">
        <v>1401</v>
      </c>
      <c r="L376" t="s">
        <v>1402</v>
      </c>
      <c r="M376" t="s">
        <v>31</v>
      </c>
      <c r="N376" t="s">
        <v>19</v>
      </c>
    </row>
    <row r="377" spans="1:14">
      <c r="A377" t="s">
        <v>1403</v>
      </c>
      <c r="B377" t="s">
        <v>1404</v>
      </c>
      <c r="C377">
        <v>2012</v>
      </c>
      <c r="D377" t="s">
        <v>213</v>
      </c>
      <c r="H377">
        <v>49</v>
      </c>
      <c r="I377">
        <v>54</v>
      </c>
      <c r="L377" t="s">
        <v>1405</v>
      </c>
      <c r="M377" t="s">
        <v>31</v>
      </c>
      <c r="N377" t="s">
        <v>19</v>
      </c>
    </row>
    <row r="378" spans="1:14">
      <c r="A378" t="s">
        <v>1406</v>
      </c>
      <c r="B378" t="s">
        <v>1407</v>
      </c>
      <c r="C378">
        <v>2012</v>
      </c>
      <c r="D378" t="s">
        <v>1408</v>
      </c>
      <c r="E378">
        <v>14</v>
      </c>
      <c r="F378">
        <v>1</v>
      </c>
      <c r="L378" t="s">
        <v>1409</v>
      </c>
      <c r="M378" t="s">
        <v>18</v>
      </c>
      <c r="N378" t="s">
        <v>19</v>
      </c>
    </row>
    <row r="379" spans="1:14">
      <c r="A379" t="s">
        <v>1410</v>
      </c>
      <c r="B379" t="s">
        <v>1411</v>
      </c>
      <c r="C379">
        <v>2012</v>
      </c>
      <c r="D379" t="s">
        <v>1412</v>
      </c>
      <c r="G379">
        <v>28</v>
      </c>
      <c r="K379">
        <v>1</v>
      </c>
      <c r="L379" t="s">
        <v>1413</v>
      </c>
      <c r="M379" t="s">
        <v>31</v>
      </c>
      <c r="N379" t="s">
        <v>19</v>
      </c>
    </row>
    <row r="380" spans="1:14">
      <c r="A380" t="s">
        <v>1414</v>
      </c>
      <c r="B380" t="s">
        <v>1415</v>
      </c>
      <c r="C380">
        <v>2012</v>
      </c>
      <c r="D380" t="s">
        <v>1416</v>
      </c>
      <c r="G380">
        <v>6178861</v>
      </c>
      <c r="H380">
        <v>139</v>
      </c>
      <c r="I380">
        <v>148</v>
      </c>
      <c r="L380" t="s">
        <v>1417</v>
      </c>
      <c r="M380" t="s">
        <v>31</v>
      </c>
      <c r="N380" t="s">
        <v>19</v>
      </c>
    </row>
    <row r="381" spans="1:14">
      <c r="A381" t="s">
        <v>1418</v>
      </c>
      <c r="B381" t="s">
        <v>1419</v>
      </c>
      <c r="C381">
        <v>2012</v>
      </c>
      <c r="D381" t="s">
        <v>1420</v>
      </c>
      <c r="E381">
        <v>10</v>
      </c>
      <c r="F381">
        <v>1</v>
      </c>
      <c r="H381">
        <v>70</v>
      </c>
      <c r="I381">
        <v>76</v>
      </c>
      <c r="L381" t="s">
        <v>1421</v>
      </c>
      <c r="M381" t="s">
        <v>624</v>
      </c>
      <c r="N381" t="s">
        <v>19</v>
      </c>
    </row>
    <row r="382" spans="1:14">
      <c r="A382" t="s">
        <v>1422</v>
      </c>
      <c r="B382" t="s">
        <v>1423</v>
      </c>
      <c r="C382">
        <v>2012</v>
      </c>
      <c r="D382" t="s">
        <v>1424</v>
      </c>
      <c r="E382">
        <v>22</v>
      </c>
      <c r="F382" s="1">
        <v>41306</v>
      </c>
      <c r="H382">
        <v>59</v>
      </c>
      <c r="I382">
        <v>72</v>
      </c>
      <c r="L382" t="s">
        <v>1425</v>
      </c>
      <c r="M382" t="s">
        <v>18</v>
      </c>
      <c r="N382" t="s">
        <v>19</v>
      </c>
    </row>
    <row r="383" spans="1:14">
      <c r="A383" t="s">
        <v>1426</v>
      </c>
      <c r="B383" t="s">
        <v>1427</v>
      </c>
      <c r="C383">
        <v>2012</v>
      </c>
      <c r="D383" t="s">
        <v>635</v>
      </c>
      <c r="E383" t="s">
        <v>636</v>
      </c>
      <c r="F383">
        <v>5</v>
      </c>
      <c r="H383">
        <v>1539</v>
      </c>
      <c r="I383">
        <v>1542</v>
      </c>
      <c r="L383" t="s">
        <v>1428</v>
      </c>
      <c r="M383" t="s">
        <v>18</v>
      </c>
      <c r="N383" t="s">
        <v>19</v>
      </c>
    </row>
    <row r="384" spans="1:14">
      <c r="A384" t="s">
        <v>1429</v>
      </c>
      <c r="B384" t="s">
        <v>1430</v>
      </c>
      <c r="C384">
        <v>2012</v>
      </c>
      <c r="D384" t="s">
        <v>1431</v>
      </c>
      <c r="E384">
        <v>9</v>
      </c>
      <c r="F384">
        <v>2</v>
      </c>
      <c r="H384">
        <v>84</v>
      </c>
      <c r="I384">
        <v>97</v>
      </c>
      <c r="K384">
        <v>1</v>
      </c>
      <c r="L384" t="s">
        <v>1432</v>
      </c>
      <c r="M384" t="s">
        <v>18</v>
      </c>
      <c r="N384" t="s">
        <v>19</v>
      </c>
    </row>
    <row r="385" spans="1:14">
      <c r="A385" t="s">
        <v>376</v>
      </c>
      <c r="B385" t="s">
        <v>1433</v>
      </c>
      <c r="C385">
        <v>2012</v>
      </c>
      <c r="D385" t="s">
        <v>132</v>
      </c>
      <c r="E385">
        <v>101</v>
      </c>
      <c r="H385">
        <v>1</v>
      </c>
      <c r="I385">
        <v>13</v>
      </c>
      <c r="K385">
        <v>1</v>
      </c>
      <c r="L385" t="s">
        <v>1434</v>
      </c>
      <c r="M385" t="s">
        <v>18</v>
      </c>
      <c r="N385" t="s">
        <v>19</v>
      </c>
    </row>
    <row r="386" spans="1:14">
      <c r="A386" t="s">
        <v>1435</v>
      </c>
      <c r="B386" t="s">
        <v>1436</v>
      </c>
      <c r="C386">
        <v>2012</v>
      </c>
      <c r="D386" t="s">
        <v>1437</v>
      </c>
      <c r="E386">
        <v>7</v>
      </c>
      <c r="F386">
        <v>3</v>
      </c>
      <c r="H386">
        <v>203</v>
      </c>
      <c r="I386">
        <v>220</v>
      </c>
      <c r="K386">
        <v>6</v>
      </c>
      <c r="L386" t="s">
        <v>1438</v>
      </c>
      <c r="M386" t="s">
        <v>18</v>
      </c>
      <c r="N386" t="s">
        <v>19</v>
      </c>
    </row>
    <row r="387" spans="1:14">
      <c r="A387" t="s">
        <v>1439</v>
      </c>
      <c r="B387" t="s">
        <v>1440</v>
      </c>
      <c r="C387">
        <v>2012</v>
      </c>
      <c r="D387" t="s">
        <v>1441</v>
      </c>
      <c r="E387">
        <v>5</v>
      </c>
      <c r="F387">
        <v>9</v>
      </c>
      <c r="H387">
        <v>800</v>
      </c>
      <c r="I387">
        <v>811</v>
      </c>
      <c r="L387" t="s">
        <v>1442</v>
      </c>
      <c r="M387" t="s">
        <v>18</v>
      </c>
      <c r="N387" t="s">
        <v>19</v>
      </c>
    </row>
    <row r="388" spans="1:14">
      <c r="A388" t="s">
        <v>1443</v>
      </c>
      <c r="B388" t="s">
        <v>1444</v>
      </c>
      <c r="C388">
        <v>2012</v>
      </c>
      <c r="D388" t="s">
        <v>1445</v>
      </c>
      <c r="E388">
        <v>17</v>
      </c>
      <c r="F388">
        <v>2</v>
      </c>
      <c r="L388" t="s">
        <v>1446</v>
      </c>
      <c r="M388" t="s">
        <v>18</v>
      </c>
      <c r="N388" t="s">
        <v>19</v>
      </c>
    </row>
    <row r="389" spans="1:14">
      <c r="A389" t="s">
        <v>1447</v>
      </c>
      <c r="B389" t="s">
        <v>1448</v>
      </c>
      <c r="C389">
        <v>2012</v>
      </c>
      <c r="D389" t="s">
        <v>976</v>
      </c>
      <c r="E389">
        <v>136</v>
      </c>
      <c r="H389">
        <v>623</v>
      </c>
      <c r="I389">
        <v>629</v>
      </c>
      <c r="L389" t="s">
        <v>1449</v>
      </c>
      <c r="M389" t="s">
        <v>624</v>
      </c>
      <c r="N389" t="s">
        <v>19</v>
      </c>
    </row>
    <row r="390" spans="1:14">
      <c r="A390" t="s">
        <v>1343</v>
      </c>
      <c r="B390" t="s">
        <v>1450</v>
      </c>
      <c r="C390">
        <v>2012</v>
      </c>
      <c r="D390" t="s">
        <v>1451</v>
      </c>
      <c r="H390">
        <v>1</v>
      </c>
      <c r="I390">
        <v>16</v>
      </c>
      <c r="L390" t="s">
        <v>1452</v>
      </c>
      <c r="M390" t="s">
        <v>52</v>
      </c>
      <c r="N390" t="s">
        <v>19</v>
      </c>
    </row>
    <row r="391" spans="1:14">
      <c r="A391" t="s">
        <v>1453</v>
      </c>
      <c r="B391" t="s">
        <v>1454</v>
      </c>
      <c r="C391">
        <v>2012</v>
      </c>
      <c r="D391" t="s">
        <v>1455</v>
      </c>
      <c r="E391">
        <v>38</v>
      </c>
      <c r="F391">
        <v>3</v>
      </c>
      <c r="G391">
        <v>5740931</v>
      </c>
      <c r="H391">
        <v>707</v>
      </c>
      <c r="I391">
        <v>735</v>
      </c>
      <c r="L391" t="s">
        <v>1456</v>
      </c>
      <c r="M391" t="s">
        <v>18</v>
      </c>
      <c r="N391" t="s">
        <v>19</v>
      </c>
    </row>
    <row r="392" spans="1:14">
      <c r="A392" t="s">
        <v>1457</v>
      </c>
      <c r="B392" t="s">
        <v>1458</v>
      </c>
      <c r="C392">
        <v>2012</v>
      </c>
      <c r="D392" t="s">
        <v>55</v>
      </c>
      <c r="E392" t="s">
        <v>1459</v>
      </c>
      <c r="H392">
        <v>46</v>
      </c>
      <c r="I392">
        <v>59</v>
      </c>
      <c r="L392" t="s">
        <v>1460</v>
      </c>
      <c r="M392" t="s">
        <v>31</v>
      </c>
      <c r="N392" t="s">
        <v>19</v>
      </c>
    </row>
    <row r="393" spans="1:14">
      <c r="A393" t="s">
        <v>1461</v>
      </c>
      <c r="B393" t="s">
        <v>1462</v>
      </c>
      <c r="C393">
        <v>2012</v>
      </c>
      <c r="D393" t="s">
        <v>55</v>
      </c>
      <c r="E393" t="s">
        <v>1463</v>
      </c>
      <c r="H393">
        <v>221</v>
      </c>
      <c r="I393">
        <v>238</v>
      </c>
      <c r="L393" t="s">
        <v>1464</v>
      </c>
      <c r="M393" t="s">
        <v>31</v>
      </c>
      <c r="N393" t="s">
        <v>19</v>
      </c>
    </row>
    <row r="394" spans="1:14">
      <c r="A394" t="s">
        <v>1465</v>
      </c>
      <c r="B394" t="s">
        <v>1466</v>
      </c>
      <c r="C394">
        <v>2012</v>
      </c>
      <c r="D394" t="s">
        <v>1467</v>
      </c>
      <c r="E394">
        <v>61</v>
      </c>
      <c r="F394">
        <v>1</v>
      </c>
      <c r="H394">
        <v>423</v>
      </c>
      <c r="I394">
        <v>426</v>
      </c>
      <c r="L394" t="s">
        <v>1468</v>
      </c>
      <c r="M394" t="s">
        <v>18</v>
      </c>
      <c r="N394" t="s">
        <v>19</v>
      </c>
    </row>
    <row r="395" spans="1:14">
      <c r="A395" t="s">
        <v>1469</v>
      </c>
      <c r="B395" t="s">
        <v>1470</v>
      </c>
      <c r="C395">
        <v>2012</v>
      </c>
      <c r="D395" t="s">
        <v>1471</v>
      </c>
      <c r="H395">
        <v>196</v>
      </c>
      <c r="I395">
        <v>202</v>
      </c>
      <c r="L395" t="s">
        <v>1472</v>
      </c>
      <c r="M395" t="s">
        <v>31</v>
      </c>
      <c r="N395" t="s">
        <v>19</v>
      </c>
    </row>
    <row r="396" spans="1:14">
      <c r="A396" t="s">
        <v>1473</v>
      </c>
      <c r="B396" t="s">
        <v>1474</v>
      </c>
      <c r="C396">
        <v>2012</v>
      </c>
      <c r="D396" t="s">
        <v>590</v>
      </c>
      <c r="E396" t="s">
        <v>1475</v>
      </c>
      <c r="H396">
        <v>205</v>
      </c>
      <c r="I396">
        <v>217</v>
      </c>
      <c r="L396" t="s">
        <v>1476</v>
      </c>
      <c r="M396" t="s">
        <v>31</v>
      </c>
      <c r="N396" t="s">
        <v>19</v>
      </c>
    </row>
    <row r="397" spans="1:14">
      <c r="A397" t="s">
        <v>1477</v>
      </c>
      <c r="B397" t="s">
        <v>1478</v>
      </c>
      <c r="C397">
        <v>2012</v>
      </c>
      <c r="D397" t="s">
        <v>55</v>
      </c>
      <c r="E397" t="s">
        <v>1479</v>
      </c>
      <c r="H397">
        <v>87</v>
      </c>
      <c r="I397">
        <v>96</v>
      </c>
      <c r="L397" t="s">
        <v>1480</v>
      </c>
      <c r="M397" t="s">
        <v>31</v>
      </c>
      <c r="N397" t="s">
        <v>19</v>
      </c>
    </row>
    <row r="398" spans="1:14">
      <c r="A398" t="s">
        <v>1481</v>
      </c>
      <c r="B398" t="s">
        <v>1482</v>
      </c>
      <c r="C398">
        <v>2012</v>
      </c>
      <c r="D398" t="s">
        <v>55</v>
      </c>
      <c r="E398" t="s">
        <v>1479</v>
      </c>
      <c r="H398">
        <v>214</v>
      </c>
      <c r="I398">
        <v>221</v>
      </c>
      <c r="L398" t="s">
        <v>1483</v>
      </c>
      <c r="M398" t="s">
        <v>31</v>
      </c>
      <c r="N398" t="s">
        <v>19</v>
      </c>
    </row>
    <row r="399" spans="1:14">
      <c r="A399" t="s">
        <v>1484</v>
      </c>
      <c r="B399" t="s">
        <v>1485</v>
      </c>
      <c r="C399">
        <v>2012</v>
      </c>
      <c r="D399" t="s">
        <v>55</v>
      </c>
      <c r="E399" t="s">
        <v>1479</v>
      </c>
      <c r="H399">
        <v>357</v>
      </c>
      <c r="I399">
        <v>364</v>
      </c>
      <c r="K399">
        <v>1</v>
      </c>
      <c r="L399" t="s">
        <v>1486</v>
      </c>
      <c r="M399" t="s">
        <v>31</v>
      </c>
      <c r="N399" t="s">
        <v>19</v>
      </c>
    </row>
    <row r="400" spans="1:14">
      <c r="A400" t="s">
        <v>1189</v>
      </c>
      <c r="B400" t="s">
        <v>1487</v>
      </c>
      <c r="C400">
        <v>2012</v>
      </c>
      <c r="D400" t="s">
        <v>55</v>
      </c>
      <c r="E400" t="s">
        <v>1479</v>
      </c>
      <c r="H400">
        <v>156</v>
      </c>
      <c r="I400">
        <v>163</v>
      </c>
      <c r="L400" t="s">
        <v>1488</v>
      </c>
      <c r="M400" t="s">
        <v>31</v>
      </c>
      <c r="N400" t="s">
        <v>19</v>
      </c>
    </row>
    <row r="401" spans="1:14">
      <c r="A401" t="s">
        <v>1489</v>
      </c>
      <c r="B401" t="s">
        <v>1490</v>
      </c>
      <c r="C401">
        <v>2012</v>
      </c>
      <c r="D401" t="s">
        <v>1491</v>
      </c>
      <c r="E401">
        <v>8</v>
      </c>
      <c r="F401">
        <v>2</v>
      </c>
      <c r="H401">
        <v>15</v>
      </c>
      <c r="I401">
        <v>42</v>
      </c>
      <c r="L401" t="s">
        <v>1492</v>
      </c>
      <c r="M401" t="s">
        <v>18</v>
      </c>
      <c r="N401" t="s">
        <v>19</v>
      </c>
    </row>
    <row r="402" spans="1:14">
      <c r="A402" t="s">
        <v>1493</v>
      </c>
      <c r="B402" t="s">
        <v>1494</v>
      </c>
      <c r="C402">
        <v>2012</v>
      </c>
      <c r="D402" t="s">
        <v>1495</v>
      </c>
      <c r="E402">
        <v>6</v>
      </c>
      <c r="F402">
        <v>4</v>
      </c>
      <c r="H402">
        <v>1115</v>
      </c>
      <c r="I402">
        <v>1120</v>
      </c>
      <c r="K402">
        <v>4</v>
      </c>
      <c r="L402" t="s">
        <v>1496</v>
      </c>
      <c r="M402" t="s">
        <v>18</v>
      </c>
      <c r="N402" t="s">
        <v>19</v>
      </c>
    </row>
    <row r="403" spans="1:14">
      <c r="A403" t="s">
        <v>1497</v>
      </c>
      <c r="B403" t="s">
        <v>1498</v>
      </c>
      <c r="C403">
        <v>2012</v>
      </c>
      <c r="D403" t="s">
        <v>1499</v>
      </c>
      <c r="E403">
        <v>27</v>
      </c>
      <c r="F403">
        <v>2</v>
      </c>
      <c r="H403">
        <v>226</v>
      </c>
      <c r="I403">
        <v>236</v>
      </c>
      <c r="K403">
        <v>1</v>
      </c>
      <c r="L403" t="s">
        <v>1500</v>
      </c>
      <c r="M403" t="s">
        <v>18</v>
      </c>
      <c r="N403" t="s">
        <v>19</v>
      </c>
    </row>
    <row r="404" spans="1:14">
      <c r="A404" t="s">
        <v>1501</v>
      </c>
      <c r="B404" t="s">
        <v>1502</v>
      </c>
      <c r="C404">
        <v>2012</v>
      </c>
      <c r="D404" t="s">
        <v>778</v>
      </c>
      <c r="E404">
        <v>8</v>
      </c>
      <c r="F404">
        <v>2</v>
      </c>
      <c r="H404">
        <v>136</v>
      </c>
      <c r="I404">
        <v>158</v>
      </c>
      <c r="K404">
        <v>1</v>
      </c>
      <c r="L404" t="s">
        <v>1503</v>
      </c>
      <c r="M404" t="s">
        <v>18</v>
      </c>
      <c r="N404" t="s">
        <v>19</v>
      </c>
    </row>
    <row r="405" spans="1:14">
      <c r="A405" t="s">
        <v>1504</v>
      </c>
      <c r="B405" t="s">
        <v>1505</v>
      </c>
      <c r="C405">
        <v>2012</v>
      </c>
      <c r="D405" t="s">
        <v>1506</v>
      </c>
      <c r="E405">
        <v>29</v>
      </c>
      <c r="F405">
        <v>2</v>
      </c>
      <c r="H405">
        <v>169</v>
      </c>
      <c r="I405">
        <v>181</v>
      </c>
      <c r="K405">
        <v>1</v>
      </c>
      <c r="L405" t="s">
        <v>1507</v>
      </c>
      <c r="M405" t="s">
        <v>18</v>
      </c>
      <c r="N405" t="s">
        <v>19</v>
      </c>
    </row>
    <row r="406" spans="1:14">
      <c r="A406" t="s">
        <v>1508</v>
      </c>
      <c r="B406" t="s">
        <v>1509</v>
      </c>
      <c r="C406">
        <v>2012</v>
      </c>
      <c r="D406" t="s">
        <v>778</v>
      </c>
      <c r="E406">
        <v>8</v>
      </c>
      <c r="F406">
        <v>2</v>
      </c>
      <c r="H406">
        <v>213</v>
      </c>
      <c r="I406">
        <v>222</v>
      </c>
      <c r="L406" t="s">
        <v>1510</v>
      </c>
      <c r="M406" t="s">
        <v>624</v>
      </c>
      <c r="N406" t="s">
        <v>19</v>
      </c>
    </row>
    <row r="407" spans="1:14">
      <c r="A407" t="s">
        <v>1511</v>
      </c>
      <c r="B407" t="s">
        <v>1512</v>
      </c>
      <c r="C407">
        <v>2012</v>
      </c>
      <c r="D407" t="s">
        <v>1495</v>
      </c>
      <c r="E407">
        <v>6</v>
      </c>
      <c r="F407">
        <v>4</v>
      </c>
      <c r="H407">
        <v>911</v>
      </c>
      <c r="I407">
        <v>916</v>
      </c>
      <c r="L407" t="s">
        <v>1513</v>
      </c>
      <c r="M407" t="s">
        <v>18</v>
      </c>
      <c r="N407" t="s">
        <v>19</v>
      </c>
    </row>
    <row r="408" spans="1:14">
      <c r="A408" t="s">
        <v>1514</v>
      </c>
      <c r="B408" t="s">
        <v>1515</v>
      </c>
      <c r="C408">
        <v>2012</v>
      </c>
      <c r="D408" t="s">
        <v>1219</v>
      </c>
      <c r="E408">
        <v>14</v>
      </c>
      <c r="F408">
        <v>2</v>
      </c>
      <c r="H408">
        <v>343</v>
      </c>
      <c r="I408">
        <v>361</v>
      </c>
      <c r="L408" t="s">
        <v>1516</v>
      </c>
      <c r="M408" t="s">
        <v>18</v>
      </c>
      <c r="N408" t="s">
        <v>19</v>
      </c>
    </row>
    <row r="409" spans="1:14">
      <c r="A409" t="s">
        <v>1517</v>
      </c>
      <c r="B409" t="s">
        <v>1518</v>
      </c>
      <c r="C409">
        <v>2012</v>
      </c>
      <c r="D409" t="s">
        <v>327</v>
      </c>
      <c r="E409">
        <v>4</v>
      </c>
      <c r="F409">
        <v>7</v>
      </c>
      <c r="H409">
        <v>73</v>
      </c>
      <c r="I409">
        <v>82</v>
      </c>
      <c r="K409">
        <v>6</v>
      </c>
      <c r="L409" t="s">
        <v>1519</v>
      </c>
      <c r="M409" t="s">
        <v>18</v>
      </c>
      <c r="N409" t="s">
        <v>19</v>
      </c>
    </row>
    <row r="410" spans="1:14">
      <c r="A410" t="s">
        <v>1520</v>
      </c>
      <c r="B410" t="s">
        <v>1521</v>
      </c>
      <c r="C410">
        <v>2012</v>
      </c>
      <c r="D410" t="s">
        <v>1522</v>
      </c>
      <c r="E410">
        <v>38</v>
      </c>
      <c r="F410">
        <v>4</v>
      </c>
      <c r="H410">
        <v>563</v>
      </c>
      <c r="I410">
        <v>569</v>
      </c>
      <c r="L410" t="s">
        <v>1523</v>
      </c>
      <c r="M410" t="s">
        <v>18</v>
      </c>
      <c r="N410" t="s">
        <v>19</v>
      </c>
    </row>
    <row r="411" spans="1:14">
      <c r="A411" t="s">
        <v>1524</v>
      </c>
      <c r="B411" t="s">
        <v>1525</v>
      </c>
      <c r="C411">
        <v>2012</v>
      </c>
      <c r="D411" t="s">
        <v>1526</v>
      </c>
      <c r="E411">
        <v>9</v>
      </c>
      <c r="F411">
        <v>4</v>
      </c>
      <c r="H411">
        <v>931</v>
      </c>
      <c r="I411">
        <v>943</v>
      </c>
      <c r="L411" t="s">
        <v>1527</v>
      </c>
      <c r="M411" t="s">
        <v>18</v>
      </c>
      <c r="N411" t="s">
        <v>19</v>
      </c>
    </row>
    <row r="412" spans="1:14">
      <c r="A412" t="s">
        <v>1528</v>
      </c>
      <c r="B412" t="s">
        <v>1529</v>
      </c>
      <c r="C412">
        <v>2012</v>
      </c>
      <c r="D412" t="s">
        <v>1530</v>
      </c>
      <c r="E412">
        <v>22</v>
      </c>
      <c r="F412">
        <v>2</v>
      </c>
      <c r="H412">
        <v>160</v>
      </c>
      <c r="I412">
        <v>178</v>
      </c>
      <c r="L412" t="s">
        <v>1531</v>
      </c>
      <c r="M412" t="s">
        <v>18</v>
      </c>
      <c r="N412" t="s">
        <v>19</v>
      </c>
    </row>
    <row r="413" spans="1:14">
      <c r="A413" t="s">
        <v>1532</v>
      </c>
      <c r="B413" t="s">
        <v>1533</v>
      </c>
      <c r="C413">
        <v>2012</v>
      </c>
      <c r="D413" t="s">
        <v>1534</v>
      </c>
      <c r="E413">
        <v>35</v>
      </c>
      <c r="F413">
        <v>4</v>
      </c>
      <c r="H413">
        <v>741</v>
      </c>
      <c r="I413">
        <v>753</v>
      </c>
      <c r="K413">
        <v>2</v>
      </c>
      <c r="L413" t="s">
        <v>1535</v>
      </c>
      <c r="M413" t="s">
        <v>18</v>
      </c>
      <c r="N413" t="s">
        <v>19</v>
      </c>
    </row>
    <row r="414" spans="1:14">
      <c r="A414" t="s">
        <v>1536</v>
      </c>
      <c r="B414" t="s">
        <v>1537</v>
      </c>
      <c r="C414">
        <v>2012</v>
      </c>
      <c r="D414" t="s">
        <v>1074</v>
      </c>
      <c r="E414">
        <v>7</v>
      </c>
      <c r="F414">
        <v>7</v>
      </c>
      <c r="H414">
        <v>342</v>
      </c>
      <c r="I414">
        <v>351</v>
      </c>
      <c r="K414">
        <v>7</v>
      </c>
      <c r="L414" t="s">
        <v>1538</v>
      </c>
      <c r="M414" t="s">
        <v>18</v>
      </c>
      <c r="N414" t="s">
        <v>19</v>
      </c>
    </row>
    <row r="415" spans="1:14">
      <c r="A415" t="s">
        <v>1539</v>
      </c>
      <c r="B415" t="s">
        <v>1540</v>
      </c>
      <c r="C415">
        <v>2012</v>
      </c>
      <c r="D415" t="s">
        <v>55</v>
      </c>
      <c r="E415" t="s">
        <v>1541</v>
      </c>
      <c r="F415" t="s">
        <v>228</v>
      </c>
      <c r="H415">
        <v>91</v>
      </c>
      <c r="I415">
        <v>102</v>
      </c>
      <c r="L415" t="s">
        <v>1542</v>
      </c>
      <c r="M415" t="s">
        <v>31</v>
      </c>
      <c r="N415" t="s">
        <v>19</v>
      </c>
    </row>
    <row r="416" spans="1:14">
      <c r="A416" t="s">
        <v>1543</v>
      </c>
      <c r="B416" t="s">
        <v>1544</v>
      </c>
      <c r="C416">
        <v>2012</v>
      </c>
      <c r="D416" t="s">
        <v>55</v>
      </c>
      <c r="E416" t="s">
        <v>1545</v>
      </c>
      <c r="F416" t="s">
        <v>1546</v>
      </c>
      <c r="H416">
        <v>426</v>
      </c>
      <c r="I416">
        <v>435</v>
      </c>
      <c r="K416">
        <v>1</v>
      </c>
      <c r="L416" t="s">
        <v>1547</v>
      </c>
      <c r="M416" t="s">
        <v>31</v>
      </c>
      <c r="N416" t="s">
        <v>19</v>
      </c>
    </row>
    <row r="417" spans="1:14">
      <c r="A417" t="s">
        <v>1548</v>
      </c>
      <c r="B417" t="s">
        <v>1549</v>
      </c>
      <c r="C417">
        <v>2012</v>
      </c>
      <c r="D417" t="s">
        <v>1550</v>
      </c>
      <c r="G417">
        <v>6158906</v>
      </c>
      <c r="L417" t="s">
        <v>1551</v>
      </c>
      <c r="M417" t="s">
        <v>31</v>
      </c>
      <c r="N417" t="s">
        <v>19</v>
      </c>
    </row>
    <row r="418" spans="1:14">
      <c r="A418" t="s">
        <v>1552</v>
      </c>
      <c r="B418" t="s">
        <v>1553</v>
      </c>
      <c r="C418">
        <v>2012</v>
      </c>
      <c r="D418" t="s">
        <v>55</v>
      </c>
      <c r="E418" t="s">
        <v>1554</v>
      </c>
      <c r="F418" t="s">
        <v>940</v>
      </c>
      <c r="H418">
        <v>109</v>
      </c>
      <c r="I418">
        <v>118</v>
      </c>
      <c r="L418" t="s">
        <v>1555</v>
      </c>
      <c r="M418" t="s">
        <v>31</v>
      </c>
      <c r="N418" t="s">
        <v>19</v>
      </c>
    </row>
    <row r="419" spans="1:14">
      <c r="A419" t="s">
        <v>1556</v>
      </c>
      <c r="B419" t="s">
        <v>1557</v>
      </c>
      <c r="C419">
        <v>2012</v>
      </c>
      <c r="D419" t="s">
        <v>887</v>
      </c>
      <c r="E419">
        <v>9</v>
      </c>
      <c r="F419">
        <v>3</v>
      </c>
      <c r="G419">
        <v>6133296</v>
      </c>
      <c r="H419">
        <v>332</v>
      </c>
      <c r="I419">
        <v>344</v>
      </c>
      <c r="L419" t="s">
        <v>1558</v>
      </c>
      <c r="M419" t="s">
        <v>18</v>
      </c>
      <c r="N419" t="s">
        <v>19</v>
      </c>
    </row>
    <row r="420" spans="1:14">
      <c r="A420" t="s">
        <v>1559</v>
      </c>
      <c r="B420" t="s">
        <v>1560</v>
      </c>
      <c r="C420">
        <v>2012</v>
      </c>
      <c r="D420" t="s">
        <v>1561</v>
      </c>
      <c r="H420">
        <v>124</v>
      </c>
      <c r="I420">
        <v>133</v>
      </c>
      <c r="L420" t="s">
        <v>1562</v>
      </c>
      <c r="M420" t="s">
        <v>31</v>
      </c>
      <c r="N420" t="s">
        <v>19</v>
      </c>
    </row>
    <row r="421" spans="1:14">
      <c r="A421" t="s">
        <v>1563</v>
      </c>
      <c r="B421" t="s">
        <v>1564</v>
      </c>
      <c r="C421">
        <v>2012</v>
      </c>
      <c r="D421" t="s">
        <v>1565</v>
      </c>
      <c r="E421">
        <v>29</v>
      </c>
      <c r="H421">
        <v>3888</v>
      </c>
      <c r="I421">
        <v>3893</v>
      </c>
      <c r="L421" t="s">
        <v>1566</v>
      </c>
      <c r="M421" t="s">
        <v>31</v>
      </c>
      <c r="N421" t="s">
        <v>19</v>
      </c>
    </row>
    <row r="422" spans="1:14">
      <c r="A422" t="s">
        <v>1567</v>
      </c>
      <c r="B422" t="s">
        <v>1568</v>
      </c>
      <c r="C422">
        <v>2012</v>
      </c>
      <c r="D422" t="s">
        <v>55</v>
      </c>
      <c r="E422" t="s">
        <v>1569</v>
      </c>
      <c r="F422" t="s">
        <v>228</v>
      </c>
      <c r="H422">
        <v>526</v>
      </c>
      <c r="I422">
        <v>539</v>
      </c>
      <c r="L422" t="s">
        <v>1570</v>
      </c>
      <c r="M422" t="s">
        <v>31</v>
      </c>
      <c r="N422" t="s">
        <v>19</v>
      </c>
    </row>
    <row r="423" spans="1:14">
      <c r="A423" t="s">
        <v>1571</v>
      </c>
      <c r="B423" t="s">
        <v>1572</v>
      </c>
      <c r="C423">
        <v>2012</v>
      </c>
      <c r="D423" t="s">
        <v>1573</v>
      </c>
      <c r="H423">
        <v>61</v>
      </c>
      <c r="I423">
        <v>70</v>
      </c>
      <c r="L423" t="s">
        <v>1574</v>
      </c>
      <c r="M423" t="s">
        <v>31</v>
      </c>
      <c r="N423" t="s">
        <v>19</v>
      </c>
    </row>
    <row r="424" spans="1:14">
      <c r="A424" t="s">
        <v>1575</v>
      </c>
      <c r="B424" t="s">
        <v>1576</v>
      </c>
      <c r="C424">
        <v>2012</v>
      </c>
      <c r="D424" t="s">
        <v>1577</v>
      </c>
      <c r="H424">
        <v>363</v>
      </c>
      <c r="I424">
        <v>366</v>
      </c>
      <c r="L424" t="s">
        <v>1578</v>
      </c>
      <c r="M424" t="s">
        <v>31</v>
      </c>
      <c r="N424" t="s">
        <v>19</v>
      </c>
    </row>
    <row r="425" spans="1:14">
      <c r="A425" t="s">
        <v>1579</v>
      </c>
      <c r="B425" t="s">
        <v>1580</v>
      </c>
      <c r="C425">
        <v>2012</v>
      </c>
      <c r="D425" t="s">
        <v>1577</v>
      </c>
      <c r="H425">
        <v>945</v>
      </c>
      <c r="I425">
        <v>954</v>
      </c>
      <c r="K425">
        <v>3</v>
      </c>
      <c r="L425" t="s">
        <v>1581</v>
      </c>
      <c r="M425" t="s">
        <v>31</v>
      </c>
      <c r="N425" t="s">
        <v>19</v>
      </c>
    </row>
    <row r="426" spans="1:14">
      <c r="A426" t="s">
        <v>1582</v>
      </c>
      <c r="B426" t="s">
        <v>1583</v>
      </c>
      <c r="C426">
        <v>2012</v>
      </c>
      <c r="D426" t="s">
        <v>1584</v>
      </c>
      <c r="L426" t="s">
        <v>1585</v>
      </c>
      <c r="M426" t="s">
        <v>52</v>
      </c>
      <c r="N426" t="s">
        <v>19</v>
      </c>
    </row>
    <row r="427" spans="1:14">
      <c r="A427" t="s">
        <v>1586</v>
      </c>
      <c r="B427" t="s">
        <v>1587</v>
      </c>
      <c r="C427">
        <v>2012</v>
      </c>
      <c r="D427" t="s">
        <v>213</v>
      </c>
      <c r="H427">
        <v>490</v>
      </c>
      <c r="I427">
        <v>491</v>
      </c>
      <c r="L427" t="s">
        <v>1588</v>
      </c>
      <c r="M427" t="s">
        <v>31</v>
      </c>
      <c r="N427" t="s">
        <v>19</v>
      </c>
    </row>
    <row r="428" spans="1:14">
      <c r="A428" t="s">
        <v>1589</v>
      </c>
      <c r="B428" t="s">
        <v>1590</v>
      </c>
      <c r="C428">
        <v>2012</v>
      </c>
      <c r="D428" t="s">
        <v>213</v>
      </c>
      <c r="H428">
        <v>377</v>
      </c>
      <c r="I428">
        <v>383</v>
      </c>
      <c r="L428" t="s">
        <v>1591</v>
      </c>
      <c r="M428" t="s">
        <v>31</v>
      </c>
      <c r="N428" t="s">
        <v>19</v>
      </c>
    </row>
    <row r="429" spans="1:14">
      <c r="A429" t="s">
        <v>1592</v>
      </c>
      <c r="B429" t="s">
        <v>1593</v>
      </c>
      <c r="C429">
        <v>2012</v>
      </c>
      <c r="D429" t="s">
        <v>213</v>
      </c>
      <c r="H429">
        <v>585</v>
      </c>
      <c r="I429">
        <v>586</v>
      </c>
      <c r="L429" t="s">
        <v>1594</v>
      </c>
      <c r="M429" t="s">
        <v>31</v>
      </c>
      <c r="N429" t="s">
        <v>19</v>
      </c>
    </row>
    <row r="430" spans="1:14">
      <c r="A430" t="s">
        <v>1595</v>
      </c>
      <c r="B430" t="s">
        <v>1596</v>
      </c>
      <c r="C430">
        <v>2012</v>
      </c>
      <c r="D430" t="s">
        <v>60</v>
      </c>
      <c r="E430" t="s">
        <v>1597</v>
      </c>
      <c r="H430">
        <v>112</v>
      </c>
      <c r="I430">
        <v>130</v>
      </c>
      <c r="L430" t="s">
        <v>1598</v>
      </c>
      <c r="M430" t="s">
        <v>31</v>
      </c>
      <c r="N430" t="s">
        <v>19</v>
      </c>
    </row>
    <row r="431" spans="1:14">
      <c r="A431" t="s">
        <v>1599</v>
      </c>
      <c r="B431" t="s">
        <v>1600</v>
      </c>
      <c r="C431">
        <v>2012</v>
      </c>
      <c r="D431" t="s">
        <v>1601</v>
      </c>
      <c r="E431">
        <v>23</v>
      </c>
      <c r="F431">
        <v>1</v>
      </c>
      <c r="H431">
        <v>175</v>
      </c>
      <c r="I431">
        <v>185</v>
      </c>
      <c r="L431" t="s">
        <v>1602</v>
      </c>
      <c r="M431" t="s">
        <v>18</v>
      </c>
      <c r="N431" t="s">
        <v>19</v>
      </c>
    </row>
    <row r="432" spans="1:14">
      <c r="A432" t="s">
        <v>1603</v>
      </c>
      <c r="B432" t="s">
        <v>1604</v>
      </c>
      <c r="C432">
        <v>2012</v>
      </c>
      <c r="D432" t="s">
        <v>1605</v>
      </c>
      <c r="E432">
        <v>10</v>
      </c>
      <c r="F432">
        <v>1</v>
      </c>
      <c r="H432">
        <v>47</v>
      </c>
      <c r="I432">
        <v>68</v>
      </c>
      <c r="L432" t="s">
        <v>1606</v>
      </c>
      <c r="M432" t="s">
        <v>18</v>
      </c>
      <c r="N432" t="s">
        <v>19</v>
      </c>
    </row>
    <row r="433" spans="1:14">
      <c r="A433" t="s">
        <v>1607</v>
      </c>
      <c r="B433" t="s">
        <v>1608</v>
      </c>
      <c r="C433">
        <v>2012</v>
      </c>
      <c r="D433" t="s">
        <v>1609</v>
      </c>
      <c r="E433">
        <v>30</v>
      </c>
      <c r="F433">
        <v>2</v>
      </c>
      <c r="H433">
        <v>223</v>
      </c>
      <c r="I433">
        <v>230</v>
      </c>
      <c r="L433" t="s">
        <v>1610</v>
      </c>
      <c r="M433" t="s">
        <v>18</v>
      </c>
      <c r="N433" t="s">
        <v>19</v>
      </c>
    </row>
    <row r="434" spans="1:14">
      <c r="A434" t="s">
        <v>1611</v>
      </c>
      <c r="B434" t="s">
        <v>1612</v>
      </c>
      <c r="C434">
        <v>2012</v>
      </c>
      <c r="D434" t="s">
        <v>1613</v>
      </c>
      <c r="E434">
        <v>15</v>
      </c>
      <c r="F434">
        <v>2</v>
      </c>
      <c r="H434">
        <v>260</v>
      </c>
      <c r="I434">
        <v>286</v>
      </c>
      <c r="L434" t="s">
        <v>1614</v>
      </c>
      <c r="M434" t="s">
        <v>18</v>
      </c>
      <c r="N434" t="s">
        <v>19</v>
      </c>
    </row>
    <row r="435" spans="1:14">
      <c r="A435" t="s">
        <v>1615</v>
      </c>
      <c r="B435" t="s">
        <v>1616</v>
      </c>
      <c r="C435">
        <v>2012</v>
      </c>
      <c r="D435" t="s">
        <v>1245</v>
      </c>
      <c r="E435">
        <v>35</v>
      </c>
      <c r="F435">
        <v>2</v>
      </c>
      <c r="H435">
        <v>770</v>
      </c>
      <c r="I435">
        <v>777</v>
      </c>
      <c r="L435" t="s">
        <v>1617</v>
      </c>
      <c r="M435" t="s">
        <v>18</v>
      </c>
      <c r="N435" t="s">
        <v>19</v>
      </c>
    </row>
    <row r="436" spans="1:14">
      <c r="A436" t="s">
        <v>1618</v>
      </c>
      <c r="B436" t="s">
        <v>1619</v>
      </c>
      <c r="C436">
        <v>2012</v>
      </c>
      <c r="D436" t="s">
        <v>140</v>
      </c>
      <c r="E436">
        <v>43</v>
      </c>
      <c r="F436">
        <v>2</v>
      </c>
      <c r="H436">
        <v>295</v>
      </c>
      <c r="I436">
        <v>306</v>
      </c>
      <c r="K436">
        <v>2</v>
      </c>
      <c r="L436" t="s">
        <v>1620</v>
      </c>
      <c r="M436" t="s">
        <v>18</v>
      </c>
      <c r="N436" t="s">
        <v>19</v>
      </c>
    </row>
    <row r="437" spans="1:14">
      <c r="A437" t="s">
        <v>1621</v>
      </c>
      <c r="B437" t="s">
        <v>1622</v>
      </c>
      <c r="C437">
        <v>2012</v>
      </c>
      <c r="D437" t="s">
        <v>1522</v>
      </c>
      <c r="E437">
        <v>38</v>
      </c>
      <c r="F437">
        <v>3</v>
      </c>
      <c r="H437">
        <v>399</v>
      </c>
      <c r="I437">
        <v>411</v>
      </c>
      <c r="L437" t="s">
        <v>1623</v>
      </c>
      <c r="M437" t="s">
        <v>18</v>
      </c>
      <c r="N437" t="s">
        <v>19</v>
      </c>
    </row>
    <row r="438" spans="1:14">
      <c r="A438" t="s">
        <v>1624</v>
      </c>
      <c r="B438" t="s">
        <v>1625</v>
      </c>
      <c r="C438">
        <v>2012</v>
      </c>
      <c r="D438" t="s">
        <v>55</v>
      </c>
      <c r="E438" t="s">
        <v>1626</v>
      </c>
      <c r="H438">
        <v>50</v>
      </c>
      <c r="I438">
        <v>64</v>
      </c>
      <c r="L438" t="s">
        <v>1627</v>
      </c>
      <c r="M438" t="s">
        <v>31</v>
      </c>
      <c r="N438" t="s">
        <v>19</v>
      </c>
    </row>
    <row r="439" spans="1:14">
      <c r="A439" t="s">
        <v>1628</v>
      </c>
      <c r="B439" t="s">
        <v>1629</v>
      </c>
      <c r="C439">
        <v>2012</v>
      </c>
      <c r="D439" t="s">
        <v>81</v>
      </c>
      <c r="E439">
        <v>7</v>
      </c>
      <c r="F439">
        <v>1</v>
      </c>
      <c r="H439">
        <v>204</v>
      </c>
      <c r="I439">
        <v>211</v>
      </c>
      <c r="L439" t="s">
        <v>1630</v>
      </c>
      <c r="M439" t="s">
        <v>18</v>
      </c>
      <c r="N439" t="s">
        <v>19</v>
      </c>
    </row>
    <row r="440" spans="1:14">
      <c r="A440" t="s">
        <v>1631</v>
      </c>
      <c r="B440" t="s">
        <v>1632</v>
      </c>
      <c r="C440">
        <v>2012</v>
      </c>
      <c r="D440" t="s">
        <v>590</v>
      </c>
      <c r="E440" t="s">
        <v>1633</v>
      </c>
      <c r="F440" t="s">
        <v>228</v>
      </c>
      <c r="H440">
        <v>123</v>
      </c>
      <c r="I440">
        <v>134</v>
      </c>
      <c r="L440" t="s">
        <v>1634</v>
      </c>
      <c r="M440" t="s">
        <v>31</v>
      </c>
      <c r="N440" t="s">
        <v>19</v>
      </c>
    </row>
    <row r="441" spans="1:14">
      <c r="A441" t="s">
        <v>1635</v>
      </c>
      <c r="B441" t="s">
        <v>1636</v>
      </c>
      <c r="C441">
        <v>2012</v>
      </c>
      <c r="D441" t="s">
        <v>1637</v>
      </c>
      <c r="E441">
        <v>8</v>
      </c>
      <c r="F441">
        <v>1</v>
      </c>
      <c r="G441">
        <v>4</v>
      </c>
      <c r="K441">
        <v>2</v>
      </c>
      <c r="L441" t="s">
        <v>1638</v>
      </c>
      <c r="M441" t="s">
        <v>18</v>
      </c>
      <c r="N441" t="s">
        <v>19</v>
      </c>
    </row>
    <row r="442" spans="1:14">
      <c r="A442" t="s">
        <v>1639</v>
      </c>
      <c r="B442" t="s">
        <v>1640</v>
      </c>
      <c r="C442">
        <v>2012</v>
      </c>
      <c r="D442" t="s">
        <v>1641</v>
      </c>
      <c r="E442">
        <v>32</v>
      </c>
      <c r="F442">
        <v>2</v>
      </c>
      <c r="H442">
        <v>312</v>
      </c>
      <c r="I442">
        <v>318</v>
      </c>
      <c r="L442" t="s">
        <v>1642</v>
      </c>
      <c r="M442" t="s">
        <v>18</v>
      </c>
      <c r="N442" t="s">
        <v>19</v>
      </c>
    </row>
    <row r="443" spans="1:14">
      <c r="A443" t="s">
        <v>1643</v>
      </c>
      <c r="B443" t="s">
        <v>1644</v>
      </c>
      <c r="C443">
        <v>2012</v>
      </c>
      <c r="D443" t="s">
        <v>1645</v>
      </c>
      <c r="E443">
        <v>26</v>
      </c>
      <c r="H443">
        <v>164</v>
      </c>
      <c r="I443">
        <v>173</v>
      </c>
      <c r="K443">
        <v>5</v>
      </c>
      <c r="L443" t="s">
        <v>1646</v>
      </c>
      <c r="M443" t="s">
        <v>18</v>
      </c>
      <c r="N443" t="s">
        <v>19</v>
      </c>
    </row>
    <row r="444" spans="1:14">
      <c r="A444" t="s">
        <v>1647</v>
      </c>
      <c r="B444" t="s">
        <v>1648</v>
      </c>
      <c r="C444">
        <v>2012</v>
      </c>
      <c r="D444" t="s">
        <v>1649</v>
      </c>
      <c r="E444">
        <v>9</v>
      </c>
      <c r="F444">
        <v>2</v>
      </c>
      <c r="H444">
        <v>286</v>
      </c>
      <c r="I444">
        <v>303</v>
      </c>
      <c r="K444">
        <v>1</v>
      </c>
      <c r="L444" t="s">
        <v>1650</v>
      </c>
      <c r="M444" t="s">
        <v>18</v>
      </c>
      <c r="N444" t="s">
        <v>19</v>
      </c>
    </row>
    <row r="445" spans="1:14">
      <c r="A445" t="s">
        <v>1651</v>
      </c>
      <c r="B445" t="s">
        <v>1652</v>
      </c>
      <c r="C445">
        <v>2012</v>
      </c>
      <c r="D445" t="s">
        <v>1653</v>
      </c>
      <c r="E445">
        <v>6</v>
      </c>
      <c r="F445">
        <v>1</v>
      </c>
      <c r="H445">
        <v>122</v>
      </c>
      <c r="I445">
        <v>130</v>
      </c>
      <c r="K445">
        <v>2</v>
      </c>
      <c r="L445" t="s">
        <v>1654</v>
      </c>
      <c r="M445" t="s">
        <v>624</v>
      </c>
      <c r="N445" t="s">
        <v>19</v>
      </c>
    </row>
    <row r="446" spans="1:14">
      <c r="A446" t="s">
        <v>1655</v>
      </c>
      <c r="B446" t="s">
        <v>1656</v>
      </c>
      <c r="C446">
        <v>2012</v>
      </c>
      <c r="D446" t="s">
        <v>1657</v>
      </c>
      <c r="E446">
        <v>33</v>
      </c>
      <c r="F446">
        <v>2</v>
      </c>
      <c r="H446">
        <v>162</v>
      </c>
      <c r="I446">
        <v>188</v>
      </c>
      <c r="K446">
        <v>4</v>
      </c>
      <c r="L446" t="s">
        <v>1658</v>
      </c>
      <c r="M446" t="s">
        <v>18</v>
      </c>
      <c r="N446" t="s">
        <v>19</v>
      </c>
    </row>
    <row r="447" spans="1:14">
      <c r="A447" t="s">
        <v>1659</v>
      </c>
      <c r="B447" t="s">
        <v>1660</v>
      </c>
      <c r="C447">
        <v>2012</v>
      </c>
      <c r="D447" t="s">
        <v>1661</v>
      </c>
      <c r="E447">
        <v>16</v>
      </c>
      <c r="F447">
        <v>1</v>
      </c>
      <c r="H447">
        <v>70</v>
      </c>
      <c r="I447">
        <v>82</v>
      </c>
      <c r="K447">
        <v>1</v>
      </c>
      <c r="L447" t="s">
        <v>1662</v>
      </c>
      <c r="M447" t="s">
        <v>18</v>
      </c>
      <c r="N447" t="s">
        <v>19</v>
      </c>
    </row>
    <row r="448" spans="1:14">
      <c r="A448" t="s">
        <v>1663</v>
      </c>
      <c r="B448" t="s">
        <v>1664</v>
      </c>
      <c r="C448">
        <v>2012</v>
      </c>
      <c r="D448" t="s">
        <v>1665</v>
      </c>
      <c r="E448">
        <v>15</v>
      </c>
      <c r="H448">
        <v>132</v>
      </c>
      <c r="I448">
        <v>139</v>
      </c>
      <c r="L448" t="s">
        <v>1666</v>
      </c>
      <c r="M448" t="s">
        <v>18</v>
      </c>
      <c r="N448" t="s">
        <v>19</v>
      </c>
    </row>
    <row r="449" spans="1:14">
      <c r="A449" t="s">
        <v>1667</v>
      </c>
      <c r="B449" t="s">
        <v>1668</v>
      </c>
      <c r="C449">
        <v>2012</v>
      </c>
      <c r="D449" t="s">
        <v>1431</v>
      </c>
      <c r="E449">
        <v>9</v>
      </c>
      <c r="F449">
        <v>1</v>
      </c>
      <c r="H449">
        <v>50</v>
      </c>
      <c r="I449">
        <v>57</v>
      </c>
      <c r="L449" t="s">
        <v>1669</v>
      </c>
      <c r="M449" t="s">
        <v>18</v>
      </c>
      <c r="N449" t="s">
        <v>19</v>
      </c>
    </row>
    <row r="450" spans="1:14">
      <c r="A450" t="s">
        <v>1670</v>
      </c>
      <c r="B450" t="s">
        <v>1671</v>
      </c>
      <c r="C450">
        <v>2012</v>
      </c>
      <c r="D450" t="s">
        <v>1672</v>
      </c>
      <c r="E450">
        <v>12</v>
      </c>
      <c r="F450">
        <v>2</v>
      </c>
      <c r="H450">
        <v>850</v>
      </c>
      <c r="I450">
        <v>859</v>
      </c>
      <c r="K450">
        <v>2</v>
      </c>
      <c r="L450" t="s">
        <v>1673</v>
      </c>
      <c r="M450" t="s">
        <v>18</v>
      </c>
      <c r="N450" t="s">
        <v>19</v>
      </c>
    </row>
    <row r="451" spans="1:14">
      <c r="A451" t="s">
        <v>1674</v>
      </c>
      <c r="B451" t="s">
        <v>1675</v>
      </c>
      <c r="C451">
        <v>2012</v>
      </c>
      <c r="D451" t="s">
        <v>1676</v>
      </c>
      <c r="E451">
        <v>30</v>
      </c>
      <c r="F451">
        <v>1</v>
      </c>
      <c r="H451">
        <v>5</v>
      </c>
      <c r="I451">
        <v>19</v>
      </c>
      <c r="L451" t="s">
        <v>1677</v>
      </c>
      <c r="M451" t="s">
        <v>18</v>
      </c>
      <c r="N451" t="s">
        <v>19</v>
      </c>
    </row>
    <row r="452" spans="1:14">
      <c r="A452" t="s">
        <v>1678</v>
      </c>
      <c r="B452" t="s">
        <v>1679</v>
      </c>
      <c r="C452">
        <v>2012</v>
      </c>
      <c r="D452" t="s">
        <v>1680</v>
      </c>
      <c r="E452">
        <v>21</v>
      </c>
      <c r="F452">
        <v>3</v>
      </c>
      <c r="H452">
        <v>115</v>
      </c>
      <c r="I452">
        <v>126</v>
      </c>
      <c r="L452" t="s">
        <v>1681</v>
      </c>
      <c r="M452" t="s">
        <v>18</v>
      </c>
      <c r="N452" t="s">
        <v>19</v>
      </c>
    </row>
    <row r="453" spans="1:14">
      <c r="A453" t="s">
        <v>1682</v>
      </c>
      <c r="B453" t="s">
        <v>1683</v>
      </c>
      <c r="C453">
        <v>2012</v>
      </c>
      <c r="D453" t="s">
        <v>1684</v>
      </c>
      <c r="E453">
        <v>82</v>
      </c>
      <c r="F453">
        <v>1</v>
      </c>
      <c r="H453">
        <v>21</v>
      </c>
      <c r="I453">
        <v>27</v>
      </c>
      <c r="L453" t="s">
        <v>1685</v>
      </c>
      <c r="M453" t="s">
        <v>18</v>
      </c>
      <c r="N453" t="s">
        <v>19</v>
      </c>
    </row>
    <row r="454" spans="1:14">
      <c r="A454" t="s">
        <v>1686</v>
      </c>
      <c r="B454" t="s">
        <v>1687</v>
      </c>
      <c r="C454">
        <v>2012</v>
      </c>
      <c r="D454" t="s">
        <v>1688</v>
      </c>
      <c r="E454" t="s">
        <v>1689</v>
      </c>
      <c r="H454">
        <v>3402</v>
      </c>
      <c r="I454">
        <v>3407</v>
      </c>
      <c r="L454" t="s">
        <v>1690</v>
      </c>
      <c r="M454" t="s">
        <v>31</v>
      </c>
      <c r="N454" t="s">
        <v>19</v>
      </c>
    </row>
    <row r="455" spans="1:14">
      <c r="A455" t="s">
        <v>1691</v>
      </c>
      <c r="B455" t="s">
        <v>1692</v>
      </c>
      <c r="C455">
        <v>2012</v>
      </c>
      <c r="D455" t="s">
        <v>1230</v>
      </c>
      <c r="E455">
        <v>56</v>
      </c>
      <c r="F455">
        <v>1</v>
      </c>
      <c r="H455">
        <v>179</v>
      </c>
      <c r="I455">
        <v>205</v>
      </c>
      <c r="K455">
        <v>1</v>
      </c>
      <c r="L455" t="s">
        <v>1693</v>
      </c>
      <c r="M455" t="s">
        <v>18</v>
      </c>
      <c r="N455" t="s">
        <v>19</v>
      </c>
    </row>
    <row r="456" spans="1:14">
      <c r="A456" t="s">
        <v>1694</v>
      </c>
      <c r="B456" t="s">
        <v>1695</v>
      </c>
      <c r="C456">
        <v>2012</v>
      </c>
      <c r="D456" t="s">
        <v>1696</v>
      </c>
      <c r="E456">
        <v>27</v>
      </c>
      <c r="F456">
        <v>1</v>
      </c>
      <c r="H456">
        <v>88</v>
      </c>
      <c r="I456">
        <v>99</v>
      </c>
      <c r="K456">
        <v>2</v>
      </c>
      <c r="L456" t="s">
        <v>1697</v>
      </c>
      <c r="M456" t="s">
        <v>18</v>
      </c>
      <c r="N456" t="s">
        <v>19</v>
      </c>
    </row>
    <row r="457" spans="1:14">
      <c r="A457" t="s">
        <v>1698</v>
      </c>
      <c r="B457" t="s">
        <v>1699</v>
      </c>
      <c r="C457">
        <v>2012</v>
      </c>
      <c r="D457" t="s">
        <v>1700</v>
      </c>
      <c r="E457">
        <v>17</v>
      </c>
      <c r="F457">
        <v>2</v>
      </c>
      <c r="H457">
        <v>216</v>
      </c>
      <c r="I457">
        <v>230</v>
      </c>
      <c r="K457">
        <v>1</v>
      </c>
      <c r="L457" t="s">
        <v>1701</v>
      </c>
      <c r="M457" t="s">
        <v>18</v>
      </c>
      <c r="N457" t="s">
        <v>19</v>
      </c>
    </row>
    <row r="458" spans="1:14">
      <c r="A458" t="s">
        <v>1702</v>
      </c>
      <c r="B458" t="s">
        <v>1703</v>
      </c>
      <c r="C458">
        <v>2012</v>
      </c>
      <c r="D458" t="s">
        <v>691</v>
      </c>
      <c r="E458" t="s">
        <v>1704</v>
      </c>
      <c r="H458">
        <v>469</v>
      </c>
      <c r="I458">
        <v>477</v>
      </c>
      <c r="L458" t="s">
        <v>1705</v>
      </c>
      <c r="M458" t="s">
        <v>31</v>
      </c>
      <c r="N458" t="s">
        <v>19</v>
      </c>
    </row>
    <row r="459" spans="1:14">
      <c r="A459" t="s">
        <v>1706</v>
      </c>
      <c r="B459" t="s">
        <v>1707</v>
      </c>
      <c r="C459">
        <v>2012</v>
      </c>
      <c r="D459" t="s">
        <v>1708</v>
      </c>
      <c r="E459">
        <v>26</v>
      </c>
      <c r="F459">
        <v>1</v>
      </c>
      <c r="H459">
        <v>53</v>
      </c>
      <c r="I459">
        <v>66</v>
      </c>
      <c r="K459">
        <v>1</v>
      </c>
      <c r="L459" t="s">
        <v>1709</v>
      </c>
      <c r="M459" t="s">
        <v>18</v>
      </c>
      <c r="N459" t="s">
        <v>19</v>
      </c>
    </row>
    <row r="460" spans="1:14">
      <c r="A460" t="s">
        <v>1710</v>
      </c>
      <c r="B460" t="s">
        <v>1711</v>
      </c>
      <c r="C460">
        <v>2012</v>
      </c>
      <c r="D460" t="s">
        <v>327</v>
      </c>
      <c r="E460">
        <v>4</v>
      </c>
      <c r="F460">
        <v>1</v>
      </c>
      <c r="H460">
        <v>432</v>
      </c>
      <c r="I460">
        <v>441</v>
      </c>
      <c r="K460">
        <v>1</v>
      </c>
      <c r="L460" t="s">
        <v>1712</v>
      </c>
      <c r="M460" t="s">
        <v>18</v>
      </c>
      <c r="N460" t="s">
        <v>19</v>
      </c>
    </row>
    <row r="461" spans="1:14">
      <c r="A461" t="s">
        <v>1713</v>
      </c>
      <c r="B461" t="s">
        <v>1714</v>
      </c>
      <c r="C461">
        <v>2012</v>
      </c>
      <c r="D461" t="s">
        <v>1700</v>
      </c>
      <c r="E461">
        <v>17</v>
      </c>
      <c r="F461">
        <v>2</v>
      </c>
      <c r="H461">
        <v>187</v>
      </c>
      <c r="I461">
        <v>201</v>
      </c>
      <c r="K461">
        <v>1</v>
      </c>
      <c r="L461" t="s">
        <v>1715</v>
      </c>
      <c r="M461" t="s">
        <v>18</v>
      </c>
      <c r="N461" t="s">
        <v>19</v>
      </c>
    </row>
    <row r="462" spans="1:14">
      <c r="A462" t="s">
        <v>1716</v>
      </c>
      <c r="B462" t="s">
        <v>1717</v>
      </c>
      <c r="C462">
        <v>2011</v>
      </c>
      <c r="D462" t="s">
        <v>1718</v>
      </c>
      <c r="H462">
        <v>611</v>
      </c>
      <c r="I462">
        <v>612</v>
      </c>
      <c r="K462">
        <v>1</v>
      </c>
      <c r="L462" t="s">
        <v>1719</v>
      </c>
      <c r="M462" t="s">
        <v>31</v>
      </c>
      <c r="N462" t="s">
        <v>19</v>
      </c>
    </row>
    <row r="463" spans="1:14">
      <c r="A463" t="s">
        <v>1720</v>
      </c>
      <c r="B463" t="s">
        <v>1721</v>
      </c>
      <c r="C463">
        <v>2011</v>
      </c>
      <c r="D463" t="s">
        <v>1722</v>
      </c>
      <c r="G463">
        <v>6085937</v>
      </c>
      <c r="H463">
        <v>163</v>
      </c>
      <c r="I463">
        <v>168</v>
      </c>
      <c r="K463">
        <v>2</v>
      </c>
      <c r="L463" t="s">
        <v>1723</v>
      </c>
      <c r="M463" t="s">
        <v>31</v>
      </c>
      <c r="N463" t="s">
        <v>19</v>
      </c>
    </row>
    <row r="464" spans="1:14">
      <c r="A464" t="s">
        <v>1092</v>
      </c>
      <c r="B464" t="s">
        <v>1724</v>
      </c>
      <c r="C464">
        <v>2011</v>
      </c>
      <c r="D464" t="s">
        <v>1722</v>
      </c>
      <c r="G464">
        <v>6085957</v>
      </c>
      <c r="H464">
        <v>273</v>
      </c>
      <c r="I464">
        <v>277</v>
      </c>
      <c r="L464" t="s">
        <v>1725</v>
      </c>
      <c r="M464" t="s">
        <v>31</v>
      </c>
      <c r="N464" t="s">
        <v>19</v>
      </c>
    </row>
    <row r="465" spans="1:14">
      <c r="A465" t="s">
        <v>1726</v>
      </c>
      <c r="B465" t="s">
        <v>1727</v>
      </c>
      <c r="C465">
        <v>2011</v>
      </c>
      <c r="D465" t="s">
        <v>1722</v>
      </c>
      <c r="G465">
        <v>6085958</v>
      </c>
      <c r="H465">
        <v>278</v>
      </c>
      <c r="I465">
        <v>283</v>
      </c>
      <c r="L465" t="s">
        <v>1728</v>
      </c>
      <c r="M465" t="s">
        <v>31</v>
      </c>
      <c r="N465" t="s">
        <v>19</v>
      </c>
    </row>
    <row r="466" spans="1:14">
      <c r="A466" t="s">
        <v>1729</v>
      </c>
      <c r="B466" t="s">
        <v>1730</v>
      </c>
      <c r="C466">
        <v>2011</v>
      </c>
      <c r="D466" t="s">
        <v>1722</v>
      </c>
      <c r="G466">
        <v>6085933</v>
      </c>
      <c r="H466">
        <v>141</v>
      </c>
      <c r="I466">
        <v>146</v>
      </c>
      <c r="L466" t="s">
        <v>1731</v>
      </c>
      <c r="M466" t="s">
        <v>31</v>
      </c>
      <c r="N466" t="s">
        <v>19</v>
      </c>
    </row>
    <row r="467" spans="1:14">
      <c r="A467" t="s">
        <v>1732</v>
      </c>
      <c r="B467" t="s">
        <v>1733</v>
      </c>
      <c r="C467">
        <v>2011</v>
      </c>
      <c r="D467" t="s">
        <v>1722</v>
      </c>
      <c r="G467">
        <v>6085925</v>
      </c>
      <c r="H467">
        <v>94</v>
      </c>
      <c r="I467">
        <v>101</v>
      </c>
      <c r="K467">
        <v>1</v>
      </c>
      <c r="L467" t="s">
        <v>1734</v>
      </c>
      <c r="M467" t="s">
        <v>31</v>
      </c>
      <c r="N467" t="s">
        <v>19</v>
      </c>
    </row>
    <row r="468" spans="1:14">
      <c r="A468" t="s">
        <v>1092</v>
      </c>
      <c r="B468" t="s">
        <v>1735</v>
      </c>
      <c r="C468">
        <v>2011</v>
      </c>
      <c r="D468" t="s">
        <v>1722</v>
      </c>
      <c r="G468">
        <v>6085956</v>
      </c>
      <c r="H468">
        <v>267</v>
      </c>
      <c r="I468">
        <v>272</v>
      </c>
      <c r="L468" t="s">
        <v>1736</v>
      </c>
      <c r="M468" t="s">
        <v>31</v>
      </c>
      <c r="N468" t="s">
        <v>19</v>
      </c>
    </row>
    <row r="469" spans="1:14">
      <c r="A469" t="s">
        <v>1737</v>
      </c>
      <c r="B469" t="s">
        <v>1738</v>
      </c>
      <c r="C469">
        <v>2011</v>
      </c>
      <c r="D469" t="s">
        <v>1722</v>
      </c>
      <c r="G469">
        <v>6085951</v>
      </c>
      <c r="H469">
        <v>237</v>
      </c>
      <c r="I469">
        <v>242</v>
      </c>
      <c r="K469">
        <v>1</v>
      </c>
      <c r="L469" t="s">
        <v>1739</v>
      </c>
      <c r="M469" t="s">
        <v>31</v>
      </c>
      <c r="N469" t="s">
        <v>19</v>
      </c>
    </row>
    <row r="470" spans="1:14">
      <c r="A470" t="s">
        <v>1740</v>
      </c>
      <c r="B470" t="s">
        <v>1741</v>
      </c>
      <c r="C470">
        <v>2011</v>
      </c>
      <c r="D470" t="s">
        <v>1722</v>
      </c>
      <c r="G470">
        <v>6085954</v>
      </c>
      <c r="H470">
        <v>255</v>
      </c>
      <c r="I470">
        <v>260</v>
      </c>
      <c r="L470" t="s">
        <v>1742</v>
      </c>
      <c r="M470" t="s">
        <v>31</v>
      </c>
      <c r="N470" t="s">
        <v>19</v>
      </c>
    </row>
    <row r="471" spans="1:14">
      <c r="A471" t="s">
        <v>1743</v>
      </c>
      <c r="B471" t="s">
        <v>1744</v>
      </c>
      <c r="C471">
        <v>2011</v>
      </c>
      <c r="D471" t="s">
        <v>60</v>
      </c>
      <c r="E471" t="s">
        <v>1745</v>
      </c>
      <c r="H471">
        <v>541</v>
      </c>
      <c r="I471">
        <v>550</v>
      </c>
      <c r="L471" t="s">
        <v>1746</v>
      </c>
      <c r="M471" t="s">
        <v>31</v>
      </c>
      <c r="N471" t="s">
        <v>19</v>
      </c>
    </row>
    <row r="472" spans="1:14">
      <c r="A472" t="s">
        <v>1747</v>
      </c>
      <c r="B472" t="s">
        <v>1748</v>
      </c>
      <c r="C472">
        <v>2011</v>
      </c>
      <c r="D472" t="s">
        <v>363</v>
      </c>
      <c r="G472">
        <v>6083779</v>
      </c>
      <c r="H472">
        <v>616</v>
      </c>
      <c r="I472">
        <v>620</v>
      </c>
      <c r="L472" t="s">
        <v>1749</v>
      </c>
      <c r="M472" t="s">
        <v>31</v>
      </c>
      <c r="N472" t="s">
        <v>19</v>
      </c>
    </row>
    <row r="473" spans="1:14">
      <c r="A473" t="s">
        <v>1750</v>
      </c>
      <c r="B473" t="s">
        <v>1751</v>
      </c>
      <c r="C473">
        <v>2011</v>
      </c>
      <c r="D473" t="s">
        <v>363</v>
      </c>
      <c r="G473">
        <v>6084086</v>
      </c>
      <c r="H473">
        <v>2731</v>
      </c>
      <c r="I473">
        <v>2736</v>
      </c>
      <c r="L473" t="s">
        <v>1752</v>
      </c>
      <c r="M473" t="s">
        <v>31</v>
      </c>
      <c r="N473" t="s">
        <v>19</v>
      </c>
    </row>
    <row r="474" spans="1:14">
      <c r="A474" t="s">
        <v>1753</v>
      </c>
      <c r="B474" t="s">
        <v>1754</v>
      </c>
      <c r="C474">
        <v>2011</v>
      </c>
      <c r="D474" t="s">
        <v>1755</v>
      </c>
      <c r="E474">
        <v>1</v>
      </c>
      <c r="G474">
        <v>6093394</v>
      </c>
      <c r="H474">
        <v>70</v>
      </c>
      <c r="I474">
        <v>75</v>
      </c>
      <c r="L474" t="s">
        <v>1756</v>
      </c>
      <c r="M474" t="s">
        <v>31</v>
      </c>
      <c r="N474" t="s">
        <v>19</v>
      </c>
    </row>
    <row r="475" spans="1:14">
      <c r="A475" t="s">
        <v>1757</v>
      </c>
      <c r="B475" t="s">
        <v>1758</v>
      </c>
      <c r="C475">
        <v>2011</v>
      </c>
      <c r="D475" t="s">
        <v>1755</v>
      </c>
      <c r="E475">
        <v>1</v>
      </c>
      <c r="G475">
        <v>6093393</v>
      </c>
      <c r="H475">
        <v>64</v>
      </c>
      <c r="I475">
        <v>69</v>
      </c>
      <c r="L475" t="s">
        <v>1759</v>
      </c>
      <c r="M475" t="s">
        <v>31</v>
      </c>
      <c r="N475" t="s">
        <v>19</v>
      </c>
    </row>
    <row r="476" spans="1:14">
      <c r="A476" t="s">
        <v>1760</v>
      </c>
      <c r="B476" t="s">
        <v>1761</v>
      </c>
      <c r="C476">
        <v>2011</v>
      </c>
      <c r="D476" t="s">
        <v>60</v>
      </c>
      <c r="E476" t="s">
        <v>1745</v>
      </c>
      <c r="H476">
        <v>36</v>
      </c>
      <c r="I476">
        <v>45</v>
      </c>
      <c r="L476" t="s">
        <v>1762</v>
      </c>
      <c r="M476" t="s">
        <v>31</v>
      </c>
      <c r="N476" t="s">
        <v>19</v>
      </c>
    </row>
    <row r="477" spans="1:14">
      <c r="A477" t="s">
        <v>1763</v>
      </c>
      <c r="B477" t="s">
        <v>1764</v>
      </c>
      <c r="C477">
        <v>2011</v>
      </c>
      <c r="D477" t="s">
        <v>55</v>
      </c>
      <c r="E477" t="s">
        <v>1765</v>
      </c>
      <c r="H477">
        <v>240</v>
      </c>
      <c r="I477">
        <v>248</v>
      </c>
      <c r="L477" t="s">
        <v>1766</v>
      </c>
      <c r="M477" t="s">
        <v>31</v>
      </c>
      <c r="N477" t="s">
        <v>19</v>
      </c>
    </row>
    <row r="478" spans="1:14">
      <c r="A478" t="s">
        <v>1603</v>
      </c>
      <c r="B478" t="s">
        <v>1767</v>
      </c>
      <c r="C478">
        <v>2011</v>
      </c>
      <c r="D478" t="s">
        <v>1768</v>
      </c>
      <c r="G478">
        <v>6008899</v>
      </c>
      <c r="H478">
        <v>1112</v>
      </c>
      <c r="I478">
        <v>1121</v>
      </c>
      <c r="K478">
        <v>3</v>
      </c>
      <c r="L478" t="s">
        <v>1769</v>
      </c>
      <c r="M478" t="s">
        <v>31</v>
      </c>
      <c r="N478" t="s">
        <v>19</v>
      </c>
    </row>
    <row r="479" spans="1:14">
      <c r="A479" t="s">
        <v>1770</v>
      </c>
      <c r="B479" t="s">
        <v>1771</v>
      </c>
      <c r="C479">
        <v>2011</v>
      </c>
      <c r="D479" t="s">
        <v>478</v>
      </c>
      <c r="G479">
        <v>6070121</v>
      </c>
      <c r="H479">
        <v>1302</v>
      </c>
      <c r="I479">
        <v>1310</v>
      </c>
      <c r="L479" t="s">
        <v>1772</v>
      </c>
      <c r="M479" t="s">
        <v>31</v>
      </c>
      <c r="N479" t="s">
        <v>19</v>
      </c>
    </row>
    <row r="480" spans="1:14">
      <c r="A480" t="s">
        <v>1773</v>
      </c>
      <c r="B480" t="s">
        <v>1774</v>
      </c>
      <c r="C480">
        <v>2011</v>
      </c>
      <c r="D480" t="s">
        <v>1775</v>
      </c>
      <c r="E480">
        <v>9</v>
      </c>
      <c r="F480">
        <v>1</v>
      </c>
      <c r="H480">
        <v>153</v>
      </c>
      <c r="I480">
        <v>156</v>
      </c>
      <c r="L480" t="s">
        <v>1776</v>
      </c>
      <c r="M480" t="s">
        <v>18</v>
      </c>
      <c r="N480" t="s">
        <v>19</v>
      </c>
    </row>
    <row r="481" spans="1:14">
      <c r="A481" t="s">
        <v>1777</v>
      </c>
      <c r="B481" t="s">
        <v>1778</v>
      </c>
      <c r="C481">
        <v>2011</v>
      </c>
      <c r="D481" t="s">
        <v>1779</v>
      </c>
      <c r="G481">
        <v>5928741</v>
      </c>
      <c r="H481">
        <v>593</v>
      </c>
      <c r="I481">
        <v>597</v>
      </c>
      <c r="L481" t="s">
        <v>1780</v>
      </c>
      <c r="M481" t="s">
        <v>31</v>
      </c>
      <c r="N481" t="s">
        <v>19</v>
      </c>
    </row>
    <row r="482" spans="1:14">
      <c r="A482" t="s">
        <v>1781</v>
      </c>
      <c r="B482" t="s">
        <v>1782</v>
      </c>
      <c r="C482">
        <v>2011</v>
      </c>
      <c r="D482" t="s">
        <v>290</v>
      </c>
      <c r="H482">
        <v>41</v>
      </c>
      <c r="I482">
        <v>48</v>
      </c>
      <c r="L482" t="s">
        <v>1783</v>
      </c>
      <c r="M482" t="s">
        <v>31</v>
      </c>
      <c r="N482" t="s">
        <v>19</v>
      </c>
    </row>
    <row r="483" spans="1:14">
      <c r="A483" t="s">
        <v>1784</v>
      </c>
      <c r="B483" t="s">
        <v>1785</v>
      </c>
      <c r="C483">
        <v>2011</v>
      </c>
      <c r="D483" t="s">
        <v>1786</v>
      </c>
      <c r="G483">
        <v>6079258</v>
      </c>
      <c r="H483">
        <v>128</v>
      </c>
      <c r="I483">
        <v>132</v>
      </c>
      <c r="L483" t="s">
        <v>1787</v>
      </c>
      <c r="M483" t="s">
        <v>31</v>
      </c>
      <c r="N483" t="s">
        <v>19</v>
      </c>
    </row>
    <row r="484" spans="1:14">
      <c r="A484" t="s">
        <v>1788</v>
      </c>
      <c r="B484" t="s">
        <v>1789</v>
      </c>
      <c r="C484">
        <v>2011</v>
      </c>
      <c r="D484" t="s">
        <v>1790</v>
      </c>
      <c r="H484">
        <v>67</v>
      </c>
      <c r="I484">
        <v>69</v>
      </c>
      <c r="L484" t="s">
        <v>1791</v>
      </c>
      <c r="M484" t="s">
        <v>31</v>
      </c>
      <c r="N484" t="s">
        <v>19</v>
      </c>
    </row>
    <row r="485" spans="1:14">
      <c r="A485" t="s">
        <v>1792</v>
      </c>
      <c r="B485" t="s">
        <v>1793</v>
      </c>
      <c r="C485">
        <v>2011</v>
      </c>
      <c r="D485" t="s">
        <v>290</v>
      </c>
      <c r="H485">
        <v>1127</v>
      </c>
      <c r="I485">
        <v>1136</v>
      </c>
      <c r="K485">
        <v>2</v>
      </c>
      <c r="L485" t="s">
        <v>1794</v>
      </c>
      <c r="M485" t="s">
        <v>31</v>
      </c>
      <c r="N485" t="s">
        <v>19</v>
      </c>
    </row>
    <row r="486" spans="1:14">
      <c r="A486" t="s">
        <v>1795</v>
      </c>
      <c r="B486" t="s">
        <v>1796</v>
      </c>
      <c r="C486">
        <v>2011</v>
      </c>
      <c r="D486" t="s">
        <v>290</v>
      </c>
      <c r="H486">
        <v>1825</v>
      </c>
      <c r="I486">
        <v>1833</v>
      </c>
      <c r="K486">
        <v>1</v>
      </c>
      <c r="L486" t="s">
        <v>1797</v>
      </c>
      <c r="M486" t="s">
        <v>31</v>
      </c>
      <c r="N486" t="s">
        <v>19</v>
      </c>
    </row>
    <row r="487" spans="1:14">
      <c r="A487" t="s">
        <v>398</v>
      </c>
      <c r="B487" t="s">
        <v>1798</v>
      </c>
      <c r="C487">
        <v>2011</v>
      </c>
      <c r="D487" t="s">
        <v>290</v>
      </c>
      <c r="H487">
        <v>1169</v>
      </c>
      <c r="I487">
        <v>1174</v>
      </c>
      <c r="K487">
        <v>2</v>
      </c>
      <c r="L487" t="s">
        <v>1799</v>
      </c>
      <c r="M487" t="s">
        <v>31</v>
      </c>
      <c r="N487" t="s">
        <v>19</v>
      </c>
    </row>
    <row r="488" spans="1:14">
      <c r="A488" t="s">
        <v>1800</v>
      </c>
      <c r="B488" t="s">
        <v>1801</v>
      </c>
      <c r="C488">
        <v>2011</v>
      </c>
      <c r="D488" t="s">
        <v>290</v>
      </c>
      <c r="H488">
        <v>1815</v>
      </c>
      <c r="I488">
        <v>1824</v>
      </c>
      <c r="K488">
        <v>2</v>
      </c>
      <c r="L488" t="s">
        <v>1802</v>
      </c>
      <c r="M488" t="s">
        <v>31</v>
      </c>
      <c r="N488" t="s">
        <v>19</v>
      </c>
    </row>
    <row r="489" spans="1:14">
      <c r="A489" t="s">
        <v>1803</v>
      </c>
      <c r="B489" t="s">
        <v>1804</v>
      </c>
      <c r="C489">
        <v>2011</v>
      </c>
      <c r="D489" t="s">
        <v>290</v>
      </c>
      <c r="H489">
        <v>2197</v>
      </c>
      <c r="I489">
        <v>2200</v>
      </c>
      <c r="L489" t="s">
        <v>1805</v>
      </c>
      <c r="M489" t="s">
        <v>31</v>
      </c>
      <c r="N489" t="s">
        <v>19</v>
      </c>
    </row>
    <row r="490" spans="1:14">
      <c r="A490" t="s">
        <v>1806</v>
      </c>
      <c r="B490" t="s">
        <v>1807</v>
      </c>
      <c r="C490">
        <v>2011</v>
      </c>
      <c r="D490" t="s">
        <v>290</v>
      </c>
      <c r="H490">
        <v>1147</v>
      </c>
      <c r="I490">
        <v>1156</v>
      </c>
      <c r="L490" t="s">
        <v>1808</v>
      </c>
      <c r="M490" t="s">
        <v>31</v>
      </c>
      <c r="N490" t="s">
        <v>19</v>
      </c>
    </row>
    <row r="491" spans="1:14">
      <c r="A491" t="s">
        <v>1809</v>
      </c>
      <c r="B491" t="s">
        <v>1810</v>
      </c>
      <c r="C491">
        <v>2011</v>
      </c>
      <c r="D491" t="s">
        <v>1811</v>
      </c>
      <c r="G491">
        <v>6051643</v>
      </c>
      <c r="H491">
        <v>47</v>
      </c>
      <c r="I491">
        <v>56</v>
      </c>
      <c r="K491">
        <v>2</v>
      </c>
      <c r="L491" t="s">
        <v>1812</v>
      </c>
      <c r="M491" t="s">
        <v>31</v>
      </c>
      <c r="N491" t="s">
        <v>19</v>
      </c>
    </row>
    <row r="492" spans="1:14">
      <c r="A492" t="s">
        <v>1813</v>
      </c>
      <c r="B492" t="s">
        <v>1814</v>
      </c>
      <c r="C492">
        <v>2011</v>
      </c>
      <c r="D492" t="s">
        <v>1815</v>
      </c>
      <c r="H492">
        <v>41</v>
      </c>
      <c r="I492">
        <v>49</v>
      </c>
      <c r="K492">
        <v>1</v>
      </c>
      <c r="L492" t="s">
        <v>1816</v>
      </c>
      <c r="M492" t="s">
        <v>31</v>
      </c>
      <c r="N492" t="s">
        <v>19</v>
      </c>
    </row>
    <row r="493" spans="1:14">
      <c r="A493" t="s">
        <v>1817</v>
      </c>
      <c r="B493" t="s">
        <v>1818</v>
      </c>
      <c r="C493">
        <v>2011</v>
      </c>
      <c r="D493" t="s">
        <v>1819</v>
      </c>
      <c r="L493" t="s">
        <v>1820</v>
      </c>
      <c r="M493" t="s">
        <v>31</v>
      </c>
      <c r="N493" t="s">
        <v>19</v>
      </c>
    </row>
    <row r="494" spans="1:14">
      <c r="A494" t="s">
        <v>1821</v>
      </c>
      <c r="B494" t="s">
        <v>1822</v>
      </c>
      <c r="C494">
        <v>2011</v>
      </c>
      <c r="D494" t="s">
        <v>1823</v>
      </c>
      <c r="E494">
        <v>3</v>
      </c>
      <c r="G494">
        <v>6116893</v>
      </c>
      <c r="H494">
        <v>410</v>
      </c>
      <c r="I494">
        <v>415</v>
      </c>
      <c r="L494" t="s">
        <v>1824</v>
      </c>
      <c r="M494" t="s">
        <v>31</v>
      </c>
      <c r="N494" t="s">
        <v>19</v>
      </c>
    </row>
    <row r="495" spans="1:14">
      <c r="A495" t="s">
        <v>1825</v>
      </c>
      <c r="B495" t="s">
        <v>1826</v>
      </c>
      <c r="C495">
        <v>2011</v>
      </c>
      <c r="D495" t="s">
        <v>1827</v>
      </c>
      <c r="G495">
        <v>6138556</v>
      </c>
      <c r="H495">
        <v>77</v>
      </c>
      <c r="I495">
        <v>82</v>
      </c>
      <c r="L495" t="s">
        <v>1828</v>
      </c>
      <c r="M495" t="s">
        <v>31</v>
      </c>
      <c r="N495" t="s">
        <v>19</v>
      </c>
    </row>
    <row r="496" spans="1:14">
      <c r="A496" t="s">
        <v>1829</v>
      </c>
      <c r="B496" t="s">
        <v>1830</v>
      </c>
      <c r="C496">
        <v>2011</v>
      </c>
      <c r="D496" t="s">
        <v>1831</v>
      </c>
      <c r="H496">
        <v>21</v>
      </c>
      <c r="I496">
        <v>30</v>
      </c>
      <c r="L496" t="s">
        <v>1832</v>
      </c>
      <c r="M496" t="s">
        <v>31</v>
      </c>
      <c r="N496" t="s">
        <v>19</v>
      </c>
    </row>
    <row r="497" spans="1:14">
      <c r="A497" t="s">
        <v>1833</v>
      </c>
      <c r="B497" t="s">
        <v>1834</v>
      </c>
      <c r="C497">
        <v>2011</v>
      </c>
      <c r="D497" t="s">
        <v>1835</v>
      </c>
      <c r="E497">
        <v>1</v>
      </c>
      <c r="H497">
        <v>423</v>
      </c>
      <c r="I497">
        <v>432</v>
      </c>
      <c r="L497" t="s">
        <v>1836</v>
      </c>
      <c r="M497" t="s">
        <v>31</v>
      </c>
      <c r="N497" t="s">
        <v>19</v>
      </c>
    </row>
    <row r="498" spans="1:14">
      <c r="A498" t="s">
        <v>1837</v>
      </c>
      <c r="B498" t="s">
        <v>1838</v>
      </c>
      <c r="C498">
        <v>2011</v>
      </c>
      <c r="D498" t="s">
        <v>1839</v>
      </c>
      <c r="E498">
        <v>3</v>
      </c>
      <c r="G498">
        <v>6182230</v>
      </c>
      <c r="H498">
        <v>1415</v>
      </c>
      <c r="I498">
        <v>1418</v>
      </c>
      <c r="L498" t="s">
        <v>1840</v>
      </c>
      <c r="M498" t="s">
        <v>31</v>
      </c>
      <c r="N498" t="s">
        <v>19</v>
      </c>
    </row>
    <row r="499" spans="1:14">
      <c r="A499" t="s">
        <v>1841</v>
      </c>
      <c r="B499" t="s">
        <v>1842</v>
      </c>
      <c r="C499">
        <v>2011</v>
      </c>
      <c r="D499" t="s">
        <v>1843</v>
      </c>
      <c r="E499">
        <v>2011</v>
      </c>
      <c r="F499" t="s">
        <v>1844</v>
      </c>
      <c r="H499">
        <v>345</v>
      </c>
      <c r="I499">
        <v>349</v>
      </c>
      <c r="L499" t="s">
        <v>1845</v>
      </c>
      <c r="M499" t="s">
        <v>31</v>
      </c>
      <c r="N499" t="s">
        <v>19</v>
      </c>
    </row>
    <row r="500" spans="1:14">
      <c r="A500" t="s">
        <v>1846</v>
      </c>
      <c r="B500" t="s">
        <v>1847</v>
      </c>
      <c r="C500">
        <v>2011</v>
      </c>
      <c r="D500" t="s">
        <v>1848</v>
      </c>
      <c r="H500">
        <v>33</v>
      </c>
      <c r="I500">
        <v>38</v>
      </c>
      <c r="K500">
        <v>1</v>
      </c>
      <c r="L500" t="s">
        <v>1849</v>
      </c>
      <c r="M500" t="s">
        <v>31</v>
      </c>
      <c r="N500" t="s">
        <v>19</v>
      </c>
    </row>
    <row r="501" spans="1:14">
      <c r="A501" t="s">
        <v>1850</v>
      </c>
      <c r="B501" t="s">
        <v>1851</v>
      </c>
      <c r="C501">
        <v>2011</v>
      </c>
      <c r="D501" t="s">
        <v>1852</v>
      </c>
      <c r="G501">
        <v>6132774</v>
      </c>
      <c r="H501">
        <v>21</v>
      </c>
      <c r="I501">
        <v>26</v>
      </c>
      <c r="K501">
        <v>3</v>
      </c>
      <c r="L501" t="s">
        <v>1853</v>
      </c>
      <c r="M501" t="s">
        <v>31</v>
      </c>
      <c r="N501" t="s">
        <v>19</v>
      </c>
    </row>
    <row r="502" spans="1:14">
      <c r="A502" t="s">
        <v>1854</v>
      </c>
      <c r="B502" t="s">
        <v>1855</v>
      </c>
      <c r="C502">
        <v>2011</v>
      </c>
      <c r="D502" t="s">
        <v>976</v>
      </c>
      <c r="E502">
        <v>128</v>
      </c>
      <c r="H502">
        <v>219</v>
      </c>
      <c r="I502">
        <v>225</v>
      </c>
      <c r="L502" t="s">
        <v>1856</v>
      </c>
      <c r="M502" t="s">
        <v>31</v>
      </c>
      <c r="N502" t="s">
        <v>19</v>
      </c>
    </row>
    <row r="503" spans="1:14">
      <c r="A503" t="s">
        <v>1857</v>
      </c>
      <c r="B503" t="s">
        <v>1858</v>
      </c>
      <c r="C503">
        <v>2011</v>
      </c>
      <c r="D503" t="s">
        <v>1859</v>
      </c>
      <c r="E503" t="s">
        <v>1860</v>
      </c>
      <c r="H503">
        <v>438</v>
      </c>
      <c r="I503">
        <v>443</v>
      </c>
      <c r="L503" t="s">
        <v>1861</v>
      </c>
      <c r="M503" t="s">
        <v>31</v>
      </c>
      <c r="N503" t="s">
        <v>19</v>
      </c>
    </row>
    <row r="504" spans="1:14">
      <c r="A504" t="s">
        <v>1862</v>
      </c>
      <c r="B504" t="s">
        <v>1863</v>
      </c>
      <c r="C504">
        <v>2011</v>
      </c>
      <c r="D504" t="s">
        <v>1864</v>
      </c>
      <c r="H504">
        <v>183</v>
      </c>
      <c r="I504">
        <v>188</v>
      </c>
      <c r="L504" t="s">
        <v>1865</v>
      </c>
      <c r="M504" t="s">
        <v>31</v>
      </c>
      <c r="N504" t="s">
        <v>19</v>
      </c>
    </row>
    <row r="505" spans="1:14">
      <c r="A505" t="s">
        <v>1866</v>
      </c>
      <c r="B505" t="s">
        <v>1867</v>
      </c>
      <c r="C505">
        <v>2011</v>
      </c>
      <c r="D505" t="s">
        <v>1868</v>
      </c>
      <c r="G505">
        <v>6184103</v>
      </c>
      <c r="H505">
        <v>187</v>
      </c>
      <c r="I505">
        <v>192</v>
      </c>
      <c r="L505" t="s">
        <v>1869</v>
      </c>
      <c r="M505" t="s">
        <v>31</v>
      </c>
      <c r="N505" t="s">
        <v>19</v>
      </c>
    </row>
    <row r="506" spans="1:14">
      <c r="A506" t="s">
        <v>1870</v>
      </c>
      <c r="B506" t="s">
        <v>1871</v>
      </c>
      <c r="C506">
        <v>2011</v>
      </c>
      <c r="D506" t="s">
        <v>1872</v>
      </c>
      <c r="G506">
        <v>6118188</v>
      </c>
      <c r="H506">
        <v>1607</v>
      </c>
      <c r="I506">
        <v>1611</v>
      </c>
      <c r="L506" t="s">
        <v>1873</v>
      </c>
      <c r="M506" t="s">
        <v>31</v>
      </c>
      <c r="N506" t="s">
        <v>19</v>
      </c>
    </row>
    <row r="507" spans="1:14">
      <c r="A507" t="s">
        <v>1874</v>
      </c>
      <c r="B507" t="s">
        <v>1875</v>
      </c>
      <c r="C507">
        <v>2011</v>
      </c>
      <c r="D507" t="s">
        <v>1876</v>
      </c>
      <c r="H507">
        <v>1254</v>
      </c>
      <c r="I507">
        <v>1258</v>
      </c>
      <c r="L507" t="s">
        <v>1877</v>
      </c>
      <c r="M507" t="s">
        <v>31</v>
      </c>
      <c r="N507" t="s">
        <v>19</v>
      </c>
    </row>
    <row r="508" spans="1:14">
      <c r="A508" t="s">
        <v>1878</v>
      </c>
      <c r="B508" t="s">
        <v>1879</v>
      </c>
      <c r="C508">
        <v>2011</v>
      </c>
      <c r="D508" t="s">
        <v>213</v>
      </c>
      <c r="G508">
        <v>2378124</v>
      </c>
      <c r="L508" t="s">
        <v>1880</v>
      </c>
      <c r="M508" t="s">
        <v>31</v>
      </c>
      <c r="N508" t="s">
        <v>19</v>
      </c>
    </row>
    <row r="509" spans="1:14">
      <c r="A509" t="s">
        <v>1881</v>
      </c>
      <c r="B509" t="s">
        <v>1882</v>
      </c>
      <c r="C509">
        <v>2011</v>
      </c>
      <c r="D509" t="s">
        <v>1883</v>
      </c>
      <c r="G509">
        <v>6133607</v>
      </c>
      <c r="L509" t="s">
        <v>1884</v>
      </c>
      <c r="M509" t="s">
        <v>31</v>
      </c>
      <c r="N509" t="s">
        <v>19</v>
      </c>
    </row>
    <row r="510" spans="1:14">
      <c r="A510" t="s">
        <v>1885</v>
      </c>
      <c r="B510" t="s">
        <v>1886</v>
      </c>
      <c r="C510">
        <v>2011</v>
      </c>
      <c r="D510" t="s">
        <v>1887</v>
      </c>
      <c r="G510">
        <v>6113097</v>
      </c>
      <c r="H510">
        <v>73</v>
      </c>
      <c r="I510">
        <v>80</v>
      </c>
      <c r="K510">
        <v>3</v>
      </c>
      <c r="L510" t="s">
        <v>1888</v>
      </c>
      <c r="M510" t="s">
        <v>31</v>
      </c>
      <c r="N510" t="s">
        <v>19</v>
      </c>
    </row>
    <row r="511" spans="1:14">
      <c r="A511" t="s">
        <v>1889</v>
      </c>
      <c r="B511" t="s">
        <v>1890</v>
      </c>
      <c r="C511">
        <v>2011</v>
      </c>
      <c r="D511" t="s">
        <v>1891</v>
      </c>
      <c r="E511">
        <v>1</v>
      </c>
      <c r="G511">
        <v>6146939</v>
      </c>
      <c r="H511">
        <v>40</v>
      </c>
      <c r="I511">
        <v>43</v>
      </c>
      <c r="L511" t="s">
        <v>1892</v>
      </c>
      <c r="M511" t="s">
        <v>31</v>
      </c>
      <c r="N511" t="s">
        <v>19</v>
      </c>
    </row>
    <row r="512" spans="1:14">
      <c r="A512" t="s">
        <v>1893</v>
      </c>
      <c r="B512" t="s">
        <v>1894</v>
      </c>
      <c r="C512">
        <v>2011</v>
      </c>
      <c r="D512" t="s">
        <v>1895</v>
      </c>
      <c r="G512">
        <v>5986562</v>
      </c>
      <c r="H512">
        <v>237</v>
      </c>
      <c r="I512">
        <v>242</v>
      </c>
      <c r="L512" t="s">
        <v>1896</v>
      </c>
      <c r="M512" t="s">
        <v>31</v>
      </c>
      <c r="N512" t="s">
        <v>19</v>
      </c>
    </row>
    <row r="513" spans="1:14">
      <c r="A513" t="s">
        <v>1897</v>
      </c>
      <c r="B513" t="s">
        <v>1898</v>
      </c>
      <c r="C513">
        <v>2011</v>
      </c>
      <c r="D513" t="s">
        <v>1899</v>
      </c>
      <c r="G513">
        <v>6137284</v>
      </c>
      <c r="H513">
        <v>794</v>
      </c>
      <c r="I513">
        <v>803</v>
      </c>
      <c r="K513">
        <v>1</v>
      </c>
      <c r="L513" t="s">
        <v>1900</v>
      </c>
      <c r="M513" t="s">
        <v>31</v>
      </c>
      <c r="N513" t="s">
        <v>19</v>
      </c>
    </row>
    <row r="514" spans="1:14">
      <c r="A514" t="s">
        <v>1901</v>
      </c>
      <c r="B514" t="s">
        <v>1902</v>
      </c>
      <c r="C514">
        <v>2011</v>
      </c>
      <c r="D514" t="s">
        <v>1903</v>
      </c>
      <c r="G514">
        <v>6149325</v>
      </c>
      <c r="H514">
        <v>2563</v>
      </c>
      <c r="I514">
        <v>2572</v>
      </c>
      <c r="L514" t="s">
        <v>1904</v>
      </c>
      <c r="M514" t="s">
        <v>31</v>
      </c>
      <c r="N514" t="s">
        <v>19</v>
      </c>
    </row>
    <row r="515" spans="1:14">
      <c r="A515" t="s">
        <v>1905</v>
      </c>
      <c r="B515" t="s">
        <v>1906</v>
      </c>
      <c r="C515">
        <v>2011</v>
      </c>
      <c r="D515" t="s">
        <v>213</v>
      </c>
      <c r="H515">
        <v>147</v>
      </c>
      <c r="I515">
        <v>152</v>
      </c>
      <c r="L515" t="s">
        <v>1907</v>
      </c>
      <c r="M515" t="s">
        <v>31</v>
      </c>
      <c r="N515" t="s">
        <v>19</v>
      </c>
    </row>
    <row r="516" spans="1:14">
      <c r="A516" t="s">
        <v>1908</v>
      </c>
      <c r="B516" t="s">
        <v>1909</v>
      </c>
      <c r="C516">
        <v>2011</v>
      </c>
      <c r="D516" t="s">
        <v>1910</v>
      </c>
      <c r="E516">
        <v>12</v>
      </c>
      <c r="F516">
        <v>12</v>
      </c>
      <c r="H516">
        <v>767</v>
      </c>
      <c r="I516">
        <v>797</v>
      </c>
      <c r="L516" t="s">
        <v>1911</v>
      </c>
      <c r="M516" t="s">
        <v>18</v>
      </c>
      <c r="N516" t="s">
        <v>19</v>
      </c>
    </row>
    <row r="517" spans="1:14">
      <c r="A517" t="s">
        <v>1912</v>
      </c>
      <c r="B517" t="s">
        <v>1913</v>
      </c>
      <c r="C517">
        <v>2011</v>
      </c>
      <c r="D517" t="s">
        <v>1914</v>
      </c>
      <c r="G517">
        <v>6118876</v>
      </c>
      <c r="H517">
        <v>966</v>
      </c>
      <c r="I517">
        <v>973</v>
      </c>
      <c r="L517" t="s">
        <v>1915</v>
      </c>
      <c r="M517" t="s">
        <v>31</v>
      </c>
      <c r="N517" t="s">
        <v>19</v>
      </c>
    </row>
    <row r="518" spans="1:14">
      <c r="A518" t="s">
        <v>1916</v>
      </c>
      <c r="B518" t="s">
        <v>1917</v>
      </c>
      <c r="C518">
        <v>2011</v>
      </c>
      <c r="D518" t="s">
        <v>1918</v>
      </c>
      <c r="G518">
        <v>6137803</v>
      </c>
      <c r="H518">
        <v>269</v>
      </c>
      <c r="I518">
        <v>272</v>
      </c>
      <c r="L518" t="s">
        <v>1919</v>
      </c>
      <c r="M518" t="s">
        <v>31</v>
      </c>
      <c r="N518" t="s">
        <v>19</v>
      </c>
    </row>
    <row r="519" spans="1:14">
      <c r="A519" t="s">
        <v>1920</v>
      </c>
      <c r="B519" t="s">
        <v>1921</v>
      </c>
      <c r="C519">
        <v>2011</v>
      </c>
      <c r="D519" t="s">
        <v>1922</v>
      </c>
      <c r="H519">
        <v>447</v>
      </c>
      <c r="I519">
        <v>453</v>
      </c>
      <c r="L519" t="s">
        <v>1923</v>
      </c>
      <c r="M519" t="s">
        <v>31</v>
      </c>
      <c r="N519" t="s">
        <v>19</v>
      </c>
    </row>
    <row r="520" spans="1:14">
      <c r="A520" t="s">
        <v>1924</v>
      </c>
      <c r="B520" t="s">
        <v>1925</v>
      </c>
      <c r="C520">
        <v>2011</v>
      </c>
      <c r="D520" t="s">
        <v>1899</v>
      </c>
      <c r="G520">
        <v>6137526</v>
      </c>
      <c r="H520">
        <v>1235</v>
      </c>
      <c r="I520">
        <v>1238</v>
      </c>
      <c r="L520" t="s">
        <v>1926</v>
      </c>
      <c r="M520" t="s">
        <v>31</v>
      </c>
      <c r="N520" t="s">
        <v>19</v>
      </c>
    </row>
    <row r="521" spans="1:14">
      <c r="A521" t="s">
        <v>1927</v>
      </c>
      <c r="B521" t="s">
        <v>1928</v>
      </c>
      <c r="C521">
        <v>2011</v>
      </c>
      <c r="D521" t="s">
        <v>1929</v>
      </c>
      <c r="E521">
        <v>5</v>
      </c>
      <c r="H521">
        <v>442</v>
      </c>
      <c r="I521">
        <v>449</v>
      </c>
      <c r="K521">
        <v>3</v>
      </c>
      <c r="L521" t="s">
        <v>1930</v>
      </c>
      <c r="M521" t="s">
        <v>31</v>
      </c>
      <c r="N521" t="s">
        <v>19</v>
      </c>
    </row>
    <row r="522" spans="1:14">
      <c r="A522" t="s">
        <v>1931</v>
      </c>
      <c r="B522" t="s">
        <v>1932</v>
      </c>
      <c r="C522">
        <v>2011</v>
      </c>
      <c r="D522" t="s">
        <v>1933</v>
      </c>
      <c r="G522">
        <v>6143801</v>
      </c>
      <c r="H522">
        <v>1340</v>
      </c>
      <c r="I522">
        <v>1343</v>
      </c>
      <c r="L522" t="s">
        <v>1934</v>
      </c>
      <c r="M522" t="s">
        <v>31</v>
      </c>
      <c r="N522" t="s">
        <v>19</v>
      </c>
    </row>
    <row r="523" spans="1:14">
      <c r="A523" t="s">
        <v>1935</v>
      </c>
      <c r="B523" t="s">
        <v>1936</v>
      </c>
      <c r="C523">
        <v>2011</v>
      </c>
      <c r="D523" t="s">
        <v>1937</v>
      </c>
      <c r="G523">
        <v>6142273</v>
      </c>
      <c r="H523">
        <v>273</v>
      </c>
      <c r="I523">
        <v>282</v>
      </c>
      <c r="L523" t="s">
        <v>1938</v>
      </c>
      <c r="M523" t="s">
        <v>31</v>
      </c>
      <c r="N523" t="s">
        <v>19</v>
      </c>
    </row>
    <row r="524" spans="1:14">
      <c r="A524" t="s">
        <v>1939</v>
      </c>
      <c r="B524" t="s">
        <v>1940</v>
      </c>
      <c r="C524">
        <v>2011</v>
      </c>
      <c r="D524" t="s">
        <v>1903</v>
      </c>
      <c r="G524">
        <v>6148987</v>
      </c>
      <c r="H524">
        <v>764</v>
      </c>
      <c r="I524">
        <v>773</v>
      </c>
      <c r="L524" t="s">
        <v>1941</v>
      </c>
      <c r="M524" t="s">
        <v>31</v>
      </c>
      <c r="N524" t="s">
        <v>19</v>
      </c>
    </row>
    <row r="525" spans="1:14">
      <c r="A525" t="s">
        <v>1129</v>
      </c>
      <c r="B525" t="s">
        <v>1942</v>
      </c>
      <c r="C525">
        <v>2011</v>
      </c>
      <c r="D525" t="s">
        <v>1943</v>
      </c>
      <c r="E525">
        <v>2</v>
      </c>
      <c r="H525">
        <v>207</v>
      </c>
      <c r="I525">
        <v>210</v>
      </c>
      <c r="L525" t="s">
        <v>1944</v>
      </c>
      <c r="M525" t="s">
        <v>31</v>
      </c>
      <c r="N525" t="s">
        <v>19</v>
      </c>
    </row>
    <row r="526" spans="1:14">
      <c r="A526" t="s">
        <v>1945</v>
      </c>
      <c r="B526" t="s">
        <v>1946</v>
      </c>
      <c r="C526">
        <v>2011</v>
      </c>
      <c r="D526" t="s">
        <v>55</v>
      </c>
      <c r="E526" t="s">
        <v>1947</v>
      </c>
      <c r="F526" t="s">
        <v>228</v>
      </c>
      <c r="H526">
        <v>367</v>
      </c>
      <c r="I526">
        <v>376</v>
      </c>
      <c r="L526" t="s">
        <v>1948</v>
      </c>
      <c r="M526" t="s">
        <v>31</v>
      </c>
      <c r="N526" t="s">
        <v>19</v>
      </c>
    </row>
    <row r="527" spans="1:14">
      <c r="A527" t="s">
        <v>1949</v>
      </c>
      <c r="B527" t="s">
        <v>1950</v>
      </c>
      <c r="C527">
        <v>2011</v>
      </c>
      <c r="D527" t="s">
        <v>1899</v>
      </c>
      <c r="G527">
        <v>6137520</v>
      </c>
      <c r="H527">
        <v>1211</v>
      </c>
      <c r="I527">
        <v>1214</v>
      </c>
      <c r="L527" t="s">
        <v>1951</v>
      </c>
      <c r="M527" t="s">
        <v>31</v>
      </c>
      <c r="N527" t="s">
        <v>19</v>
      </c>
    </row>
    <row r="528" spans="1:14">
      <c r="A528" t="s">
        <v>1952</v>
      </c>
      <c r="B528" t="s">
        <v>1953</v>
      </c>
      <c r="C528">
        <v>2011</v>
      </c>
      <c r="D528" t="s">
        <v>1954</v>
      </c>
      <c r="L528" t="s">
        <v>1955</v>
      </c>
      <c r="M528" t="s">
        <v>31</v>
      </c>
      <c r="N528" t="s">
        <v>19</v>
      </c>
    </row>
    <row r="529" spans="1:14">
      <c r="A529" t="s">
        <v>1956</v>
      </c>
      <c r="B529" t="s">
        <v>1957</v>
      </c>
      <c r="C529">
        <v>2011</v>
      </c>
      <c r="D529" t="s">
        <v>1958</v>
      </c>
      <c r="L529" t="s">
        <v>1959</v>
      </c>
      <c r="M529" t="s">
        <v>31</v>
      </c>
      <c r="N529" t="s">
        <v>19</v>
      </c>
    </row>
    <row r="530" spans="1:14">
      <c r="A530" t="s">
        <v>1960</v>
      </c>
      <c r="B530" t="s">
        <v>1961</v>
      </c>
      <c r="C530">
        <v>2011</v>
      </c>
      <c r="D530" t="s">
        <v>1848</v>
      </c>
      <c r="H530">
        <v>2</v>
      </c>
      <c r="I530">
        <v>7</v>
      </c>
      <c r="L530" t="s">
        <v>1962</v>
      </c>
      <c r="M530" t="s">
        <v>31</v>
      </c>
      <c r="N530" t="s">
        <v>19</v>
      </c>
    </row>
    <row r="531" spans="1:14">
      <c r="A531" t="s">
        <v>1963</v>
      </c>
      <c r="B531" t="s">
        <v>1964</v>
      </c>
      <c r="C531">
        <v>2011</v>
      </c>
      <c r="D531" t="s">
        <v>1965</v>
      </c>
      <c r="G531">
        <v>6130218</v>
      </c>
      <c r="H531">
        <v>24</v>
      </c>
      <c r="I531">
        <v>31</v>
      </c>
      <c r="L531" t="s">
        <v>1966</v>
      </c>
      <c r="M531" t="s">
        <v>31</v>
      </c>
      <c r="N531" t="s">
        <v>19</v>
      </c>
    </row>
    <row r="532" spans="1:14">
      <c r="A532" t="s">
        <v>1967</v>
      </c>
      <c r="B532" t="s">
        <v>1968</v>
      </c>
      <c r="C532">
        <v>2011</v>
      </c>
      <c r="D532" t="s">
        <v>1903</v>
      </c>
      <c r="G532">
        <v>6149101</v>
      </c>
      <c r="H532">
        <v>1777</v>
      </c>
      <c r="I532">
        <v>1784</v>
      </c>
      <c r="L532" t="s">
        <v>1969</v>
      </c>
      <c r="M532" t="s">
        <v>31</v>
      </c>
      <c r="N532" t="s">
        <v>19</v>
      </c>
    </row>
    <row r="533" spans="1:14">
      <c r="A533" t="s">
        <v>1970</v>
      </c>
      <c r="B533" t="s">
        <v>1971</v>
      </c>
      <c r="C533">
        <v>2011</v>
      </c>
      <c r="D533" t="s">
        <v>1972</v>
      </c>
      <c r="G533">
        <v>6121695</v>
      </c>
      <c r="H533">
        <v>438</v>
      </c>
      <c r="I533">
        <v>443</v>
      </c>
      <c r="L533" t="s">
        <v>1973</v>
      </c>
      <c r="M533" t="s">
        <v>31</v>
      </c>
      <c r="N533" t="s">
        <v>19</v>
      </c>
    </row>
    <row r="534" spans="1:14">
      <c r="A534" t="s">
        <v>1974</v>
      </c>
      <c r="B534" t="s">
        <v>1975</v>
      </c>
      <c r="C534">
        <v>2011</v>
      </c>
      <c r="D534" t="s">
        <v>213</v>
      </c>
      <c r="H534">
        <v>363</v>
      </c>
      <c r="I534">
        <v>366</v>
      </c>
      <c r="L534" t="s">
        <v>1976</v>
      </c>
      <c r="M534" t="s">
        <v>31</v>
      </c>
      <c r="N534" t="s">
        <v>19</v>
      </c>
    </row>
    <row r="535" spans="1:14">
      <c r="A535" t="s">
        <v>1977</v>
      </c>
      <c r="B535" t="s">
        <v>1978</v>
      </c>
      <c r="C535">
        <v>2011</v>
      </c>
      <c r="D535" t="s">
        <v>1903</v>
      </c>
      <c r="G535">
        <v>6149355</v>
      </c>
      <c r="H535">
        <v>4850</v>
      </c>
      <c r="I535">
        <v>4859</v>
      </c>
      <c r="L535" t="s">
        <v>1979</v>
      </c>
      <c r="M535" t="s">
        <v>31</v>
      </c>
      <c r="N535" t="s">
        <v>19</v>
      </c>
    </row>
    <row r="536" spans="1:14">
      <c r="A536" t="s">
        <v>1980</v>
      </c>
      <c r="B536" t="s">
        <v>1981</v>
      </c>
      <c r="C536">
        <v>2011</v>
      </c>
      <c r="D536" t="s">
        <v>1982</v>
      </c>
      <c r="G536">
        <v>6156356</v>
      </c>
      <c r="L536" t="s">
        <v>1983</v>
      </c>
      <c r="M536" t="s">
        <v>31</v>
      </c>
      <c r="N536" t="s">
        <v>19</v>
      </c>
    </row>
    <row r="537" spans="1:14">
      <c r="A537" t="s">
        <v>1984</v>
      </c>
      <c r="B537" t="s">
        <v>1985</v>
      </c>
      <c r="C537">
        <v>2011</v>
      </c>
      <c r="D537" t="s">
        <v>1986</v>
      </c>
      <c r="L537" t="s">
        <v>1987</v>
      </c>
      <c r="M537" t="s">
        <v>31</v>
      </c>
      <c r="N537" t="s">
        <v>19</v>
      </c>
    </row>
    <row r="538" spans="1:14">
      <c r="A538" t="s">
        <v>1988</v>
      </c>
      <c r="B538" t="s">
        <v>1989</v>
      </c>
      <c r="C538">
        <v>2011</v>
      </c>
      <c r="D538" t="s">
        <v>1958</v>
      </c>
      <c r="L538" t="s">
        <v>1990</v>
      </c>
      <c r="M538" t="s">
        <v>31</v>
      </c>
      <c r="N538" t="s">
        <v>19</v>
      </c>
    </row>
    <row r="539" spans="1:14">
      <c r="A539" t="s">
        <v>1991</v>
      </c>
      <c r="B539" t="s">
        <v>1992</v>
      </c>
      <c r="C539">
        <v>2011</v>
      </c>
      <c r="D539" t="s">
        <v>1993</v>
      </c>
      <c r="G539">
        <v>6122550</v>
      </c>
      <c r="H539">
        <v>867</v>
      </c>
      <c r="I539">
        <v>870</v>
      </c>
      <c r="L539" t="s">
        <v>1994</v>
      </c>
      <c r="M539" t="s">
        <v>31</v>
      </c>
      <c r="N539" t="s">
        <v>19</v>
      </c>
    </row>
    <row r="540" spans="1:14">
      <c r="A540" t="s">
        <v>1995</v>
      </c>
      <c r="B540" t="s">
        <v>1996</v>
      </c>
      <c r="C540">
        <v>2011</v>
      </c>
      <c r="D540" t="s">
        <v>1997</v>
      </c>
      <c r="H540">
        <v>129</v>
      </c>
      <c r="I540">
        <v>134</v>
      </c>
      <c r="L540" t="s">
        <v>1998</v>
      </c>
      <c r="M540" t="s">
        <v>31</v>
      </c>
      <c r="N540" t="s">
        <v>19</v>
      </c>
    </row>
    <row r="541" spans="1:14">
      <c r="A541" t="s">
        <v>1999</v>
      </c>
      <c r="B541" t="s">
        <v>2000</v>
      </c>
      <c r="C541">
        <v>2011</v>
      </c>
      <c r="D541" t="s">
        <v>1903</v>
      </c>
      <c r="G541">
        <v>6149232</v>
      </c>
      <c r="H541">
        <v>3368</v>
      </c>
      <c r="I541">
        <v>3377</v>
      </c>
      <c r="L541" t="s">
        <v>2001</v>
      </c>
      <c r="M541" t="s">
        <v>31</v>
      </c>
      <c r="N541" t="s">
        <v>19</v>
      </c>
    </row>
    <row r="542" spans="1:14">
      <c r="A542" t="s">
        <v>2002</v>
      </c>
      <c r="B542" t="s">
        <v>2003</v>
      </c>
      <c r="C542">
        <v>2011</v>
      </c>
      <c r="D542" t="s">
        <v>1903</v>
      </c>
      <c r="G542">
        <v>6149301</v>
      </c>
      <c r="H542">
        <v>2366</v>
      </c>
      <c r="I542">
        <v>2373</v>
      </c>
      <c r="L542" t="s">
        <v>2004</v>
      </c>
      <c r="M542" t="s">
        <v>31</v>
      </c>
      <c r="N542" t="s">
        <v>19</v>
      </c>
    </row>
    <row r="543" spans="1:14">
      <c r="A543" t="s">
        <v>2005</v>
      </c>
      <c r="B543" t="s">
        <v>2006</v>
      </c>
      <c r="C543">
        <v>2011</v>
      </c>
      <c r="D543" t="s">
        <v>1914</v>
      </c>
      <c r="G543">
        <v>6118892</v>
      </c>
      <c r="H543">
        <v>846</v>
      </c>
      <c r="I543">
        <v>853</v>
      </c>
      <c r="L543" t="s">
        <v>2007</v>
      </c>
      <c r="M543" t="s">
        <v>31</v>
      </c>
      <c r="N543" t="s">
        <v>19</v>
      </c>
    </row>
    <row r="544" spans="1:14">
      <c r="A544" t="s">
        <v>2008</v>
      </c>
      <c r="B544" t="s">
        <v>2009</v>
      </c>
      <c r="C544">
        <v>2011</v>
      </c>
      <c r="D544" t="s">
        <v>2010</v>
      </c>
      <c r="E544">
        <v>35</v>
      </c>
      <c r="F544">
        <v>4</v>
      </c>
      <c r="H544">
        <v>1063</v>
      </c>
      <c r="I544">
        <v>1078</v>
      </c>
      <c r="K544">
        <v>2</v>
      </c>
      <c r="L544" t="s">
        <v>2011</v>
      </c>
      <c r="M544" t="s">
        <v>18</v>
      </c>
      <c r="N544" t="s">
        <v>19</v>
      </c>
    </row>
    <row r="545" spans="1:14">
      <c r="A545" t="s">
        <v>2012</v>
      </c>
      <c r="B545" t="s">
        <v>2013</v>
      </c>
      <c r="C545">
        <v>2011</v>
      </c>
      <c r="D545" t="s">
        <v>2014</v>
      </c>
      <c r="E545">
        <v>1</v>
      </c>
      <c r="H545">
        <v>535</v>
      </c>
      <c r="I545">
        <v>545</v>
      </c>
      <c r="L545" t="s">
        <v>2015</v>
      </c>
      <c r="M545" t="s">
        <v>31</v>
      </c>
      <c r="N545" t="s">
        <v>19</v>
      </c>
    </row>
    <row r="546" spans="1:14">
      <c r="A546" t="s">
        <v>2016</v>
      </c>
      <c r="B546" t="s">
        <v>2017</v>
      </c>
      <c r="C546">
        <v>2011</v>
      </c>
      <c r="D546" t="s">
        <v>1872</v>
      </c>
      <c r="G546">
        <v>6118223</v>
      </c>
      <c r="H546">
        <v>1784</v>
      </c>
      <c r="I546">
        <v>1788</v>
      </c>
      <c r="L546" t="s">
        <v>2018</v>
      </c>
      <c r="M546" t="s">
        <v>31</v>
      </c>
      <c r="N546" t="s">
        <v>19</v>
      </c>
    </row>
    <row r="547" spans="1:14">
      <c r="A547" t="s">
        <v>2019</v>
      </c>
      <c r="B547" t="s">
        <v>2020</v>
      </c>
      <c r="C547">
        <v>2011</v>
      </c>
      <c r="D547" t="s">
        <v>1676</v>
      </c>
      <c r="E547">
        <v>29</v>
      </c>
      <c r="F547">
        <v>10</v>
      </c>
      <c r="H547">
        <v>987</v>
      </c>
      <c r="I547">
        <v>1002</v>
      </c>
      <c r="L547" t="s">
        <v>2021</v>
      </c>
      <c r="M547" t="s">
        <v>18</v>
      </c>
      <c r="N547" t="s">
        <v>19</v>
      </c>
    </row>
    <row r="548" spans="1:14">
      <c r="A548" t="s">
        <v>2022</v>
      </c>
      <c r="B548" t="s">
        <v>2023</v>
      </c>
      <c r="C548">
        <v>2011</v>
      </c>
      <c r="D548" t="s">
        <v>2024</v>
      </c>
      <c r="E548">
        <v>5</v>
      </c>
      <c r="F548">
        <v>4</v>
      </c>
      <c r="G548">
        <v>6036143</v>
      </c>
      <c r="H548">
        <v>495</v>
      </c>
      <c r="I548">
        <v>505</v>
      </c>
      <c r="K548">
        <v>2</v>
      </c>
      <c r="L548" t="s">
        <v>2025</v>
      </c>
      <c r="M548" t="s">
        <v>18</v>
      </c>
      <c r="N548" t="s">
        <v>19</v>
      </c>
    </row>
    <row r="549" spans="1:14">
      <c r="A549" t="s">
        <v>2026</v>
      </c>
      <c r="B549" t="s">
        <v>2027</v>
      </c>
      <c r="C549">
        <v>2011</v>
      </c>
      <c r="D549" t="s">
        <v>206</v>
      </c>
      <c r="E549">
        <v>2</v>
      </c>
      <c r="H549">
        <v>1119</v>
      </c>
      <c r="I549">
        <v>1126</v>
      </c>
      <c r="L549" t="s">
        <v>2028</v>
      </c>
      <c r="M549" t="s">
        <v>18</v>
      </c>
      <c r="N549" t="s">
        <v>19</v>
      </c>
    </row>
    <row r="550" spans="1:14">
      <c r="A550" t="s">
        <v>2029</v>
      </c>
      <c r="B550" t="s">
        <v>2030</v>
      </c>
      <c r="C550">
        <v>2011</v>
      </c>
      <c r="D550" t="s">
        <v>2031</v>
      </c>
      <c r="G550">
        <v>6146582</v>
      </c>
      <c r="H550">
        <v>395</v>
      </c>
      <c r="I550">
        <v>400</v>
      </c>
      <c r="K550">
        <v>1</v>
      </c>
      <c r="L550" t="s">
        <v>2032</v>
      </c>
      <c r="M550" t="s">
        <v>31</v>
      </c>
      <c r="N550" t="s">
        <v>19</v>
      </c>
    </row>
    <row r="551" spans="1:14">
      <c r="A551" t="s">
        <v>2033</v>
      </c>
      <c r="B551" t="s">
        <v>2034</v>
      </c>
      <c r="C551">
        <v>2011</v>
      </c>
      <c r="D551" t="s">
        <v>2035</v>
      </c>
      <c r="E551">
        <v>2</v>
      </c>
      <c r="G551">
        <v>6132119</v>
      </c>
      <c r="H551">
        <v>330</v>
      </c>
      <c r="I551">
        <v>334</v>
      </c>
      <c r="L551" t="s">
        <v>2036</v>
      </c>
      <c r="M551" t="s">
        <v>31</v>
      </c>
      <c r="N551" t="s">
        <v>19</v>
      </c>
    </row>
    <row r="552" spans="1:14">
      <c r="A552" t="s">
        <v>2037</v>
      </c>
      <c r="B552" t="s">
        <v>2038</v>
      </c>
      <c r="C552">
        <v>2011</v>
      </c>
      <c r="D552" t="s">
        <v>1819</v>
      </c>
      <c r="L552" t="s">
        <v>2039</v>
      </c>
      <c r="M552" t="s">
        <v>31</v>
      </c>
      <c r="N552" t="s">
        <v>19</v>
      </c>
    </row>
    <row r="553" spans="1:14">
      <c r="A553" t="s">
        <v>2040</v>
      </c>
      <c r="B553" t="s">
        <v>2041</v>
      </c>
      <c r="C553">
        <v>2011</v>
      </c>
      <c r="D553" t="s">
        <v>1899</v>
      </c>
      <c r="G553">
        <v>6137402</v>
      </c>
      <c r="H553">
        <v>358</v>
      </c>
      <c r="I553">
        <v>365</v>
      </c>
      <c r="L553" t="s">
        <v>2042</v>
      </c>
      <c r="M553" t="s">
        <v>31</v>
      </c>
      <c r="N553" t="s">
        <v>19</v>
      </c>
    </row>
    <row r="554" spans="1:14">
      <c r="A554" t="s">
        <v>2043</v>
      </c>
      <c r="B554" t="s">
        <v>2044</v>
      </c>
      <c r="C554">
        <v>2011</v>
      </c>
      <c r="D554" t="s">
        <v>1887</v>
      </c>
      <c r="G554">
        <v>6113166</v>
      </c>
      <c r="H554">
        <v>549</v>
      </c>
      <c r="I554">
        <v>554</v>
      </c>
      <c r="K554">
        <v>1</v>
      </c>
      <c r="L554" t="s">
        <v>2045</v>
      </c>
      <c r="M554" t="s">
        <v>31</v>
      </c>
      <c r="N554" t="s">
        <v>19</v>
      </c>
    </row>
    <row r="555" spans="1:14">
      <c r="A555" t="s">
        <v>2046</v>
      </c>
      <c r="B555" t="s">
        <v>2047</v>
      </c>
      <c r="C555">
        <v>2011</v>
      </c>
      <c r="D555" t="s">
        <v>1914</v>
      </c>
      <c r="G555">
        <v>6118896</v>
      </c>
      <c r="H555">
        <v>816</v>
      </c>
      <c r="I555">
        <v>823</v>
      </c>
      <c r="K555">
        <v>1</v>
      </c>
      <c r="L555" t="s">
        <v>2048</v>
      </c>
      <c r="M555" t="s">
        <v>31</v>
      </c>
      <c r="N555" t="s">
        <v>19</v>
      </c>
    </row>
    <row r="556" spans="1:14">
      <c r="A556" t="s">
        <v>2049</v>
      </c>
      <c r="B556" t="s">
        <v>2050</v>
      </c>
      <c r="C556">
        <v>2011</v>
      </c>
      <c r="D556" t="s">
        <v>55</v>
      </c>
      <c r="E556" t="s">
        <v>2051</v>
      </c>
      <c r="H556">
        <v>112</v>
      </c>
      <c r="I556">
        <v>121</v>
      </c>
      <c r="L556" t="s">
        <v>2052</v>
      </c>
      <c r="M556" t="s">
        <v>31</v>
      </c>
      <c r="N556" t="s">
        <v>19</v>
      </c>
    </row>
    <row r="557" spans="1:14">
      <c r="A557" t="s">
        <v>2053</v>
      </c>
      <c r="B557" t="s">
        <v>2054</v>
      </c>
      <c r="C557">
        <v>2011</v>
      </c>
      <c r="D557" t="s">
        <v>1887</v>
      </c>
      <c r="G557">
        <v>6113193</v>
      </c>
      <c r="H557">
        <v>661</v>
      </c>
      <c r="I557">
        <v>665</v>
      </c>
      <c r="L557" t="s">
        <v>2055</v>
      </c>
      <c r="M557" t="s">
        <v>31</v>
      </c>
      <c r="N557" t="s">
        <v>19</v>
      </c>
    </row>
    <row r="558" spans="1:14">
      <c r="A558" t="s">
        <v>2056</v>
      </c>
      <c r="B558" t="s">
        <v>2057</v>
      </c>
      <c r="C558">
        <v>2011</v>
      </c>
      <c r="D558" t="s">
        <v>2058</v>
      </c>
      <c r="E558">
        <v>6</v>
      </c>
      <c r="H558">
        <v>200</v>
      </c>
      <c r="I558">
        <v>209</v>
      </c>
      <c r="L558" t="s">
        <v>2059</v>
      </c>
      <c r="M558" t="s">
        <v>31</v>
      </c>
      <c r="N558" t="s">
        <v>19</v>
      </c>
    </row>
    <row r="559" spans="1:14">
      <c r="A559" t="s">
        <v>2060</v>
      </c>
      <c r="B559" t="s">
        <v>2061</v>
      </c>
      <c r="C559">
        <v>2011</v>
      </c>
      <c r="D559" t="s">
        <v>206</v>
      </c>
      <c r="H559">
        <v>578</v>
      </c>
      <c r="I559">
        <v>589</v>
      </c>
      <c r="L559" t="s">
        <v>2062</v>
      </c>
      <c r="M559" t="s">
        <v>18</v>
      </c>
      <c r="N559" t="s">
        <v>19</v>
      </c>
    </row>
    <row r="560" spans="1:14">
      <c r="A560" t="s">
        <v>2063</v>
      </c>
      <c r="B560" t="s">
        <v>2064</v>
      </c>
      <c r="C560">
        <v>2011</v>
      </c>
      <c r="D560" t="s">
        <v>2065</v>
      </c>
      <c r="G560">
        <v>6144789</v>
      </c>
      <c r="H560">
        <v>55</v>
      </c>
      <c r="I560">
        <v>66</v>
      </c>
      <c r="K560">
        <v>1</v>
      </c>
      <c r="L560" t="s">
        <v>2066</v>
      </c>
      <c r="M560" t="s">
        <v>31</v>
      </c>
      <c r="N560" t="s">
        <v>19</v>
      </c>
    </row>
    <row r="561" spans="1:14">
      <c r="A561" t="s">
        <v>2067</v>
      </c>
      <c r="B561" t="s">
        <v>2068</v>
      </c>
      <c r="C561">
        <v>2011</v>
      </c>
      <c r="D561" t="s">
        <v>1954</v>
      </c>
      <c r="L561" t="s">
        <v>2069</v>
      </c>
      <c r="M561" t="s">
        <v>31</v>
      </c>
      <c r="N561" t="s">
        <v>19</v>
      </c>
    </row>
    <row r="562" spans="1:14">
      <c r="A562" t="s">
        <v>2070</v>
      </c>
      <c r="B562" t="s">
        <v>2071</v>
      </c>
      <c r="C562">
        <v>2011</v>
      </c>
      <c r="D562" t="s">
        <v>335</v>
      </c>
      <c r="E562">
        <v>1</v>
      </c>
      <c r="F562">
        <v>2</v>
      </c>
      <c r="H562">
        <v>147</v>
      </c>
      <c r="I562">
        <v>153</v>
      </c>
      <c r="L562" t="s">
        <v>2072</v>
      </c>
      <c r="M562" t="s">
        <v>18</v>
      </c>
      <c r="N562" t="s">
        <v>19</v>
      </c>
    </row>
    <row r="563" spans="1:14">
      <c r="A563" t="s">
        <v>2073</v>
      </c>
      <c r="B563" t="s">
        <v>2074</v>
      </c>
      <c r="C563">
        <v>2011</v>
      </c>
      <c r="D563" t="s">
        <v>2075</v>
      </c>
      <c r="L563" t="s">
        <v>2076</v>
      </c>
      <c r="M563" t="s">
        <v>31</v>
      </c>
      <c r="N563" t="s">
        <v>19</v>
      </c>
    </row>
    <row r="564" spans="1:14">
      <c r="A564" t="s">
        <v>2077</v>
      </c>
      <c r="B564" t="s">
        <v>2078</v>
      </c>
      <c r="C564">
        <v>2011</v>
      </c>
      <c r="D564" t="s">
        <v>213</v>
      </c>
      <c r="H564">
        <v>168</v>
      </c>
      <c r="I564">
        <v>173</v>
      </c>
      <c r="L564" t="s">
        <v>2079</v>
      </c>
      <c r="M564" t="s">
        <v>31</v>
      </c>
      <c r="N564" t="s">
        <v>19</v>
      </c>
    </row>
    <row r="565" spans="1:14">
      <c r="A565" t="s">
        <v>2080</v>
      </c>
      <c r="B565" t="s">
        <v>2081</v>
      </c>
      <c r="C565">
        <v>2011</v>
      </c>
      <c r="D565" t="s">
        <v>2082</v>
      </c>
      <c r="E565">
        <v>33</v>
      </c>
      <c r="F565">
        <v>12</v>
      </c>
      <c r="H565">
        <v>3002</v>
      </c>
      <c r="I565">
        <v>3007</v>
      </c>
      <c r="K565">
        <v>2</v>
      </c>
      <c r="L565" t="s">
        <v>2083</v>
      </c>
      <c r="M565" t="s">
        <v>18</v>
      </c>
      <c r="N565" t="s">
        <v>19</v>
      </c>
    </row>
    <row r="566" spans="1:14">
      <c r="A566" t="s">
        <v>2084</v>
      </c>
      <c r="B566" t="s">
        <v>2085</v>
      </c>
      <c r="C566">
        <v>2011</v>
      </c>
      <c r="D566" t="s">
        <v>2086</v>
      </c>
      <c r="E566">
        <v>13</v>
      </c>
      <c r="F566">
        <v>12</v>
      </c>
      <c r="H566">
        <v>6245</v>
      </c>
      <c r="I566">
        <v>6262</v>
      </c>
      <c r="K566">
        <v>3</v>
      </c>
      <c r="L566" t="s">
        <v>2087</v>
      </c>
      <c r="M566" t="s">
        <v>624</v>
      </c>
      <c r="N566" t="s">
        <v>19</v>
      </c>
    </row>
    <row r="567" spans="1:14">
      <c r="A567" t="s">
        <v>2088</v>
      </c>
      <c r="B567" t="s">
        <v>2089</v>
      </c>
      <c r="C567">
        <v>2011</v>
      </c>
      <c r="D567" t="s">
        <v>2090</v>
      </c>
      <c r="E567">
        <v>22</v>
      </c>
      <c r="F567">
        <v>4</v>
      </c>
      <c r="H567">
        <v>491</v>
      </c>
      <c r="I567">
        <v>522</v>
      </c>
      <c r="L567" t="s">
        <v>2091</v>
      </c>
      <c r="M567" t="s">
        <v>18</v>
      </c>
      <c r="N567" t="s">
        <v>19</v>
      </c>
    </row>
    <row r="568" spans="1:14">
      <c r="A568" t="s">
        <v>2092</v>
      </c>
      <c r="B568" t="s">
        <v>2093</v>
      </c>
      <c r="C568">
        <v>2011</v>
      </c>
      <c r="D568" t="s">
        <v>2075</v>
      </c>
      <c r="L568" t="s">
        <v>2094</v>
      </c>
      <c r="M568" t="s">
        <v>31</v>
      </c>
      <c r="N568" t="s">
        <v>19</v>
      </c>
    </row>
    <row r="569" spans="1:14">
      <c r="A569" t="s">
        <v>2095</v>
      </c>
      <c r="B569" t="s">
        <v>2096</v>
      </c>
      <c r="C569">
        <v>2011</v>
      </c>
      <c r="D569" t="s">
        <v>2014</v>
      </c>
      <c r="E569">
        <v>5</v>
      </c>
      <c r="H569">
        <v>3419</v>
      </c>
      <c r="I569">
        <v>3429</v>
      </c>
      <c r="L569" t="s">
        <v>2097</v>
      </c>
      <c r="M569" t="s">
        <v>31</v>
      </c>
      <c r="N569" t="s">
        <v>19</v>
      </c>
    </row>
    <row r="570" spans="1:14">
      <c r="A570" t="s">
        <v>2098</v>
      </c>
      <c r="B570" t="s">
        <v>2099</v>
      </c>
      <c r="C570">
        <v>2011</v>
      </c>
      <c r="D570" t="s">
        <v>2100</v>
      </c>
      <c r="G570">
        <v>6155962</v>
      </c>
      <c r="H570">
        <v>385</v>
      </c>
      <c r="I570">
        <v>389</v>
      </c>
      <c r="L570" t="s">
        <v>2101</v>
      </c>
      <c r="M570" t="s">
        <v>31</v>
      </c>
      <c r="N570" t="s">
        <v>19</v>
      </c>
    </row>
    <row r="571" spans="1:14">
      <c r="A571" t="s">
        <v>2102</v>
      </c>
      <c r="B571" t="s">
        <v>2103</v>
      </c>
      <c r="C571">
        <v>2011</v>
      </c>
      <c r="D571" t="s">
        <v>1887</v>
      </c>
      <c r="G571">
        <v>6113217</v>
      </c>
      <c r="H571">
        <v>790</v>
      </c>
      <c r="I571">
        <v>795</v>
      </c>
      <c r="L571" t="s">
        <v>2104</v>
      </c>
      <c r="M571" t="s">
        <v>31</v>
      </c>
      <c r="N571" t="s">
        <v>19</v>
      </c>
    </row>
    <row r="572" spans="1:14">
      <c r="A572" t="s">
        <v>2105</v>
      </c>
      <c r="B572" t="s">
        <v>2106</v>
      </c>
      <c r="C572">
        <v>2011</v>
      </c>
      <c r="D572" t="s">
        <v>1887</v>
      </c>
      <c r="G572">
        <v>6113163</v>
      </c>
      <c r="H572">
        <v>537</v>
      </c>
      <c r="I572">
        <v>540</v>
      </c>
      <c r="L572" t="s">
        <v>2107</v>
      </c>
      <c r="M572" t="s">
        <v>31</v>
      </c>
      <c r="N572" t="s">
        <v>19</v>
      </c>
    </row>
    <row r="573" spans="1:14">
      <c r="A573" t="s">
        <v>2108</v>
      </c>
      <c r="B573" t="s">
        <v>2109</v>
      </c>
      <c r="C573">
        <v>2011</v>
      </c>
      <c r="D573" t="s">
        <v>2110</v>
      </c>
      <c r="E573">
        <v>17</v>
      </c>
      <c r="F573">
        <v>3</v>
      </c>
      <c r="H573">
        <v>243</v>
      </c>
      <c r="I573">
        <v>266</v>
      </c>
      <c r="L573" t="s">
        <v>2111</v>
      </c>
      <c r="M573" t="s">
        <v>18</v>
      </c>
      <c r="N573" t="s">
        <v>19</v>
      </c>
    </row>
    <row r="574" spans="1:14">
      <c r="A574" t="s">
        <v>2112</v>
      </c>
      <c r="B574" t="s">
        <v>2113</v>
      </c>
      <c r="C574">
        <v>2011</v>
      </c>
      <c r="D574" t="s">
        <v>1954</v>
      </c>
      <c r="L574" t="s">
        <v>2114</v>
      </c>
      <c r="M574" t="s">
        <v>31</v>
      </c>
      <c r="N574" t="s">
        <v>19</v>
      </c>
    </row>
    <row r="575" spans="1:14">
      <c r="A575" t="s">
        <v>2115</v>
      </c>
      <c r="B575" t="s">
        <v>2116</v>
      </c>
      <c r="C575">
        <v>2011</v>
      </c>
      <c r="D575" t="s">
        <v>2117</v>
      </c>
      <c r="E575">
        <v>10</v>
      </c>
      <c r="F575" t="s">
        <v>2118</v>
      </c>
      <c r="H575">
        <v>561</v>
      </c>
      <c r="I575">
        <v>567</v>
      </c>
      <c r="L575" t="s">
        <v>2119</v>
      </c>
      <c r="M575" t="s">
        <v>31</v>
      </c>
      <c r="N575" t="s">
        <v>19</v>
      </c>
    </row>
    <row r="576" spans="1:14">
      <c r="A576" t="s">
        <v>2120</v>
      </c>
      <c r="B576" t="s">
        <v>2121</v>
      </c>
      <c r="C576">
        <v>2011</v>
      </c>
      <c r="D576" t="s">
        <v>2122</v>
      </c>
      <c r="G576">
        <v>6102441</v>
      </c>
      <c r="H576">
        <v>51</v>
      </c>
      <c r="I576">
        <v>60</v>
      </c>
      <c r="L576" t="s">
        <v>2123</v>
      </c>
      <c r="M576" t="s">
        <v>31</v>
      </c>
      <c r="N576" t="s">
        <v>19</v>
      </c>
    </row>
    <row r="577" spans="1:14">
      <c r="A577" t="s">
        <v>1536</v>
      </c>
      <c r="B577" t="s">
        <v>2124</v>
      </c>
      <c r="C577">
        <v>2011</v>
      </c>
      <c r="D577" t="s">
        <v>2125</v>
      </c>
      <c r="G577">
        <v>6111127</v>
      </c>
      <c r="H577">
        <v>87</v>
      </c>
      <c r="I577">
        <v>92</v>
      </c>
      <c r="L577" t="s">
        <v>2126</v>
      </c>
      <c r="M577" t="s">
        <v>31</v>
      </c>
      <c r="N577" t="s">
        <v>19</v>
      </c>
    </row>
    <row r="578" spans="1:14">
      <c r="A578" t="s">
        <v>2127</v>
      </c>
      <c r="B578" t="s">
        <v>2128</v>
      </c>
      <c r="C578">
        <v>2011</v>
      </c>
      <c r="D578" t="s">
        <v>642</v>
      </c>
      <c r="E578">
        <v>7</v>
      </c>
      <c r="F578">
        <v>15</v>
      </c>
      <c r="H578">
        <v>5553</v>
      </c>
      <c r="I578">
        <v>5560</v>
      </c>
      <c r="L578" t="s">
        <v>2129</v>
      </c>
      <c r="M578" t="s">
        <v>18</v>
      </c>
      <c r="N578" t="s">
        <v>19</v>
      </c>
    </row>
    <row r="579" spans="1:14">
      <c r="A579" t="s">
        <v>1343</v>
      </c>
      <c r="B579" t="s">
        <v>2130</v>
      </c>
      <c r="C579">
        <v>2011</v>
      </c>
      <c r="D579" t="s">
        <v>1954</v>
      </c>
      <c r="K579">
        <v>1</v>
      </c>
      <c r="L579" t="s">
        <v>2131</v>
      </c>
      <c r="M579" t="s">
        <v>31</v>
      </c>
      <c r="N579" t="s">
        <v>19</v>
      </c>
    </row>
    <row r="580" spans="1:14">
      <c r="A580" t="s">
        <v>2132</v>
      </c>
      <c r="B580" t="s">
        <v>2133</v>
      </c>
      <c r="C580">
        <v>2011</v>
      </c>
      <c r="D580" t="s">
        <v>1815</v>
      </c>
      <c r="H580">
        <v>11</v>
      </c>
      <c r="I580">
        <v>20</v>
      </c>
      <c r="K580">
        <v>3</v>
      </c>
      <c r="L580" t="s">
        <v>2134</v>
      </c>
      <c r="M580" t="s">
        <v>31</v>
      </c>
      <c r="N580" t="s">
        <v>19</v>
      </c>
    </row>
    <row r="581" spans="1:14">
      <c r="A581" t="s">
        <v>2135</v>
      </c>
      <c r="B581" t="s">
        <v>2136</v>
      </c>
      <c r="C581">
        <v>2011</v>
      </c>
      <c r="D581" t="s">
        <v>2137</v>
      </c>
      <c r="G581">
        <v>6121119</v>
      </c>
      <c r="H581">
        <v>194</v>
      </c>
      <c r="I581">
        <v>198</v>
      </c>
      <c r="L581" t="s">
        <v>2138</v>
      </c>
      <c r="M581" t="s">
        <v>31</v>
      </c>
      <c r="N581" t="s">
        <v>19</v>
      </c>
    </row>
    <row r="582" spans="1:14">
      <c r="A582" t="s">
        <v>2139</v>
      </c>
      <c r="B582" t="s">
        <v>2140</v>
      </c>
      <c r="C582">
        <v>2011</v>
      </c>
      <c r="D582" t="s">
        <v>1958</v>
      </c>
      <c r="L582" t="s">
        <v>2141</v>
      </c>
      <c r="M582" t="s">
        <v>31</v>
      </c>
      <c r="N582" t="s">
        <v>19</v>
      </c>
    </row>
    <row r="583" spans="1:14">
      <c r="A583" t="s">
        <v>1039</v>
      </c>
      <c r="B583" t="s">
        <v>2142</v>
      </c>
      <c r="C583">
        <v>2011</v>
      </c>
      <c r="D583" t="s">
        <v>213</v>
      </c>
      <c r="H583">
        <v>153</v>
      </c>
      <c r="I583">
        <v>156</v>
      </c>
      <c r="L583" t="s">
        <v>2143</v>
      </c>
      <c r="M583" t="s">
        <v>31</v>
      </c>
      <c r="N583" t="s">
        <v>19</v>
      </c>
    </row>
    <row r="584" spans="1:14">
      <c r="A584" t="s">
        <v>2144</v>
      </c>
      <c r="B584" t="s">
        <v>2145</v>
      </c>
      <c r="C584">
        <v>2011</v>
      </c>
      <c r="D584" t="s">
        <v>213</v>
      </c>
      <c r="H584">
        <v>18</v>
      </c>
      <c r="I584">
        <v>21</v>
      </c>
      <c r="L584" t="s">
        <v>2146</v>
      </c>
      <c r="M584" t="s">
        <v>31</v>
      </c>
      <c r="N584" t="s">
        <v>19</v>
      </c>
    </row>
    <row r="585" spans="1:14">
      <c r="A585" t="s">
        <v>2147</v>
      </c>
      <c r="B585" t="s">
        <v>2148</v>
      </c>
      <c r="C585">
        <v>2011</v>
      </c>
      <c r="D585" t="s">
        <v>2149</v>
      </c>
      <c r="G585">
        <v>6128115</v>
      </c>
      <c r="H585">
        <v>244</v>
      </c>
      <c r="I585">
        <v>248</v>
      </c>
      <c r="L585" t="s">
        <v>2150</v>
      </c>
      <c r="M585" t="s">
        <v>31</v>
      </c>
      <c r="N585" t="s">
        <v>19</v>
      </c>
    </row>
    <row r="586" spans="1:14">
      <c r="A586" t="s">
        <v>2151</v>
      </c>
      <c r="B586" t="s">
        <v>2152</v>
      </c>
      <c r="C586">
        <v>2011</v>
      </c>
      <c r="D586" t="s">
        <v>1965</v>
      </c>
      <c r="G586">
        <v>6126306</v>
      </c>
      <c r="H586">
        <v>699</v>
      </c>
      <c r="I586">
        <v>706</v>
      </c>
      <c r="K586">
        <v>1</v>
      </c>
      <c r="L586" t="s">
        <v>2153</v>
      </c>
      <c r="M586" t="s">
        <v>31</v>
      </c>
      <c r="N586" t="s">
        <v>19</v>
      </c>
    </row>
    <row r="587" spans="1:14">
      <c r="A587" t="s">
        <v>2154</v>
      </c>
      <c r="B587" t="s">
        <v>2155</v>
      </c>
      <c r="C587">
        <v>2011</v>
      </c>
      <c r="D587" t="s">
        <v>213</v>
      </c>
      <c r="H587">
        <v>23</v>
      </c>
      <c r="I587">
        <v>33</v>
      </c>
      <c r="K587">
        <v>1</v>
      </c>
      <c r="L587" t="s">
        <v>2156</v>
      </c>
      <c r="M587" t="s">
        <v>31</v>
      </c>
      <c r="N587" t="s">
        <v>19</v>
      </c>
    </row>
    <row r="588" spans="1:14">
      <c r="A588" t="s">
        <v>2157</v>
      </c>
      <c r="B588" t="s">
        <v>2158</v>
      </c>
      <c r="C588">
        <v>2011</v>
      </c>
      <c r="D588" t="s">
        <v>2159</v>
      </c>
      <c r="G588">
        <v>5973998</v>
      </c>
      <c r="H588">
        <v>77</v>
      </c>
      <c r="I588">
        <v>82</v>
      </c>
      <c r="L588" t="s">
        <v>2160</v>
      </c>
      <c r="M588" t="s">
        <v>31</v>
      </c>
      <c r="N588" t="s">
        <v>19</v>
      </c>
    </row>
    <row r="589" spans="1:14">
      <c r="A589" t="s">
        <v>2161</v>
      </c>
      <c r="B589" t="s">
        <v>2162</v>
      </c>
      <c r="C589">
        <v>2011</v>
      </c>
      <c r="D589" t="s">
        <v>2163</v>
      </c>
      <c r="G589">
        <v>6118964</v>
      </c>
      <c r="H589">
        <v>50</v>
      </c>
      <c r="I589">
        <v>55</v>
      </c>
      <c r="L589" t="s">
        <v>2164</v>
      </c>
      <c r="M589" t="s">
        <v>31</v>
      </c>
      <c r="N589" t="s">
        <v>19</v>
      </c>
    </row>
    <row r="590" spans="1:14">
      <c r="A590" t="s">
        <v>2165</v>
      </c>
      <c r="B590" t="s">
        <v>2166</v>
      </c>
      <c r="C590">
        <v>2011</v>
      </c>
      <c r="D590" t="s">
        <v>213</v>
      </c>
      <c r="H590">
        <v>64</v>
      </c>
      <c r="I590">
        <v>74</v>
      </c>
      <c r="L590" t="s">
        <v>2167</v>
      </c>
      <c r="M590" t="s">
        <v>31</v>
      </c>
      <c r="N590" t="s">
        <v>19</v>
      </c>
    </row>
    <row r="591" spans="1:14">
      <c r="A591" t="s">
        <v>2168</v>
      </c>
      <c r="B591" t="s">
        <v>2169</v>
      </c>
      <c r="C591">
        <v>2011</v>
      </c>
      <c r="D591" t="s">
        <v>1993</v>
      </c>
      <c r="G591">
        <v>6122607</v>
      </c>
      <c r="H591">
        <v>274</v>
      </c>
      <c r="I591">
        <v>278</v>
      </c>
      <c r="L591" t="s">
        <v>2170</v>
      </c>
      <c r="M591" t="s">
        <v>31</v>
      </c>
      <c r="N591" t="s">
        <v>19</v>
      </c>
    </row>
    <row r="592" spans="1:14">
      <c r="A592" t="s">
        <v>2171</v>
      </c>
      <c r="B592" t="s">
        <v>2172</v>
      </c>
      <c r="C592">
        <v>2011</v>
      </c>
      <c r="D592" t="s">
        <v>1903</v>
      </c>
      <c r="G592">
        <v>6149308</v>
      </c>
      <c r="H592">
        <v>2422</v>
      </c>
      <c r="I592">
        <v>2430</v>
      </c>
      <c r="L592" t="s">
        <v>2173</v>
      </c>
      <c r="M592" t="s">
        <v>31</v>
      </c>
      <c r="N592" t="s">
        <v>19</v>
      </c>
    </row>
    <row r="593" spans="1:14">
      <c r="A593" t="s">
        <v>2174</v>
      </c>
      <c r="B593" t="s">
        <v>2175</v>
      </c>
      <c r="C593">
        <v>2011</v>
      </c>
      <c r="D593" t="s">
        <v>1993</v>
      </c>
      <c r="G593">
        <v>6122699</v>
      </c>
      <c r="H593">
        <v>790</v>
      </c>
      <c r="I593">
        <v>795</v>
      </c>
      <c r="L593" t="s">
        <v>2176</v>
      </c>
      <c r="M593" t="s">
        <v>31</v>
      </c>
      <c r="N593" t="s">
        <v>19</v>
      </c>
    </row>
    <row r="594" spans="1:14">
      <c r="A594" t="s">
        <v>2177</v>
      </c>
      <c r="B594" t="s">
        <v>2178</v>
      </c>
      <c r="C594">
        <v>2011</v>
      </c>
      <c r="D594" t="s">
        <v>1958</v>
      </c>
      <c r="L594" t="s">
        <v>2179</v>
      </c>
      <c r="M594" t="s">
        <v>31</v>
      </c>
      <c r="N594" t="s">
        <v>19</v>
      </c>
    </row>
    <row r="595" spans="1:14">
      <c r="A595" t="s">
        <v>2180</v>
      </c>
      <c r="B595" t="s">
        <v>2181</v>
      </c>
      <c r="C595">
        <v>2011</v>
      </c>
      <c r="D595" t="s">
        <v>213</v>
      </c>
      <c r="H595">
        <v>134</v>
      </c>
      <c r="I595">
        <v>139</v>
      </c>
      <c r="L595" t="s">
        <v>2182</v>
      </c>
      <c r="M595" t="s">
        <v>31</v>
      </c>
      <c r="N595" t="s">
        <v>19</v>
      </c>
    </row>
    <row r="596" spans="1:14">
      <c r="A596" t="s">
        <v>2183</v>
      </c>
      <c r="B596" t="s">
        <v>2184</v>
      </c>
      <c r="C596">
        <v>2011</v>
      </c>
      <c r="D596" t="s">
        <v>1899</v>
      </c>
      <c r="G596">
        <v>6137405</v>
      </c>
      <c r="H596">
        <v>381</v>
      </c>
      <c r="I596">
        <v>388</v>
      </c>
      <c r="L596" t="s">
        <v>2185</v>
      </c>
      <c r="M596" t="s">
        <v>31</v>
      </c>
      <c r="N596" t="s">
        <v>19</v>
      </c>
    </row>
    <row r="597" spans="1:14">
      <c r="A597" t="s">
        <v>2186</v>
      </c>
      <c r="B597" t="s">
        <v>2187</v>
      </c>
      <c r="C597">
        <v>2011</v>
      </c>
      <c r="D597" t="s">
        <v>2188</v>
      </c>
      <c r="H597">
        <v>225</v>
      </c>
      <c r="I597">
        <v>233</v>
      </c>
      <c r="L597" t="s">
        <v>2189</v>
      </c>
      <c r="M597" t="s">
        <v>18</v>
      </c>
      <c r="N597" t="s">
        <v>19</v>
      </c>
    </row>
    <row r="598" spans="1:14">
      <c r="A598" t="s">
        <v>2161</v>
      </c>
      <c r="B598" t="s">
        <v>2190</v>
      </c>
      <c r="C598">
        <v>2011</v>
      </c>
      <c r="D598" t="s">
        <v>2191</v>
      </c>
      <c r="G598">
        <v>6104553</v>
      </c>
      <c r="H598">
        <v>378</v>
      </c>
      <c r="I598">
        <v>383</v>
      </c>
      <c r="L598" t="s">
        <v>2192</v>
      </c>
      <c r="M598" t="s">
        <v>31</v>
      </c>
      <c r="N598" t="s">
        <v>19</v>
      </c>
    </row>
    <row r="599" spans="1:14">
      <c r="A599" t="s">
        <v>2193</v>
      </c>
      <c r="B599" t="s">
        <v>2194</v>
      </c>
      <c r="C599">
        <v>2011</v>
      </c>
      <c r="D599" t="s">
        <v>1887</v>
      </c>
      <c r="G599">
        <v>6113162</v>
      </c>
      <c r="H599">
        <v>531</v>
      </c>
      <c r="I599">
        <v>536</v>
      </c>
      <c r="L599" t="s">
        <v>2195</v>
      </c>
      <c r="M599" t="s">
        <v>31</v>
      </c>
      <c r="N599" t="s">
        <v>19</v>
      </c>
    </row>
    <row r="600" spans="1:14">
      <c r="A600" t="s">
        <v>2196</v>
      </c>
      <c r="B600" t="s">
        <v>2197</v>
      </c>
      <c r="C600">
        <v>2011</v>
      </c>
      <c r="D600" t="s">
        <v>1914</v>
      </c>
      <c r="G600">
        <v>6118893</v>
      </c>
      <c r="H600">
        <v>838</v>
      </c>
      <c r="I600">
        <v>845</v>
      </c>
      <c r="L600" t="s">
        <v>2198</v>
      </c>
      <c r="M600" t="s">
        <v>31</v>
      </c>
      <c r="N600" t="s">
        <v>19</v>
      </c>
    </row>
    <row r="601" spans="1:14">
      <c r="A601" t="s">
        <v>2199</v>
      </c>
      <c r="B601" t="s">
        <v>2200</v>
      </c>
      <c r="C601">
        <v>2011</v>
      </c>
      <c r="D601" t="s">
        <v>2201</v>
      </c>
      <c r="G601">
        <v>6120744</v>
      </c>
      <c r="H601">
        <v>200</v>
      </c>
      <c r="I601">
        <v>205</v>
      </c>
      <c r="L601" t="s">
        <v>2202</v>
      </c>
      <c r="M601" t="s">
        <v>31</v>
      </c>
      <c r="N601" t="s">
        <v>19</v>
      </c>
    </row>
    <row r="602" spans="1:14">
      <c r="A602" t="s">
        <v>2203</v>
      </c>
      <c r="B602" t="s">
        <v>2204</v>
      </c>
      <c r="C602">
        <v>2011</v>
      </c>
      <c r="D602" t="s">
        <v>2205</v>
      </c>
      <c r="E602">
        <v>2</v>
      </c>
      <c r="H602">
        <v>986</v>
      </c>
      <c r="I602">
        <v>987</v>
      </c>
      <c r="L602" t="s">
        <v>2206</v>
      </c>
      <c r="M602" t="s">
        <v>31</v>
      </c>
      <c r="N602" t="s">
        <v>19</v>
      </c>
    </row>
    <row r="603" spans="1:14">
      <c r="A603" t="s">
        <v>1720</v>
      </c>
      <c r="B603" t="s">
        <v>2207</v>
      </c>
      <c r="C603">
        <v>2011</v>
      </c>
      <c r="D603" t="s">
        <v>2208</v>
      </c>
      <c r="H603">
        <v>175</v>
      </c>
      <c r="I603">
        <v>182</v>
      </c>
      <c r="K603">
        <v>2</v>
      </c>
      <c r="L603" t="s">
        <v>2209</v>
      </c>
      <c r="M603" t="s">
        <v>18</v>
      </c>
      <c r="N603" t="s">
        <v>19</v>
      </c>
    </row>
    <row r="604" spans="1:14">
      <c r="A604" t="s">
        <v>2210</v>
      </c>
      <c r="B604" t="s">
        <v>2211</v>
      </c>
      <c r="C604">
        <v>2011</v>
      </c>
      <c r="D604" t="s">
        <v>2212</v>
      </c>
      <c r="E604">
        <v>3</v>
      </c>
      <c r="H604">
        <v>1946</v>
      </c>
      <c r="I604">
        <v>1955</v>
      </c>
      <c r="L604" t="s">
        <v>2213</v>
      </c>
      <c r="M604" t="s">
        <v>31</v>
      </c>
      <c r="N604" t="s">
        <v>19</v>
      </c>
    </row>
    <row r="605" spans="1:14">
      <c r="A605" t="s">
        <v>2214</v>
      </c>
      <c r="B605" t="s">
        <v>2215</v>
      </c>
      <c r="C605">
        <v>2011</v>
      </c>
      <c r="D605" t="s">
        <v>1645</v>
      </c>
      <c r="E605">
        <v>24</v>
      </c>
      <c r="F605">
        <v>8</v>
      </c>
      <c r="H605">
        <v>1187</v>
      </c>
      <c r="I605">
        <v>1195</v>
      </c>
      <c r="K605">
        <v>2</v>
      </c>
      <c r="L605" t="s">
        <v>2216</v>
      </c>
      <c r="M605" t="s">
        <v>18</v>
      </c>
      <c r="N605" t="s">
        <v>19</v>
      </c>
    </row>
    <row r="606" spans="1:14">
      <c r="A606" t="s">
        <v>633</v>
      </c>
      <c r="B606" t="s">
        <v>2217</v>
      </c>
      <c r="C606">
        <v>2011</v>
      </c>
      <c r="D606" t="s">
        <v>1899</v>
      </c>
      <c r="G606">
        <v>6137336</v>
      </c>
      <c r="H606">
        <v>1188</v>
      </c>
      <c r="I606">
        <v>1193</v>
      </c>
      <c r="K606">
        <v>1</v>
      </c>
      <c r="L606" t="s">
        <v>2218</v>
      </c>
      <c r="M606" t="s">
        <v>31</v>
      </c>
      <c r="N606" t="s">
        <v>19</v>
      </c>
    </row>
    <row r="607" spans="1:14">
      <c r="A607" t="s">
        <v>2219</v>
      </c>
      <c r="B607" t="s">
        <v>2220</v>
      </c>
      <c r="C607">
        <v>2011</v>
      </c>
      <c r="D607" t="s">
        <v>2221</v>
      </c>
      <c r="F607">
        <v>271</v>
      </c>
      <c r="H607">
        <v>208</v>
      </c>
      <c r="I607">
        <v>217</v>
      </c>
      <c r="L607" t="s">
        <v>2222</v>
      </c>
      <c r="M607" t="s">
        <v>31</v>
      </c>
      <c r="N607" t="s">
        <v>19</v>
      </c>
    </row>
    <row r="608" spans="1:14">
      <c r="A608" t="s">
        <v>2223</v>
      </c>
      <c r="B608" t="s">
        <v>2224</v>
      </c>
      <c r="C608">
        <v>2011</v>
      </c>
      <c r="D608" t="s">
        <v>1914</v>
      </c>
      <c r="G608">
        <v>6118895</v>
      </c>
      <c r="H608">
        <v>824</v>
      </c>
      <c r="I608">
        <v>831</v>
      </c>
      <c r="K608">
        <v>2</v>
      </c>
      <c r="L608" t="s">
        <v>2225</v>
      </c>
      <c r="M608" t="s">
        <v>31</v>
      </c>
      <c r="N608" t="s">
        <v>19</v>
      </c>
    </row>
    <row r="609" spans="1:14">
      <c r="A609" t="s">
        <v>2226</v>
      </c>
      <c r="B609" t="s">
        <v>2227</v>
      </c>
      <c r="C609">
        <v>2011</v>
      </c>
      <c r="D609" t="s">
        <v>2014</v>
      </c>
      <c r="E609">
        <v>2</v>
      </c>
      <c r="H609">
        <v>1406</v>
      </c>
      <c r="I609">
        <v>1413</v>
      </c>
      <c r="L609" t="s">
        <v>2228</v>
      </c>
      <c r="M609" t="s">
        <v>31</v>
      </c>
      <c r="N609" t="s">
        <v>19</v>
      </c>
    </row>
    <row r="610" spans="1:14">
      <c r="A610" t="s">
        <v>2229</v>
      </c>
      <c r="B610" t="s">
        <v>2230</v>
      </c>
      <c r="C610">
        <v>2011</v>
      </c>
      <c r="D610" t="s">
        <v>2231</v>
      </c>
      <c r="E610">
        <v>2</v>
      </c>
      <c r="F610">
        <v>3</v>
      </c>
      <c r="K610">
        <v>2</v>
      </c>
      <c r="L610" t="s">
        <v>2232</v>
      </c>
      <c r="M610" t="s">
        <v>18</v>
      </c>
      <c r="N610" t="s">
        <v>19</v>
      </c>
    </row>
    <row r="611" spans="1:14">
      <c r="A611" t="s">
        <v>2233</v>
      </c>
      <c r="B611" t="s">
        <v>2234</v>
      </c>
      <c r="C611">
        <v>2011</v>
      </c>
      <c r="D611" t="s">
        <v>1937</v>
      </c>
      <c r="G611">
        <v>6142269</v>
      </c>
      <c r="H611">
        <v>305</v>
      </c>
      <c r="I611">
        <v>312</v>
      </c>
      <c r="L611" t="s">
        <v>2235</v>
      </c>
      <c r="M611" t="s">
        <v>31</v>
      </c>
      <c r="N611" t="s">
        <v>19</v>
      </c>
    </row>
    <row r="612" spans="1:14">
      <c r="A612" t="s">
        <v>2236</v>
      </c>
      <c r="B612" t="s">
        <v>2237</v>
      </c>
      <c r="C612">
        <v>2011</v>
      </c>
      <c r="D612" t="s">
        <v>374</v>
      </c>
      <c r="G612">
        <v>6152393</v>
      </c>
      <c r="H612">
        <v>134</v>
      </c>
      <c r="I612">
        <v>137</v>
      </c>
      <c r="L612" t="s">
        <v>2238</v>
      </c>
      <c r="M612" t="s">
        <v>31</v>
      </c>
      <c r="N612" t="s">
        <v>19</v>
      </c>
    </row>
    <row r="613" spans="1:14">
      <c r="A613" t="s">
        <v>230</v>
      </c>
      <c r="B613" t="s">
        <v>1831</v>
      </c>
      <c r="C613">
        <v>2011</v>
      </c>
      <c r="D613" t="s">
        <v>1831</v>
      </c>
      <c r="L613" t="s">
        <v>2239</v>
      </c>
      <c r="M613" t="s">
        <v>233</v>
      </c>
      <c r="N613" t="s">
        <v>19</v>
      </c>
    </row>
    <row r="614" spans="1:14">
      <c r="A614" t="s">
        <v>2240</v>
      </c>
      <c r="B614" t="s">
        <v>2241</v>
      </c>
      <c r="C614">
        <v>2011</v>
      </c>
      <c r="D614" t="s">
        <v>2242</v>
      </c>
      <c r="H614">
        <v>138</v>
      </c>
      <c r="I614">
        <v>141</v>
      </c>
      <c r="L614" t="s">
        <v>2243</v>
      </c>
      <c r="M614" t="s">
        <v>31</v>
      </c>
      <c r="N614" t="s">
        <v>19</v>
      </c>
    </row>
    <row r="615" spans="1:14">
      <c r="A615" t="s">
        <v>2244</v>
      </c>
      <c r="B615" t="s">
        <v>2245</v>
      </c>
      <c r="C615">
        <v>2011</v>
      </c>
      <c r="D615" t="s">
        <v>2246</v>
      </c>
      <c r="E615">
        <v>36</v>
      </c>
      <c r="F615">
        <v>4</v>
      </c>
      <c r="G615">
        <v>21</v>
      </c>
      <c r="K615">
        <v>3</v>
      </c>
      <c r="L615" t="s">
        <v>2247</v>
      </c>
      <c r="M615" t="s">
        <v>31</v>
      </c>
      <c r="N615" t="s">
        <v>19</v>
      </c>
    </row>
    <row r="616" spans="1:14">
      <c r="A616" t="s">
        <v>2248</v>
      </c>
      <c r="B616" t="s">
        <v>2249</v>
      </c>
      <c r="C616">
        <v>2011</v>
      </c>
      <c r="D616" t="s">
        <v>55</v>
      </c>
      <c r="E616" t="s">
        <v>2051</v>
      </c>
      <c r="H616">
        <v>295</v>
      </c>
      <c r="I616">
        <v>304</v>
      </c>
      <c r="L616" t="s">
        <v>2250</v>
      </c>
      <c r="M616" t="s">
        <v>31</v>
      </c>
      <c r="N616" t="s">
        <v>19</v>
      </c>
    </row>
    <row r="617" spans="1:14">
      <c r="A617" t="s">
        <v>2251</v>
      </c>
      <c r="B617" t="s">
        <v>2252</v>
      </c>
      <c r="C617">
        <v>2011</v>
      </c>
      <c r="D617" t="s">
        <v>2253</v>
      </c>
      <c r="G617">
        <v>6108265</v>
      </c>
      <c r="H617">
        <v>133</v>
      </c>
      <c r="I617">
        <v>138</v>
      </c>
      <c r="L617" t="s">
        <v>2254</v>
      </c>
      <c r="M617" t="s">
        <v>31</v>
      </c>
      <c r="N617" t="s">
        <v>19</v>
      </c>
    </row>
    <row r="618" spans="1:14">
      <c r="A618" t="s">
        <v>2255</v>
      </c>
      <c r="B618" t="s">
        <v>2256</v>
      </c>
      <c r="C618">
        <v>2011</v>
      </c>
      <c r="D618" t="s">
        <v>213</v>
      </c>
      <c r="H618">
        <v>162</v>
      </c>
      <c r="I618">
        <v>169</v>
      </c>
      <c r="L618" t="s">
        <v>2257</v>
      </c>
      <c r="M618" t="s">
        <v>31</v>
      </c>
      <c r="N618" t="s">
        <v>19</v>
      </c>
    </row>
    <row r="619" spans="1:14">
      <c r="A619" t="s">
        <v>230</v>
      </c>
      <c r="B619" t="s">
        <v>1827</v>
      </c>
      <c r="C619">
        <v>2011</v>
      </c>
      <c r="D619" t="s">
        <v>1827</v>
      </c>
      <c r="L619" t="s">
        <v>2258</v>
      </c>
      <c r="M619" t="s">
        <v>233</v>
      </c>
      <c r="N619" t="s">
        <v>19</v>
      </c>
    </row>
    <row r="620" spans="1:14">
      <c r="A620" t="s">
        <v>2259</v>
      </c>
      <c r="B620" t="s">
        <v>2260</v>
      </c>
      <c r="C620">
        <v>2011</v>
      </c>
      <c r="D620" t="s">
        <v>1819</v>
      </c>
      <c r="L620" t="s">
        <v>2261</v>
      </c>
      <c r="M620" t="s">
        <v>31</v>
      </c>
      <c r="N620" t="s">
        <v>19</v>
      </c>
    </row>
    <row r="621" spans="1:14">
      <c r="A621" t="s">
        <v>2262</v>
      </c>
      <c r="B621" t="s">
        <v>2263</v>
      </c>
      <c r="C621">
        <v>2011</v>
      </c>
      <c r="D621" t="s">
        <v>494</v>
      </c>
      <c r="H621">
        <v>1351</v>
      </c>
      <c r="I621">
        <v>1355</v>
      </c>
      <c r="L621" t="s">
        <v>2264</v>
      </c>
      <c r="M621" t="s">
        <v>31</v>
      </c>
      <c r="N621" t="s">
        <v>19</v>
      </c>
    </row>
    <row r="622" spans="1:14">
      <c r="A622" t="s">
        <v>2265</v>
      </c>
      <c r="B622" t="s">
        <v>2266</v>
      </c>
      <c r="C622">
        <v>2011</v>
      </c>
      <c r="D622" t="s">
        <v>2267</v>
      </c>
      <c r="L622" t="s">
        <v>2268</v>
      </c>
      <c r="M622" t="s">
        <v>31</v>
      </c>
      <c r="N622" t="s">
        <v>19</v>
      </c>
    </row>
    <row r="623" spans="1:14">
      <c r="A623" t="s">
        <v>2269</v>
      </c>
      <c r="B623" t="s">
        <v>2270</v>
      </c>
      <c r="C623">
        <v>2011</v>
      </c>
      <c r="D623" t="s">
        <v>2267</v>
      </c>
      <c r="L623" t="s">
        <v>2271</v>
      </c>
      <c r="M623" t="s">
        <v>31</v>
      </c>
      <c r="N623" t="s">
        <v>19</v>
      </c>
    </row>
    <row r="624" spans="1:14">
      <c r="A624" t="s">
        <v>2272</v>
      </c>
      <c r="B624" t="s">
        <v>2273</v>
      </c>
      <c r="C624">
        <v>2011</v>
      </c>
      <c r="D624" t="s">
        <v>2274</v>
      </c>
      <c r="G624">
        <v>6063019</v>
      </c>
      <c r="H624">
        <v>412</v>
      </c>
      <c r="I624">
        <v>416</v>
      </c>
      <c r="L624" t="s">
        <v>2275</v>
      </c>
      <c r="M624" t="s">
        <v>31</v>
      </c>
      <c r="N624" t="s">
        <v>19</v>
      </c>
    </row>
    <row r="625" spans="1:14">
      <c r="A625" t="s">
        <v>2276</v>
      </c>
      <c r="B625" t="s">
        <v>2277</v>
      </c>
      <c r="C625">
        <v>2011</v>
      </c>
      <c r="D625" t="s">
        <v>2274</v>
      </c>
      <c r="G625">
        <v>6062980</v>
      </c>
      <c r="H625">
        <v>86</v>
      </c>
      <c r="I625">
        <v>93</v>
      </c>
      <c r="K625">
        <v>2</v>
      </c>
      <c r="L625" t="s">
        <v>2278</v>
      </c>
      <c r="M625" t="s">
        <v>31</v>
      </c>
      <c r="N625" t="s">
        <v>19</v>
      </c>
    </row>
    <row r="626" spans="1:14">
      <c r="A626" t="s">
        <v>2279</v>
      </c>
      <c r="B626" t="s">
        <v>2280</v>
      </c>
      <c r="C626">
        <v>2011</v>
      </c>
      <c r="D626" t="s">
        <v>2281</v>
      </c>
      <c r="H626">
        <v>41</v>
      </c>
      <c r="I626">
        <v>48</v>
      </c>
      <c r="K626">
        <v>1</v>
      </c>
      <c r="L626" t="s">
        <v>2282</v>
      </c>
      <c r="M626" t="s">
        <v>31</v>
      </c>
      <c r="N626" t="s">
        <v>19</v>
      </c>
    </row>
    <row r="627" spans="1:14">
      <c r="A627" t="s">
        <v>2283</v>
      </c>
      <c r="B627" t="s">
        <v>2284</v>
      </c>
      <c r="C627">
        <v>2011</v>
      </c>
      <c r="D627" t="s">
        <v>2285</v>
      </c>
      <c r="G627">
        <v>6065091</v>
      </c>
      <c r="H627">
        <v>217</v>
      </c>
      <c r="I627">
        <v>221</v>
      </c>
      <c r="L627" t="s">
        <v>2286</v>
      </c>
      <c r="M627" t="s">
        <v>31</v>
      </c>
      <c r="N627" t="s">
        <v>19</v>
      </c>
    </row>
    <row r="628" spans="1:14">
      <c r="A628" t="s">
        <v>2287</v>
      </c>
      <c r="B628" t="s">
        <v>2288</v>
      </c>
      <c r="C628">
        <v>2011</v>
      </c>
      <c r="D628" t="s">
        <v>976</v>
      </c>
      <c r="E628">
        <v>107</v>
      </c>
      <c r="H628">
        <v>257</v>
      </c>
      <c r="I628">
        <v>268</v>
      </c>
      <c r="L628" t="s">
        <v>2289</v>
      </c>
      <c r="M628" t="s">
        <v>18</v>
      </c>
      <c r="N628" t="s">
        <v>19</v>
      </c>
    </row>
    <row r="629" spans="1:14">
      <c r="A629" t="s">
        <v>2290</v>
      </c>
      <c r="B629" t="s">
        <v>2291</v>
      </c>
      <c r="C629">
        <v>2011</v>
      </c>
      <c r="D629" t="s">
        <v>2292</v>
      </c>
      <c r="G629">
        <v>6061233</v>
      </c>
      <c r="H629">
        <v>372</v>
      </c>
      <c r="I629">
        <v>377</v>
      </c>
      <c r="L629" t="s">
        <v>2293</v>
      </c>
      <c r="M629" t="s">
        <v>31</v>
      </c>
      <c r="N629" t="s">
        <v>19</v>
      </c>
    </row>
    <row r="630" spans="1:14">
      <c r="A630" t="s">
        <v>2294</v>
      </c>
      <c r="B630" t="s">
        <v>2295</v>
      </c>
      <c r="C630">
        <v>2011</v>
      </c>
      <c r="D630" t="s">
        <v>2296</v>
      </c>
      <c r="G630">
        <v>6061372</v>
      </c>
      <c r="H630">
        <v>559</v>
      </c>
      <c r="I630">
        <v>566</v>
      </c>
      <c r="L630" t="s">
        <v>2297</v>
      </c>
      <c r="M630" t="s">
        <v>31</v>
      </c>
      <c r="N630" t="s">
        <v>19</v>
      </c>
    </row>
    <row r="631" spans="1:14">
      <c r="A631" t="s">
        <v>2298</v>
      </c>
      <c r="B631" t="s">
        <v>2299</v>
      </c>
      <c r="C631">
        <v>2011</v>
      </c>
      <c r="D631" t="s">
        <v>2292</v>
      </c>
      <c r="G631">
        <v>6061173</v>
      </c>
      <c r="H631">
        <v>163</v>
      </c>
      <c r="I631">
        <v>170</v>
      </c>
      <c r="K631">
        <v>1</v>
      </c>
      <c r="L631" t="s">
        <v>2300</v>
      </c>
      <c r="M631" t="s">
        <v>31</v>
      </c>
      <c r="N631" t="s">
        <v>19</v>
      </c>
    </row>
    <row r="632" spans="1:14">
      <c r="A632" t="s">
        <v>2301</v>
      </c>
      <c r="B632" t="s">
        <v>2302</v>
      </c>
      <c r="C632">
        <v>2011</v>
      </c>
      <c r="D632" t="s">
        <v>2292</v>
      </c>
      <c r="G632">
        <v>6061172</v>
      </c>
      <c r="H632">
        <v>155</v>
      </c>
      <c r="I632">
        <v>162</v>
      </c>
      <c r="L632" t="s">
        <v>2303</v>
      </c>
      <c r="M632" t="s">
        <v>31</v>
      </c>
      <c r="N632" t="s">
        <v>19</v>
      </c>
    </row>
    <row r="633" spans="1:14">
      <c r="A633" t="s">
        <v>2304</v>
      </c>
      <c r="B633" t="s">
        <v>2305</v>
      </c>
      <c r="C633">
        <v>2011</v>
      </c>
      <c r="D633" t="s">
        <v>2292</v>
      </c>
      <c r="G633">
        <v>6061248</v>
      </c>
      <c r="H633">
        <v>273</v>
      </c>
      <c r="I633">
        <v>276</v>
      </c>
      <c r="L633" t="s">
        <v>2306</v>
      </c>
      <c r="M633" t="s">
        <v>31</v>
      </c>
      <c r="N633" t="s">
        <v>19</v>
      </c>
    </row>
    <row r="634" spans="1:14">
      <c r="A634" t="s">
        <v>2307</v>
      </c>
      <c r="B634" t="s">
        <v>2308</v>
      </c>
      <c r="C634">
        <v>2011</v>
      </c>
      <c r="D634" t="s">
        <v>2296</v>
      </c>
      <c r="G634">
        <v>6061346</v>
      </c>
      <c r="H634">
        <v>275</v>
      </c>
      <c r="I634">
        <v>278</v>
      </c>
      <c r="K634">
        <v>2</v>
      </c>
      <c r="L634" t="s">
        <v>2309</v>
      </c>
      <c r="M634" t="s">
        <v>31</v>
      </c>
      <c r="N634" t="s">
        <v>19</v>
      </c>
    </row>
    <row r="635" spans="1:14">
      <c r="A635" t="s">
        <v>2310</v>
      </c>
      <c r="B635" t="s">
        <v>2311</v>
      </c>
      <c r="C635">
        <v>2011</v>
      </c>
      <c r="D635" t="s">
        <v>2312</v>
      </c>
      <c r="E635">
        <v>39</v>
      </c>
      <c r="F635">
        <v>6</v>
      </c>
      <c r="H635">
        <v>616</v>
      </c>
      <c r="I635">
        <v>636</v>
      </c>
      <c r="L635" t="s">
        <v>2313</v>
      </c>
      <c r="M635" t="s">
        <v>18</v>
      </c>
      <c r="N635" t="s">
        <v>19</v>
      </c>
    </row>
    <row r="636" spans="1:14">
      <c r="A636" t="s">
        <v>2314</v>
      </c>
      <c r="B636" t="s">
        <v>2315</v>
      </c>
      <c r="C636">
        <v>2011</v>
      </c>
      <c r="D636" t="s">
        <v>2292</v>
      </c>
      <c r="G636">
        <v>6061270</v>
      </c>
      <c r="H636">
        <v>385</v>
      </c>
      <c r="I636">
        <v>390</v>
      </c>
      <c r="L636" t="s">
        <v>2316</v>
      </c>
      <c r="M636" t="s">
        <v>31</v>
      </c>
      <c r="N636" t="s">
        <v>19</v>
      </c>
    </row>
    <row r="637" spans="1:14">
      <c r="A637" t="s">
        <v>2317</v>
      </c>
      <c r="B637" t="s">
        <v>2318</v>
      </c>
      <c r="C637">
        <v>2011</v>
      </c>
      <c r="D637" t="s">
        <v>2090</v>
      </c>
      <c r="E637">
        <v>22</v>
      </c>
      <c r="F637">
        <v>2</v>
      </c>
      <c r="H637">
        <v>191</v>
      </c>
      <c r="I637">
        <v>239</v>
      </c>
      <c r="L637" t="s">
        <v>2319</v>
      </c>
      <c r="M637" t="s">
        <v>18</v>
      </c>
      <c r="N637" t="s">
        <v>19</v>
      </c>
    </row>
    <row r="638" spans="1:14">
      <c r="A638" t="s">
        <v>2320</v>
      </c>
      <c r="B638" t="s">
        <v>2321</v>
      </c>
      <c r="C638">
        <v>2011</v>
      </c>
      <c r="D638" t="s">
        <v>2292</v>
      </c>
      <c r="G638">
        <v>6061246</v>
      </c>
      <c r="H638">
        <v>263</v>
      </c>
      <c r="I638">
        <v>268</v>
      </c>
      <c r="L638" t="s">
        <v>2322</v>
      </c>
      <c r="M638" t="s">
        <v>31</v>
      </c>
      <c r="N638" t="s">
        <v>19</v>
      </c>
    </row>
    <row r="639" spans="1:14">
      <c r="A639" t="s">
        <v>2323</v>
      </c>
      <c r="B639" t="s">
        <v>2324</v>
      </c>
      <c r="C639">
        <v>2011</v>
      </c>
      <c r="D639" t="s">
        <v>2292</v>
      </c>
      <c r="G639">
        <v>6061231</v>
      </c>
      <c r="H639">
        <v>360</v>
      </c>
      <c r="I639">
        <v>365</v>
      </c>
      <c r="K639">
        <v>1</v>
      </c>
      <c r="L639" t="s">
        <v>2325</v>
      </c>
      <c r="M639" t="s">
        <v>31</v>
      </c>
      <c r="N639" t="s">
        <v>19</v>
      </c>
    </row>
    <row r="640" spans="1:14">
      <c r="A640" t="s">
        <v>2326</v>
      </c>
      <c r="B640" t="s">
        <v>2327</v>
      </c>
      <c r="C640">
        <v>2011</v>
      </c>
      <c r="D640" t="s">
        <v>2292</v>
      </c>
      <c r="G640">
        <v>6061111</v>
      </c>
      <c r="H640">
        <v>100</v>
      </c>
      <c r="I640">
        <v>107</v>
      </c>
      <c r="K640">
        <v>1</v>
      </c>
      <c r="L640" t="s">
        <v>2328</v>
      </c>
      <c r="M640" t="s">
        <v>31</v>
      </c>
      <c r="N640" t="s">
        <v>19</v>
      </c>
    </row>
    <row r="641" spans="1:14">
      <c r="A641" t="s">
        <v>2329</v>
      </c>
      <c r="B641" t="s">
        <v>2330</v>
      </c>
      <c r="C641">
        <v>2011</v>
      </c>
      <c r="D641" t="s">
        <v>2331</v>
      </c>
      <c r="G641">
        <v>6064461</v>
      </c>
      <c r="L641" t="s">
        <v>2332</v>
      </c>
      <c r="M641" t="s">
        <v>31</v>
      </c>
      <c r="N641" t="s">
        <v>19</v>
      </c>
    </row>
    <row r="642" spans="1:14">
      <c r="A642" t="s">
        <v>570</v>
      </c>
      <c r="B642" t="s">
        <v>2333</v>
      </c>
      <c r="C642">
        <v>2011</v>
      </c>
      <c r="D642" t="s">
        <v>2292</v>
      </c>
      <c r="G642">
        <v>6061224</v>
      </c>
      <c r="H642">
        <v>314</v>
      </c>
      <c r="I642">
        <v>321</v>
      </c>
      <c r="K642">
        <v>1</v>
      </c>
      <c r="L642" t="s">
        <v>2334</v>
      </c>
      <c r="M642" t="s">
        <v>31</v>
      </c>
      <c r="N642" t="s">
        <v>19</v>
      </c>
    </row>
    <row r="643" spans="1:14">
      <c r="A643" t="s">
        <v>2335</v>
      </c>
      <c r="B643" t="s">
        <v>2336</v>
      </c>
      <c r="C643">
        <v>2011</v>
      </c>
      <c r="D643" t="s">
        <v>2337</v>
      </c>
      <c r="G643">
        <v>6041920</v>
      </c>
      <c r="H643">
        <v>178</v>
      </c>
      <c r="I643">
        <v>185</v>
      </c>
      <c r="L643" t="s">
        <v>2338</v>
      </c>
      <c r="M643" t="s">
        <v>31</v>
      </c>
      <c r="N643" t="s">
        <v>19</v>
      </c>
    </row>
    <row r="644" spans="1:14">
      <c r="A644" t="s">
        <v>2339</v>
      </c>
      <c r="B644" t="s">
        <v>2340</v>
      </c>
      <c r="C644">
        <v>2011</v>
      </c>
      <c r="D644" t="s">
        <v>2341</v>
      </c>
      <c r="E644">
        <v>3</v>
      </c>
      <c r="G644">
        <v>6040874</v>
      </c>
      <c r="H644">
        <v>339</v>
      </c>
      <c r="I644">
        <v>342</v>
      </c>
      <c r="L644" t="s">
        <v>2342</v>
      </c>
      <c r="M644" t="s">
        <v>31</v>
      </c>
      <c r="N644" t="s">
        <v>19</v>
      </c>
    </row>
    <row r="645" spans="1:14">
      <c r="A645" t="s">
        <v>2343</v>
      </c>
      <c r="B645" t="s">
        <v>2344</v>
      </c>
      <c r="C645">
        <v>2011</v>
      </c>
      <c r="D645" t="s">
        <v>2345</v>
      </c>
      <c r="G645">
        <v>6012166</v>
      </c>
      <c r="L645" t="s">
        <v>2346</v>
      </c>
      <c r="M645" t="s">
        <v>31</v>
      </c>
      <c r="N645" t="s">
        <v>19</v>
      </c>
    </row>
    <row r="646" spans="1:14">
      <c r="A646" t="s">
        <v>2347</v>
      </c>
      <c r="B646" t="s">
        <v>2348</v>
      </c>
      <c r="C646">
        <v>2011</v>
      </c>
      <c r="D646" t="s">
        <v>65</v>
      </c>
      <c r="E646">
        <v>5</v>
      </c>
      <c r="F646">
        <v>11</v>
      </c>
      <c r="H646">
        <v>229</v>
      </c>
      <c r="I646">
        <v>235</v>
      </c>
      <c r="K646">
        <v>4</v>
      </c>
      <c r="L646" t="s">
        <v>2349</v>
      </c>
      <c r="M646" t="s">
        <v>18</v>
      </c>
      <c r="N646" t="s">
        <v>19</v>
      </c>
    </row>
    <row r="647" spans="1:14">
      <c r="A647" t="s">
        <v>2350</v>
      </c>
      <c r="B647" t="s">
        <v>2351</v>
      </c>
      <c r="C647">
        <v>2011</v>
      </c>
      <c r="D647" t="s">
        <v>1219</v>
      </c>
      <c r="E647">
        <v>13</v>
      </c>
      <c r="F647">
        <v>5</v>
      </c>
      <c r="H647">
        <v>681</v>
      </c>
      <c r="I647">
        <v>692</v>
      </c>
      <c r="K647">
        <v>2</v>
      </c>
      <c r="L647" t="s">
        <v>2352</v>
      </c>
      <c r="M647" t="s">
        <v>18</v>
      </c>
      <c r="N647" t="s">
        <v>19</v>
      </c>
    </row>
    <row r="648" spans="1:14">
      <c r="A648" t="s">
        <v>2353</v>
      </c>
      <c r="B648" t="s">
        <v>2354</v>
      </c>
      <c r="C648">
        <v>2011</v>
      </c>
      <c r="D648" t="s">
        <v>2355</v>
      </c>
      <c r="E648">
        <v>39</v>
      </c>
      <c r="F648">
        <v>11</v>
      </c>
      <c r="H648">
        <v>1715</v>
      </c>
      <c r="I648">
        <v>1719</v>
      </c>
      <c r="L648" t="s">
        <v>2356</v>
      </c>
      <c r="M648" t="s">
        <v>18</v>
      </c>
      <c r="N648" t="s">
        <v>19</v>
      </c>
    </row>
    <row r="649" spans="1:14">
      <c r="A649" t="s">
        <v>2357</v>
      </c>
      <c r="B649" t="s">
        <v>2358</v>
      </c>
      <c r="C649">
        <v>2011</v>
      </c>
      <c r="D649" t="s">
        <v>2359</v>
      </c>
      <c r="E649">
        <v>16</v>
      </c>
      <c r="F649">
        <v>2</v>
      </c>
      <c r="H649">
        <v>151</v>
      </c>
      <c r="I649">
        <v>166</v>
      </c>
      <c r="L649" t="s">
        <v>2360</v>
      </c>
      <c r="M649" t="s">
        <v>624</v>
      </c>
      <c r="N649" t="s">
        <v>19</v>
      </c>
    </row>
    <row r="650" spans="1:14">
      <c r="A650" t="s">
        <v>2361</v>
      </c>
      <c r="B650" t="s">
        <v>2362</v>
      </c>
      <c r="C650">
        <v>2011</v>
      </c>
      <c r="D650" t="s">
        <v>646</v>
      </c>
      <c r="E650">
        <v>23</v>
      </c>
      <c r="F650">
        <v>3</v>
      </c>
      <c r="H650">
        <v>447</v>
      </c>
      <c r="I650">
        <v>478</v>
      </c>
      <c r="K650">
        <v>4</v>
      </c>
      <c r="L650" t="s">
        <v>2363</v>
      </c>
      <c r="M650" t="s">
        <v>18</v>
      </c>
      <c r="N650" t="s">
        <v>19</v>
      </c>
    </row>
    <row r="651" spans="1:14">
      <c r="A651" t="s">
        <v>2364</v>
      </c>
      <c r="B651" t="s">
        <v>2365</v>
      </c>
      <c r="C651">
        <v>2011</v>
      </c>
      <c r="D651" t="s">
        <v>2366</v>
      </c>
      <c r="E651">
        <v>54</v>
      </c>
      <c r="F651">
        <v>6</v>
      </c>
      <c r="H651">
        <v>54</v>
      </c>
      <c r="I651">
        <v>56</v>
      </c>
      <c r="L651" t="s">
        <v>2367</v>
      </c>
      <c r="M651" t="s">
        <v>18</v>
      </c>
      <c r="N651" t="s">
        <v>19</v>
      </c>
    </row>
    <row r="652" spans="1:14">
      <c r="A652" t="s">
        <v>2368</v>
      </c>
      <c r="B652" t="s">
        <v>2369</v>
      </c>
      <c r="C652">
        <v>2011</v>
      </c>
      <c r="D652" t="s">
        <v>2370</v>
      </c>
      <c r="E652">
        <v>41</v>
      </c>
      <c r="F652">
        <v>6</v>
      </c>
      <c r="G652">
        <v>5738691</v>
      </c>
      <c r="H652">
        <v>1144</v>
      </c>
      <c r="I652">
        <v>1155</v>
      </c>
      <c r="K652">
        <v>2</v>
      </c>
      <c r="L652" t="s">
        <v>2371</v>
      </c>
      <c r="M652" t="s">
        <v>18</v>
      </c>
      <c r="N652" t="s">
        <v>19</v>
      </c>
    </row>
    <row r="653" spans="1:14">
      <c r="A653" t="s">
        <v>2372</v>
      </c>
      <c r="B653" t="s">
        <v>2373</v>
      </c>
      <c r="C653">
        <v>2011</v>
      </c>
      <c r="D653" t="s">
        <v>2374</v>
      </c>
      <c r="E653">
        <v>3</v>
      </c>
      <c r="F653">
        <v>4</v>
      </c>
      <c r="H653">
        <v>317</v>
      </c>
      <c r="I653">
        <v>322</v>
      </c>
      <c r="K653">
        <v>2</v>
      </c>
      <c r="L653" t="s">
        <v>2375</v>
      </c>
      <c r="M653" t="s">
        <v>31</v>
      </c>
      <c r="N653" t="s">
        <v>19</v>
      </c>
    </row>
    <row r="654" spans="1:14">
      <c r="A654" t="s">
        <v>2376</v>
      </c>
      <c r="B654" t="s">
        <v>2377</v>
      </c>
      <c r="C654">
        <v>2011</v>
      </c>
      <c r="D654" t="s">
        <v>213</v>
      </c>
      <c r="H654">
        <v>64</v>
      </c>
      <c r="I654">
        <v>73</v>
      </c>
      <c r="L654" t="s">
        <v>2378</v>
      </c>
      <c r="M654" t="s">
        <v>31</v>
      </c>
      <c r="N654" t="s">
        <v>19</v>
      </c>
    </row>
    <row r="655" spans="1:14">
      <c r="A655" t="s">
        <v>1773</v>
      </c>
      <c r="B655" t="s">
        <v>2379</v>
      </c>
      <c r="C655">
        <v>2011</v>
      </c>
      <c r="D655" t="s">
        <v>2380</v>
      </c>
      <c r="E655">
        <v>167</v>
      </c>
      <c r="H655">
        <v>189</v>
      </c>
      <c r="I655">
        <v>193</v>
      </c>
      <c r="L655" t="s">
        <v>2381</v>
      </c>
      <c r="M655" t="s">
        <v>18</v>
      </c>
      <c r="N655" t="s">
        <v>19</v>
      </c>
    </row>
    <row r="656" spans="1:14">
      <c r="A656" t="s">
        <v>2382</v>
      </c>
      <c r="B656" t="s">
        <v>2383</v>
      </c>
      <c r="C656">
        <v>2011</v>
      </c>
      <c r="D656" t="s">
        <v>60</v>
      </c>
      <c r="E656" t="s">
        <v>2384</v>
      </c>
      <c r="F656" t="s">
        <v>228</v>
      </c>
      <c r="H656">
        <v>400</v>
      </c>
      <c r="I656">
        <v>409</v>
      </c>
      <c r="L656" t="s">
        <v>2385</v>
      </c>
      <c r="M656" t="s">
        <v>31</v>
      </c>
      <c r="N656" t="s">
        <v>19</v>
      </c>
    </row>
    <row r="657" spans="1:14">
      <c r="A657" t="s">
        <v>2386</v>
      </c>
      <c r="B657" t="s">
        <v>2387</v>
      </c>
      <c r="C657">
        <v>2011</v>
      </c>
      <c r="D657" t="s">
        <v>213</v>
      </c>
      <c r="G657">
        <v>47</v>
      </c>
      <c r="L657" t="s">
        <v>2388</v>
      </c>
      <c r="M657" t="s">
        <v>31</v>
      </c>
      <c r="N657" t="s">
        <v>19</v>
      </c>
    </row>
    <row r="658" spans="1:14">
      <c r="A658" t="s">
        <v>2389</v>
      </c>
      <c r="B658" t="s">
        <v>2390</v>
      </c>
      <c r="C658">
        <v>2011</v>
      </c>
      <c r="D658" t="s">
        <v>213</v>
      </c>
      <c r="G658">
        <v>31</v>
      </c>
      <c r="L658" t="s">
        <v>2391</v>
      </c>
      <c r="M658" t="s">
        <v>31</v>
      </c>
      <c r="N658" t="s">
        <v>19</v>
      </c>
    </row>
    <row r="659" spans="1:14">
      <c r="A659" t="s">
        <v>2392</v>
      </c>
      <c r="B659" t="s">
        <v>2393</v>
      </c>
      <c r="C659">
        <v>2011</v>
      </c>
      <c r="D659" t="s">
        <v>2394</v>
      </c>
      <c r="L659" t="s">
        <v>2395</v>
      </c>
      <c r="M659" t="s">
        <v>52</v>
      </c>
      <c r="N659" t="s">
        <v>19</v>
      </c>
    </row>
    <row r="660" spans="1:14">
      <c r="A660" t="s">
        <v>2396</v>
      </c>
      <c r="B660" t="s">
        <v>2397</v>
      </c>
      <c r="C660">
        <v>2011</v>
      </c>
      <c r="D660" t="s">
        <v>2398</v>
      </c>
      <c r="G660">
        <v>6012664</v>
      </c>
      <c r="H660">
        <v>95</v>
      </c>
      <c r="I660">
        <v>96</v>
      </c>
      <c r="K660">
        <v>1</v>
      </c>
      <c r="L660" t="s">
        <v>2399</v>
      </c>
      <c r="M660" t="s">
        <v>31</v>
      </c>
      <c r="N660" t="s">
        <v>19</v>
      </c>
    </row>
    <row r="661" spans="1:14">
      <c r="A661" t="s">
        <v>2400</v>
      </c>
      <c r="B661" t="s">
        <v>2401</v>
      </c>
      <c r="C661">
        <v>2011</v>
      </c>
      <c r="D661" t="s">
        <v>2402</v>
      </c>
      <c r="E661">
        <v>44</v>
      </c>
      <c r="F661" s="1">
        <v>41430</v>
      </c>
      <c r="H661">
        <v>421</v>
      </c>
      <c r="I661">
        <v>439</v>
      </c>
      <c r="L661" t="s">
        <v>2403</v>
      </c>
      <c r="M661" t="s">
        <v>18</v>
      </c>
      <c r="N661" t="s">
        <v>19</v>
      </c>
    </row>
    <row r="662" spans="1:14">
      <c r="A662" t="s">
        <v>2404</v>
      </c>
      <c r="B662" t="s">
        <v>2405</v>
      </c>
      <c r="C662">
        <v>2011</v>
      </c>
      <c r="D662" t="s">
        <v>1637</v>
      </c>
      <c r="E662" t="s">
        <v>2406</v>
      </c>
      <c r="F662">
        <v>1</v>
      </c>
      <c r="G662">
        <v>29</v>
      </c>
      <c r="K662">
        <v>1</v>
      </c>
      <c r="L662" t="s">
        <v>2407</v>
      </c>
      <c r="M662" t="s">
        <v>624</v>
      </c>
      <c r="N662" t="s">
        <v>19</v>
      </c>
    </row>
    <row r="663" spans="1:14">
      <c r="A663" t="s">
        <v>2408</v>
      </c>
      <c r="B663" t="s">
        <v>2409</v>
      </c>
      <c r="C663">
        <v>2011</v>
      </c>
      <c r="D663" t="s">
        <v>1641</v>
      </c>
      <c r="E663">
        <v>31</v>
      </c>
      <c r="F663" t="s">
        <v>2410</v>
      </c>
      <c r="H663">
        <v>150</v>
      </c>
      <c r="I663">
        <v>153</v>
      </c>
      <c r="L663" t="s">
        <v>2411</v>
      </c>
      <c r="M663" t="s">
        <v>18</v>
      </c>
      <c r="N663" t="s">
        <v>19</v>
      </c>
    </row>
    <row r="664" spans="1:14">
      <c r="A664" t="s">
        <v>2412</v>
      </c>
      <c r="B664" t="s">
        <v>2413</v>
      </c>
      <c r="C664">
        <v>2011</v>
      </c>
      <c r="D664" t="s">
        <v>1097</v>
      </c>
      <c r="E664">
        <v>4</v>
      </c>
      <c r="F664">
        <v>5</v>
      </c>
      <c r="H664">
        <v>470</v>
      </c>
      <c r="I664">
        <v>486</v>
      </c>
      <c r="L664" t="s">
        <v>2414</v>
      </c>
      <c r="M664" t="s">
        <v>18</v>
      </c>
      <c r="N664" t="s">
        <v>19</v>
      </c>
    </row>
    <row r="665" spans="1:14">
      <c r="A665" t="s">
        <v>2415</v>
      </c>
      <c r="B665" t="s">
        <v>2416</v>
      </c>
      <c r="C665">
        <v>2011</v>
      </c>
      <c r="D665" t="s">
        <v>2417</v>
      </c>
      <c r="E665">
        <v>45</v>
      </c>
      <c r="F665">
        <v>10</v>
      </c>
      <c r="H665">
        <v>1536</v>
      </c>
      <c r="I665" t="s">
        <v>2418</v>
      </c>
      <c r="K665">
        <v>1</v>
      </c>
      <c r="L665" t="s">
        <v>2419</v>
      </c>
      <c r="M665" t="s">
        <v>18</v>
      </c>
      <c r="N665" t="s">
        <v>19</v>
      </c>
    </row>
    <row r="666" spans="1:14">
      <c r="A666" t="s">
        <v>2420</v>
      </c>
      <c r="B666" t="s">
        <v>2421</v>
      </c>
      <c r="C666">
        <v>2011</v>
      </c>
      <c r="D666" t="s">
        <v>2422</v>
      </c>
      <c r="E666">
        <v>29</v>
      </c>
      <c r="F666">
        <v>5</v>
      </c>
      <c r="H666">
        <v>404</v>
      </c>
      <c r="I666">
        <v>413</v>
      </c>
      <c r="K666">
        <v>1</v>
      </c>
      <c r="L666" t="s">
        <v>2423</v>
      </c>
      <c r="M666" t="s">
        <v>18</v>
      </c>
      <c r="N666" t="s">
        <v>19</v>
      </c>
    </row>
    <row r="667" spans="1:14">
      <c r="A667" t="s">
        <v>2424</v>
      </c>
      <c r="B667" t="s">
        <v>2425</v>
      </c>
      <c r="C667">
        <v>2011</v>
      </c>
      <c r="D667" t="s">
        <v>1534</v>
      </c>
      <c r="E667">
        <v>34</v>
      </c>
      <c r="F667">
        <v>10</v>
      </c>
      <c r="H667">
        <v>1753</v>
      </c>
      <c r="I667">
        <v>1767</v>
      </c>
      <c r="K667">
        <v>2</v>
      </c>
      <c r="L667" t="s">
        <v>2426</v>
      </c>
      <c r="M667" t="s">
        <v>18</v>
      </c>
      <c r="N667" t="s">
        <v>19</v>
      </c>
    </row>
    <row r="668" spans="1:14">
      <c r="A668" t="s">
        <v>2427</v>
      </c>
      <c r="B668" t="s">
        <v>2428</v>
      </c>
      <c r="C668">
        <v>2011</v>
      </c>
      <c r="D668" t="s">
        <v>2429</v>
      </c>
      <c r="G668">
        <v>6009610</v>
      </c>
      <c r="H668">
        <v>525</v>
      </c>
      <c r="I668">
        <v>527</v>
      </c>
      <c r="L668" t="s">
        <v>2430</v>
      </c>
      <c r="M668" t="s">
        <v>31</v>
      </c>
      <c r="N668" t="s">
        <v>19</v>
      </c>
    </row>
    <row r="669" spans="1:14">
      <c r="A669" t="s">
        <v>2431</v>
      </c>
      <c r="B669" t="s">
        <v>2432</v>
      </c>
      <c r="C669">
        <v>2011</v>
      </c>
      <c r="D669" t="s">
        <v>2433</v>
      </c>
      <c r="H669">
        <v>414</v>
      </c>
      <c r="I669">
        <v>415</v>
      </c>
      <c r="K669">
        <v>2</v>
      </c>
      <c r="L669" t="s">
        <v>2434</v>
      </c>
      <c r="M669" t="s">
        <v>31</v>
      </c>
      <c r="N669" t="s">
        <v>19</v>
      </c>
    </row>
    <row r="670" spans="1:14">
      <c r="A670" t="s">
        <v>2435</v>
      </c>
      <c r="B670" t="s">
        <v>2436</v>
      </c>
      <c r="C670">
        <v>2011</v>
      </c>
      <c r="D670" t="s">
        <v>55</v>
      </c>
      <c r="E670" t="s">
        <v>2437</v>
      </c>
      <c r="H670">
        <v>299</v>
      </c>
      <c r="I670">
        <v>313</v>
      </c>
      <c r="L670" t="s">
        <v>2438</v>
      </c>
      <c r="M670" t="s">
        <v>31</v>
      </c>
      <c r="N670" t="s">
        <v>19</v>
      </c>
    </row>
    <row r="671" spans="1:14">
      <c r="A671" t="s">
        <v>2439</v>
      </c>
      <c r="B671" t="s">
        <v>2440</v>
      </c>
      <c r="C671">
        <v>2011</v>
      </c>
      <c r="D671" t="s">
        <v>2441</v>
      </c>
      <c r="G671">
        <v>6003282</v>
      </c>
      <c r="H671">
        <v>1594</v>
      </c>
      <c r="I671">
        <v>1597</v>
      </c>
      <c r="L671" t="s">
        <v>2442</v>
      </c>
      <c r="M671" t="s">
        <v>31</v>
      </c>
      <c r="N671" t="s">
        <v>19</v>
      </c>
    </row>
    <row r="672" spans="1:14">
      <c r="A672" t="s">
        <v>2443</v>
      </c>
      <c r="B672" t="s">
        <v>2444</v>
      </c>
      <c r="C672">
        <v>2011</v>
      </c>
      <c r="D672" t="s">
        <v>2445</v>
      </c>
      <c r="G672">
        <v>5984118</v>
      </c>
      <c r="H672">
        <v>379</v>
      </c>
      <c r="I672">
        <v>383</v>
      </c>
      <c r="K672">
        <v>1</v>
      </c>
      <c r="L672" t="s">
        <v>2446</v>
      </c>
      <c r="M672" t="s">
        <v>31</v>
      </c>
      <c r="N672" t="s">
        <v>19</v>
      </c>
    </row>
    <row r="673" spans="1:14">
      <c r="A673" t="s">
        <v>2447</v>
      </c>
      <c r="B673" t="s">
        <v>2448</v>
      </c>
      <c r="C673">
        <v>2011</v>
      </c>
      <c r="D673" t="s">
        <v>2445</v>
      </c>
      <c r="G673">
        <v>5984053</v>
      </c>
      <c r="H673">
        <v>71</v>
      </c>
      <c r="I673">
        <v>76</v>
      </c>
      <c r="L673" t="s">
        <v>2449</v>
      </c>
      <c r="M673" t="s">
        <v>31</v>
      </c>
      <c r="N673" t="s">
        <v>19</v>
      </c>
    </row>
    <row r="674" spans="1:14">
      <c r="A674" t="s">
        <v>2450</v>
      </c>
      <c r="B674" t="s">
        <v>2451</v>
      </c>
      <c r="C674">
        <v>2011</v>
      </c>
      <c r="D674" t="s">
        <v>2452</v>
      </c>
      <c r="G674">
        <v>5992682</v>
      </c>
      <c r="H674">
        <v>685</v>
      </c>
      <c r="I674">
        <v>689</v>
      </c>
      <c r="L674" t="s">
        <v>2453</v>
      </c>
      <c r="M674" t="s">
        <v>31</v>
      </c>
      <c r="N674" t="s">
        <v>19</v>
      </c>
    </row>
    <row r="675" spans="1:14">
      <c r="A675" t="s">
        <v>2454</v>
      </c>
      <c r="B675" t="s">
        <v>2455</v>
      </c>
      <c r="C675">
        <v>2011</v>
      </c>
      <c r="D675" t="s">
        <v>2452</v>
      </c>
      <c r="G675">
        <v>5992670</v>
      </c>
      <c r="H675">
        <v>751</v>
      </c>
      <c r="I675">
        <v>754</v>
      </c>
      <c r="L675" t="s">
        <v>2456</v>
      </c>
      <c r="M675" t="s">
        <v>31</v>
      </c>
      <c r="N675" t="s">
        <v>19</v>
      </c>
    </row>
    <row r="676" spans="1:14">
      <c r="A676" t="s">
        <v>2457</v>
      </c>
      <c r="B676" t="s">
        <v>2458</v>
      </c>
      <c r="C676">
        <v>2011</v>
      </c>
      <c r="D676" t="s">
        <v>2452</v>
      </c>
      <c r="G676">
        <v>5992635</v>
      </c>
      <c r="H676">
        <v>418</v>
      </c>
      <c r="I676">
        <v>422</v>
      </c>
      <c r="K676">
        <v>1</v>
      </c>
      <c r="L676" t="s">
        <v>2459</v>
      </c>
      <c r="M676" t="s">
        <v>31</v>
      </c>
      <c r="N676" t="s">
        <v>19</v>
      </c>
    </row>
    <row r="677" spans="1:14">
      <c r="A677" t="s">
        <v>2460</v>
      </c>
      <c r="B677" t="s">
        <v>2461</v>
      </c>
      <c r="C677">
        <v>2011</v>
      </c>
      <c r="D677" t="s">
        <v>2452</v>
      </c>
      <c r="G677">
        <v>5992604</v>
      </c>
      <c r="H677">
        <v>203</v>
      </c>
      <c r="I677">
        <v>210</v>
      </c>
      <c r="K677">
        <v>2</v>
      </c>
      <c r="L677" t="s">
        <v>2462</v>
      </c>
      <c r="M677" t="s">
        <v>31</v>
      </c>
      <c r="N677" t="s">
        <v>19</v>
      </c>
    </row>
    <row r="678" spans="1:14">
      <c r="A678" t="s">
        <v>416</v>
      </c>
      <c r="B678" t="s">
        <v>2463</v>
      </c>
      <c r="C678">
        <v>2011</v>
      </c>
      <c r="D678" t="s">
        <v>2452</v>
      </c>
      <c r="G678">
        <v>5992584</v>
      </c>
      <c r="H678">
        <v>45</v>
      </c>
      <c r="I678">
        <v>52</v>
      </c>
      <c r="L678" t="s">
        <v>2464</v>
      </c>
      <c r="M678" t="s">
        <v>31</v>
      </c>
      <c r="N678" t="s">
        <v>19</v>
      </c>
    </row>
    <row r="679" spans="1:14">
      <c r="A679" t="s">
        <v>2465</v>
      </c>
      <c r="B679" t="s">
        <v>2466</v>
      </c>
      <c r="C679">
        <v>2011</v>
      </c>
      <c r="D679" t="s">
        <v>2452</v>
      </c>
      <c r="G679">
        <v>5992609</v>
      </c>
      <c r="H679">
        <v>247</v>
      </c>
      <c r="I679">
        <v>253</v>
      </c>
      <c r="K679">
        <v>1</v>
      </c>
      <c r="L679" t="s">
        <v>2467</v>
      </c>
      <c r="M679" t="s">
        <v>31</v>
      </c>
      <c r="N679" t="s">
        <v>19</v>
      </c>
    </row>
    <row r="680" spans="1:14">
      <c r="A680" t="s">
        <v>2468</v>
      </c>
      <c r="B680" t="s">
        <v>2469</v>
      </c>
      <c r="C680">
        <v>2011</v>
      </c>
      <c r="D680" t="s">
        <v>2452</v>
      </c>
      <c r="G680">
        <v>5992644</v>
      </c>
      <c r="H680">
        <v>605</v>
      </c>
      <c r="I680">
        <v>610</v>
      </c>
      <c r="L680" t="s">
        <v>2470</v>
      </c>
      <c r="M680" t="s">
        <v>31</v>
      </c>
      <c r="N680" t="s">
        <v>19</v>
      </c>
    </row>
    <row r="681" spans="1:14">
      <c r="A681" t="s">
        <v>2471</v>
      </c>
      <c r="B681" t="s">
        <v>2472</v>
      </c>
      <c r="C681">
        <v>2011</v>
      </c>
      <c r="D681" t="s">
        <v>2452</v>
      </c>
      <c r="G681">
        <v>5992583</v>
      </c>
      <c r="H681">
        <v>37</v>
      </c>
      <c r="I681">
        <v>44</v>
      </c>
      <c r="L681" t="s">
        <v>2473</v>
      </c>
      <c r="M681" t="s">
        <v>31</v>
      </c>
      <c r="N681" t="s">
        <v>19</v>
      </c>
    </row>
    <row r="682" spans="1:14">
      <c r="A682" t="s">
        <v>2474</v>
      </c>
      <c r="B682" t="s">
        <v>2475</v>
      </c>
      <c r="C682">
        <v>2011</v>
      </c>
      <c r="D682" t="s">
        <v>2452</v>
      </c>
      <c r="G682">
        <v>5992690</v>
      </c>
      <c r="H682">
        <v>735</v>
      </c>
      <c r="I682">
        <v>740</v>
      </c>
      <c r="K682">
        <v>1</v>
      </c>
      <c r="L682" t="s">
        <v>2476</v>
      </c>
      <c r="M682" t="s">
        <v>31</v>
      </c>
      <c r="N682" t="s">
        <v>19</v>
      </c>
    </row>
    <row r="683" spans="1:14">
      <c r="A683" t="s">
        <v>2477</v>
      </c>
      <c r="B683" t="s">
        <v>2478</v>
      </c>
      <c r="C683">
        <v>2011</v>
      </c>
      <c r="D683" t="s">
        <v>2452</v>
      </c>
      <c r="G683">
        <v>5992607</v>
      </c>
      <c r="H683">
        <v>228</v>
      </c>
      <c r="I683">
        <v>235</v>
      </c>
      <c r="L683" t="s">
        <v>2479</v>
      </c>
      <c r="M683" t="s">
        <v>31</v>
      </c>
      <c r="N683" t="s">
        <v>19</v>
      </c>
    </row>
    <row r="684" spans="1:14">
      <c r="A684" t="s">
        <v>1088</v>
      </c>
      <c r="B684" t="s">
        <v>2480</v>
      </c>
      <c r="C684">
        <v>2011</v>
      </c>
      <c r="D684" t="s">
        <v>2452</v>
      </c>
      <c r="G684">
        <v>5992585</v>
      </c>
      <c r="H684">
        <v>53</v>
      </c>
      <c r="I684">
        <v>60</v>
      </c>
      <c r="L684" t="s">
        <v>2481</v>
      </c>
      <c r="M684" t="s">
        <v>31</v>
      </c>
      <c r="N684" t="s">
        <v>19</v>
      </c>
    </row>
    <row r="685" spans="1:14">
      <c r="A685" t="s">
        <v>2482</v>
      </c>
      <c r="B685" t="s">
        <v>2483</v>
      </c>
      <c r="C685">
        <v>2011</v>
      </c>
      <c r="D685" t="s">
        <v>2452</v>
      </c>
      <c r="G685">
        <v>5992631</v>
      </c>
      <c r="H685">
        <v>398</v>
      </c>
      <c r="I685">
        <v>402</v>
      </c>
      <c r="L685" t="s">
        <v>2484</v>
      </c>
      <c r="M685" t="s">
        <v>31</v>
      </c>
      <c r="N685" t="s">
        <v>19</v>
      </c>
    </row>
    <row r="686" spans="1:14">
      <c r="A686" t="s">
        <v>2485</v>
      </c>
      <c r="B686" t="s">
        <v>2486</v>
      </c>
      <c r="C686">
        <v>2011</v>
      </c>
      <c r="D686" t="s">
        <v>2452</v>
      </c>
      <c r="G686">
        <v>5992574</v>
      </c>
      <c r="H686">
        <v>145</v>
      </c>
      <c r="I686">
        <v>152</v>
      </c>
      <c r="L686" t="s">
        <v>2487</v>
      </c>
      <c r="M686" t="s">
        <v>31</v>
      </c>
      <c r="N686" t="s">
        <v>19</v>
      </c>
    </row>
    <row r="687" spans="1:14">
      <c r="A687" t="s">
        <v>1927</v>
      </c>
      <c r="B687" t="s">
        <v>2488</v>
      </c>
      <c r="C687">
        <v>2011</v>
      </c>
      <c r="D687" t="s">
        <v>2452</v>
      </c>
      <c r="G687">
        <v>5992668</v>
      </c>
      <c r="H687">
        <v>567</v>
      </c>
      <c r="I687">
        <v>569</v>
      </c>
      <c r="L687" t="s">
        <v>2489</v>
      </c>
      <c r="M687" t="s">
        <v>31</v>
      </c>
      <c r="N687" t="s">
        <v>19</v>
      </c>
    </row>
    <row r="688" spans="1:14">
      <c r="A688" t="s">
        <v>2283</v>
      </c>
      <c r="B688" t="s">
        <v>2490</v>
      </c>
      <c r="C688">
        <v>2011</v>
      </c>
      <c r="D688" t="s">
        <v>2452</v>
      </c>
      <c r="G688">
        <v>5992597</v>
      </c>
      <c r="H688">
        <v>336</v>
      </c>
      <c r="I688">
        <v>343</v>
      </c>
      <c r="L688" t="s">
        <v>2491</v>
      </c>
      <c r="M688" t="s">
        <v>31</v>
      </c>
      <c r="N688" t="s">
        <v>19</v>
      </c>
    </row>
    <row r="689" spans="1:14">
      <c r="A689" t="s">
        <v>2492</v>
      </c>
      <c r="B689" t="s">
        <v>2493</v>
      </c>
      <c r="C689">
        <v>2011</v>
      </c>
      <c r="D689" t="s">
        <v>2494</v>
      </c>
      <c r="G689">
        <v>5992391</v>
      </c>
      <c r="H689">
        <v>532</v>
      </c>
      <c r="I689">
        <v>533</v>
      </c>
      <c r="L689" t="s">
        <v>2495</v>
      </c>
      <c r="M689" t="s">
        <v>31</v>
      </c>
      <c r="N689" t="s">
        <v>19</v>
      </c>
    </row>
    <row r="690" spans="1:14">
      <c r="A690" t="s">
        <v>230</v>
      </c>
      <c r="B690" t="s">
        <v>2452</v>
      </c>
      <c r="C690">
        <v>2011</v>
      </c>
      <c r="D690" t="s">
        <v>2452</v>
      </c>
      <c r="L690" t="s">
        <v>2496</v>
      </c>
      <c r="M690" t="s">
        <v>233</v>
      </c>
      <c r="N690" t="s">
        <v>19</v>
      </c>
    </row>
    <row r="691" spans="1:14">
      <c r="A691" t="s">
        <v>2497</v>
      </c>
      <c r="B691" t="s">
        <v>2498</v>
      </c>
      <c r="C691">
        <v>2011</v>
      </c>
      <c r="D691" t="s">
        <v>2452</v>
      </c>
      <c r="G691">
        <v>5992655</v>
      </c>
      <c r="H691">
        <v>672</v>
      </c>
      <c r="I691">
        <v>677</v>
      </c>
      <c r="L691" t="s">
        <v>2499</v>
      </c>
      <c r="M691" t="s">
        <v>31</v>
      </c>
      <c r="N691" t="s">
        <v>19</v>
      </c>
    </row>
    <row r="692" spans="1:14">
      <c r="A692" t="s">
        <v>2500</v>
      </c>
      <c r="B692" t="s">
        <v>2501</v>
      </c>
      <c r="C692">
        <v>2011</v>
      </c>
      <c r="D692" t="s">
        <v>2452</v>
      </c>
      <c r="G692">
        <v>5992627</v>
      </c>
      <c r="H692">
        <v>377</v>
      </c>
      <c r="I692">
        <v>381</v>
      </c>
      <c r="L692" t="s">
        <v>2502</v>
      </c>
      <c r="M692" t="s">
        <v>31</v>
      </c>
      <c r="N692" t="s">
        <v>19</v>
      </c>
    </row>
    <row r="693" spans="1:14">
      <c r="A693" t="s">
        <v>2503</v>
      </c>
      <c r="B693" t="s">
        <v>2504</v>
      </c>
      <c r="C693">
        <v>2011</v>
      </c>
      <c r="D693" t="s">
        <v>55</v>
      </c>
      <c r="E693" t="s">
        <v>2505</v>
      </c>
      <c r="H693">
        <v>48</v>
      </c>
      <c r="I693">
        <v>59</v>
      </c>
      <c r="L693" t="s">
        <v>2506</v>
      </c>
      <c r="M693" t="s">
        <v>31</v>
      </c>
      <c r="N693" t="s">
        <v>19</v>
      </c>
    </row>
    <row r="694" spans="1:14">
      <c r="A694" t="s">
        <v>2507</v>
      </c>
      <c r="B694" t="s">
        <v>2508</v>
      </c>
      <c r="C694">
        <v>2011</v>
      </c>
      <c r="D694" t="s">
        <v>2452</v>
      </c>
      <c r="G694">
        <v>5992628</v>
      </c>
      <c r="H694">
        <v>382</v>
      </c>
      <c r="I694">
        <v>386</v>
      </c>
      <c r="K694">
        <v>1</v>
      </c>
      <c r="L694" t="s">
        <v>2509</v>
      </c>
      <c r="M694" t="s">
        <v>31</v>
      </c>
      <c r="N694" t="s">
        <v>19</v>
      </c>
    </row>
    <row r="695" spans="1:14">
      <c r="A695" t="s">
        <v>2510</v>
      </c>
      <c r="B695" t="s">
        <v>2511</v>
      </c>
      <c r="C695">
        <v>2011</v>
      </c>
      <c r="D695" t="s">
        <v>2452</v>
      </c>
      <c r="G695">
        <v>5992620</v>
      </c>
      <c r="H695">
        <v>497</v>
      </c>
      <c r="I695">
        <v>501</v>
      </c>
      <c r="K695">
        <v>1</v>
      </c>
      <c r="L695" t="s">
        <v>2512</v>
      </c>
      <c r="M695" t="s">
        <v>31</v>
      </c>
      <c r="N695" t="s">
        <v>19</v>
      </c>
    </row>
    <row r="696" spans="1:14">
      <c r="A696" t="s">
        <v>2513</v>
      </c>
      <c r="B696" t="s">
        <v>2514</v>
      </c>
      <c r="C696">
        <v>2011</v>
      </c>
      <c r="D696" t="s">
        <v>2452</v>
      </c>
      <c r="G696">
        <v>5992642</v>
      </c>
      <c r="H696">
        <v>593</v>
      </c>
      <c r="I696">
        <v>598</v>
      </c>
      <c r="K696">
        <v>1</v>
      </c>
      <c r="L696" t="s">
        <v>2515</v>
      </c>
      <c r="M696" t="s">
        <v>31</v>
      </c>
      <c r="N696" t="s">
        <v>19</v>
      </c>
    </row>
    <row r="697" spans="1:14">
      <c r="A697" t="s">
        <v>2516</v>
      </c>
      <c r="B697" t="s">
        <v>2517</v>
      </c>
      <c r="C697">
        <v>2011</v>
      </c>
      <c r="D697" t="s">
        <v>883</v>
      </c>
      <c r="H697">
        <v>105</v>
      </c>
      <c r="I697">
        <v>113</v>
      </c>
      <c r="K697">
        <v>2</v>
      </c>
      <c r="L697" t="s">
        <v>2518</v>
      </c>
      <c r="M697" t="s">
        <v>31</v>
      </c>
      <c r="N697" t="s">
        <v>19</v>
      </c>
    </row>
    <row r="698" spans="1:14">
      <c r="A698" t="s">
        <v>928</v>
      </c>
      <c r="B698" t="s">
        <v>2519</v>
      </c>
      <c r="C698">
        <v>2011</v>
      </c>
      <c r="D698" t="s">
        <v>883</v>
      </c>
      <c r="H698">
        <v>765</v>
      </c>
      <c r="I698">
        <v>768</v>
      </c>
      <c r="L698" t="s">
        <v>2520</v>
      </c>
      <c r="M698" t="s">
        <v>31</v>
      </c>
      <c r="N698" t="s">
        <v>19</v>
      </c>
    </row>
    <row r="699" spans="1:14">
      <c r="A699" t="s">
        <v>423</v>
      </c>
      <c r="B699" t="s">
        <v>2521</v>
      </c>
      <c r="C699">
        <v>2011</v>
      </c>
      <c r="D699" t="s">
        <v>16</v>
      </c>
      <c r="E699">
        <v>38</v>
      </c>
      <c r="F699">
        <v>10</v>
      </c>
      <c r="H699">
        <v>12786</v>
      </c>
      <c r="I699">
        <v>12790</v>
      </c>
      <c r="K699">
        <v>13</v>
      </c>
      <c r="L699" t="s">
        <v>2522</v>
      </c>
      <c r="M699" t="s">
        <v>18</v>
      </c>
      <c r="N699" t="s">
        <v>19</v>
      </c>
    </row>
    <row r="700" spans="1:14">
      <c r="A700" t="s">
        <v>2523</v>
      </c>
      <c r="B700" t="s">
        <v>2524</v>
      </c>
      <c r="C700">
        <v>2011</v>
      </c>
      <c r="D700" t="s">
        <v>2525</v>
      </c>
      <c r="G700">
        <v>5978789</v>
      </c>
      <c r="L700" t="s">
        <v>2526</v>
      </c>
      <c r="M700" t="s">
        <v>31</v>
      </c>
      <c r="N700" t="s">
        <v>19</v>
      </c>
    </row>
    <row r="701" spans="1:14">
      <c r="A701" t="s">
        <v>2527</v>
      </c>
      <c r="B701" t="s">
        <v>2528</v>
      </c>
      <c r="C701">
        <v>2011</v>
      </c>
      <c r="D701" t="s">
        <v>2529</v>
      </c>
      <c r="G701">
        <v>5977511</v>
      </c>
      <c r="L701" t="s">
        <v>2530</v>
      </c>
      <c r="M701" t="s">
        <v>31</v>
      </c>
      <c r="N701" t="s">
        <v>19</v>
      </c>
    </row>
    <row r="702" spans="1:14">
      <c r="A702" t="s">
        <v>2531</v>
      </c>
      <c r="B702" t="s">
        <v>2532</v>
      </c>
      <c r="C702">
        <v>2011</v>
      </c>
      <c r="D702" t="s">
        <v>2533</v>
      </c>
      <c r="E702">
        <v>36</v>
      </c>
      <c r="F702" t="s">
        <v>2534</v>
      </c>
      <c r="H702">
        <v>1085</v>
      </c>
      <c r="I702">
        <v>1092</v>
      </c>
      <c r="K702">
        <v>1</v>
      </c>
      <c r="L702" t="s">
        <v>2535</v>
      </c>
      <c r="M702" t="s">
        <v>18</v>
      </c>
      <c r="N702" t="s">
        <v>19</v>
      </c>
    </row>
    <row r="703" spans="1:14">
      <c r="A703" t="s">
        <v>2536</v>
      </c>
      <c r="B703" t="s">
        <v>2537</v>
      </c>
      <c r="C703">
        <v>2011</v>
      </c>
      <c r="D703" t="s">
        <v>2538</v>
      </c>
      <c r="G703">
        <v>5960128</v>
      </c>
      <c r="H703">
        <v>562</v>
      </c>
      <c r="I703">
        <v>569</v>
      </c>
      <c r="K703">
        <v>1</v>
      </c>
      <c r="L703" t="s">
        <v>2539</v>
      </c>
      <c r="M703" t="s">
        <v>31</v>
      </c>
      <c r="N703" t="s">
        <v>19</v>
      </c>
    </row>
    <row r="704" spans="1:14">
      <c r="A704" t="s">
        <v>2540</v>
      </c>
      <c r="B704" t="s">
        <v>2541</v>
      </c>
      <c r="C704">
        <v>2011</v>
      </c>
      <c r="D704" t="s">
        <v>2542</v>
      </c>
      <c r="G704">
        <v>5960316</v>
      </c>
      <c r="H704">
        <v>188</v>
      </c>
      <c r="I704">
        <v>192</v>
      </c>
      <c r="K704">
        <v>1</v>
      </c>
      <c r="L704" t="s">
        <v>2543</v>
      </c>
      <c r="M704" t="s">
        <v>31</v>
      </c>
      <c r="N704" t="s">
        <v>19</v>
      </c>
    </row>
    <row r="705" spans="1:14">
      <c r="A705" t="s">
        <v>2544</v>
      </c>
      <c r="B705" t="s">
        <v>2545</v>
      </c>
      <c r="C705">
        <v>2011</v>
      </c>
      <c r="D705" t="s">
        <v>2538</v>
      </c>
      <c r="G705">
        <v>5960120</v>
      </c>
      <c r="H705">
        <v>508</v>
      </c>
      <c r="I705">
        <v>515</v>
      </c>
      <c r="L705" t="s">
        <v>2546</v>
      </c>
      <c r="M705" t="s">
        <v>31</v>
      </c>
      <c r="N705" t="s">
        <v>19</v>
      </c>
    </row>
    <row r="706" spans="1:14">
      <c r="A706" t="s">
        <v>2547</v>
      </c>
      <c r="B706" t="s">
        <v>2548</v>
      </c>
      <c r="C706">
        <v>2011</v>
      </c>
      <c r="D706" t="s">
        <v>2538</v>
      </c>
      <c r="G706">
        <v>5960121</v>
      </c>
      <c r="H706">
        <v>516</v>
      </c>
      <c r="I706">
        <v>523</v>
      </c>
      <c r="L706" t="s">
        <v>2549</v>
      </c>
      <c r="M706" t="s">
        <v>31</v>
      </c>
      <c r="N706" t="s">
        <v>19</v>
      </c>
    </row>
    <row r="707" spans="1:14">
      <c r="A707" t="s">
        <v>2550</v>
      </c>
      <c r="B707" t="s">
        <v>2551</v>
      </c>
      <c r="C707">
        <v>2011</v>
      </c>
      <c r="D707" t="s">
        <v>2552</v>
      </c>
      <c r="G707">
        <v>5963147</v>
      </c>
      <c r="L707" t="s">
        <v>2553</v>
      </c>
      <c r="M707" t="s">
        <v>31</v>
      </c>
      <c r="N707" t="s">
        <v>19</v>
      </c>
    </row>
    <row r="708" spans="1:14">
      <c r="A708" t="s">
        <v>2554</v>
      </c>
      <c r="B708" t="s">
        <v>2555</v>
      </c>
      <c r="C708">
        <v>2011</v>
      </c>
      <c r="D708" t="s">
        <v>2556</v>
      </c>
      <c r="E708">
        <v>4</v>
      </c>
      <c r="G708">
        <v>5920920</v>
      </c>
      <c r="H708">
        <v>66</v>
      </c>
      <c r="I708">
        <v>69</v>
      </c>
      <c r="L708" t="s">
        <v>2557</v>
      </c>
      <c r="M708" t="s">
        <v>31</v>
      </c>
      <c r="N708" t="s">
        <v>19</v>
      </c>
    </row>
    <row r="709" spans="1:14">
      <c r="A709" t="s">
        <v>2558</v>
      </c>
      <c r="B709" t="s">
        <v>2559</v>
      </c>
      <c r="C709">
        <v>2011</v>
      </c>
      <c r="D709" t="s">
        <v>1319</v>
      </c>
      <c r="E709">
        <v>4</v>
      </c>
      <c r="F709">
        <v>5</v>
      </c>
      <c r="H709">
        <v>1012</v>
      </c>
      <c r="I709">
        <v>1021</v>
      </c>
      <c r="K709">
        <v>3</v>
      </c>
      <c r="L709" t="s">
        <v>2560</v>
      </c>
      <c r="M709" t="s">
        <v>18</v>
      </c>
      <c r="N709" t="s">
        <v>19</v>
      </c>
    </row>
    <row r="710" spans="1:14">
      <c r="A710" t="s">
        <v>2561</v>
      </c>
      <c r="B710" t="s">
        <v>2562</v>
      </c>
      <c r="C710">
        <v>2011</v>
      </c>
      <c r="D710" t="s">
        <v>2563</v>
      </c>
      <c r="E710">
        <v>51</v>
      </c>
      <c r="F710">
        <v>5</v>
      </c>
      <c r="H710">
        <v>844</v>
      </c>
      <c r="I710">
        <v>875</v>
      </c>
      <c r="L710" t="s">
        <v>2564</v>
      </c>
      <c r="M710" t="s">
        <v>18</v>
      </c>
      <c r="N710" t="s">
        <v>19</v>
      </c>
    </row>
    <row r="711" spans="1:14">
      <c r="A711" t="s">
        <v>2565</v>
      </c>
      <c r="B711" t="s">
        <v>2566</v>
      </c>
      <c r="C711">
        <v>2011</v>
      </c>
      <c r="D711" t="s">
        <v>249</v>
      </c>
      <c r="E711">
        <v>19</v>
      </c>
      <c r="F711">
        <v>4</v>
      </c>
      <c r="H711">
        <v>317</v>
      </c>
      <c r="I711">
        <v>331</v>
      </c>
      <c r="K711">
        <v>2</v>
      </c>
      <c r="L711" t="s">
        <v>2567</v>
      </c>
      <c r="M711" t="s">
        <v>18</v>
      </c>
      <c r="N711" t="s">
        <v>19</v>
      </c>
    </row>
    <row r="712" spans="1:14">
      <c r="A712" t="s">
        <v>2568</v>
      </c>
      <c r="B712" t="s">
        <v>2569</v>
      </c>
      <c r="C712">
        <v>2011</v>
      </c>
      <c r="D712" t="s">
        <v>2010</v>
      </c>
      <c r="E712">
        <v>35</v>
      </c>
      <c r="F712">
        <v>3</v>
      </c>
      <c r="H712">
        <v>629</v>
      </c>
      <c r="I712">
        <v>643</v>
      </c>
      <c r="K712">
        <v>3</v>
      </c>
      <c r="L712" t="s">
        <v>2570</v>
      </c>
      <c r="M712" t="s">
        <v>18</v>
      </c>
      <c r="N712" t="s">
        <v>19</v>
      </c>
    </row>
    <row r="713" spans="1:14">
      <c r="A713" t="s">
        <v>1667</v>
      </c>
      <c r="B713" t="s">
        <v>2571</v>
      </c>
      <c r="C713">
        <v>2011</v>
      </c>
      <c r="D713" t="s">
        <v>55</v>
      </c>
      <c r="E713" t="s">
        <v>2572</v>
      </c>
      <c r="H713">
        <v>234</v>
      </c>
      <c r="I713">
        <v>246</v>
      </c>
      <c r="L713" t="s">
        <v>2573</v>
      </c>
      <c r="M713" t="s">
        <v>31</v>
      </c>
      <c r="N713" t="s">
        <v>19</v>
      </c>
    </row>
    <row r="714" spans="1:14">
      <c r="A714" t="s">
        <v>2574</v>
      </c>
      <c r="B714" t="s">
        <v>2575</v>
      </c>
      <c r="C714">
        <v>2011</v>
      </c>
      <c r="D714" t="s">
        <v>2576</v>
      </c>
      <c r="H714">
        <v>267</v>
      </c>
      <c r="I714">
        <v>277</v>
      </c>
      <c r="L714" t="s">
        <v>2577</v>
      </c>
      <c r="M714" t="s">
        <v>31</v>
      </c>
      <c r="N714" t="s">
        <v>19</v>
      </c>
    </row>
    <row r="715" spans="1:14">
      <c r="A715" t="s">
        <v>276</v>
      </c>
      <c r="B715" t="s">
        <v>2578</v>
      </c>
      <c r="C715">
        <v>2011</v>
      </c>
      <c r="D715" t="s">
        <v>2579</v>
      </c>
      <c r="G715">
        <v>5958112</v>
      </c>
      <c r="H715">
        <v>384</v>
      </c>
      <c r="I715">
        <v>391</v>
      </c>
      <c r="L715" t="s">
        <v>2580</v>
      </c>
      <c r="M715" t="s">
        <v>31</v>
      </c>
      <c r="N715" t="s">
        <v>19</v>
      </c>
    </row>
    <row r="716" spans="1:14">
      <c r="A716" t="s">
        <v>2581</v>
      </c>
      <c r="B716" t="s">
        <v>2582</v>
      </c>
      <c r="C716">
        <v>2011</v>
      </c>
      <c r="D716" t="s">
        <v>2583</v>
      </c>
      <c r="G716">
        <v>5955556</v>
      </c>
      <c r="L716" t="s">
        <v>2584</v>
      </c>
      <c r="M716" t="s">
        <v>31</v>
      </c>
      <c r="N716" t="s">
        <v>19</v>
      </c>
    </row>
    <row r="717" spans="1:14">
      <c r="A717" t="s">
        <v>2585</v>
      </c>
      <c r="B717" t="s">
        <v>2586</v>
      </c>
      <c r="C717">
        <v>2011</v>
      </c>
      <c r="D717" t="s">
        <v>2587</v>
      </c>
      <c r="H717">
        <v>1899</v>
      </c>
      <c r="I717">
        <v>1906</v>
      </c>
      <c r="K717">
        <v>1</v>
      </c>
      <c r="L717" t="s">
        <v>2588</v>
      </c>
      <c r="M717" t="s">
        <v>31</v>
      </c>
      <c r="N717" t="s">
        <v>19</v>
      </c>
    </row>
    <row r="718" spans="1:14">
      <c r="A718" t="s">
        <v>2589</v>
      </c>
      <c r="B718" t="s">
        <v>2590</v>
      </c>
      <c r="C718">
        <v>2011</v>
      </c>
      <c r="D718" t="s">
        <v>680</v>
      </c>
      <c r="G718">
        <v>5946761</v>
      </c>
      <c r="H718">
        <v>2184</v>
      </c>
      <c r="I718">
        <v>2187</v>
      </c>
      <c r="K718">
        <v>1</v>
      </c>
      <c r="L718" t="s">
        <v>2591</v>
      </c>
      <c r="M718" t="s">
        <v>31</v>
      </c>
      <c r="N718" t="s">
        <v>19</v>
      </c>
    </row>
    <row r="719" spans="1:14">
      <c r="A719" t="s">
        <v>2592</v>
      </c>
      <c r="B719" t="s">
        <v>2593</v>
      </c>
      <c r="C719">
        <v>2011</v>
      </c>
      <c r="D719" t="s">
        <v>2594</v>
      </c>
      <c r="E719">
        <v>1</v>
      </c>
      <c r="G719">
        <v>5941598</v>
      </c>
      <c r="H719">
        <v>246</v>
      </c>
      <c r="I719">
        <v>250</v>
      </c>
      <c r="L719" t="s">
        <v>2595</v>
      </c>
      <c r="M719" t="s">
        <v>31</v>
      </c>
      <c r="N719" t="s">
        <v>19</v>
      </c>
    </row>
    <row r="720" spans="1:14">
      <c r="A720" t="s">
        <v>58</v>
      </c>
      <c r="B720" t="s">
        <v>2596</v>
      </c>
      <c r="C720">
        <v>2011</v>
      </c>
      <c r="D720" t="s">
        <v>1645</v>
      </c>
      <c r="E720">
        <v>24</v>
      </c>
      <c r="F720">
        <v>6</v>
      </c>
      <c r="H720">
        <v>824</v>
      </c>
      <c r="I720">
        <v>836</v>
      </c>
      <c r="K720">
        <v>4</v>
      </c>
      <c r="L720" t="s">
        <v>2597</v>
      </c>
      <c r="M720" t="s">
        <v>18</v>
      </c>
      <c r="N720" t="s">
        <v>19</v>
      </c>
    </row>
    <row r="721" spans="1:14">
      <c r="A721" t="s">
        <v>2598</v>
      </c>
      <c r="B721" t="s">
        <v>2599</v>
      </c>
      <c r="C721">
        <v>2011</v>
      </c>
      <c r="D721" t="s">
        <v>2600</v>
      </c>
      <c r="E721">
        <v>4</v>
      </c>
      <c r="F721">
        <v>4</v>
      </c>
      <c r="H721">
        <v>278</v>
      </c>
      <c r="I721">
        <v>288</v>
      </c>
      <c r="K721">
        <v>4</v>
      </c>
      <c r="L721" t="s">
        <v>2601</v>
      </c>
      <c r="M721" t="s">
        <v>2602</v>
      </c>
      <c r="N721" t="s">
        <v>19</v>
      </c>
    </row>
    <row r="722" spans="1:14">
      <c r="A722" t="s">
        <v>2603</v>
      </c>
      <c r="B722" t="s">
        <v>2604</v>
      </c>
      <c r="C722">
        <v>2011</v>
      </c>
      <c r="D722" t="s">
        <v>1266</v>
      </c>
      <c r="E722">
        <v>5</v>
      </c>
      <c r="F722">
        <v>3</v>
      </c>
      <c r="G722">
        <v>17</v>
      </c>
      <c r="K722">
        <v>2</v>
      </c>
      <c r="L722" t="s">
        <v>2605</v>
      </c>
      <c r="M722" t="s">
        <v>18</v>
      </c>
      <c r="N722" t="s">
        <v>19</v>
      </c>
    </row>
    <row r="723" spans="1:14">
      <c r="A723" t="s">
        <v>2606</v>
      </c>
      <c r="B723" t="s">
        <v>2607</v>
      </c>
      <c r="C723">
        <v>2011</v>
      </c>
      <c r="D723" t="s">
        <v>2608</v>
      </c>
      <c r="E723">
        <v>14</v>
      </c>
      <c r="F723">
        <v>8</v>
      </c>
      <c r="H723">
        <v>2635</v>
      </c>
      <c r="I723">
        <v>2653</v>
      </c>
      <c r="K723">
        <v>1</v>
      </c>
      <c r="L723" t="s">
        <v>2609</v>
      </c>
      <c r="M723" t="s">
        <v>18</v>
      </c>
      <c r="N723" t="s">
        <v>19</v>
      </c>
    </row>
    <row r="724" spans="1:14">
      <c r="A724" t="s">
        <v>2610</v>
      </c>
      <c r="B724" t="s">
        <v>2611</v>
      </c>
      <c r="C724">
        <v>2011</v>
      </c>
      <c r="D724" t="s">
        <v>1441</v>
      </c>
      <c r="E724">
        <v>4</v>
      </c>
      <c r="F724">
        <v>11</v>
      </c>
      <c r="H724">
        <v>1111</v>
      </c>
      <c r="I724">
        <v>1122</v>
      </c>
      <c r="K724">
        <v>14</v>
      </c>
      <c r="L724" t="s">
        <v>2612</v>
      </c>
      <c r="M724" t="s">
        <v>18</v>
      </c>
      <c r="N724" t="s">
        <v>19</v>
      </c>
    </row>
    <row r="725" spans="1:14">
      <c r="A725" t="s">
        <v>2613</v>
      </c>
      <c r="B725" t="s">
        <v>2614</v>
      </c>
      <c r="C725">
        <v>2011</v>
      </c>
      <c r="D725" t="s">
        <v>1441</v>
      </c>
      <c r="E725">
        <v>4</v>
      </c>
      <c r="F725">
        <v>12</v>
      </c>
      <c r="H725">
        <v>1446</v>
      </c>
      <c r="I725">
        <v>1449</v>
      </c>
      <c r="L725" t="s">
        <v>2615</v>
      </c>
      <c r="M725" t="s">
        <v>18</v>
      </c>
      <c r="N725" t="s">
        <v>19</v>
      </c>
    </row>
    <row r="726" spans="1:14">
      <c r="A726" t="s">
        <v>2616</v>
      </c>
      <c r="B726" t="s">
        <v>2617</v>
      </c>
      <c r="C726">
        <v>2011</v>
      </c>
      <c r="D726" t="s">
        <v>213</v>
      </c>
      <c r="K726">
        <v>5</v>
      </c>
      <c r="L726" t="s">
        <v>2618</v>
      </c>
      <c r="M726" t="s">
        <v>31</v>
      </c>
      <c r="N726" t="s">
        <v>19</v>
      </c>
    </row>
    <row r="727" spans="1:14">
      <c r="A727" t="s">
        <v>2619</v>
      </c>
      <c r="B727" t="s">
        <v>2620</v>
      </c>
      <c r="C727">
        <v>2011</v>
      </c>
      <c r="D727" t="s">
        <v>213</v>
      </c>
      <c r="L727" t="s">
        <v>2621</v>
      </c>
      <c r="M727" t="s">
        <v>31</v>
      </c>
      <c r="N727" t="s">
        <v>19</v>
      </c>
    </row>
    <row r="728" spans="1:14">
      <c r="A728" t="s">
        <v>2622</v>
      </c>
      <c r="B728" t="s">
        <v>2623</v>
      </c>
      <c r="C728">
        <v>2011</v>
      </c>
      <c r="D728" t="s">
        <v>2624</v>
      </c>
      <c r="E728">
        <v>1</v>
      </c>
      <c r="H728">
        <v>404</v>
      </c>
      <c r="I728">
        <v>409</v>
      </c>
      <c r="L728" t="s">
        <v>2625</v>
      </c>
      <c r="M728" t="s">
        <v>31</v>
      </c>
      <c r="N728" t="s">
        <v>19</v>
      </c>
    </row>
    <row r="729" spans="1:14">
      <c r="A729" t="s">
        <v>2626</v>
      </c>
      <c r="B729" t="s">
        <v>2627</v>
      </c>
      <c r="C729">
        <v>2011</v>
      </c>
      <c r="D729" t="s">
        <v>2628</v>
      </c>
      <c r="G729">
        <v>5928891</v>
      </c>
      <c r="H729">
        <v>63</v>
      </c>
      <c r="I729">
        <v>67</v>
      </c>
      <c r="K729">
        <v>1</v>
      </c>
      <c r="L729" t="s">
        <v>2629</v>
      </c>
      <c r="M729" t="s">
        <v>31</v>
      </c>
      <c r="N729" t="s">
        <v>19</v>
      </c>
    </row>
    <row r="730" spans="1:14">
      <c r="A730" t="s">
        <v>2630</v>
      </c>
      <c r="B730" t="s">
        <v>2631</v>
      </c>
      <c r="C730">
        <v>2011</v>
      </c>
      <c r="D730" t="s">
        <v>2632</v>
      </c>
      <c r="E730">
        <v>14</v>
      </c>
      <c r="F730">
        <v>1</v>
      </c>
      <c r="H730">
        <v>31</v>
      </c>
      <c r="I730">
        <v>57</v>
      </c>
      <c r="L730" t="s">
        <v>2633</v>
      </c>
      <c r="M730" t="s">
        <v>18</v>
      </c>
      <c r="N730" t="s">
        <v>19</v>
      </c>
    </row>
    <row r="731" spans="1:14">
      <c r="A731" t="s">
        <v>2634</v>
      </c>
      <c r="B731" t="s">
        <v>2635</v>
      </c>
      <c r="C731">
        <v>2011</v>
      </c>
      <c r="D731" t="s">
        <v>2636</v>
      </c>
      <c r="G731">
        <v>5930151</v>
      </c>
      <c r="H731">
        <v>379</v>
      </c>
      <c r="I731">
        <v>384</v>
      </c>
      <c r="L731" t="s">
        <v>2637</v>
      </c>
      <c r="M731" t="s">
        <v>31</v>
      </c>
      <c r="N731" t="s">
        <v>19</v>
      </c>
    </row>
    <row r="732" spans="1:14">
      <c r="A732" t="s">
        <v>2638</v>
      </c>
      <c r="B732" t="s">
        <v>2639</v>
      </c>
      <c r="C732">
        <v>2011</v>
      </c>
      <c r="D732" t="s">
        <v>2640</v>
      </c>
      <c r="G732">
        <v>5886756</v>
      </c>
      <c r="H732">
        <v>6614</v>
      </c>
      <c r="I732">
        <v>6617</v>
      </c>
      <c r="L732" t="s">
        <v>2641</v>
      </c>
      <c r="M732" t="s">
        <v>31</v>
      </c>
      <c r="N732" t="s">
        <v>19</v>
      </c>
    </row>
    <row r="733" spans="1:14">
      <c r="A733" t="s">
        <v>2642</v>
      </c>
      <c r="B733" t="s">
        <v>2643</v>
      </c>
      <c r="C733">
        <v>2011</v>
      </c>
      <c r="D733" t="s">
        <v>55</v>
      </c>
      <c r="E733" t="s">
        <v>2644</v>
      </c>
      <c r="H733">
        <v>172</v>
      </c>
      <c r="I733">
        <v>181</v>
      </c>
      <c r="L733" t="s">
        <v>2645</v>
      </c>
      <c r="M733" t="s">
        <v>31</v>
      </c>
      <c r="N733" t="s">
        <v>19</v>
      </c>
    </row>
    <row r="734" spans="1:14">
      <c r="A734" t="s">
        <v>2646</v>
      </c>
      <c r="B734" t="s">
        <v>2647</v>
      </c>
      <c r="C734">
        <v>2011</v>
      </c>
      <c r="D734" t="s">
        <v>55</v>
      </c>
      <c r="E734" t="s">
        <v>2648</v>
      </c>
      <c r="F734" t="s">
        <v>2649</v>
      </c>
      <c r="H734">
        <v>537</v>
      </c>
      <c r="I734">
        <v>546</v>
      </c>
      <c r="L734" t="s">
        <v>2650</v>
      </c>
      <c r="M734" t="s">
        <v>31</v>
      </c>
      <c r="N734" t="s">
        <v>19</v>
      </c>
    </row>
    <row r="735" spans="1:14">
      <c r="A735" t="s">
        <v>2651</v>
      </c>
      <c r="B735" t="s">
        <v>2652</v>
      </c>
      <c r="C735">
        <v>2011</v>
      </c>
      <c r="D735" t="s">
        <v>55</v>
      </c>
      <c r="E735" t="s">
        <v>2644</v>
      </c>
      <c r="H735">
        <v>336</v>
      </c>
      <c r="I735">
        <v>344</v>
      </c>
      <c r="L735" t="s">
        <v>2653</v>
      </c>
      <c r="M735" t="s">
        <v>31</v>
      </c>
      <c r="N735" t="s">
        <v>19</v>
      </c>
    </row>
    <row r="736" spans="1:14">
      <c r="A736" t="s">
        <v>2654</v>
      </c>
      <c r="B736" t="s">
        <v>2655</v>
      </c>
      <c r="C736">
        <v>2011</v>
      </c>
      <c r="D736" t="s">
        <v>55</v>
      </c>
      <c r="E736" t="s">
        <v>2656</v>
      </c>
      <c r="H736">
        <v>335</v>
      </c>
      <c r="I736">
        <v>345</v>
      </c>
      <c r="L736" t="s">
        <v>2657</v>
      </c>
      <c r="M736" t="s">
        <v>31</v>
      </c>
      <c r="N736" t="s">
        <v>19</v>
      </c>
    </row>
    <row r="737" spans="1:14">
      <c r="A737" t="s">
        <v>2658</v>
      </c>
      <c r="B737" t="s">
        <v>2659</v>
      </c>
      <c r="C737">
        <v>2011</v>
      </c>
      <c r="D737" t="s">
        <v>55</v>
      </c>
      <c r="E737" t="s">
        <v>2660</v>
      </c>
      <c r="F737" t="s">
        <v>228</v>
      </c>
      <c r="H737">
        <v>3</v>
      </c>
      <c r="I737">
        <v>14</v>
      </c>
      <c r="L737" t="s">
        <v>2661</v>
      </c>
      <c r="M737" t="s">
        <v>31</v>
      </c>
      <c r="N737" t="s">
        <v>19</v>
      </c>
    </row>
    <row r="738" spans="1:14">
      <c r="A738" t="s">
        <v>2662</v>
      </c>
      <c r="B738" t="s">
        <v>2663</v>
      </c>
      <c r="C738">
        <v>2011</v>
      </c>
      <c r="D738" t="s">
        <v>2664</v>
      </c>
      <c r="H738">
        <v>207</v>
      </c>
      <c r="I738">
        <v>217</v>
      </c>
      <c r="L738" t="s">
        <v>2665</v>
      </c>
      <c r="M738" t="s">
        <v>31</v>
      </c>
      <c r="N738" t="s">
        <v>19</v>
      </c>
    </row>
    <row r="739" spans="1:14">
      <c r="A739" t="s">
        <v>230</v>
      </c>
      <c r="B739" t="s">
        <v>2666</v>
      </c>
      <c r="C739">
        <v>2011</v>
      </c>
      <c r="D739" t="s">
        <v>55</v>
      </c>
      <c r="E739" t="s">
        <v>2667</v>
      </c>
      <c r="L739" t="s">
        <v>2668</v>
      </c>
      <c r="M739" t="s">
        <v>233</v>
      </c>
      <c r="N739" t="s">
        <v>19</v>
      </c>
    </row>
    <row r="740" spans="1:14">
      <c r="A740" t="s">
        <v>2669</v>
      </c>
      <c r="B740" t="s">
        <v>2670</v>
      </c>
      <c r="C740">
        <v>2011</v>
      </c>
      <c r="D740" t="s">
        <v>60</v>
      </c>
      <c r="E740" t="s">
        <v>2671</v>
      </c>
      <c r="H740">
        <v>224</v>
      </c>
      <c r="I740">
        <v>239</v>
      </c>
      <c r="K740">
        <v>1</v>
      </c>
      <c r="L740" t="s">
        <v>2672</v>
      </c>
      <c r="M740" t="s">
        <v>31</v>
      </c>
      <c r="N740" t="s">
        <v>19</v>
      </c>
    </row>
    <row r="741" spans="1:14">
      <c r="A741" t="s">
        <v>2673</v>
      </c>
      <c r="B741" t="s">
        <v>2674</v>
      </c>
      <c r="C741">
        <v>2011</v>
      </c>
      <c r="D741" t="s">
        <v>2675</v>
      </c>
      <c r="H741">
        <v>201</v>
      </c>
      <c r="I741">
        <v>210</v>
      </c>
      <c r="K741">
        <v>4</v>
      </c>
      <c r="L741" t="s">
        <v>2676</v>
      </c>
      <c r="M741" t="s">
        <v>18</v>
      </c>
      <c r="N741" t="s">
        <v>19</v>
      </c>
    </row>
    <row r="742" spans="1:14">
      <c r="A742" t="s">
        <v>2677</v>
      </c>
      <c r="B742" t="s">
        <v>2678</v>
      </c>
      <c r="C742">
        <v>2011</v>
      </c>
      <c r="D742" t="s">
        <v>2675</v>
      </c>
      <c r="H742">
        <v>221</v>
      </c>
      <c r="I742">
        <v>230</v>
      </c>
      <c r="K742">
        <v>3</v>
      </c>
      <c r="L742" t="s">
        <v>2679</v>
      </c>
      <c r="M742" t="s">
        <v>18</v>
      </c>
      <c r="N742" t="s">
        <v>19</v>
      </c>
    </row>
    <row r="743" spans="1:14">
      <c r="A743" t="s">
        <v>2680</v>
      </c>
      <c r="B743" t="s">
        <v>2681</v>
      </c>
      <c r="C743">
        <v>2011</v>
      </c>
      <c r="D743" t="s">
        <v>55</v>
      </c>
      <c r="E743" t="s">
        <v>2682</v>
      </c>
      <c r="H743">
        <v>146</v>
      </c>
      <c r="I743">
        <v>152</v>
      </c>
      <c r="L743" t="s">
        <v>2683</v>
      </c>
      <c r="M743" t="s">
        <v>31</v>
      </c>
      <c r="N743" t="s">
        <v>19</v>
      </c>
    </row>
    <row r="744" spans="1:14">
      <c r="A744" t="s">
        <v>2684</v>
      </c>
      <c r="B744" t="s">
        <v>2685</v>
      </c>
      <c r="C744">
        <v>2011</v>
      </c>
      <c r="D744" t="s">
        <v>55</v>
      </c>
      <c r="E744" t="s">
        <v>2686</v>
      </c>
      <c r="H744">
        <v>353</v>
      </c>
      <c r="I744">
        <v>360</v>
      </c>
      <c r="L744" t="s">
        <v>2687</v>
      </c>
      <c r="M744" t="s">
        <v>31</v>
      </c>
      <c r="N744" t="s">
        <v>19</v>
      </c>
    </row>
    <row r="745" spans="1:14">
      <c r="A745" t="s">
        <v>2688</v>
      </c>
      <c r="B745" t="s">
        <v>2689</v>
      </c>
      <c r="C745">
        <v>2011</v>
      </c>
      <c r="D745" t="s">
        <v>2690</v>
      </c>
      <c r="H745">
        <v>281</v>
      </c>
      <c r="I745">
        <v>290</v>
      </c>
      <c r="K745">
        <v>1</v>
      </c>
      <c r="L745" t="s">
        <v>2691</v>
      </c>
      <c r="M745" t="s">
        <v>31</v>
      </c>
      <c r="N745" t="s">
        <v>19</v>
      </c>
    </row>
    <row r="746" spans="1:14">
      <c r="A746" t="s">
        <v>2692</v>
      </c>
      <c r="B746" t="s">
        <v>2693</v>
      </c>
      <c r="C746">
        <v>2011</v>
      </c>
      <c r="D746" t="s">
        <v>2694</v>
      </c>
      <c r="G746">
        <v>1989657</v>
      </c>
      <c r="L746" t="s">
        <v>2695</v>
      </c>
      <c r="M746" t="s">
        <v>31</v>
      </c>
      <c r="N746" t="s">
        <v>19</v>
      </c>
    </row>
    <row r="747" spans="1:14">
      <c r="A747" t="s">
        <v>2696</v>
      </c>
      <c r="B747" t="s">
        <v>2697</v>
      </c>
      <c r="C747">
        <v>2011</v>
      </c>
      <c r="D747" t="s">
        <v>2698</v>
      </c>
      <c r="E747">
        <v>33</v>
      </c>
      <c r="F747">
        <v>3</v>
      </c>
      <c r="H747">
        <v>177</v>
      </c>
      <c r="I747">
        <v>190</v>
      </c>
      <c r="K747">
        <v>2</v>
      </c>
      <c r="L747" t="s">
        <v>2699</v>
      </c>
      <c r="M747" t="s">
        <v>18</v>
      </c>
      <c r="N747" t="s">
        <v>19</v>
      </c>
    </row>
    <row r="748" spans="1:14">
      <c r="A748" t="s">
        <v>2700</v>
      </c>
      <c r="B748" t="s">
        <v>2701</v>
      </c>
      <c r="C748">
        <v>2011</v>
      </c>
      <c r="D748" t="s">
        <v>2370</v>
      </c>
      <c r="E748">
        <v>41</v>
      </c>
      <c r="F748">
        <v>4</v>
      </c>
      <c r="G748">
        <v>5766051</v>
      </c>
      <c r="H748">
        <v>746</v>
      </c>
      <c r="I748">
        <v>759</v>
      </c>
      <c r="K748">
        <v>14</v>
      </c>
      <c r="L748" t="s">
        <v>2702</v>
      </c>
      <c r="M748" t="s">
        <v>18</v>
      </c>
      <c r="N748" t="s">
        <v>19</v>
      </c>
    </row>
    <row r="749" spans="1:14">
      <c r="A749" t="s">
        <v>2703</v>
      </c>
      <c r="B749" t="s">
        <v>2704</v>
      </c>
      <c r="C749">
        <v>2011</v>
      </c>
      <c r="D749" t="s">
        <v>1191</v>
      </c>
      <c r="H749">
        <v>937</v>
      </c>
      <c r="I749">
        <v>941</v>
      </c>
      <c r="L749" t="s">
        <v>2705</v>
      </c>
      <c r="M749" t="s">
        <v>31</v>
      </c>
      <c r="N749" t="s">
        <v>19</v>
      </c>
    </row>
    <row r="750" spans="1:14">
      <c r="A750" t="s">
        <v>2706</v>
      </c>
      <c r="B750" t="s">
        <v>2707</v>
      </c>
      <c r="C750">
        <v>2011</v>
      </c>
      <c r="D750" t="s">
        <v>2708</v>
      </c>
      <c r="G750">
        <v>5766940</v>
      </c>
      <c r="H750">
        <v>496</v>
      </c>
      <c r="I750">
        <v>501</v>
      </c>
      <c r="K750">
        <v>1</v>
      </c>
      <c r="L750" t="s">
        <v>2709</v>
      </c>
      <c r="M750" t="s">
        <v>31</v>
      </c>
      <c r="N750" t="s">
        <v>19</v>
      </c>
    </row>
    <row r="751" spans="1:14">
      <c r="A751" t="s">
        <v>2710</v>
      </c>
      <c r="B751" t="s">
        <v>2711</v>
      </c>
      <c r="C751">
        <v>2011</v>
      </c>
      <c r="D751" t="s">
        <v>55</v>
      </c>
      <c r="E751" t="s">
        <v>2712</v>
      </c>
      <c r="F751" t="s">
        <v>940</v>
      </c>
      <c r="H751">
        <v>111</v>
      </c>
      <c r="I751">
        <v>122</v>
      </c>
      <c r="L751" t="s">
        <v>2713</v>
      </c>
      <c r="M751" t="s">
        <v>31</v>
      </c>
      <c r="N751" t="s">
        <v>19</v>
      </c>
    </row>
    <row r="752" spans="1:14">
      <c r="A752" t="s">
        <v>2714</v>
      </c>
      <c r="B752" t="s">
        <v>2715</v>
      </c>
      <c r="C752">
        <v>2011</v>
      </c>
      <c r="D752" t="s">
        <v>2716</v>
      </c>
      <c r="E752">
        <v>16</v>
      </c>
      <c r="F752">
        <v>6</v>
      </c>
      <c r="G752">
        <v>2991</v>
      </c>
      <c r="K752">
        <v>2</v>
      </c>
      <c r="L752" t="s">
        <v>2717</v>
      </c>
      <c r="M752" t="s">
        <v>18</v>
      </c>
      <c r="N752" t="s">
        <v>19</v>
      </c>
    </row>
    <row r="753" spans="1:14">
      <c r="A753" t="s">
        <v>2718</v>
      </c>
      <c r="B753" t="s">
        <v>2719</v>
      </c>
      <c r="C753">
        <v>2011</v>
      </c>
      <c r="D753" t="s">
        <v>2720</v>
      </c>
      <c r="E753">
        <v>24</v>
      </c>
      <c r="F753">
        <v>2</v>
      </c>
      <c r="H753">
        <v>104</v>
      </c>
      <c r="I753">
        <v>133</v>
      </c>
      <c r="K753">
        <v>3</v>
      </c>
      <c r="L753" t="s">
        <v>2721</v>
      </c>
      <c r="M753" t="s">
        <v>18</v>
      </c>
      <c r="N753" t="s">
        <v>19</v>
      </c>
    </row>
    <row r="754" spans="1:14">
      <c r="A754" t="s">
        <v>2722</v>
      </c>
      <c r="B754" t="s">
        <v>2723</v>
      </c>
      <c r="C754">
        <v>2011</v>
      </c>
      <c r="D754" t="s">
        <v>2724</v>
      </c>
      <c r="E754">
        <v>37</v>
      </c>
      <c r="F754">
        <v>3</v>
      </c>
      <c r="H754">
        <v>229</v>
      </c>
      <c r="I754">
        <v>234</v>
      </c>
      <c r="K754">
        <v>2</v>
      </c>
      <c r="L754" t="s">
        <v>2725</v>
      </c>
      <c r="M754" t="s">
        <v>18</v>
      </c>
      <c r="N754" t="s">
        <v>19</v>
      </c>
    </row>
    <row r="755" spans="1:14">
      <c r="A755" t="s">
        <v>2726</v>
      </c>
      <c r="B755" t="s">
        <v>2727</v>
      </c>
      <c r="C755">
        <v>2011</v>
      </c>
      <c r="D755" t="s">
        <v>2728</v>
      </c>
      <c r="G755">
        <v>10</v>
      </c>
      <c r="L755" t="s">
        <v>2729</v>
      </c>
      <c r="M755" t="s">
        <v>31</v>
      </c>
      <c r="N755" t="s">
        <v>19</v>
      </c>
    </row>
    <row r="756" spans="1:14">
      <c r="A756" t="s">
        <v>2730</v>
      </c>
      <c r="B756" t="s">
        <v>2731</v>
      </c>
      <c r="C756">
        <v>2011</v>
      </c>
      <c r="D756" t="s">
        <v>1657</v>
      </c>
      <c r="E756">
        <v>32</v>
      </c>
      <c r="F756">
        <v>5</v>
      </c>
      <c r="H756">
        <v>556</v>
      </c>
      <c r="I756">
        <v>568</v>
      </c>
      <c r="K756">
        <v>2</v>
      </c>
      <c r="L756" t="s">
        <v>2732</v>
      </c>
      <c r="M756" t="s">
        <v>624</v>
      </c>
      <c r="N756" t="s">
        <v>19</v>
      </c>
    </row>
    <row r="757" spans="1:14">
      <c r="A757" t="s">
        <v>2733</v>
      </c>
      <c r="B757" t="s">
        <v>2734</v>
      </c>
      <c r="C757">
        <v>2011</v>
      </c>
      <c r="D757" t="s">
        <v>2735</v>
      </c>
      <c r="H757">
        <v>291</v>
      </c>
      <c r="I757">
        <v>292</v>
      </c>
      <c r="L757" t="s">
        <v>2736</v>
      </c>
      <c r="M757" t="s">
        <v>31</v>
      </c>
      <c r="N757" t="s">
        <v>19</v>
      </c>
    </row>
    <row r="758" spans="1:14">
      <c r="A758" t="s">
        <v>2737</v>
      </c>
      <c r="B758" t="s">
        <v>2738</v>
      </c>
      <c r="C758">
        <v>2011</v>
      </c>
      <c r="D758" t="s">
        <v>1577</v>
      </c>
      <c r="H758">
        <v>355</v>
      </c>
      <c r="I758">
        <v>358</v>
      </c>
      <c r="K758">
        <v>1</v>
      </c>
      <c r="L758" t="s">
        <v>2739</v>
      </c>
      <c r="M758" t="s">
        <v>31</v>
      </c>
      <c r="N758" t="s">
        <v>19</v>
      </c>
    </row>
    <row r="759" spans="1:14">
      <c r="A759" t="s">
        <v>2740</v>
      </c>
      <c r="B759" t="s">
        <v>2741</v>
      </c>
      <c r="C759">
        <v>2011</v>
      </c>
      <c r="D759" t="s">
        <v>2742</v>
      </c>
      <c r="E759">
        <v>13</v>
      </c>
      <c r="F759">
        <v>2</v>
      </c>
      <c r="K759">
        <v>1</v>
      </c>
      <c r="L759" t="s">
        <v>2743</v>
      </c>
      <c r="M759" t="s">
        <v>18</v>
      </c>
      <c r="N759" t="s">
        <v>19</v>
      </c>
    </row>
    <row r="760" spans="1:14">
      <c r="A760" t="s">
        <v>2744</v>
      </c>
      <c r="B760" t="s">
        <v>2745</v>
      </c>
      <c r="C760">
        <v>2011</v>
      </c>
      <c r="D760" t="s">
        <v>144</v>
      </c>
      <c r="E760">
        <v>2</v>
      </c>
      <c r="F760">
        <v>3</v>
      </c>
      <c r="G760">
        <v>22</v>
      </c>
      <c r="K760">
        <v>13</v>
      </c>
      <c r="L760" t="s">
        <v>2746</v>
      </c>
      <c r="M760" t="s">
        <v>18</v>
      </c>
      <c r="N760" t="s">
        <v>19</v>
      </c>
    </row>
    <row r="761" spans="1:14">
      <c r="A761" t="s">
        <v>2747</v>
      </c>
      <c r="B761" t="s">
        <v>2748</v>
      </c>
      <c r="C761">
        <v>2011</v>
      </c>
      <c r="D761" t="s">
        <v>2724</v>
      </c>
      <c r="E761">
        <v>37</v>
      </c>
      <c r="F761">
        <v>2</v>
      </c>
      <c r="H761">
        <v>189</v>
      </c>
      <c r="I761">
        <v>207</v>
      </c>
      <c r="K761">
        <v>3</v>
      </c>
      <c r="L761" t="s">
        <v>2749</v>
      </c>
      <c r="M761" t="s">
        <v>18</v>
      </c>
      <c r="N761" t="s">
        <v>19</v>
      </c>
    </row>
    <row r="762" spans="1:14">
      <c r="A762" t="s">
        <v>2750</v>
      </c>
      <c r="B762" t="s">
        <v>2751</v>
      </c>
      <c r="C762">
        <v>2011</v>
      </c>
      <c r="D762" t="s">
        <v>1696</v>
      </c>
      <c r="E762">
        <v>26</v>
      </c>
      <c r="F762">
        <v>2</v>
      </c>
      <c r="H762">
        <v>171</v>
      </c>
      <c r="I762">
        <v>182</v>
      </c>
      <c r="K762">
        <v>1</v>
      </c>
      <c r="L762" t="s">
        <v>2752</v>
      </c>
      <c r="M762" t="s">
        <v>18</v>
      </c>
      <c r="N762" t="s">
        <v>19</v>
      </c>
    </row>
    <row r="763" spans="1:14">
      <c r="A763" t="s">
        <v>2753</v>
      </c>
      <c r="B763" t="s">
        <v>2754</v>
      </c>
      <c r="C763">
        <v>2011</v>
      </c>
      <c r="D763" t="s">
        <v>16</v>
      </c>
      <c r="E763">
        <v>38</v>
      </c>
      <c r="F763">
        <v>4</v>
      </c>
      <c r="H763">
        <v>4181</v>
      </c>
      <c r="I763">
        <v>4189</v>
      </c>
      <c r="K763">
        <v>4</v>
      </c>
      <c r="L763" t="s">
        <v>2755</v>
      </c>
      <c r="M763" t="s">
        <v>18</v>
      </c>
      <c r="N763" t="s">
        <v>19</v>
      </c>
    </row>
    <row r="764" spans="1:14">
      <c r="A764" t="s">
        <v>2756</v>
      </c>
      <c r="B764" t="s">
        <v>2757</v>
      </c>
      <c r="C764">
        <v>2011</v>
      </c>
      <c r="D764" t="s">
        <v>2758</v>
      </c>
      <c r="E764">
        <v>27</v>
      </c>
      <c r="F764">
        <v>4</v>
      </c>
      <c r="H764">
        <v>323</v>
      </c>
      <c r="I764">
        <v>347</v>
      </c>
      <c r="K764">
        <v>1</v>
      </c>
      <c r="L764" t="s">
        <v>2759</v>
      </c>
      <c r="M764" t="s">
        <v>18</v>
      </c>
      <c r="N764" t="s">
        <v>19</v>
      </c>
    </row>
    <row r="765" spans="1:14">
      <c r="A765" t="s">
        <v>2760</v>
      </c>
      <c r="B765" t="s">
        <v>2761</v>
      </c>
      <c r="C765">
        <v>2011</v>
      </c>
      <c r="D765" t="s">
        <v>2716</v>
      </c>
      <c r="E765">
        <v>16</v>
      </c>
      <c r="F765">
        <v>4</v>
      </c>
      <c r="L765" t="s">
        <v>2762</v>
      </c>
      <c r="M765" t="s">
        <v>18</v>
      </c>
      <c r="N765" t="s">
        <v>19</v>
      </c>
    </row>
    <row r="766" spans="1:14">
      <c r="A766" t="s">
        <v>2763</v>
      </c>
      <c r="B766" t="s">
        <v>2764</v>
      </c>
      <c r="C766">
        <v>2011</v>
      </c>
      <c r="D766" t="s">
        <v>2765</v>
      </c>
      <c r="E766">
        <v>3</v>
      </c>
      <c r="F766">
        <v>2</v>
      </c>
      <c r="H766">
        <v>43</v>
      </c>
      <c r="I766">
        <v>78</v>
      </c>
      <c r="K766">
        <v>1</v>
      </c>
      <c r="L766" t="s">
        <v>2766</v>
      </c>
      <c r="M766" t="s">
        <v>18</v>
      </c>
      <c r="N766" t="s">
        <v>19</v>
      </c>
    </row>
    <row r="767" spans="1:14">
      <c r="A767" t="s">
        <v>2767</v>
      </c>
      <c r="B767" t="s">
        <v>2768</v>
      </c>
      <c r="C767">
        <v>2011</v>
      </c>
      <c r="D767" t="s">
        <v>60</v>
      </c>
      <c r="E767" t="s">
        <v>2769</v>
      </c>
      <c r="F767" t="s">
        <v>940</v>
      </c>
      <c r="H767">
        <v>253</v>
      </c>
      <c r="I767">
        <v>257</v>
      </c>
      <c r="L767" t="s">
        <v>2770</v>
      </c>
      <c r="M767" t="s">
        <v>31</v>
      </c>
      <c r="N767" t="s">
        <v>19</v>
      </c>
    </row>
    <row r="768" spans="1:14">
      <c r="A768" t="s">
        <v>2771</v>
      </c>
      <c r="B768" t="s">
        <v>2772</v>
      </c>
      <c r="C768">
        <v>2011</v>
      </c>
      <c r="D768" t="s">
        <v>1903</v>
      </c>
      <c r="G768">
        <v>5718712</v>
      </c>
      <c r="L768" t="s">
        <v>2773</v>
      </c>
      <c r="M768" t="s">
        <v>31</v>
      </c>
      <c r="N768" t="s">
        <v>19</v>
      </c>
    </row>
    <row r="769" spans="1:14">
      <c r="A769" t="s">
        <v>2774</v>
      </c>
      <c r="B769" t="s">
        <v>2775</v>
      </c>
      <c r="C769">
        <v>2011</v>
      </c>
      <c r="D769" t="s">
        <v>55</v>
      </c>
      <c r="E769" t="s">
        <v>2776</v>
      </c>
      <c r="H769">
        <v>292</v>
      </c>
      <c r="I769">
        <v>300</v>
      </c>
      <c r="K769">
        <v>1</v>
      </c>
      <c r="L769" t="s">
        <v>2777</v>
      </c>
      <c r="M769" t="s">
        <v>31</v>
      </c>
      <c r="N769" t="s">
        <v>19</v>
      </c>
    </row>
    <row r="770" spans="1:14">
      <c r="A770" t="s">
        <v>2778</v>
      </c>
      <c r="B770" t="s">
        <v>2779</v>
      </c>
      <c r="C770">
        <v>2011</v>
      </c>
      <c r="D770" t="s">
        <v>55</v>
      </c>
      <c r="E770" t="s">
        <v>2776</v>
      </c>
      <c r="H770">
        <v>309</v>
      </c>
      <c r="I770">
        <v>316</v>
      </c>
      <c r="K770">
        <v>2</v>
      </c>
      <c r="L770" t="s">
        <v>2780</v>
      </c>
      <c r="M770" t="s">
        <v>31</v>
      </c>
      <c r="N770" t="s">
        <v>19</v>
      </c>
    </row>
    <row r="771" spans="1:14">
      <c r="A771" t="s">
        <v>2781</v>
      </c>
      <c r="B771" t="s">
        <v>2782</v>
      </c>
      <c r="C771">
        <v>2011</v>
      </c>
      <c r="D771" t="s">
        <v>60</v>
      </c>
      <c r="E771" t="s">
        <v>2783</v>
      </c>
      <c r="H771">
        <v>166</v>
      </c>
      <c r="I771">
        <v>175</v>
      </c>
      <c r="L771" t="s">
        <v>2784</v>
      </c>
      <c r="M771" t="s">
        <v>31</v>
      </c>
      <c r="N771" t="s">
        <v>19</v>
      </c>
    </row>
    <row r="772" spans="1:14">
      <c r="A772" t="s">
        <v>2785</v>
      </c>
      <c r="B772" t="s">
        <v>2786</v>
      </c>
      <c r="C772">
        <v>2011</v>
      </c>
      <c r="D772" t="s">
        <v>1299</v>
      </c>
      <c r="E772" t="s">
        <v>2787</v>
      </c>
      <c r="H772">
        <v>63</v>
      </c>
      <c r="I772">
        <v>67</v>
      </c>
      <c r="L772" t="s">
        <v>2788</v>
      </c>
      <c r="M772" t="s">
        <v>31</v>
      </c>
      <c r="N772" t="s">
        <v>19</v>
      </c>
    </row>
    <row r="773" spans="1:14">
      <c r="A773" t="s">
        <v>2789</v>
      </c>
      <c r="B773" t="s">
        <v>2790</v>
      </c>
      <c r="C773">
        <v>2011</v>
      </c>
      <c r="D773" t="s">
        <v>2791</v>
      </c>
      <c r="E773">
        <v>2011</v>
      </c>
      <c r="F773">
        <v>1</v>
      </c>
      <c r="H773">
        <v>7</v>
      </c>
      <c r="I773">
        <v>16</v>
      </c>
      <c r="K773">
        <v>1</v>
      </c>
      <c r="L773" t="s">
        <v>2792</v>
      </c>
      <c r="M773" t="s">
        <v>18</v>
      </c>
      <c r="N773" t="s">
        <v>19</v>
      </c>
    </row>
    <row r="774" spans="1:14">
      <c r="A774" t="s">
        <v>2793</v>
      </c>
      <c r="B774" t="s">
        <v>2794</v>
      </c>
      <c r="C774">
        <v>2011</v>
      </c>
      <c r="D774" t="s">
        <v>172</v>
      </c>
      <c r="E774">
        <v>8</v>
      </c>
      <c r="F774">
        <v>1</v>
      </c>
      <c r="H774">
        <v>93</v>
      </c>
      <c r="I774">
        <v>109</v>
      </c>
      <c r="K774">
        <v>2</v>
      </c>
      <c r="L774" t="s">
        <v>2795</v>
      </c>
      <c r="M774" t="s">
        <v>18</v>
      </c>
      <c r="N774" t="s">
        <v>19</v>
      </c>
    </row>
    <row r="775" spans="1:14">
      <c r="A775" t="s">
        <v>2796</v>
      </c>
      <c r="B775" t="s">
        <v>2797</v>
      </c>
      <c r="C775">
        <v>2010</v>
      </c>
      <c r="D775" t="s">
        <v>2798</v>
      </c>
      <c r="G775">
        <v>5636604</v>
      </c>
      <c r="H775">
        <v>422</v>
      </c>
      <c r="I775">
        <v>429</v>
      </c>
      <c r="L775" t="s">
        <v>2799</v>
      </c>
      <c r="M775" t="s">
        <v>31</v>
      </c>
      <c r="N775" t="s">
        <v>19</v>
      </c>
    </row>
    <row r="776" spans="1:14">
      <c r="A776" t="s">
        <v>2800</v>
      </c>
      <c r="B776" t="s">
        <v>2801</v>
      </c>
      <c r="C776">
        <v>2010</v>
      </c>
      <c r="D776" t="s">
        <v>2798</v>
      </c>
      <c r="G776">
        <v>5636636</v>
      </c>
      <c r="H776">
        <v>487</v>
      </c>
      <c r="I776">
        <v>490</v>
      </c>
      <c r="K776">
        <v>1</v>
      </c>
      <c r="L776" t="s">
        <v>2802</v>
      </c>
      <c r="M776" t="s">
        <v>31</v>
      </c>
      <c r="N776" t="s">
        <v>19</v>
      </c>
    </row>
    <row r="777" spans="1:14">
      <c r="A777" t="s">
        <v>2803</v>
      </c>
      <c r="B777" t="s">
        <v>2804</v>
      </c>
      <c r="C777">
        <v>2010</v>
      </c>
      <c r="D777" t="s">
        <v>2798</v>
      </c>
      <c r="G777">
        <v>5636662</v>
      </c>
      <c r="H777">
        <v>557</v>
      </c>
      <c r="I777">
        <v>560</v>
      </c>
      <c r="L777" t="s">
        <v>2805</v>
      </c>
      <c r="M777" t="s">
        <v>31</v>
      </c>
      <c r="N777" t="s">
        <v>19</v>
      </c>
    </row>
    <row r="778" spans="1:14">
      <c r="A778" t="s">
        <v>2806</v>
      </c>
      <c r="B778" t="s">
        <v>2807</v>
      </c>
      <c r="C778">
        <v>2010</v>
      </c>
      <c r="D778" t="s">
        <v>55</v>
      </c>
      <c r="E778" t="s">
        <v>2808</v>
      </c>
      <c r="H778">
        <v>390</v>
      </c>
      <c r="I778">
        <v>397</v>
      </c>
      <c r="K778">
        <v>2</v>
      </c>
      <c r="L778" t="s">
        <v>2809</v>
      </c>
      <c r="M778" t="s">
        <v>31</v>
      </c>
      <c r="N778" t="s">
        <v>19</v>
      </c>
    </row>
    <row r="779" spans="1:14">
      <c r="A779" t="s">
        <v>2810</v>
      </c>
      <c r="B779" t="s">
        <v>2811</v>
      </c>
      <c r="C779">
        <v>2010</v>
      </c>
      <c r="D779" t="s">
        <v>55</v>
      </c>
      <c r="E779" t="s">
        <v>2812</v>
      </c>
      <c r="F779" t="s">
        <v>228</v>
      </c>
      <c r="H779">
        <v>310</v>
      </c>
      <c r="I779">
        <v>321</v>
      </c>
      <c r="L779" t="s">
        <v>2813</v>
      </c>
      <c r="M779" t="s">
        <v>31</v>
      </c>
      <c r="N779" t="s">
        <v>19</v>
      </c>
    </row>
    <row r="780" spans="1:14">
      <c r="A780" t="s">
        <v>142</v>
      </c>
      <c r="B780" t="s">
        <v>2814</v>
      </c>
      <c r="C780">
        <v>2010</v>
      </c>
      <c r="D780" t="s">
        <v>213</v>
      </c>
      <c r="H780">
        <v>2</v>
      </c>
      <c r="I780">
        <v>6</v>
      </c>
      <c r="K780">
        <v>1</v>
      </c>
      <c r="L780" t="s">
        <v>2815</v>
      </c>
      <c r="M780" t="s">
        <v>31</v>
      </c>
      <c r="N780" t="s">
        <v>19</v>
      </c>
    </row>
    <row r="781" spans="1:14">
      <c r="A781" t="s">
        <v>2816</v>
      </c>
      <c r="B781" t="s">
        <v>2817</v>
      </c>
      <c r="C781">
        <v>2010</v>
      </c>
      <c r="D781" t="s">
        <v>2818</v>
      </c>
      <c r="E781">
        <v>2</v>
      </c>
      <c r="G781">
        <v>5608773</v>
      </c>
      <c r="H781" t="s">
        <v>2819</v>
      </c>
      <c r="I781" t="s">
        <v>2820</v>
      </c>
      <c r="K781">
        <v>1</v>
      </c>
      <c r="L781" t="s">
        <v>2821</v>
      </c>
      <c r="M781" t="s">
        <v>31</v>
      </c>
      <c r="N781" t="s">
        <v>19</v>
      </c>
    </row>
    <row r="782" spans="1:14">
      <c r="A782" t="s">
        <v>2822</v>
      </c>
      <c r="B782" t="s">
        <v>2823</v>
      </c>
      <c r="C782">
        <v>2010</v>
      </c>
      <c r="D782" t="s">
        <v>2824</v>
      </c>
      <c r="G782">
        <v>1864380</v>
      </c>
      <c r="H782">
        <v>119</v>
      </c>
      <c r="I782">
        <v>128</v>
      </c>
      <c r="K782">
        <v>23</v>
      </c>
      <c r="L782" t="s">
        <v>2825</v>
      </c>
      <c r="M782" t="s">
        <v>31</v>
      </c>
      <c r="N782" t="s">
        <v>19</v>
      </c>
    </row>
    <row r="783" spans="1:14">
      <c r="A783" t="s">
        <v>2826</v>
      </c>
      <c r="B783" t="s">
        <v>2827</v>
      </c>
      <c r="C783">
        <v>2010</v>
      </c>
      <c r="D783" t="s">
        <v>2828</v>
      </c>
      <c r="E783">
        <v>2</v>
      </c>
      <c r="G783">
        <v>5607582</v>
      </c>
      <c r="H783" t="s">
        <v>2829</v>
      </c>
      <c r="I783" t="s">
        <v>2830</v>
      </c>
      <c r="L783" t="s">
        <v>2831</v>
      </c>
      <c r="M783" t="s">
        <v>31</v>
      </c>
      <c r="N783" t="s">
        <v>19</v>
      </c>
    </row>
    <row r="784" spans="1:14">
      <c r="A784" t="s">
        <v>2832</v>
      </c>
      <c r="B784" t="s">
        <v>2833</v>
      </c>
      <c r="C784">
        <v>2010</v>
      </c>
      <c r="D784" t="s">
        <v>2834</v>
      </c>
      <c r="H784">
        <v>135</v>
      </c>
      <c r="I784">
        <v>142</v>
      </c>
      <c r="K784">
        <v>17</v>
      </c>
      <c r="L784" t="s">
        <v>2835</v>
      </c>
      <c r="M784" t="s">
        <v>31</v>
      </c>
      <c r="N784" t="s">
        <v>19</v>
      </c>
    </row>
    <row r="785" spans="1:14">
      <c r="A785" t="s">
        <v>2836</v>
      </c>
      <c r="B785" t="s">
        <v>2837</v>
      </c>
      <c r="C785">
        <v>2010</v>
      </c>
      <c r="D785" t="s">
        <v>2838</v>
      </c>
      <c r="E785">
        <v>1</v>
      </c>
      <c r="G785">
        <v>5616233</v>
      </c>
      <c r="H785">
        <v>158</v>
      </c>
      <c r="I785">
        <v>161</v>
      </c>
      <c r="K785">
        <v>1</v>
      </c>
      <c r="L785" t="s">
        <v>2839</v>
      </c>
      <c r="M785" t="s">
        <v>31</v>
      </c>
      <c r="N785" t="s">
        <v>19</v>
      </c>
    </row>
    <row r="786" spans="1:14">
      <c r="A786" t="s">
        <v>2840</v>
      </c>
      <c r="B786" t="s">
        <v>2841</v>
      </c>
      <c r="C786">
        <v>2010</v>
      </c>
      <c r="D786" t="s">
        <v>2838</v>
      </c>
      <c r="E786">
        <v>1</v>
      </c>
      <c r="G786">
        <v>5616338</v>
      </c>
      <c r="H786">
        <v>541</v>
      </c>
      <c r="I786">
        <v>544</v>
      </c>
      <c r="L786" t="s">
        <v>2842</v>
      </c>
      <c r="M786" t="s">
        <v>31</v>
      </c>
      <c r="N786" t="s">
        <v>19</v>
      </c>
    </row>
    <row r="787" spans="1:14">
      <c r="A787" t="s">
        <v>2843</v>
      </c>
      <c r="B787" t="s">
        <v>2844</v>
      </c>
      <c r="C787">
        <v>2010</v>
      </c>
      <c r="D787" t="s">
        <v>60</v>
      </c>
      <c r="E787" t="s">
        <v>2845</v>
      </c>
      <c r="F787" t="s">
        <v>228</v>
      </c>
      <c r="H787">
        <v>238</v>
      </c>
      <c r="I787">
        <v>247</v>
      </c>
      <c r="K787">
        <v>1</v>
      </c>
      <c r="L787" t="s">
        <v>2846</v>
      </c>
      <c r="M787" t="s">
        <v>31</v>
      </c>
      <c r="N787" t="s">
        <v>19</v>
      </c>
    </row>
    <row r="788" spans="1:14">
      <c r="A788" t="s">
        <v>2847</v>
      </c>
      <c r="B788" t="s">
        <v>2848</v>
      </c>
      <c r="C788">
        <v>2010</v>
      </c>
      <c r="D788" t="s">
        <v>55</v>
      </c>
      <c r="E788" t="s">
        <v>2849</v>
      </c>
      <c r="F788" t="s">
        <v>940</v>
      </c>
      <c r="H788">
        <v>31</v>
      </c>
      <c r="I788">
        <v>40</v>
      </c>
      <c r="K788">
        <v>1</v>
      </c>
      <c r="L788" t="s">
        <v>2850</v>
      </c>
      <c r="M788" t="s">
        <v>31</v>
      </c>
      <c r="N788" t="s">
        <v>19</v>
      </c>
    </row>
    <row r="789" spans="1:14">
      <c r="A789" t="s">
        <v>2847</v>
      </c>
      <c r="B789" t="s">
        <v>2851</v>
      </c>
      <c r="C789">
        <v>2010</v>
      </c>
      <c r="D789" t="s">
        <v>55</v>
      </c>
      <c r="E789" t="s">
        <v>2849</v>
      </c>
      <c r="F789" t="s">
        <v>940</v>
      </c>
      <c r="H789">
        <v>41</v>
      </c>
      <c r="I789">
        <v>50</v>
      </c>
      <c r="L789" t="s">
        <v>2852</v>
      </c>
      <c r="M789" t="s">
        <v>31</v>
      </c>
      <c r="N789" t="s">
        <v>19</v>
      </c>
    </row>
    <row r="790" spans="1:14">
      <c r="A790" t="s">
        <v>2853</v>
      </c>
      <c r="B790" t="s">
        <v>2854</v>
      </c>
      <c r="C790">
        <v>2010</v>
      </c>
      <c r="D790" t="s">
        <v>2855</v>
      </c>
      <c r="G790">
        <v>5599247</v>
      </c>
      <c r="H790">
        <v>583</v>
      </c>
      <c r="I790">
        <v>593</v>
      </c>
      <c r="K790">
        <v>7</v>
      </c>
      <c r="L790" t="s">
        <v>2856</v>
      </c>
      <c r="M790" t="s">
        <v>31</v>
      </c>
      <c r="N790" t="s">
        <v>19</v>
      </c>
    </row>
    <row r="791" spans="1:14">
      <c r="A791" t="s">
        <v>2857</v>
      </c>
      <c r="B791" t="s">
        <v>2858</v>
      </c>
      <c r="C791">
        <v>2010</v>
      </c>
      <c r="D791" t="s">
        <v>2859</v>
      </c>
      <c r="G791">
        <v>1938615</v>
      </c>
      <c r="L791" t="s">
        <v>2860</v>
      </c>
      <c r="M791" t="s">
        <v>31</v>
      </c>
      <c r="N791" t="s">
        <v>19</v>
      </c>
    </row>
    <row r="792" spans="1:14">
      <c r="A792" t="s">
        <v>2861</v>
      </c>
      <c r="B792" t="s">
        <v>2862</v>
      </c>
      <c r="C792">
        <v>2010</v>
      </c>
      <c r="D792" t="s">
        <v>2863</v>
      </c>
      <c r="E792">
        <v>7</v>
      </c>
      <c r="H792">
        <v>4885</v>
      </c>
      <c r="I792">
        <v>4895</v>
      </c>
      <c r="L792" t="s">
        <v>2864</v>
      </c>
      <c r="M792" t="s">
        <v>31</v>
      </c>
      <c r="N792" t="s">
        <v>19</v>
      </c>
    </row>
    <row r="793" spans="1:14">
      <c r="A793" t="s">
        <v>2865</v>
      </c>
      <c r="B793" t="s">
        <v>2866</v>
      </c>
      <c r="C793">
        <v>2010</v>
      </c>
      <c r="D793" t="s">
        <v>319</v>
      </c>
      <c r="E793">
        <v>7666</v>
      </c>
      <c r="G793">
        <v>766606</v>
      </c>
      <c r="L793" t="s">
        <v>2867</v>
      </c>
      <c r="M793" t="s">
        <v>31</v>
      </c>
      <c r="N793" t="s">
        <v>19</v>
      </c>
    </row>
    <row r="794" spans="1:14">
      <c r="A794" t="s">
        <v>2868</v>
      </c>
      <c r="B794" t="s">
        <v>2869</v>
      </c>
      <c r="C794">
        <v>2010</v>
      </c>
      <c r="D794" t="s">
        <v>2870</v>
      </c>
      <c r="H794">
        <v>100</v>
      </c>
      <c r="I794">
        <v>108</v>
      </c>
      <c r="L794" t="s">
        <v>2871</v>
      </c>
      <c r="M794" t="s">
        <v>31</v>
      </c>
      <c r="N794" t="s">
        <v>19</v>
      </c>
    </row>
    <row r="795" spans="1:14">
      <c r="A795" t="s">
        <v>2872</v>
      </c>
      <c r="B795" t="s">
        <v>2873</v>
      </c>
      <c r="C795">
        <v>2010</v>
      </c>
      <c r="D795" t="s">
        <v>2874</v>
      </c>
      <c r="L795" t="s">
        <v>2875</v>
      </c>
      <c r="M795" t="s">
        <v>31</v>
      </c>
      <c r="N795" t="s">
        <v>19</v>
      </c>
    </row>
    <row r="796" spans="1:14">
      <c r="A796" t="s">
        <v>2876</v>
      </c>
      <c r="B796" t="s">
        <v>2877</v>
      </c>
      <c r="C796">
        <v>2010</v>
      </c>
      <c r="D796" t="s">
        <v>2878</v>
      </c>
      <c r="E796">
        <v>619</v>
      </c>
      <c r="L796" t="s">
        <v>2879</v>
      </c>
      <c r="M796" t="s">
        <v>31</v>
      </c>
      <c r="N796" t="s">
        <v>19</v>
      </c>
    </row>
    <row r="797" spans="1:14">
      <c r="A797" t="s">
        <v>2880</v>
      </c>
      <c r="B797" t="s">
        <v>2881</v>
      </c>
      <c r="C797">
        <v>2010</v>
      </c>
      <c r="D797" t="s">
        <v>206</v>
      </c>
      <c r="E797">
        <v>2</v>
      </c>
      <c r="H797">
        <v>724</v>
      </c>
      <c r="I797">
        <v>734</v>
      </c>
      <c r="L797" t="s">
        <v>2882</v>
      </c>
      <c r="M797" t="s">
        <v>18</v>
      </c>
      <c r="N797" t="s">
        <v>19</v>
      </c>
    </row>
    <row r="798" spans="1:14">
      <c r="A798" t="s">
        <v>58</v>
      </c>
      <c r="B798" t="s">
        <v>2883</v>
      </c>
      <c r="C798">
        <v>2010</v>
      </c>
      <c r="D798" t="s">
        <v>2884</v>
      </c>
      <c r="H798">
        <v>56</v>
      </c>
      <c r="I798">
        <v>64</v>
      </c>
      <c r="L798" t="s">
        <v>2885</v>
      </c>
      <c r="M798" t="s">
        <v>31</v>
      </c>
      <c r="N798" t="s">
        <v>19</v>
      </c>
    </row>
    <row r="799" spans="1:14">
      <c r="A799" t="s">
        <v>2886</v>
      </c>
      <c r="B799" t="s">
        <v>2887</v>
      </c>
      <c r="C799">
        <v>2010</v>
      </c>
      <c r="D799" t="s">
        <v>2888</v>
      </c>
      <c r="H799">
        <v>315</v>
      </c>
      <c r="I799">
        <v>316</v>
      </c>
      <c r="L799" t="s">
        <v>2889</v>
      </c>
      <c r="M799" t="s">
        <v>31</v>
      </c>
      <c r="N799" t="s">
        <v>19</v>
      </c>
    </row>
    <row r="800" spans="1:14">
      <c r="A800" t="s">
        <v>2890</v>
      </c>
      <c r="B800" t="s">
        <v>2891</v>
      </c>
      <c r="C800">
        <v>2010</v>
      </c>
      <c r="D800" t="s">
        <v>55</v>
      </c>
      <c r="E800" t="s">
        <v>2892</v>
      </c>
      <c r="H800">
        <v>383</v>
      </c>
      <c r="I800">
        <v>394</v>
      </c>
      <c r="L800" t="s">
        <v>2893</v>
      </c>
      <c r="M800" t="s">
        <v>31</v>
      </c>
      <c r="N800" t="s">
        <v>19</v>
      </c>
    </row>
    <row r="801" spans="1:14">
      <c r="A801" t="s">
        <v>2894</v>
      </c>
      <c r="B801" t="s">
        <v>2895</v>
      </c>
      <c r="C801">
        <v>2010</v>
      </c>
      <c r="D801" t="s">
        <v>2896</v>
      </c>
      <c r="G801">
        <v>5685523</v>
      </c>
      <c r="H801">
        <v>187</v>
      </c>
      <c r="I801">
        <v>191</v>
      </c>
      <c r="L801" t="s">
        <v>2897</v>
      </c>
      <c r="M801" t="s">
        <v>31</v>
      </c>
      <c r="N801" t="s">
        <v>19</v>
      </c>
    </row>
    <row r="802" spans="1:14">
      <c r="A802" t="s">
        <v>2898</v>
      </c>
      <c r="B802" t="s">
        <v>2899</v>
      </c>
      <c r="C802">
        <v>2010</v>
      </c>
      <c r="D802" t="s">
        <v>2900</v>
      </c>
      <c r="E802">
        <v>2</v>
      </c>
      <c r="H802">
        <v>292</v>
      </c>
      <c r="I802">
        <v>294</v>
      </c>
      <c r="L802" t="s">
        <v>2901</v>
      </c>
      <c r="M802" t="s">
        <v>31</v>
      </c>
      <c r="N802" t="s">
        <v>19</v>
      </c>
    </row>
    <row r="803" spans="1:14">
      <c r="A803" t="s">
        <v>2902</v>
      </c>
      <c r="B803" t="s">
        <v>2903</v>
      </c>
      <c r="C803">
        <v>2010</v>
      </c>
      <c r="D803" t="s">
        <v>2859</v>
      </c>
      <c r="G803">
        <v>1938609</v>
      </c>
      <c r="K803">
        <v>1</v>
      </c>
      <c r="L803" t="s">
        <v>2904</v>
      </c>
      <c r="M803" t="s">
        <v>31</v>
      </c>
      <c r="N803" t="s">
        <v>19</v>
      </c>
    </row>
    <row r="804" spans="1:14">
      <c r="A804" t="s">
        <v>2905</v>
      </c>
      <c r="B804" t="s">
        <v>2906</v>
      </c>
      <c r="C804">
        <v>2010</v>
      </c>
      <c r="D804" t="s">
        <v>2863</v>
      </c>
      <c r="E804">
        <v>7</v>
      </c>
      <c r="H804">
        <v>5424</v>
      </c>
      <c r="I804">
        <v>5428</v>
      </c>
      <c r="L804" t="s">
        <v>2907</v>
      </c>
      <c r="M804" t="s">
        <v>31</v>
      </c>
      <c r="N804" t="s">
        <v>19</v>
      </c>
    </row>
    <row r="805" spans="1:14">
      <c r="A805" t="s">
        <v>2908</v>
      </c>
      <c r="B805" t="s">
        <v>2909</v>
      </c>
      <c r="C805">
        <v>2010</v>
      </c>
      <c r="D805" t="s">
        <v>55</v>
      </c>
      <c r="E805" t="s">
        <v>2910</v>
      </c>
      <c r="F805" t="s">
        <v>228</v>
      </c>
      <c r="H805">
        <v>814</v>
      </c>
      <c r="I805">
        <v>829</v>
      </c>
      <c r="K805">
        <v>1</v>
      </c>
      <c r="L805" t="s">
        <v>2911</v>
      </c>
      <c r="M805" t="s">
        <v>31</v>
      </c>
      <c r="N805" t="s">
        <v>19</v>
      </c>
    </row>
    <row r="806" spans="1:14">
      <c r="A806" t="s">
        <v>845</v>
      </c>
      <c r="B806" t="s">
        <v>2912</v>
      </c>
      <c r="C806">
        <v>2010</v>
      </c>
      <c r="D806" t="s">
        <v>2188</v>
      </c>
      <c r="H806">
        <v>532</v>
      </c>
      <c r="I806">
        <v>540</v>
      </c>
      <c r="L806" t="s">
        <v>2913</v>
      </c>
      <c r="M806" t="s">
        <v>18</v>
      </c>
      <c r="N806" t="s">
        <v>19</v>
      </c>
    </row>
    <row r="807" spans="1:14">
      <c r="A807" t="s">
        <v>416</v>
      </c>
      <c r="B807" t="s">
        <v>2914</v>
      </c>
      <c r="C807">
        <v>2010</v>
      </c>
      <c r="D807" t="s">
        <v>2915</v>
      </c>
      <c r="H807">
        <v>548</v>
      </c>
      <c r="I807">
        <v>552</v>
      </c>
      <c r="L807" t="s">
        <v>2916</v>
      </c>
      <c r="M807" t="s">
        <v>31</v>
      </c>
      <c r="N807" t="s">
        <v>19</v>
      </c>
    </row>
    <row r="808" spans="1:14">
      <c r="A808" t="s">
        <v>2917</v>
      </c>
      <c r="B808" t="s">
        <v>2918</v>
      </c>
      <c r="C808">
        <v>2010</v>
      </c>
      <c r="D808" t="s">
        <v>2919</v>
      </c>
      <c r="G808">
        <v>5705221</v>
      </c>
      <c r="H808">
        <v>901</v>
      </c>
      <c r="I808">
        <v>906</v>
      </c>
      <c r="L808" t="s">
        <v>2920</v>
      </c>
      <c r="M808" t="s">
        <v>31</v>
      </c>
      <c r="N808" t="s">
        <v>19</v>
      </c>
    </row>
    <row r="809" spans="1:14">
      <c r="A809" t="s">
        <v>2921</v>
      </c>
      <c r="B809" t="s">
        <v>2922</v>
      </c>
      <c r="C809">
        <v>2010</v>
      </c>
      <c r="D809" t="s">
        <v>2923</v>
      </c>
      <c r="E809">
        <v>121</v>
      </c>
      <c r="H809">
        <v>111</v>
      </c>
      <c r="I809">
        <v>118</v>
      </c>
      <c r="L809" t="s">
        <v>2924</v>
      </c>
      <c r="M809" t="s">
        <v>18</v>
      </c>
      <c r="N809" t="s">
        <v>19</v>
      </c>
    </row>
    <row r="810" spans="1:14">
      <c r="A810" t="s">
        <v>2925</v>
      </c>
      <c r="B810" t="s">
        <v>2926</v>
      </c>
      <c r="C810">
        <v>2010</v>
      </c>
      <c r="D810" t="s">
        <v>2927</v>
      </c>
      <c r="L810" t="s">
        <v>2928</v>
      </c>
      <c r="M810" t="s">
        <v>31</v>
      </c>
      <c r="N810" t="s">
        <v>19</v>
      </c>
    </row>
    <row r="811" spans="1:14">
      <c r="A811" t="s">
        <v>2929</v>
      </c>
      <c r="B811" t="s">
        <v>2930</v>
      </c>
      <c r="C811">
        <v>2010</v>
      </c>
      <c r="D811" t="s">
        <v>2931</v>
      </c>
      <c r="H811">
        <v>53</v>
      </c>
      <c r="I811">
        <v>62</v>
      </c>
      <c r="L811" t="s">
        <v>2932</v>
      </c>
      <c r="M811" t="s">
        <v>31</v>
      </c>
      <c r="N811" t="s">
        <v>19</v>
      </c>
    </row>
    <row r="812" spans="1:14">
      <c r="A812" t="s">
        <v>2933</v>
      </c>
      <c r="B812" t="s">
        <v>2934</v>
      </c>
      <c r="C812">
        <v>2010</v>
      </c>
      <c r="D812" t="s">
        <v>2863</v>
      </c>
      <c r="E812">
        <v>2</v>
      </c>
      <c r="H812">
        <v>1004</v>
      </c>
      <c r="I812">
        <v>1011</v>
      </c>
      <c r="L812" t="s">
        <v>2935</v>
      </c>
      <c r="M812" t="s">
        <v>31</v>
      </c>
      <c r="N812" t="s">
        <v>19</v>
      </c>
    </row>
    <row r="813" spans="1:14">
      <c r="A813" t="s">
        <v>2936</v>
      </c>
      <c r="B813" t="s">
        <v>2937</v>
      </c>
      <c r="C813">
        <v>2010</v>
      </c>
      <c r="D813" t="s">
        <v>2938</v>
      </c>
      <c r="G813">
        <v>5730308</v>
      </c>
      <c r="L813" t="s">
        <v>2939</v>
      </c>
      <c r="M813" t="s">
        <v>31</v>
      </c>
      <c r="N813" t="s">
        <v>19</v>
      </c>
    </row>
    <row r="814" spans="1:14">
      <c r="A814" t="s">
        <v>2940</v>
      </c>
      <c r="B814" t="s">
        <v>2941</v>
      </c>
      <c r="C814">
        <v>2010</v>
      </c>
      <c r="D814" t="s">
        <v>2942</v>
      </c>
      <c r="E814">
        <v>7</v>
      </c>
      <c r="F814" t="s">
        <v>783</v>
      </c>
      <c r="H814" t="s">
        <v>2943</v>
      </c>
      <c r="I814" t="s">
        <v>2944</v>
      </c>
      <c r="K814">
        <v>5</v>
      </c>
      <c r="L814" t="s">
        <v>2945</v>
      </c>
      <c r="M814" t="s">
        <v>18</v>
      </c>
      <c r="N814" t="s">
        <v>19</v>
      </c>
    </row>
    <row r="815" spans="1:14">
      <c r="A815" t="s">
        <v>2946</v>
      </c>
      <c r="B815" t="s">
        <v>2947</v>
      </c>
      <c r="C815">
        <v>2010</v>
      </c>
      <c r="D815" t="s">
        <v>2948</v>
      </c>
      <c r="L815" t="s">
        <v>2949</v>
      </c>
      <c r="M815" t="s">
        <v>31</v>
      </c>
      <c r="N815" t="s">
        <v>19</v>
      </c>
    </row>
    <row r="816" spans="1:14">
      <c r="A816" t="s">
        <v>2950</v>
      </c>
      <c r="B816" t="s">
        <v>2951</v>
      </c>
      <c r="C816">
        <v>2010</v>
      </c>
      <c r="D816" t="s">
        <v>2952</v>
      </c>
      <c r="H816">
        <v>356</v>
      </c>
      <c r="I816">
        <v>365</v>
      </c>
      <c r="K816">
        <v>2</v>
      </c>
      <c r="L816" t="s">
        <v>2953</v>
      </c>
      <c r="M816" t="s">
        <v>31</v>
      </c>
      <c r="N816" t="s">
        <v>19</v>
      </c>
    </row>
    <row r="817" spans="1:14">
      <c r="A817" t="s">
        <v>2954</v>
      </c>
      <c r="B817" t="s">
        <v>2955</v>
      </c>
      <c r="C817">
        <v>2010</v>
      </c>
      <c r="D817" t="s">
        <v>2956</v>
      </c>
      <c r="H817">
        <v>1426</v>
      </c>
      <c r="I817">
        <v>1437</v>
      </c>
      <c r="L817" t="s">
        <v>2957</v>
      </c>
      <c r="M817" t="s">
        <v>31</v>
      </c>
      <c r="N817" t="s">
        <v>19</v>
      </c>
    </row>
    <row r="818" spans="1:14">
      <c r="A818" t="s">
        <v>2958</v>
      </c>
      <c r="B818" t="s">
        <v>2959</v>
      </c>
      <c r="C818">
        <v>2010</v>
      </c>
      <c r="D818" t="s">
        <v>1899</v>
      </c>
      <c r="G818">
        <v>5693320</v>
      </c>
      <c r="H818">
        <v>352</v>
      </c>
      <c r="I818">
        <v>357</v>
      </c>
      <c r="L818" t="s">
        <v>2960</v>
      </c>
      <c r="M818" t="s">
        <v>31</v>
      </c>
      <c r="N818" t="s">
        <v>19</v>
      </c>
    </row>
    <row r="819" spans="1:14">
      <c r="A819" t="s">
        <v>2961</v>
      </c>
      <c r="B819" t="s">
        <v>2962</v>
      </c>
      <c r="C819">
        <v>2010</v>
      </c>
      <c r="D819" t="s">
        <v>2878</v>
      </c>
      <c r="E819">
        <v>581</v>
      </c>
      <c r="L819" t="s">
        <v>2963</v>
      </c>
      <c r="M819" t="s">
        <v>31</v>
      </c>
      <c r="N819" t="s">
        <v>19</v>
      </c>
    </row>
    <row r="820" spans="1:14">
      <c r="A820" t="s">
        <v>2964</v>
      </c>
      <c r="B820" t="s">
        <v>2965</v>
      </c>
      <c r="C820">
        <v>2010</v>
      </c>
      <c r="D820" t="s">
        <v>2966</v>
      </c>
      <c r="L820" t="s">
        <v>2967</v>
      </c>
      <c r="M820" t="s">
        <v>31</v>
      </c>
      <c r="N820" t="s">
        <v>19</v>
      </c>
    </row>
    <row r="821" spans="1:14">
      <c r="A821" t="s">
        <v>2968</v>
      </c>
      <c r="B821" t="s">
        <v>2969</v>
      </c>
      <c r="C821">
        <v>2010</v>
      </c>
      <c r="D821" t="s">
        <v>2863</v>
      </c>
      <c r="E821">
        <v>5</v>
      </c>
      <c r="H821">
        <v>3200</v>
      </c>
      <c r="I821">
        <v>3210</v>
      </c>
      <c r="L821" t="s">
        <v>2970</v>
      </c>
      <c r="M821" t="s">
        <v>31</v>
      </c>
      <c r="N821" t="s">
        <v>19</v>
      </c>
    </row>
    <row r="822" spans="1:14">
      <c r="A822" t="s">
        <v>2971</v>
      </c>
      <c r="B822" t="s">
        <v>2972</v>
      </c>
      <c r="C822">
        <v>2010</v>
      </c>
      <c r="D822" t="s">
        <v>2878</v>
      </c>
      <c r="E822">
        <v>567</v>
      </c>
      <c r="H822">
        <v>50</v>
      </c>
      <c r="I822">
        <v>59</v>
      </c>
      <c r="L822" t="s">
        <v>2973</v>
      </c>
      <c r="M822" t="s">
        <v>31</v>
      </c>
      <c r="N822" t="s">
        <v>19</v>
      </c>
    </row>
    <row r="823" spans="1:14">
      <c r="A823" t="s">
        <v>2974</v>
      </c>
      <c r="B823" t="s">
        <v>2975</v>
      </c>
      <c r="C823">
        <v>2010</v>
      </c>
      <c r="D823" t="s">
        <v>2976</v>
      </c>
      <c r="H823">
        <v>153</v>
      </c>
      <c r="I823">
        <v>160</v>
      </c>
      <c r="K823">
        <v>1</v>
      </c>
      <c r="L823" t="s">
        <v>2977</v>
      </c>
      <c r="M823" t="s">
        <v>31</v>
      </c>
      <c r="N823" t="s">
        <v>19</v>
      </c>
    </row>
    <row r="824" spans="1:14">
      <c r="A824" t="s">
        <v>2978</v>
      </c>
      <c r="B824" t="s">
        <v>2979</v>
      </c>
      <c r="C824">
        <v>2010</v>
      </c>
      <c r="D824" t="s">
        <v>2980</v>
      </c>
      <c r="G824">
        <v>5577398</v>
      </c>
      <c r="L824" t="s">
        <v>2981</v>
      </c>
      <c r="M824" t="s">
        <v>31</v>
      </c>
      <c r="N824" t="s">
        <v>19</v>
      </c>
    </row>
    <row r="825" spans="1:14">
      <c r="A825" t="s">
        <v>2982</v>
      </c>
      <c r="B825" t="s">
        <v>2983</v>
      </c>
      <c r="C825">
        <v>2010</v>
      </c>
      <c r="D825" t="s">
        <v>290</v>
      </c>
      <c r="H825">
        <v>1963</v>
      </c>
      <c r="I825">
        <v>1964</v>
      </c>
      <c r="L825" t="s">
        <v>2984</v>
      </c>
      <c r="M825" t="s">
        <v>31</v>
      </c>
      <c r="N825" t="s">
        <v>19</v>
      </c>
    </row>
    <row r="826" spans="1:14">
      <c r="A826" t="s">
        <v>2985</v>
      </c>
      <c r="B826" t="s">
        <v>2986</v>
      </c>
      <c r="C826">
        <v>2010</v>
      </c>
      <c r="D826" t="s">
        <v>2987</v>
      </c>
      <c r="H826">
        <v>103</v>
      </c>
      <c r="I826">
        <v>110</v>
      </c>
      <c r="L826" t="s">
        <v>2988</v>
      </c>
      <c r="M826" t="s">
        <v>31</v>
      </c>
      <c r="N826" t="s">
        <v>19</v>
      </c>
    </row>
    <row r="827" spans="1:14">
      <c r="A827" t="s">
        <v>885</v>
      </c>
      <c r="B827" t="s">
        <v>2989</v>
      </c>
      <c r="C827">
        <v>2010</v>
      </c>
      <c r="D827" t="s">
        <v>2990</v>
      </c>
      <c r="G827">
        <v>5767000</v>
      </c>
      <c r="K827">
        <v>1</v>
      </c>
      <c r="L827" t="s">
        <v>2991</v>
      </c>
      <c r="M827" t="s">
        <v>31</v>
      </c>
      <c r="N827" t="s">
        <v>19</v>
      </c>
    </row>
    <row r="828" spans="1:14">
      <c r="A828" t="s">
        <v>2992</v>
      </c>
      <c r="B828" t="s">
        <v>2993</v>
      </c>
      <c r="C828">
        <v>2010</v>
      </c>
      <c r="D828" t="s">
        <v>2994</v>
      </c>
      <c r="E828">
        <v>9</v>
      </c>
      <c r="H828">
        <v>41</v>
      </c>
      <c r="I828">
        <v>48</v>
      </c>
      <c r="L828" t="s">
        <v>2995</v>
      </c>
      <c r="M828" t="s">
        <v>31</v>
      </c>
      <c r="N828" t="s">
        <v>19</v>
      </c>
    </row>
    <row r="829" spans="1:14">
      <c r="A829" t="s">
        <v>2996</v>
      </c>
      <c r="B829" t="s">
        <v>2997</v>
      </c>
      <c r="C829">
        <v>2010</v>
      </c>
      <c r="D829" t="s">
        <v>2938</v>
      </c>
      <c r="G829">
        <v>5730301</v>
      </c>
      <c r="L829" t="s">
        <v>2998</v>
      </c>
      <c r="M829" t="s">
        <v>31</v>
      </c>
      <c r="N829" t="s">
        <v>19</v>
      </c>
    </row>
    <row r="830" spans="1:14">
      <c r="A830" t="s">
        <v>2999</v>
      </c>
      <c r="B830" t="s">
        <v>3000</v>
      </c>
      <c r="C830">
        <v>2010</v>
      </c>
      <c r="D830" t="s">
        <v>2966</v>
      </c>
      <c r="L830" t="s">
        <v>3001</v>
      </c>
      <c r="M830" t="s">
        <v>31</v>
      </c>
      <c r="N830" t="s">
        <v>19</v>
      </c>
    </row>
    <row r="831" spans="1:14">
      <c r="A831" t="s">
        <v>3002</v>
      </c>
      <c r="B831" t="s">
        <v>3003</v>
      </c>
      <c r="C831">
        <v>2010</v>
      </c>
      <c r="D831" t="s">
        <v>3004</v>
      </c>
      <c r="H831">
        <v>27</v>
      </c>
      <c r="I831">
        <v>32</v>
      </c>
      <c r="K831">
        <v>2</v>
      </c>
      <c r="L831" t="s">
        <v>3005</v>
      </c>
      <c r="M831" t="s">
        <v>31</v>
      </c>
      <c r="N831" t="s">
        <v>19</v>
      </c>
    </row>
    <row r="832" spans="1:14">
      <c r="A832" t="s">
        <v>3006</v>
      </c>
      <c r="B832" t="s">
        <v>3007</v>
      </c>
      <c r="C832">
        <v>2010</v>
      </c>
      <c r="D832" t="s">
        <v>2956</v>
      </c>
      <c r="H832">
        <v>1937</v>
      </c>
      <c r="I832">
        <v>1944</v>
      </c>
      <c r="L832" t="s">
        <v>3008</v>
      </c>
      <c r="M832" t="s">
        <v>31</v>
      </c>
      <c r="N832" t="s">
        <v>19</v>
      </c>
    </row>
    <row r="833" spans="1:14">
      <c r="A833" t="s">
        <v>3009</v>
      </c>
      <c r="B833" t="s">
        <v>3010</v>
      </c>
      <c r="C833">
        <v>2010</v>
      </c>
      <c r="D833" t="s">
        <v>2863</v>
      </c>
      <c r="E833">
        <v>3</v>
      </c>
      <c r="H833">
        <v>1579</v>
      </c>
      <c r="I833">
        <v>1589</v>
      </c>
      <c r="L833" t="s">
        <v>3011</v>
      </c>
      <c r="M833" t="s">
        <v>31</v>
      </c>
      <c r="N833" t="s">
        <v>19</v>
      </c>
    </row>
    <row r="834" spans="1:14">
      <c r="A834" t="s">
        <v>3012</v>
      </c>
      <c r="B834" t="s">
        <v>3013</v>
      </c>
      <c r="C834">
        <v>2010</v>
      </c>
      <c r="D834" t="s">
        <v>3014</v>
      </c>
      <c r="G834">
        <v>5655510</v>
      </c>
      <c r="H834">
        <v>683</v>
      </c>
      <c r="I834">
        <v>686</v>
      </c>
      <c r="L834" t="s">
        <v>3015</v>
      </c>
      <c r="M834" t="s">
        <v>31</v>
      </c>
      <c r="N834" t="s">
        <v>19</v>
      </c>
    </row>
    <row r="835" spans="1:14">
      <c r="A835" t="s">
        <v>3016</v>
      </c>
      <c r="B835" t="s">
        <v>3017</v>
      </c>
      <c r="C835">
        <v>2010</v>
      </c>
      <c r="D835" t="s">
        <v>2948</v>
      </c>
      <c r="L835" t="s">
        <v>3018</v>
      </c>
      <c r="M835" t="s">
        <v>31</v>
      </c>
      <c r="N835" t="s">
        <v>19</v>
      </c>
    </row>
    <row r="836" spans="1:14">
      <c r="A836" t="s">
        <v>3019</v>
      </c>
      <c r="B836" t="s">
        <v>3020</v>
      </c>
      <c r="C836">
        <v>2010</v>
      </c>
      <c r="D836" t="s">
        <v>3021</v>
      </c>
      <c r="G836">
        <v>5586496</v>
      </c>
      <c r="L836" t="s">
        <v>3022</v>
      </c>
      <c r="M836" t="s">
        <v>31</v>
      </c>
      <c r="N836" t="s">
        <v>19</v>
      </c>
    </row>
    <row r="837" spans="1:14">
      <c r="A837" t="s">
        <v>3023</v>
      </c>
      <c r="B837" t="s">
        <v>3024</v>
      </c>
      <c r="C837">
        <v>2010</v>
      </c>
      <c r="D837" t="s">
        <v>3025</v>
      </c>
      <c r="H837">
        <v>182</v>
      </c>
      <c r="I837">
        <v>188</v>
      </c>
      <c r="L837" t="s">
        <v>3026</v>
      </c>
      <c r="M837" t="s">
        <v>31</v>
      </c>
      <c r="N837" t="s">
        <v>19</v>
      </c>
    </row>
    <row r="838" spans="1:14">
      <c r="A838" t="s">
        <v>3027</v>
      </c>
      <c r="B838" t="s">
        <v>3028</v>
      </c>
      <c r="C838">
        <v>2010</v>
      </c>
      <c r="D838" t="s">
        <v>1899</v>
      </c>
      <c r="G838">
        <v>5693457</v>
      </c>
      <c r="H838">
        <v>1377</v>
      </c>
      <c r="I838">
        <v>1380</v>
      </c>
      <c r="K838">
        <v>2</v>
      </c>
      <c r="L838" t="s">
        <v>3029</v>
      </c>
      <c r="M838" t="s">
        <v>31</v>
      </c>
      <c r="N838" t="s">
        <v>19</v>
      </c>
    </row>
    <row r="839" spans="1:14">
      <c r="A839" t="s">
        <v>3030</v>
      </c>
      <c r="B839" t="s">
        <v>3031</v>
      </c>
      <c r="C839">
        <v>2010</v>
      </c>
      <c r="D839" t="s">
        <v>60</v>
      </c>
      <c r="E839" t="s">
        <v>3032</v>
      </c>
      <c r="H839">
        <v>79</v>
      </c>
      <c r="I839">
        <v>87</v>
      </c>
      <c r="L839" t="s">
        <v>3033</v>
      </c>
      <c r="M839" t="s">
        <v>31</v>
      </c>
      <c r="N839" t="s">
        <v>19</v>
      </c>
    </row>
    <row r="840" spans="1:14">
      <c r="A840" t="s">
        <v>3034</v>
      </c>
      <c r="B840" t="s">
        <v>3035</v>
      </c>
      <c r="C840">
        <v>2010</v>
      </c>
      <c r="D840" t="s">
        <v>55</v>
      </c>
      <c r="E840" t="s">
        <v>3036</v>
      </c>
      <c r="H840">
        <v>77</v>
      </c>
      <c r="I840">
        <v>90</v>
      </c>
      <c r="K840">
        <v>1</v>
      </c>
      <c r="L840" t="s">
        <v>3037</v>
      </c>
      <c r="M840" t="s">
        <v>31</v>
      </c>
      <c r="N840" t="s">
        <v>19</v>
      </c>
    </row>
    <row r="841" spans="1:14">
      <c r="A841" t="s">
        <v>3038</v>
      </c>
      <c r="B841" t="s">
        <v>3039</v>
      </c>
      <c r="C841">
        <v>2010</v>
      </c>
      <c r="D841" t="s">
        <v>1899</v>
      </c>
      <c r="G841">
        <v>5694062</v>
      </c>
      <c r="H841">
        <v>923</v>
      </c>
      <c r="I841">
        <v>928</v>
      </c>
      <c r="K841">
        <v>7</v>
      </c>
      <c r="L841" t="s">
        <v>3040</v>
      </c>
      <c r="M841" t="s">
        <v>31</v>
      </c>
      <c r="N841" t="s">
        <v>19</v>
      </c>
    </row>
    <row r="842" spans="1:14">
      <c r="A842" t="s">
        <v>3041</v>
      </c>
      <c r="B842" t="s">
        <v>3042</v>
      </c>
      <c r="C842">
        <v>2010</v>
      </c>
      <c r="D842" t="s">
        <v>3043</v>
      </c>
      <c r="H842">
        <v>297</v>
      </c>
      <c r="I842">
        <v>304</v>
      </c>
      <c r="L842" t="s">
        <v>3044</v>
      </c>
      <c r="M842" t="s">
        <v>31</v>
      </c>
      <c r="N842" t="s">
        <v>19</v>
      </c>
    </row>
    <row r="843" spans="1:14">
      <c r="A843" t="s">
        <v>3045</v>
      </c>
      <c r="B843" t="s">
        <v>3046</v>
      </c>
      <c r="C843">
        <v>2010</v>
      </c>
      <c r="D843" t="s">
        <v>3047</v>
      </c>
      <c r="H843">
        <v>107</v>
      </c>
      <c r="I843">
        <v>116</v>
      </c>
      <c r="K843">
        <v>3</v>
      </c>
      <c r="L843" t="s">
        <v>3048</v>
      </c>
      <c r="M843" t="s">
        <v>31</v>
      </c>
      <c r="N843" t="s">
        <v>19</v>
      </c>
    </row>
    <row r="844" spans="1:14">
      <c r="A844" t="s">
        <v>3049</v>
      </c>
      <c r="B844" t="s">
        <v>3050</v>
      </c>
      <c r="C844">
        <v>2010</v>
      </c>
      <c r="D844" t="s">
        <v>3047</v>
      </c>
      <c r="H844">
        <v>117</v>
      </c>
      <c r="I844">
        <v>120</v>
      </c>
      <c r="L844" t="s">
        <v>3051</v>
      </c>
      <c r="M844" t="s">
        <v>31</v>
      </c>
      <c r="N844" t="s">
        <v>19</v>
      </c>
    </row>
    <row r="845" spans="1:14">
      <c r="A845" t="s">
        <v>3052</v>
      </c>
      <c r="B845" t="s">
        <v>3053</v>
      </c>
      <c r="C845">
        <v>2010</v>
      </c>
      <c r="D845" t="s">
        <v>3054</v>
      </c>
      <c r="E845">
        <v>2</v>
      </c>
      <c r="H845">
        <v>754</v>
      </c>
      <c r="I845">
        <v>759</v>
      </c>
      <c r="L845" t="s">
        <v>3055</v>
      </c>
      <c r="M845" t="s">
        <v>31</v>
      </c>
      <c r="N845" t="s">
        <v>19</v>
      </c>
    </row>
    <row r="846" spans="1:14">
      <c r="A846" t="s">
        <v>3056</v>
      </c>
      <c r="B846" t="s">
        <v>3057</v>
      </c>
      <c r="C846">
        <v>2010</v>
      </c>
      <c r="D846" t="s">
        <v>290</v>
      </c>
      <c r="H846">
        <v>209</v>
      </c>
      <c r="I846">
        <v>218</v>
      </c>
      <c r="K846">
        <v>5</v>
      </c>
      <c r="L846" t="s">
        <v>3058</v>
      </c>
      <c r="M846" t="s">
        <v>31</v>
      </c>
      <c r="N846" t="s">
        <v>19</v>
      </c>
    </row>
    <row r="847" spans="1:14">
      <c r="A847" t="s">
        <v>3059</v>
      </c>
      <c r="B847" t="s">
        <v>3060</v>
      </c>
      <c r="C847">
        <v>2010</v>
      </c>
      <c r="D847" t="s">
        <v>2966</v>
      </c>
      <c r="L847" t="s">
        <v>3061</v>
      </c>
      <c r="M847" t="s">
        <v>31</v>
      </c>
      <c r="N847" t="s">
        <v>19</v>
      </c>
    </row>
    <row r="848" spans="1:14">
      <c r="A848" t="s">
        <v>3062</v>
      </c>
      <c r="B848" t="s">
        <v>3063</v>
      </c>
      <c r="C848">
        <v>2010</v>
      </c>
      <c r="D848" t="s">
        <v>3064</v>
      </c>
      <c r="G848">
        <v>5687175</v>
      </c>
      <c r="H848">
        <v>748</v>
      </c>
      <c r="I848">
        <v>753</v>
      </c>
      <c r="L848" t="s">
        <v>3065</v>
      </c>
      <c r="M848" t="s">
        <v>31</v>
      </c>
      <c r="N848" t="s">
        <v>19</v>
      </c>
    </row>
    <row r="849" spans="1:14">
      <c r="A849" t="s">
        <v>3066</v>
      </c>
      <c r="B849" t="s">
        <v>3067</v>
      </c>
      <c r="C849">
        <v>2010</v>
      </c>
      <c r="D849" t="s">
        <v>3068</v>
      </c>
      <c r="H849">
        <v>248</v>
      </c>
      <c r="I849">
        <v>255</v>
      </c>
      <c r="L849" t="s">
        <v>3069</v>
      </c>
      <c r="M849" t="s">
        <v>31</v>
      </c>
      <c r="N849" t="s">
        <v>19</v>
      </c>
    </row>
    <row r="850" spans="1:14">
      <c r="A850" t="s">
        <v>3070</v>
      </c>
      <c r="B850" t="s">
        <v>3071</v>
      </c>
      <c r="C850">
        <v>2010</v>
      </c>
      <c r="D850" t="s">
        <v>3072</v>
      </c>
      <c r="L850" t="s">
        <v>3073</v>
      </c>
      <c r="M850" t="s">
        <v>31</v>
      </c>
      <c r="N850" t="s">
        <v>19</v>
      </c>
    </row>
    <row r="851" spans="1:14">
      <c r="A851" t="s">
        <v>3074</v>
      </c>
      <c r="B851" t="s">
        <v>3075</v>
      </c>
      <c r="C851">
        <v>2010</v>
      </c>
      <c r="D851" t="s">
        <v>3076</v>
      </c>
      <c r="E851">
        <v>1</v>
      </c>
      <c r="H851">
        <v>275</v>
      </c>
      <c r="I851">
        <v>280</v>
      </c>
      <c r="L851" t="s">
        <v>3077</v>
      </c>
      <c r="M851" t="s">
        <v>31</v>
      </c>
      <c r="N851" t="s">
        <v>19</v>
      </c>
    </row>
    <row r="852" spans="1:14">
      <c r="A852" t="s">
        <v>3078</v>
      </c>
      <c r="B852" t="s">
        <v>3079</v>
      </c>
      <c r="C852">
        <v>2010</v>
      </c>
      <c r="D852" t="s">
        <v>3080</v>
      </c>
      <c r="H852">
        <v>4</v>
      </c>
      <c r="I852">
        <v>9</v>
      </c>
      <c r="L852" t="s">
        <v>3081</v>
      </c>
      <c r="M852" t="s">
        <v>31</v>
      </c>
      <c r="N852" t="s">
        <v>19</v>
      </c>
    </row>
    <row r="853" spans="1:14">
      <c r="A853" t="s">
        <v>3082</v>
      </c>
      <c r="B853" t="s">
        <v>3083</v>
      </c>
      <c r="C853">
        <v>2010</v>
      </c>
      <c r="D853" t="s">
        <v>3080</v>
      </c>
      <c r="H853">
        <v>16</v>
      </c>
      <c r="I853">
        <v>21</v>
      </c>
      <c r="L853" t="s">
        <v>3084</v>
      </c>
      <c r="M853" t="s">
        <v>31</v>
      </c>
      <c r="N853" t="s">
        <v>19</v>
      </c>
    </row>
    <row r="854" spans="1:14">
      <c r="A854" t="s">
        <v>3085</v>
      </c>
      <c r="B854" t="s">
        <v>3086</v>
      </c>
      <c r="C854">
        <v>2010</v>
      </c>
      <c r="D854" t="s">
        <v>976</v>
      </c>
      <c r="E854">
        <v>76</v>
      </c>
      <c r="H854">
        <v>49</v>
      </c>
      <c r="I854">
        <v>61</v>
      </c>
      <c r="K854">
        <v>1</v>
      </c>
      <c r="L854" t="s">
        <v>3087</v>
      </c>
      <c r="M854" t="s">
        <v>31</v>
      </c>
      <c r="N854" t="s">
        <v>19</v>
      </c>
    </row>
    <row r="855" spans="1:14">
      <c r="A855" t="s">
        <v>3088</v>
      </c>
      <c r="B855" t="s">
        <v>3089</v>
      </c>
      <c r="C855">
        <v>2010</v>
      </c>
      <c r="D855" t="s">
        <v>314</v>
      </c>
      <c r="E855" t="s">
        <v>3090</v>
      </c>
      <c r="H855">
        <v>413</v>
      </c>
      <c r="I855">
        <v>418</v>
      </c>
      <c r="L855" t="s">
        <v>3091</v>
      </c>
      <c r="M855" t="s">
        <v>31</v>
      </c>
      <c r="N855" t="s">
        <v>19</v>
      </c>
    </row>
    <row r="856" spans="1:14">
      <c r="A856" t="s">
        <v>3092</v>
      </c>
      <c r="B856" t="s">
        <v>3093</v>
      </c>
      <c r="C856">
        <v>2010</v>
      </c>
      <c r="D856" t="s">
        <v>3094</v>
      </c>
      <c r="G856">
        <v>5695437</v>
      </c>
      <c r="H856">
        <v>86</v>
      </c>
      <c r="I856">
        <v>93</v>
      </c>
      <c r="K856">
        <v>1</v>
      </c>
      <c r="L856" t="s">
        <v>3095</v>
      </c>
      <c r="M856" t="s">
        <v>31</v>
      </c>
      <c r="N856" t="s">
        <v>19</v>
      </c>
    </row>
    <row r="857" spans="1:14">
      <c r="A857" t="s">
        <v>3096</v>
      </c>
      <c r="B857" t="s">
        <v>3097</v>
      </c>
      <c r="C857">
        <v>2010</v>
      </c>
      <c r="D857" t="s">
        <v>314</v>
      </c>
      <c r="E857" t="s">
        <v>3090</v>
      </c>
      <c r="H857">
        <v>85</v>
      </c>
      <c r="I857">
        <v>96</v>
      </c>
      <c r="L857" t="s">
        <v>3098</v>
      </c>
      <c r="M857" t="s">
        <v>31</v>
      </c>
      <c r="N857" t="s">
        <v>19</v>
      </c>
    </row>
    <row r="858" spans="1:14">
      <c r="A858" t="s">
        <v>3099</v>
      </c>
      <c r="B858" t="s">
        <v>3100</v>
      </c>
      <c r="C858">
        <v>2010</v>
      </c>
      <c r="D858" t="s">
        <v>2938</v>
      </c>
      <c r="G858">
        <v>5730297</v>
      </c>
      <c r="L858" t="s">
        <v>3101</v>
      </c>
      <c r="M858" t="s">
        <v>31</v>
      </c>
      <c r="N858" t="s">
        <v>19</v>
      </c>
    </row>
    <row r="859" spans="1:14">
      <c r="A859" t="s">
        <v>3102</v>
      </c>
      <c r="B859" t="s">
        <v>3103</v>
      </c>
      <c r="C859">
        <v>2010</v>
      </c>
      <c r="D859" t="s">
        <v>3072</v>
      </c>
      <c r="L859" t="s">
        <v>3104</v>
      </c>
      <c r="M859" t="s">
        <v>31</v>
      </c>
      <c r="N859" t="s">
        <v>19</v>
      </c>
    </row>
    <row r="860" spans="1:14">
      <c r="A860" t="s">
        <v>3105</v>
      </c>
      <c r="B860" t="s">
        <v>3106</v>
      </c>
      <c r="C860">
        <v>2010</v>
      </c>
      <c r="D860" t="s">
        <v>2948</v>
      </c>
      <c r="L860" t="s">
        <v>3107</v>
      </c>
      <c r="M860" t="s">
        <v>31</v>
      </c>
      <c r="N860" t="s">
        <v>19</v>
      </c>
    </row>
    <row r="861" spans="1:14">
      <c r="A861" t="s">
        <v>3108</v>
      </c>
      <c r="B861" t="s">
        <v>3109</v>
      </c>
      <c r="C861">
        <v>2010</v>
      </c>
      <c r="D861" t="s">
        <v>2863</v>
      </c>
      <c r="E861">
        <v>7</v>
      </c>
      <c r="H861">
        <v>5200</v>
      </c>
      <c r="I861">
        <v>5211</v>
      </c>
      <c r="L861" t="s">
        <v>3110</v>
      </c>
      <c r="M861" t="s">
        <v>31</v>
      </c>
      <c r="N861" t="s">
        <v>19</v>
      </c>
    </row>
    <row r="862" spans="1:14">
      <c r="A862" t="s">
        <v>3111</v>
      </c>
      <c r="B862" t="s">
        <v>3112</v>
      </c>
      <c r="C862">
        <v>2010</v>
      </c>
      <c r="D862" t="s">
        <v>3113</v>
      </c>
      <c r="H862">
        <v>98</v>
      </c>
      <c r="I862">
        <v>118</v>
      </c>
      <c r="L862" t="s">
        <v>3114</v>
      </c>
      <c r="M862" t="s">
        <v>31</v>
      </c>
      <c r="N862" t="s">
        <v>19</v>
      </c>
    </row>
    <row r="863" spans="1:14">
      <c r="A863" t="s">
        <v>3115</v>
      </c>
      <c r="B863" t="s">
        <v>3116</v>
      </c>
      <c r="C863">
        <v>2010</v>
      </c>
      <c r="D863" t="s">
        <v>2956</v>
      </c>
      <c r="H863">
        <v>1851</v>
      </c>
      <c r="I863">
        <v>1857</v>
      </c>
      <c r="L863" t="s">
        <v>3117</v>
      </c>
      <c r="M863" t="s">
        <v>31</v>
      </c>
      <c r="N863" t="s">
        <v>19</v>
      </c>
    </row>
    <row r="864" spans="1:14">
      <c r="A864" t="s">
        <v>3118</v>
      </c>
      <c r="B864" t="s">
        <v>3119</v>
      </c>
      <c r="C864">
        <v>2010</v>
      </c>
      <c r="D864" t="s">
        <v>2956</v>
      </c>
      <c r="H864">
        <v>1516</v>
      </c>
      <c r="I864">
        <v>1527</v>
      </c>
      <c r="L864" t="s">
        <v>3120</v>
      </c>
      <c r="M864" t="s">
        <v>31</v>
      </c>
      <c r="N864" t="s">
        <v>19</v>
      </c>
    </row>
    <row r="865" spans="1:14">
      <c r="A865" t="s">
        <v>3121</v>
      </c>
      <c r="B865" t="s">
        <v>3122</v>
      </c>
      <c r="C865">
        <v>2010</v>
      </c>
      <c r="D865" t="s">
        <v>3123</v>
      </c>
      <c r="H865">
        <v>31</v>
      </c>
      <c r="I865">
        <v>34</v>
      </c>
      <c r="L865" t="s">
        <v>3124</v>
      </c>
      <c r="M865" t="s">
        <v>31</v>
      </c>
      <c r="N865" t="s">
        <v>19</v>
      </c>
    </row>
    <row r="866" spans="1:14">
      <c r="A866" t="s">
        <v>3125</v>
      </c>
      <c r="B866" t="s">
        <v>3126</v>
      </c>
      <c r="C866">
        <v>2010</v>
      </c>
      <c r="D866" t="s">
        <v>3068</v>
      </c>
      <c r="H866">
        <v>104</v>
      </c>
      <c r="I866">
        <v>111</v>
      </c>
      <c r="L866" t="s">
        <v>3127</v>
      </c>
      <c r="M866" t="s">
        <v>31</v>
      </c>
      <c r="N866" t="s">
        <v>19</v>
      </c>
    </row>
    <row r="867" spans="1:14">
      <c r="A867" t="s">
        <v>3128</v>
      </c>
      <c r="B867" t="s">
        <v>3129</v>
      </c>
      <c r="C867">
        <v>2010</v>
      </c>
      <c r="D867" t="s">
        <v>1613</v>
      </c>
      <c r="E867">
        <v>13</v>
      </c>
      <c r="F867">
        <v>8</v>
      </c>
      <c r="H867">
        <v>1099</v>
      </c>
      <c r="I867">
        <v>1121</v>
      </c>
      <c r="K867">
        <v>8</v>
      </c>
      <c r="L867" t="s">
        <v>3130</v>
      </c>
      <c r="M867" t="s">
        <v>18</v>
      </c>
      <c r="N867" t="s">
        <v>19</v>
      </c>
    </row>
    <row r="868" spans="1:14">
      <c r="A868" t="s">
        <v>230</v>
      </c>
      <c r="B868" t="s">
        <v>2859</v>
      </c>
      <c r="C868">
        <v>2010</v>
      </c>
      <c r="D868" t="s">
        <v>2859</v>
      </c>
      <c r="L868" t="s">
        <v>3131</v>
      </c>
      <c r="M868" t="s">
        <v>233</v>
      </c>
      <c r="N868" t="s">
        <v>19</v>
      </c>
    </row>
    <row r="869" spans="1:14">
      <c r="A869" t="s">
        <v>3132</v>
      </c>
      <c r="B869" t="s">
        <v>3133</v>
      </c>
      <c r="C869">
        <v>2010</v>
      </c>
      <c r="D869" t="s">
        <v>2927</v>
      </c>
      <c r="L869" t="s">
        <v>3134</v>
      </c>
      <c r="M869" t="s">
        <v>31</v>
      </c>
      <c r="N869" t="s">
        <v>19</v>
      </c>
    </row>
    <row r="870" spans="1:14">
      <c r="A870" t="s">
        <v>3135</v>
      </c>
      <c r="B870" t="s">
        <v>3136</v>
      </c>
      <c r="C870">
        <v>2010</v>
      </c>
      <c r="D870" t="s">
        <v>3137</v>
      </c>
      <c r="E870">
        <v>18</v>
      </c>
      <c r="F870">
        <v>4</v>
      </c>
      <c r="H870">
        <v>311</v>
      </c>
      <c r="I870">
        <v>320</v>
      </c>
      <c r="K870">
        <v>1</v>
      </c>
      <c r="L870" t="s">
        <v>3138</v>
      </c>
      <c r="M870" t="s">
        <v>18</v>
      </c>
      <c r="N870" t="s">
        <v>19</v>
      </c>
    </row>
    <row r="871" spans="1:14">
      <c r="A871" t="s">
        <v>3139</v>
      </c>
      <c r="B871" t="s">
        <v>3140</v>
      </c>
      <c r="C871">
        <v>2010</v>
      </c>
      <c r="D871" t="s">
        <v>3141</v>
      </c>
      <c r="G871">
        <v>5591319</v>
      </c>
      <c r="H871">
        <v>500</v>
      </c>
      <c r="I871">
        <v>507</v>
      </c>
      <c r="K871">
        <v>1</v>
      </c>
      <c r="L871" t="s">
        <v>3142</v>
      </c>
      <c r="M871" t="s">
        <v>31</v>
      </c>
      <c r="N871" t="s">
        <v>19</v>
      </c>
    </row>
    <row r="872" spans="1:14">
      <c r="A872" t="s">
        <v>3143</v>
      </c>
      <c r="B872" t="s">
        <v>3144</v>
      </c>
      <c r="C872">
        <v>2010</v>
      </c>
      <c r="D872" t="s">
        <v>3141</v>
      </c>
      <c r="G872">
        <v>5591210</v>
      </c>
      <c r="H872">
        <v>257</v>
      </c>
      <c r="I872">
        <v>263</v>
      </c>
      <c r="K872">
        <v>2</v>
      </c>
      <c r="L872" t="s">
        <v>3145</v>
      </c>
      <c r="M872" t="s">
        <v>31</v>
      </c>
      <c r="N872" t="s">
        <v>19</v>
      </c>
    </row>
    <row r="873" spans="1:14">
      <c r="A873" t="s">
        <v>3146</v>
      </c>
      <c r="B873" t="s">
        <v>3147</v>
      </c>
      <c r="C873">
        <v>2010</v>
      </c>
      <c r="D873" t="s">
        <v>3141</v>
      </c>
      <c r="G873">
        <v>5591283</v>
      </c>
      <c r="H873">
        <v>419</v>
      </c>
      <c r="I873">
        <v>424</v>
      </c>
      <c r="K873">
        <v>3</v>
      </c>
      <c r="L873" t="s">
        <v>3148</v>
      </c>
      <c r="M873" t="s">
        <v>31</v>
      </c>
      <c r="N873" t="s">
        <v>19</v>
      </c>
    </row>
    <row r="874" spans="1:14">
      <c r="A874" t="s">
        <v>423</v>
      </c>
      <c r="B874" t="s">
        <v>3149</v>
      </c>
      <c r="C874">
        <v>2010</v>
      </c>
      <c r="D874" t="s">
        <v>1278</v>
      </c>
      <c r="E874">
        <v>16</v>
      </c>
      <c r="F874">
        <v>15</v>
      </c>
      <c r="H874">
        <v>2099</v>
      </c>
      <c r="I874">
        <v>2110</v>
      </c>
      <c r="K874">
        <v>23</v>
      </c>
      <c r="L874" t="s">
        <v>3150</v>
      </c>
      <c r="M874" t="s">
        <v>18</v>
      </c>
      <c r="N874" t="s">
        <v>19</v>
      </c>
    </row>
    <row r="875" spans="1:14">
      <c r="A875" t="s">
        <v>3151</v>
      </c>
      <c r="B875" t="s">
        <v>3152</v>
      </c>
      <c r="C875">
        <v>2010</v>
      </c>
      <c r="D875" t="s">
        <v>55</v>
      </c>
      <c r="E875" t="s">
        <v>3153</v>
      </c>
      <c r="H875">
        <v>620</v>
      </c>
      <c r="I875">
        <v>634</v>
      </c>
      <c r="L875" t="s">
        <v>3154</v>
      </c>
      <c r="M875" t="s">
        <v>31</v>
      </c>
      <c r="N875" t="s">
        <v>19</v>
      </c>
    </row>
    <row r="876" spans="1:14">
      <c r="A876" t="s">
        <v>3155</v>
      </c>
      <c r="B876" t="s">
        <v>3156</v>
      </c>
      <c r="C876">
        <v>2010</v>
      </c>
      <c r="D876" t="s">
        <v>55</v>
      </c>
      <c r="E876" t="s">
        <v>3157</v>
      </c>
      <c r="H876">
        <v>483</v>
      </c>
      <c r="I876">
        <v>490</v>
      </c>
      <c r="K876">
        <v>4</v>
      </c>
      <c r="L876" t="s">
        <v>3158</v>
      </c>
      <c r="M876" t="s">
        <v>31</v>
      </c>
      <c r="N876" t="s">
        <v>19</v>
      </c>
    </row>
    <row r="877" spans="1:14">
      <c r="A877" t="s">
        <v>230</v>
      </c>
      <c r="B877" t="s">
        <v>3159</v>
      </c>
      <c r="C877">
        <v>2010</v>
      </c>
      <c r="D877" t="s">
        <v>3160</v>
      </c>
      <c r="E877">
        <v>25</v>
      </c>
      <c r="F877">
        <v>4</v>
      </c>
      <c r="K877">
        <v>2</v>
      </c>
      <c r="L877" t="s">
        <v>3161</v>
      </c>
      <c r="M877" t="s">
        <v>233</v>
      </c>
      <c r="N877" t="s">
        <v>19</v>
      </c>
    </row>
    <row r="878" spans="1:14">
      <c r="A878" t="s">
        <v>3162</v>
      </c>
      <c r="B878" t="s">
        <v>3163</v>
      </c>
      <c r="C878">
        <v>2010</v>
      </c>
      <c r="D878" t="s">
        <v>3164</v>
      </c>
      <c r="E878">
        <v>110</v>
      </c>
      <c r="F878">
        <v>9</v>
      </c>
      <c r="H878">
        <v>1402</v>
      </c>
      <c r="I878">
        <v>1419</v>
      </c>
      <c r="K878">
        <v>4</v>
      </c>
      <c r="L878" t="s">
        <v>3165</v>
      </c>
      <c r="M878" t="s">
        <v>18</v>
      </c>
      <c r="N878" t="s">
        <v>19</v>
      </c>
    </row>
    <row r="879" spans="1:14">
      <c r="A879" t="s">
        <v>416</v>
      </c>
      <c r="B879" t="s">
        <v>3166</v>
      </c>
      <c r="C879">
        <v>2010</v>
      </c>
      <c r="D879" t="s">
        <v>55</v>
      </c>
      <c r="E879" t="s">
        <v>3167</v>
      </c>
      <c r="H879">
        <v>567</v>
      </c>
      <c r="I879">
        <v>572</v>
      </c>
      <c r="L879" t="s">
        <v>3168</v>
      </c>
      <c r="M879" t="s">
        <v>31</v>
      </c>
      <c r="N879" t="s">
        <v>19</v>
      </c>
    </row>
    <row r="880" spans="1:14">
      <c r="A880" t="s">
        <v>3169</v>
      </c>
      <c r="B880" t="s">
        <v>3170</v>
      </c>
      <c r="C880">
        <v>2010</v>
      </c>
      <c r="D880" t="s">
        <v>55</v>
      </c>
      <c r="E880" t="s">
        <v>3171</v>
      </c>
      <c r="H880">
        <v>432</v>
      </c>
      <c r="I880">
        <v>437</v>
      </c>
      <c r="K880">
        <v>4</v>
      </c>
      <c r="L880" t="s">
        <v>3172</v>
      </c>
      <c r="M880" t="s">
        <v>31</v>
      </c>
      <c r="N880" t="s">
        <v>19</v>
      </c>
    </row>
    <row r="881" spans="1:14">
      <c r="A881" t="s">
        <v>3173</v>
      </c>
      <c r="B881" t="s">
        <v>3174</v>
      </c>
      <c r="C881">
        <v>2010</v>
      </c>
      <c r="D881" t="s">
        <v>3175</v>
      </c>
      <c r="E881">
        <v>1</v>
      </c>
      <c r="G881">
        <v>5561420</v>
      </c>
      <c r="L881" t="s">
        <v>3176</v>
      </c>
      <c r="M881" t="s">
        <v>31</v>
      </c>
      <c r="N881" t="s">
        <v>19</v>
      </c>
    </row>
    <row r="882" spans="1:14">
      <c r="A882" t="s">
        <v>3177</v>
      </c>
      <c r="B882" t="s">
        <v>3178</v>
      </c>
      <c r="C882">
        <v>2010</v>
      </c>
      <c r="D882" t="s">
        <v>55</v>
      </c>
      <c r="E882" t="s">
        <v>3179</v>
      </c>
      <c r="F882" t="s">
        <v>228</v>
      </c>
      <c r="H882">
        <v>393</v>
      </c>
      <c r="I882">
        <v>408</v>
      </c>
      <c r="K882">
        <v>2</v>
      </c>
      <c r="L882" t="s">
        <v>3180</v>
      </c>
      <c r="M882" t="s">
        <v>31</v>
      </c>
      <c r="N882" t="s">
        <v>19</v>
      </c>
    </row>
    <row r="883" spans="1:14">
      <c r="A883" t="s">
        <v>3181</v>
      </c>
      <c r="B883" t="s">
        <v>3182</v>
      </c>
      <c r="C883">
        <v>2010</v>
      </c>
      <c r="D883" t="s">
        <v>3183</v>
      </c>
      <c r="G883">
        <v>5571143</v>
      </c>
      <c r="H883">
        <v>70</v>
      </c>
      <c r="I883">
        <v>72</v>
      </c>
      <c r="K883">
        <v>2</v>
      </c>
      <c r="L883" t="s">
        <v>3184</v>
      </c>
      <c r="M883" t="s">
        <v>31</v>
      </c>
      <c r="N883" t="s">
        <v>19</v>
      </c>
    </row>
    <row r="884" spans="1:14">
      <c r="A884" t="s">
        <v>3185</v>
      </c>
      <c r="B884" t="s">
        <v>3186</v>
      </c>
      <c r="C884">
        <v>2010</v>
      </c>
      <c r="D884" t="s">
        <v>3183</v>
      </c>
      <c r="G884">
        <v>5573229</v>
      </c>
      <c r="H884">
        <v>445</v>
      </c>
      <c r="I884">
        <v>449</v>
      </c>
      <c r="K884">
        <v>3</v>
      </c>
      <c r="L884" t="s">
        <v>3187</v>
      </c>
      <c r="M884" t="s">
        <v>31</v>
      </c>
      <c r="N884" t="s">
        <v>19</v>
      </c>
    </row>
    <row r="885" spans="1:14">
      <c r="A885" t="s">
        <v>3188</v>
      </c>
      <c r="B885" t="s">
        <v>3189</v>
      </c>
      <c r="C885">
        <v>2010</v>
      </c>
      <c r="D885" t="s">
        <v>3190</v>
      </c>
      <c r="G885">
        <v>5563410</v>
      </c>
      <c r="H885">
        <v>424</v>
      </c>
      <c r="I885">
        <v>427</v>
      </c>
      <c r="L885" t="s">
        <v>3191</v>
      </c>
      <c r="M885" t="s">
        <v>31</v>
      </c>
      <c r="N885" t="s">
        <v>19</v>
      </c>
    </row>
    <row r="886" spans="1:14">
      <c r="A886" t="s">
        <v>3192</v>
      </c>
      <c r="B886" t="s">
        <v>3193</v>
      </c>
      <c r="C886">
        <v>2010</v>
      </c>
      <c r="D886" t="s">
        <v>148</v>
      </c>
      <c r="E886">
        <v>55</v>
      </c>
      <c r="F886">
        <v>3</v>
      </c>
      <c r="H886">
        <v>1383</v>
      </c>
      <c r="I886">
        <v>1392</v>
      </c>
      <c r="K886">
        <v>11</v>
      </c>
      <c r="L886" t="s">
        <v>3194</v>
      </c>
      <c r="M886" t="s">
        <v>18</v>
      </c>
      <c r="N886" t="s">
        <v>19</v>
      </c>
    </row>
    <row r="887" spans="1:14">
      <c r="A887" t="s">
        <v>3195</v>
      </c>
      <c r="B887" t="s">
        <v>3196</v>
      </c>
      <c r="C887">
        <v>2010</v>
      </c>
      <c r="D887" t="s">
        <v>3197</v>
      </c>
      <c r="G887">
        <v>5576267</v>
      </c>
      <c r="H887">
        <v>55</v>
      </c>
      <c r="I887">
        <v>60</v>
      </c>
      <c r="L887" t="s">
        <v>3198</v>
      </c>
      <c r="M887" t="s">
        <v>31</v>
      </c>
      <c r="N887" t="s">
        <v>19</v>
      </c>
    </row>
    <row r="888" spans="1:14">
      <c r="A888" t="s">
        <v>3199</v>
      </c>
      <c r="B888" t="s">
        <v>3200</v>
      </c>
      <c r="C888">
        <v>2010</v>
      </c>
      <c r="D888" t="s">
        <v>3201</v>
      </c>
      <c r="E888">
        <v>12</v>
      </c>
      <c r="F888">
        <v>7</v>
      </c>
      <c r="H888">
        <v>1045</v>
      </c>
      <c r="I888">
        <v>1063</v>
      </c>
      <c r="L888" t="s">
        <v>3202</v>
      </c>
      <c r="M888" t="s">
        <v>18</v>
      </c>
      <c r="N888" t="s">
        <v>19</v>
      </c>
    </row>
    <row r="889" spans="1:14">
      <c r="A889" t="s">
        <v>3203</v>
      </c>
      <c r="B889" t="s">
        <v>3204</v>
      </c>
      <c r="C889">
        <v>2010</v>
      </c>
      <c r="D889" t="s">
        <v>3205</v>
      </c>
      <c r="E889">
        <v>3</v>
      </c>
      <c r="H889">
        <v>1425</v>
      </c>
      <c r="I889">
        <v>1430</v>
      </c>
      <c r="L889" t="s">
        <v>3206</v>
      </c>
      <c r="M889" t="s">
        <v>31</v>
      </c>
      <c r="N889" t="s">
        <v>19</v>
      </c>
    </row>
    <row r="890" spans="1:14">
      <c r="A890" t="s">
        <v>3207</v>
      </c>
      <c r="B890" t="s">
        <v>3208</v>
      </c>
      <c r="C890">
        <v>2010</v>
      </c>
      <c r="D890" t="s">
        <v>3209</v>
      </c>
      <c r="E890">
        <v>54</v>
      </c>
      <c r="F890">
        <v>6</v>
      </c>
      <c r="G890">
        <v>5643246</v>
      </c>
      <c r="K890">
        <v>1</v>
      </c>
      <c r="L890" t="s">
        <v>3210</v>
      </c>
      <c r="M890" t="s">
        <v>18</v>
      </c>
      <c r="N890" t="s">
        <v>19</v>
      </c>
    </row>
    <row r="891" spans="1:14">
      <c r="A891" t="s">
        <v>3211</v>
      </c>
      <c r="B891" t="s">
        <v>3212</v>
      </c>
      <c r="C891">
        <v>2010</v>
      </c>
      <c r="D891" t="s">
        <v>3213</v>
      </c>
      <c r="E891">
        <v>47</v>
      </c>
      <c r="L891" t="s">
        <v>3214</v>
      </c>
      <c r="M891" t="s">
        <v>31</v>
      </c>
      <c r="N891" t="s">
        <v>19</v>
      </c>
    </row>
    <row r="892" spans="1:14">
      <c r="A892" t="s">
        <v>3215</v>
      </c>
      <c r="B892" t="s">
        <v>3216</v>
      </c>
      <c r="C892">
        <v>2010</v>
      </c>
      <c r="D892" t="s">
        <v>104</v>
      </c>
      <c r="E892">
        <v>26</v>
      </c>
      <c r="F892">
        <v>6</v>
      </c>
      <c r="H892">
        <v>1772</v>
      </c>
      <c r="I892">
        <v>1776</v>
      </c>
      <c r="K892">
        <v>11</v>
      </c>
      <c r="L892" t="s">
        <v>3217</v>
      </c>
      <c r="M892" t="s">
        <v>18</v>
      </c>
      <c r="N892" t="s">
        <v>19</v>
      </c>
    </row>
    <row r="893" spans="1:14">
      <c r="A893" t="s">
        <v>416</v>
      </c>
      <c r="B893" t="s">
        <v>3218</v>
      </c>
      <c r="C893">
        <v>2010</v>
      </c>
      <c r="D893" t="s">
        <v>3219</v>
      </c>
      <c r="G893">
        <v>5563076</v>
      </c>
      <c r="H893">
        <v>397</v>
      </c>
      <c r="I893">
        <v>399</v>
      </c>
      <c r="L893" t="s">
        <v>3220</v>
      </c>
      <c r="M893" t="s">
        <v>31</v>
      </c>
      <c r="N893" t="s">
        <v>19</v>
      </c>
    </row>
    <row r="894" spans="1:14">
      <c r="A894" t="s">
        <v>3221</v>
      </c>
      <c r="B894" t="s">
        <v>3222</v>
      </c>
      <c r="C894">
        <v>2010</v>
      </c>
      <c r="D894" t="s">
        <v>3219</v>
      </c>
      <c r="G894">
        <v>5563067</v>
      </c>
      <c r="H894">
        <v>414</v>
      </c>
      <c r="I894">
        <v>415</v>
      </c>
      <c r="L894" t="s">
        <v>3223</v>
      </c>
      <c r="M894" t="s">
        <v>31</v>
      </c>
      <c r="N894" t="s">
        <v>19</v>
      </c>
    </row>
    <row r="895" spans="1:14">
      <c r="A895" t="s">
        <v>3224</v>
      </c>
      <c r="B895" t="s">
        <v>3225</v>
      </c>
      <c r="C895">
        <v>2010</v>
      </c>
      <c r="D895" t="s">
        <v>3219</v>
      </c>
      <c r="G895">
        <v>5562770</v>
      </c>
      <c r="H895">
        <v>217</v>
      </c>
      <c r="I895">
        <v>224</v>
      </c>
      <c r="K895">
        <v>1</v>
      </c>
      <c r="L895" t="s">
        <v>3226</v>
      </c>
      <c r="M895" t="s">
        <v>31</v>
      </c>
      <c r="N895" t="s">
        <v>19</v>
      </c>
    </row>
    <row r="896" spans="1:14">
      <c r="A896" t="s">
        <v>570</v>
      </c>
      <c r="B896" t="s">
        <v>3227</v>
      </c>
      <c r="C896">
        <v>2010</v>
      </c>
      <c r="D896" t="s">
        <v>3219</v>
      </c>
      <c r="G896">
        <v>5562777</v>
      </c>
      <c r="H896">
        <v>144</v>
      </c>
      <c r="I896">
        <v>151</v>
      </c>
      <c r="K896">
        <v>1</v>
      </c>
      <c r="L896" t="s">
        <v>3228</v>
      </c>
      <c r="M896" t="s">
        <v>31</v>
      </c>
      <c r="N896" t="s">
        <v>19</v>
      </c>
    </row>
    <row r="897" spans="1:14">
      <c r="A897" t="s">
        <v>3229</v>
      </c>
      <c r="B897" t="s">
        <v>3230</v>
      </c>
      <c r="C897">
        <v>2010</v>
      </c>
      <c r="D897" t="s">
        <v>3219</v>
      </c>
      <c r="G897">
        <v>5562790</v>
      </c>
      <c r="H897">
        <v>56</v>
      </c>
      <c r="I897">
        <v>63</v>
      </c>
      <c r="L897" t="s">
        <v>3231</v>
      </c>
      <c r="M897" t="s">
        <v>31</v>
      </c>
      <c r="N897" t="s">
        <v>19</v>
      </c>
    </row>
    <row r="898" spans="1:14">
      <c r="A898" t="s">
        <v>3232</v>
      </c>
      <c r="B898" t="s">
        <v>3233</v>
      </c>
      <c r="C898">
        <v>2010</v>
      </c>
      <c r="D898" t="s">
        <v>3219</v>
      </c>
      <c r="G898">
        <v>5562776</v>
      </c>
      <c r="H898">
        <v>168</v>
      </c>
      <c r="I898">
        <v>175</v>
      </c>
      <c r="K898">
        <v>3</v>
      </c>
      <c r="L898" t="s">
        <v>3234</v>
      </c>
      <c r="M898" t="s">
        <v>31</v>
      </c>
      <c r="N898" t="s">
        <v>19</v>
      </c>
    </row>
    <row r="899" spans="1:14">
      <c r="A899" t="s">
        <v>3092</v>
      </c>
      <c r="B899" t="s">
        <v>3235</v>
      </c>
      <c r="C899">
        <v>2010</v>
      </c>
      <c r="D899" t="s">
        <v>3219</v>
      </c>
      <c r="G899">
        <v>5563074</v>
      </c>
      <c r="H899">
        <v>402</v>
      </c>
      <c r="I899">
        <v>403</v>
      </c>
      <c r="L899" t="s">
        <v>3236</v>
      </c>
      <c r="M899" t="s">
        <v>31</v>
      </c>
      <c r="N899" t="s">
        <v>19</v>
      </c>
    </row>
    <row r="900" spans="1:14">
      <c r="A900" t="s">
        <v>3237</v>
      </c>
      <c r="B900" t="s">
        <v>3238</v>
      </c>
      <c r="C900">
        <v>2010</v>
      </c>
      <c r="D900" t="s">
        <v>3219</v>
      </c>
      <c r="G900">
        <v>5562745</v>
      </c>
      <c r="H900">
        <v>351</v>
      </c>
      <c r="I900">
        <v>355</v>
      </c>
      <c r="L900" t="s">
        <v>3239</v>
      </c>
      <c r="M900" t="s">
        <v>31</v>
      </c>
      <c r="N900" t="s">
        <v>19</v>
      </c>
    </row>
    <row r="901" spans="1:14">
      <c r="A901" t="s">
        <v>3240</v>
      </c>
      <c r="B901" t="s">
        <v>3241</v>
      </c>
      <c r="C901">
        <v>2010</v>
      </c>
      <c r="D901" t="s">
        <v>3242</v>
      </c>
      <c r="E901">
        <v>33</v>
      </c>
      <c r="F901">
        <v>5</v>
      </c>
      <c r="H901">
        <v>737</v>
      </c>
      <c r="I901">
        <v>750</v>
      </c>
      <c r="L901" t="s">
        <v>3243</v>
      </c>
      <c r="M901" t="s">
        <v>18</v>
      </c>
      <c r="N901" t="s">
        <v>19</v>
      </c>
    </row>
    <row r="902" spans="1:14">
      <c r="A902" t="s">
        <v>3244</v>
      </c>
      <c r="B902" t="s">
        <v>3245</v>
      </c>
      <c r="C902">
        <v>2010</v>
      </c>
      <c r="D902" t="s">
        <v>3246</v>
      </c>
      <c r="G902">
        <v>3</v>
      </c>
      <c r="K902">
        <v>1</v>
      </c>
      <c r="L902" t="s">
        <v>3247</v>
      </c>
      <c r="M902" t="s">
        <v>31</v>
      </c>
      <c r="N902" t="s">
        <v>19</v>
      </c>
    </row>
    <row r="903" spans="1:14">
      <c r="A903" t="s">
        <v>3248</v>
      </c>
      <c r="B903" t="s">
        <v>3249</v>
      </c>
      <c r="C903">
        <v>2010</v>
      </c>
      <c r="D903" t="s">
        <v>3250</v>
      </c>
      <c r="G903">
        <v>5557271</v>
      </c>
      <c r="H903">
        <v>506</v>
      </c>
      <c r="I903">
        <v>513</v>
      </c>
      <c r="K903">
        <v>3</v>
      </c>
      <c r="L903" t="s">
        <v>3251</v>
      </c>
      <c r="M903" t="s">
        <v>31</v>
      </c>
      <c r="N903" t="s">
        <v>19</v>
      </c>
    </row>
    <row r="904" spans="1:14">
      <c r="A904" t="s">
        <v>230</v>
      </c>
      <c r="B904" t="s">
        <v>3250</v>
      </c>
      <c r="C904">
        <v>2010</v>
      </c>
      <c r="D904" t="s">
        <v>3250</v>
      </c>
      <c r="L904" t="s">
        <v>3252</v>
      </c>
      <c r="M904" t="s">
        <v>233</v>
      </c>
      <c r="N904" t="s">
        <v>19</v>
      </c>
    </row>
    <row r="905" spans="1:14">
      <c r="A905" t="s">
        <v>3253</v>
      </c>
      <c r="B905" t="s">
        <v>3254</v>
      </c>
      <c r="C905">
        <v>2010</v>
      </c>
      <c r="D905" t="s">
        <v>3255</v>
      </c>
      <c r="G905">
        <v>5552408</v>
      </c>
      <c r="H905">
        <v>217</v>
      </c>
      <c r="I905">
        <v>220</v>
      </c>
      <c r="K905">
        <v>2</v>
      </c>
      <c r="L905" t="s">
        <v>3256</v>
      </c>
      <c r="M905" t="s">
        <v>31</v>
      </c>
      <c r="N905" t="s">
        <v>19</v>
      </c>
    </row>
    <row r="906" spans="1:14">
      <c r="A906" t="s">
        <v>3257</v>
      </c>
      <c r="B906" t="s">
        <v>3258</v>
      </c>
      <c r="C906">
        <v>2010</v>
      </c>
      <c r="D906" t="s">
        <v>3259</v>
      </c>
      <c r="G906">
        <v>5541566</v>
      </c>
      <c r="H906">
        <v>218</v>
      </c>
      <c r="I906">
        <v>223</v>
      </c>
      <c r="K906">
        <v>1</v>
      </c>
      <c r="L906" t="s">
        <v>3260</v>
      </c>
      <c r="M906" t="s">
        <v>31</v>
      </c>
      <c r="N906" t="s">
        <v>19</v>
      </c>
    </row>
    <row r="907" spans="1:14">
      <c r="A907" t="s">
        <v>3261</v>
      </c>
      <c r="B907" t="s">
        <v>3262</v>
      </c>
      <c r="C907">
        <v>2010</v>
      </c>
      <c r="D907" t="s">
        <v>3263</v>
      </c>
      <c r="E907">
        <v>3</v>
      </c>
      <c r="G907">
        <v>5553272</v>
      </c>
      <c r="H907">
        <v>128</v>
      </c>
      <c r="I907">
        <v>132</v>
      </c>
      <c r="L907" t="s">
        <v>3264</v>
      </c>
      <c r="M907" t="s">
        <v>31</v>
      </c>
      <c r="N907" t="s">
        <v>19</v>
      </c>
    </row>
    <row r="908" spans="1:14">
      <c r="A908" t="s">
        <v>1068</v>
      </c>
      <c r="B908" t="s">
        <v>3265</v>
      </c>
      <c r="C908">
        <v>2010</v>
      </c>
      <c r="D908" t="s">
        <v>2698</v>
      </c>
      <c r="E908">
        <v>32</v>
      </c>
      <c r="F908">
        <v>4</v>
      </c>
      <c r="H908">
        <v>313</v>
      </c>
      <c r="I908">
        <v>329</v>
      </c>
      <c r="K908">
        <v>23</v>
      </c>
      <c r="L908" t="s">
        <v>3266</v>
      </c>
      <c r="M908" t="s">
        <v>18</v>
      </c>
      <c r="N908" t="s">
        <v>19</v>
      </c>
    </row>
    <row r="909" spans="1:14">
      <c r="A909" t="s">
        <v>3267</v>
      </c>
      <c r="B909" t="s">
        <v>3268</v>
      </c>
      <c r="C909">
        <v>2010</v>
      </c>
      <c r="D909" t="s">
        <v>2724</v>
      </c>
      <c r="E909">
        <v>36</v>
      </c>
      <c r="F909">
        <v>5</v>
      </c>
      <c r="H909">
        <v>585</v>
      </c>
      <c r="I909">
        <v>602</v>
      </c>
      <c r="K909">
        <v>1</v>
      </c>
      <c r="L909" t="s">
        <v>3269</v>
      </c>
      <c r="M909" t="s">
        <v>18</v>
      </c>
      <c r="N909" t="s">
        <v>19</v>
      </c>
    </row>
    <row r="910" spans="1:14">
      <c r="A910" t="s">
        <v>3270</v>
      </c>
      <c r="B910" t="s">
        <v>3271</v>
      </c>
      <c r="C910">
        <v>2010</v>
      </c>
      <c r="D910" t="s">
        <v>3272</v>
      </c>
      <c r="G910">
        <v>5544484</v>
      </c>
      <c r="H910">
        <v>124</v>
      </c>
      <c r="I910">
        <v>131</v>
      </c>
      <c r="L910" t="s">
        <v>3273</v>
      </c>
      <c r="M910" t="s">
        <v>31</v>
      </c>
      <c r="N910" t="s">
        <v>19</v>
      </c>
    </row>
    <row r="911" spans="1:14">
      <c r="A911" t="s">
        <v>3274</v>
      </c>
      <c r="B911" t="s">
        <v>3275</v>
      </c>
      <c r="C911">
        <v>2010</v>
      </c>
      <c r="D911" t="s">
        <v>213</v>
      </c>
      <c r="E911">
        <v>471</v>
      </c>
      <c r="H911">
        <v>382</v>
      </c>
      <c r="I911">
        <v>387</v>
      </c>
      <c r="L911" t="s">
        <v>3276</v>
      </c>
      <c r="M911" t="s">
        <v>31</v>
      </c>
      <c r="N911" t="s">
        <v>19</v>
      </c>
    </row>
    <row r="912" spans="1:14">
      <c r="A912" t="s">
        <v>3277</v>
      </c>
      <c r="B912" t="s">
        <v>3278</v>
      </c>
      <c r="C912">
        <v>2010</v>
      </c>
      <c r="D912" t="s">
        <v>3279</v>
      </c>
      <c r="G912">
        <v>5533197</v>
      </c>
      <c r="H912">
        <v>345</v>
      </c>
      <c r="I912">
        <v>347</v>
      </c>
      <c r="L912" t="s">
        <v>3280</v>
      </c>
      <c r="M912" t="s">
        <v>31</v>
      </c>
      <c r="N912" t="s">
        <v>19</v>
      </c>
    </row>
    <row r="913" spans="1:14">
      <c r="A913" t="s">
        <v>3281</v>
      </c>
      <c r="B913" t="s">
        <v>3282</v>
      </c>
      <c r="C913">
        <v>2010</v>
      </c>
      <c r="D913" t="s">
        <v>3283</v>
      </c>
      <c r="E913">
        <v>3</v>
      </c>
      <c r="G913">
        <v>5529609</v>
      </c>
      <c r="H913" t="s">
        <v>3284</v>
      </c>
      <c r="I913" t="s">
        <v>3285</v>
      </c>
      <c r="K913">
        <v>1</v>
      </c>
      <c r="L913" t="s">
        <v>3286</v>
      </c>
      <c r="M913" t="s">
        <v>31</v>
      </c>
      <c r="N913" t="s">
        <v>19</v>
      </c>
    </row>
    <row r="914" spans="1:14">
      <c r="A914" t="s">
        <v>3287</v>
      </c>
      <c r="B914" t="s">
        <v>3288</v>
      </c>
      <c r="C914">
        <v>2010</v>
      </c>
      <c r="D914" t="s">
        <v>3283</v>
      </c>
      <c r="E914">
        <v>1</v>
      </c>
      <c r="G914">
        <v>5529264</v>
      </c>
      <c r="H914" t="s">
        <v>3289</v>
      </c>
      <c r="I914" t="s">
        <v>3290</v>
      </c>
      <c r="K914">
        <v>1</v>
      </c>
      <c r="L914" t="s">
        <v>3291</v>
      </c>
      <c r="M914" t="s">
        <v>31</v>
      </c>
      <c r="N914" t="s">
        <v>19</v>
      </c>
    </row>
    <row r="915" spans="1:14">
      <c r="A915" t="s">
        <v>3292</v>
      </c>
      <c r="B915" t="s">
        <v>3293</v>
      </c>
      <c r="C915">
        <v>2010</v>
      </c>
      <c r="D915" t="s">
        <v>140</v>
      </c>
      <c r="E915">
        <v>41</v>
      </c>
      <c r="F915">
        <v>5</v>
      </c>
      <c r="H915">
        <v>736</v>
      </c>
      <c r="I915">
        <v>752</v>
      </c>
      <c r="K915">
        <v>15</v>
      </c>
      <c r="L915" t="s">
        <v>3294</v>
      </c>
      <c r="M915" t="s">
        <v>18</v>
      </c>
      <c r="N915" t="s">
        <v>19</v>
      </c>
    </row>
    <row r="916" spans="1:14">
      <c r="A916" t="s">
        <v>3295</v>
      </c>
      <c r="B916" t="s">
        <v>3296</v>
      </c>
      <c r="C916">
        <v>2010</v>
      </c>
      <c r="D916" t="s">
        <v>3297</v>
      </c>
      <c r="E916">
        <v>68</v>
      </c>
      <c r="F916">
        <v>9</v>
      </c>
      <c r="H916">
        <v>589</v>
      </c>
      <c r="I916">
        <v>602</v>
      </c>
      <c r="K916">
        <v>6</v>
      </c>
      <c r="L916" t="s">
        <v>3298</v>
      </c>
      <c r="M916" t="s">
        <v>624</v>
      </c>
      <c r="N916" t="s">
        <v>19</v>
      </c>
    </row>
    <row r="917" spans="1:14">
      <c r="A917" t="s">
        <v>3299</v>
      </c>
      <c r="B917" t="s">
        <v>3300</v>
      </c>
      <c r="C917">
        <v>2010</v>
      </c>
      <c r="D917" t="s">
        <v>646</v>
      </c>
      <c r="E917">
        <v>21</v>
      </c>
      <c r="F917">
        <v>2</v>
      </c>
      <c r="H917">
        <v>224</v>
      </c>
      <c r="I917">
        <v>240</v>
      </c>
      <c r="K917">
        <v>9</v>
      </c>
      <c r="L917" t="s">
        <v>3301</v>
      </c>
      <c r="M917" t="s">
        <v>31</v>
      </c>
      <c r="N917" t="s">
        <v>19</v>
      </c>
    </row>
    <row r="918" spans="1:14">
      <c r="A918" t="s">
        <v>3302</v>
      </c>
      <c r="B918" t="s">
        <v>3303</v>
      </c>
      <c r="C918">
        <v>2010</v>
      </c>
      <c r="D918" t="s">
        <v>3304</v>
      </c>
      <c r="E918">
        <v>43</v>
      </c>
      <c r="F918">
        <v>9</v>
      </c>
      <c r="G918">
        <v>5569056</v>
      </c>
      <c r="H918">
        <v>54</v>
      </c>
      <c r="I918">
        <v>61</v>
      </c>
      <c r="K918">
        <v>18</v>
      </c>
      <c r="L918" t="s">
        <v>3305</v>
      </c>
      <c r="M918" t="s">
        <v>18</v>
      </c>
      <c r="N918" t="s">
        <v>19</v>
      </c>
    </row>
    <row r="919" spans="1:14">
      <c r="A919" t="s">
        <v>3306</v>
      </c>
      <c r="B919" t="s">
        <v>3307</v>
      </c>
      <c r="C919">
        <v>2010</v>
      </c>
      <c r="D919" t="s">
        <v>3308</v>
      </c>
      <c r="G919">
        <v>1832806</v>
      </c>
      <c r="L919" t="s">
        <v>3309</v>
      </c>
      <c r="M919" t="s">
        <v>31</v>
      </c>
      <c r="N919" t="s">
        <v>19</v>
      </c>
    </row>
    <row r="920" spans="1:14">
      <c r="A920" t="s">
        <v>3310</v>
      </c>
      <c r="B920" t="s">
        <v>3311</v>
      </c>
      <c r="C920">
        <v>2010</v>
      </c>
      <c r="D920" t="s">
        <v>3312</v>
      </c>
      <c r="G920">
        <v>5501668</v>
      </c>
      <c r="H920">
        <v>580</v>
      </c>
      <c r="I920">
        <v>585</v>
      </c>
      <c r="K920">
        <v>1</v>
      </c>
      <c r="L920" t="s">
        <v>3313</v>
      </c>
      <c r="M920" t="s">
        <v>31</v>
      </c>
      <c r="N920" t="s">
        <v>19</v>
      </c>
    </row>
    <row r="921" spans="1:14">
      <c r="A921" t="s">
        <v>3314</v>
      </c>
      <c r="B921" t="s">
        <v>3315</v>
      </c>
      <c r="C921">
        <v>2010</v>
      </c>
      <c r="D921" t="s">
        <v>55</v>
      </c>
      <c r="E921" t="s">
        <v>3316</v>
      </c>
      <c r="H921">
        <v>115</v>
      </c>
      <c r="I921">
        <v>126</v>
      </c>
      <c r="L921" t="s">
        <v>3317</v>
      </c>
      <c r="M921" t="s">
        <v>31</v>
      </c>
      <c r="N921" t="s">
        <v>19</v>
      </c>
    </row>
    <row r="922" spans="1:14">
      <c r="A922" t="s">
        <v>3318</v>
      </c>
      <c r="B922" t="s">
        <v>3319</v>
      </c>
      <c r="C922">
        <v>2010</v>
      </c>
      <c r="D922" t="s">
        <v>3320</v>
      </c>
      <c r="E922">
        <v>2</v>
      </c>
      <c r="F922">
        <v>4</v>
      </c>
      <c r="H922">
        <v>6441</v>
      </c>
      <c r="I922">
        <v>6456</v>
      </c>
      <c r="K922">
        <v>4</v>
      </c>
      <c r="L922" t="s">
        <v>3321</v>
      </c>
      <c r="M922" t="s">
        <v>31</v>
      </c>
      <c r="N922" t="s">
        <v>19</v>
      </c>
    </row>
    <row r="923" spans="1:14">
      <c r="A923" t="s">
        <v>3322</v>
      </c>
      <c r="B923" t="s">
        <v>3323</v>
      </c>
      <c r="C923">
        <v>2010</v>
      </c>
      <c r="D923" t="s">
        <v>3320</v>
      </c>
      <c r="E923">
        <v>2</v>
      </c>
      <c r="F923">
        <v>4</v>
      </c>
      <c r="H923">
        <v>6561</v>
      </c>
      <c r="I923">
        <v>6570</v>
      </c>
      <c r="K923">
        <v>1</v>
      </c>
      <c r="L923" t="s">
        <v>3324</v>
      </c>
      <c r="M923" t="s">
        <v>31</v>
      </c>
      <c r="N923" t="s">
        <v>19</v>
      </c>
    </row>
    <row r="924" spans="1:14">
      <c r="A924" t="s">
        <v>3325</v>
      </c>
      <c r="B924" t="s">
        <v>3326</v>
      </c>
      <c r="C924">
        <v>2010</v>
      </c>
      <c r="D924" t="s">
        <v>2724</v>
      </c>
      <c r="E924">
        <v>36</v>
      </c>
      <c r="F924">
        <v>4</v>
      </c>
      <c r="H924">
        <v>443</v>
      </c>
      <c r="I924">
        <v>463</v>
      </c>
      <c r="K924">
        <v>3</v>
      </c>
      <c r="L924" t="s">
        <v>3327</v>
      </c>
      <c r="M924" t="s">
        <v>18</v>
      </c>
      <c r="N924" t="s">
        <v>19</v>
      </c>
    </row>
    <row r="925" spans="1:14">
      <c r="A925" t="s">
        <v>3328</v>
      </c>
      <c r="B925" t="s">
        <v>3329</v>
      </c>
      <c r="C925">
        <v>2010</v>
      </c>
      <c r="D925" t="s">
        <v>3304</v>
      </c>
      <c r="E925">
        <v>43</v>
      </c>
      <c r="F925">
        <v>8</v>
      </c>
      <c r="G925">
        <v>5551046</v>
      </c>
      <c r="H925">
        <v>45</v>
      </c>
      <c r="I925">
        <v>53</v>
      </c>
      <c r="K925">
        <v>12</v>
      </c>
      <c r="L925" t="s">
        <v>3330</v>
      </c>
      <c r="M925" t="s">
        <v>18</v>
      </c>
      <c r="N925" t="s">
        <v>19</v>
      </c>
    </row>
    <row r="926" spans="1:14">
      <c r="A926" t="s">
        <v>3331</v>
      </c>
      <c r="B926" t="s">
        <v>3332</v>
      </c>
      <c r="C926">
        <v>2010</v>
      </c>
      <c r="D926" t="s">
        <v>3333</v>
      </c>
      <c r="G926">
        <v>5503931</v>
      </c>
      <c r="L926" t="s">
        <v>3334</v>
      </c>
      <c r="M926" t="s">
        <v>31</v>
      </c>
      <c r="N926" t="s">
        <v>19</v>
      </c>
    </row>
    <row r="927" spans="1:14">
      <c r="A927" t="s">
        <v>3335</v>
      </c>
      <c r="B927" t="s">
        <v>3336</v>
      </c>
      <c r="C927">
        <v>2010</v>
      </c>
      <c r="D927" t="s">
        <v>3337</v>
      </c>
      <c r="H927">
        <v>279</v>
      </c>
      <c r="I927">
        <v>280</v>
      </c>
      <c r="L927" t="s">
        <v>3338</v>
      </c>
      <c r="M927" t="s">
        <v>31</v>
      </c>
      <c r="N927" t="s">
        <v>19</v>
      </c>
    </row>
    <row r="928" spans="1:14">
      <c r="A928" t="s">
        <v>3339</v>
      </c>
      <c r="B928" t="s">
        <v>3340</v>
      </c>
      <c r="C928">
        <v>2010</v>
      </c>
      <c r="D928" t="s">
        <v>55</v>
      </c>
      <c r="E928" t="s">
        <v>3341</v>
      </c>
      <c r="H928">
        <v>464</v>
      </c>
      <c r="I928">
        <v>475</v>
      </c>
      <c r="L928" t="s">
        <v>3342</v>
      </c>
      <c r="M928" t="s">
        <v>31</v>
      </c>
      <c r="N928" t="s">
        <v>19</v>
      </c>
    </row>
    <row r="929" spans="1:14">
      <c r="A929" t="s">
        <v>2774</v>
      </c>
      <c r="B929" t="s">
        <v>3343</v>
      </c>
      <c r="C929">
        <v>2010</v>
      </c>
      <c r="D929" t="s">
        <v>3344</v>
      </c>
      <c r="G929">
        <v>5484776</v>
      </c>
      <c r="H929">
        <v>49</v>
      </c>
      <c r="I929">
        <v>54</v>
      </c>
      <c r="L929" t="s">
        <v>3345</v>
      </c>
      <c r="M929" t="s">
        <v>31</v>
      </c>
      <c r="N929" t="s">
        <v>19</v>
      </c>
    </row>
    <row r="930" spans="1:14">
      <c r="A930" t="s">
        <v>3346</v>
      </c>
      <c r="B930" t="s">
        <v>3347</v>
      </c>
      <c r="C930">
        <v>2010</v>
      </c>
      <c r="D930" t="s">
        <v>2690</v>
      </c>
      <c r="H930">
        <v>75</v>
      </c>
      <c r="I930">
        <v>81</v>
      </c>
      <c r="K930">
        <v>1</v>
      </c>
      <c r="L930" t="s">
        <v>3348</v>
      </c>
      <c r="M930" t="s">
        <v>31</v>
      </c>
      <c r="N930" t="s">
        <v>19</v>
      </c>
    </row>
    <row r="931" spans="1:14">
      <c r="A931" t="s">
        <v>3349</v>
      </c>
      <c r="B931" t="s">
        <v>3350</v>
      </c>
      <c r="C931">
        <v>2010</v>
      </c>
      <c r="D931" t="s">
        <v>2690</v>
      </c>
      <c r="E931">
        <v>2</v>
      </c>
      <c r="H931">
        <v>239</v>
      </c>
      <c r="I931">
        <v>242</v>
      </c>
      <c r="K931">
        <v>6</v>
      </c>
      <c r="L931" t="s">
        <v>3351</v>
      </c>
      <c r="M931" t="s">
        <v>31</v>
      </c>
      <c r="N931" t="s">
        <v>19</v>
      </c>
    </row>
    <row r="932" spans="1:14">
      <c r="A932" t="s">
        <v>3352</v>
      </c>
      <c r="B932" t="s">
        <v>3353</v>
      </c>
      <c r="C932">
        <v>2010</v>
      </c>
      <c r="D932" t="s">
        <v>3354</v>
      </c>
      <c r="H932">
        <v>301</v>
      </c>
      <c r="I932">
        <v>310</v>
      </c>
      <c r="K932">
        <v>15</v>
      </c>
      <c r="L932" t="s">
        <v>3355</v>
      </c>
      <c r="M932" t="s">
        <v>31</v>
      </c>
      <c r="N932" t="s">
        <v>19</v>
      </c>
    </row>
    <row r="933" spans="1:14">
      <c r="A933" t="s">
        <v>3356</v>
      </c>
      <c r="B933" t="s">
        <v>3357</v>
      </c>
      <c r="C933">
        <v>2010</v>
      </c>
      <c r="D933" t="s">
        <v>3358</v>
      </c>
      <c r="G933">
        <v>1807490</v>
      </c>
      <c r="L933" t="s">
        <v>3359</v>
      </c>
      <c r="M933" t="s">
        <v>31</v>
      </c>
      <c r="N933" t="s">
        <v>19</v>
      </c>
    </row>
    <row r="934" spans="1:14">
      <c r="A934" t="s">
        <v>3360</v>
      </c>
      <c r="B934" t="s">
        <v>3361</v>
      </c>
      <c r="C934">
        <v>2010</v>
      </c>
      <c r="D934" t="s">
        <v>3354</v>
      </c>
      <c r="H934">
        <v>71</v>
      </c>
      <c r="I934">
        <v>80</v>
      </c>
      <c r="K934">
        <v>4</v>
      </c>
      <c r="L934" t="s">
        <v>3362</v>
      </c>
      <c r="M934" t="s">
        <v>31</v>
      </c>
      <c r="N934" t="s">
        <v>19</v>
      </c>
    </row>
    <row r="935" spans="1:14">
      <c r="A935" t="s">
        <v>3363</v>
      </c>
      <c r="B935" t="s">
        <v>3364</v>
      </c>
      <c r="C935">
        <v>2010</v>
      </c>
      <c r="D935" t="s">
        <v>55</v>
      </c>
      <c r="E935" t="s">
        <v>3365</v>
      </c>
      <c r="F935" t="s">
        <v>940</v>
      </c>
      <c r="H935">
        <v>282</v>
      </c>
      <c r="I935">
        <v>291</v>
      </c>
      <c r="L935" t="s">
        <v>3366</v>
      </c>
      <c r="M935" t="s">
        <v>31</v>
      </c>
      <c r="N935" t="s">
        <v>19</v>
      </c>
    </row>
    <row r="936" spans="1:14">
      <c r="A936" t="s">
        <v>3367</v>
      </c>
      <c r="B936" t="s">
        <v>3368</v>
      </c>
      <c r="C936">
        <v>2010</v>
      </c>
      <c r="D936" t="s">
        <v>1363</v>
      </c>
      <c r="E936">
        <v>3</v>
      </c>
      <c r="H936">
        <v>1753</v>
      </c>
      <c r="I936">
        <v>1756</v>
      </c>
      <c r="K936">
        <v>2</v>
      </c>
      <c r="L936" t="s">
        <v>3369</v>
      </c>
      <c r="M936" t="s">
        <v>31</v>
      </c>
      <c r="N936" t="s">
        <v>19</v>
      </c>
    </row>
    <row r="937" spans="1:14">
      <c r="A937" t="s">
        <v>3370</v>
      </c>
      <c r="B937" t="s">
        <v>3371</v>
      </c>
      <c r="C937">
        <v>2010</v>
      </c>
      <c r="D937" t="s">
        <v>2698</v>
      </c>
      <c r="E937">
        <v>32</v>
      </c>
      <c r="F937">
        <v>3</v>
      </c>
      <c r="H937">
        <v>180</v>
      </c>
      <c r="I937">
        <v>186</v>
      </c>
      <c r="K937">
        <v>3</v>
      </c>
      <c r="L937" t="s">
        <v>3372</v>
      </c>
      <c r="M937" t="s">
        <v>18</v>
      </c>
      <c r="N937" t="s">
        <v>19</v>
      </c>
    </row>
    <row r="938" spans="1:14">
      <c r="A938" t="s">
        <v>3373</v>
      </c>
      <c r="B938" t="s">
        <v>3374</v>
      </c>
      <c r="C938">
        <v>2010</v>
      </c>
      <c r="D938" t="s">
        <v>3375</v>
      </c>
      <c r="E938">
        <v>9</v>
      </c>
      <c r="F938">
        <v>3</v>
      </c>
      <c r="H938">
        <v>38</v>
      </c>
      <c r="I938">
        <v>51</v>
      </c>
      <c r="K938">
        <v>4</v>
      </c>
      <c r="L938" t="s">
        <v>3376</v>
      </c>
      <c r="M938" t="s">
        <v>18</v>
      </c>
      <c r="N938" t="s">
        <v>19</v>
      </c>
    </row>
    <row r="939" spans="1:14">
      <c r="A939" t="s">
        <v>3377</v>
      </c>
      <c r="B939" t="s">
        <v>3378</v>
      </c>
      <c r="C939">
        <v>2010</v>
      </c>
      <c r="D939" t="s">
        <v>1613</v>
      </c>
      <c r="E939">
        <v>13</v>
      </c>
      <c r="F939">
        <v>4</v>
      </c>
      <c r="H939">
        <v>592</v>
      </c>
      <c r="I939">
        <v>614</v>
      </c>
      <c r="K939">
        <v>1</v>
      </c>
      <c r="L939" t="s">
        <v>3379</v>
      </c>
      <c r="M939" t="s">
        <v>18</v>
      </c>
      <c r="N939" t="s">
        <v>19</v>
      </c>
    </row>
    <row r="940" spans="1:14">
      <c r="A940" t="s">
        <v>3380</v>
      </c>
      <c r="B940" t="s">
        <v>3381</v>
      </c>
      <c r="C940">
        <v>2010</v>
      </c>
      <c r="D940" t="s">
        <v>1910</v>
      </c>
      <c r="E940">
        <v>11</v>
      </c>
      <c r="F940">
        <v>2</v>
      </c>
      <c r="H940">
        <v>69</v>
      </c>
      <c r="I940">
        <v>94</v>
      </c>
      <c r="K940">
        <v>6</v>
      </c>
      <c r="L940" t="s">
        <v>3382</v>
      </c>
      <c r="M940" t="s">
        <v>18</v>
      </c>
      <c r="N940" t="s">
        <v>19</v>
      </c>
    </row>
    <row r="941" spans="1:14">
      <c r="A941" t="s">
        <v>3383</v>
      </c>
      <c r="B941" t="s">
        <v>3384</v>
      </c>
      <c r="C941">
        <v>2010</v>
      </c>
      <c r="D941" t="s">
        <v>1363</v>
      </c>
      <c r="H941">
        <v>4027</v>
      </c>
      <c r="I941">
        <v>4032</v>
      </c>
      <c r="L941" t="s">
        <v>3385</v>
      </c>
      <c r="M941" t="s">
        <v>31</v>
      </c>
      <c r="N941" t="s">
        <v>19</v>
      </c>
    </row>
    <row r="942" spans="1:14">
      <c r="A942" t="s">
        <v>3386</v>
      </c>
      <c r="B942" t="s">
        <v>3387</v>
      </c>
      <c r="C942">
        <v>2010</v>
      </c>
      <c r="D942" t="s">
        <v>3388</v>
      </c>
      <c r="E942">
        <v>79</v>
      </c>
      <c r="F942">
        <v>6</v>
      </c>
      <c r="H942" t="s">
        <v>3389</v>
      </c>
      <c r="I942" t="s">
        <v>3390</v>
      </c>
      <c r="K942">
        <v>15</v>
      </c>
      <c r="L942" t="s">
        <v>3391</v>
      </c>
      <c r="M942" t="s">
        <v>18</v>
      </c>
      <c r="N942" t="s">
        <v>19</v>
      </c>
    </row>
    <row r="943" spans="1:14">
      <c r="A943" t="s">
        <v>3392</v>
      </c>
      <c r="B943" t="s">
        <v>3393</v>
      </c>
      <c r="C943">
        <v>2010</v>
      </c>
      <c r="D943" t="s">
        <v>3394</v>
      </c>
      <c r="E943">
        <v>29</v>
      </c>
      <c r="F943">
        <v>3</v>
      </c>
      <c r="H943">
        <v>863</v>
      </c>
      <c r="I943">
        <v>872</v>
      </c>
      <c r="K943">
        <v>12</v>
      </c>
      <c r="L943" t="s">
        <v>3395</v>
      </c>
      <c r="M943" t="s">
        <v>18</v>
      </c>
      <c r="N943" t="s">
        <v>19</v>
      </c>
    </row>
    <row r="944" spans="1:14">
      <c r="A944" t="s">
        <v>3396</v>
      </c>
      <c r="B944" t="s">
        <v>3397</v>
      </c>
      <c r="C944">
        <v>2010</v>
      </c>
      <c r="D944" t="s">
        <v>3398</v>
      </c>
      <c r="E944">
        <v>2</v>
      </c>
      <c r="G944">
        <v>5445681</v>
      </c>
      <c r="H944">
        <v>410</v>
      </c>
      <c r="I944">
        <v>414</v>
      </c>
      <c r="K944">
        <v>4</v>
      </c>
      <c r="L944" t="s">
        <v>3399</v>
      </c>
      <c r="M944" t="s">
        <v>31</v>
      </c>
      <c r="N944" t="s">
        <v>19</v>
      </c>
    </row>
    <row r="945" spans="1:14">
      <c r="A945" t="s">
        <v>3400</v>
      </c>
      <c r="B945" t="s">
        <v>3401</v>
      </c>
      <c r="C945">
        <v>2010</v>
      </c>
      <c r="D945" t="s">
        <v>3402</v>
      </c>
      <c r="G945">
        <v>5452566</v>
      </c>
      <c r="H945">
        <v>167</v>
      </c>
      <c r="I945">
        <v>175</v>
      </c>
      <c r="L945" t="s">
        <v>3403</v>
      </c>
      <c r="M945" t="s">
        <v>31</v>
      </c>
      <c r="N945" t="s">
        <v>19</v>
      </c>
    </row>
    <row r="946" spans="1:14">
      <c r="A946" t="s">
        <v>3404</v>
      </c>
      <c r="B946" t="s">
        <v>3405</v>
      </c>
      <c r="C946">
        <v>2010</v>
      </c>
      <c r="D946" t="s">
        <v>3406</v>
      </c>
      <c r="E946">
        <v>288</v>
      </c>
      <c r="H946">
        <v>91</v>
      </c>
      <c r="I946">
        <v>106</v>
      </c>
      <c r="L946" t="s">
        <v>3407</v>
      </c>
      <c r="M946" t="s">
        <v>18</v>
      </c>
      <c r="N946" t="s">
        <v>19</v>
      </c>
    </row>
    <row r="947" spans="1:14">
      <c r="A947" t="s">
        <v>3408</v>
      </c>
      <c r="B947" t="s">
        <v>3409</v>
      </c>
      <c r="C947">
        <v>2010</v>
      </c>
      <c r="D947" t="s">
        <v>1109</v>
      </c>
      <c r="G947">
        <v>5452713</v>
      </c>
      <c r="H947">
        <v>278</v>
      </c>
      <c r="I947">
        <v>281</v>
      </c>
      <c r="K947">
        <v>1</v>
      </c>
      <c r="L947" t="s">
        <v>3410</v>
      </c>
      <c r="M947" t="s">
        <v>31</v>
      </c>
      <c r="N947" t="s">
        <v>19</v>
      </c>
    </row>
    <row r="948" spans="1:14">
      <c r="A948" t="s">
        <v>3411</v>
      </c>
      <c r="B948" t="s">
        <v>3412</v>
      </c>
      <c r="C948">
        <v>2010</v>
      </c>
      <c r="D948" t="s">
        <v>3413</v>
      </c>
      <c r="G948">
        <v>5432810</v>
      </c>
      <c r="H948">
        <v>124</v>
      </c>
      <c r="I948">
        <v>129</v>
      </c>
      <c r="K948">
        <v>1</v>
      </c>
      <c r="L948" t="s">
        <v>3414</v>
      </c>
      <c r="M948" t="s">
        <v>31</v>
      </c>
      <c r="N948" t="s">
        <v>19</v>
      </c>
    </row>
    <row r="949" spans="1:14">
      <c r="A949" t="s">
        <v>3415</v>
      </c>
      <c r="B949" t="s">
        <v>3416</v>
      </c>
      <c r="C949">
        <v>2010</v>
      </c>
      <c r="D949" t="s">
        <v>1903</v>
      </c>
      <c r="G949">
        <v>5428441</v>
      </c>
      <c r="K949">
        <v>1</v>
      </c>
      <c r="L949" t="s">
        <v>3417</v>
      </c>
      <c r="M949" t="s">
        <v>31</v>
      </c>
      <c r="N949" t="s">
        <v>19</v>
      </c>
    </row>
    <row r="950" spans="1:14">
      <c r="A950" t="s">
        <v>3418</v>
      </c>
      <c r="B950" t="s">
        <v>3419</v>
      </c>
      <c r="C950">
        <v>2010</v>
      </c>
      <c r="D950" t="s">
        <v>1903</v>
      </c>
      <c r="G950">
        <v>5428684</v>
      </c>
      <c r="L950" t="s">
        <v>3420</v>
      </c>
      <c r="M950" t="s">
        <v>31</v>
      </c>
      <c r="N950" t="s">
        <v>19</v>
      </c>
    </row>
    <row r="951" spans="1:14">
      <c r="A951" t="s">
        <v>3421</v>
      </c>
      <c r="B951" t="s">
        <v>3422</v>
      </c>
      <c r="C951">
        <v>2010</v>
      </c>
      <c r="D951" t="s">
        <v>3423</v>
      </c>
      <c r="E951">
        <v>65</v>
      </c>
      <c r="H951">
        <v>845</v>
      </c>
      <c r="I951">
        <v>850</v>
      </c>
      <c r="L951" t="s">
        <v>3424</v>
      </c>
      <c r="M951" t="s">
        <v>18</v>
      </c>
      <c r="N951" t="s">
        <v>19</v>
      </c>
    </row>
    <row r="952" spans="1:14">
      <c r="A952" t="s">
        <v>3425</v>
      </c>
      <c r="B952" t="s">
        <v>3426</v>
      </c>
      <c r="C952">
        <v>2010</v>
      </c>
      <c r="D952" t="s">
        <v>3423</v>
      </c>
      <c r="E952">
        <v>65</v>
      </c>
      <c r="H952">
        <v>271</v>
      </c>
      <c r="I952">
        <v>278</v>
      </c>
      <c r="L952" t="s">
        <v>3427</v>
      </c>
      <c r="M952" t="s">
        <v>18</v>
      </c>
      <c r="N952" t="s">
        <v>19</v>
      </c>
    </row>
    <row r="953" spans="1:14">
      <c r="A953" t="s">
        <v>3428</v>
      </c>
      <c r="B953" t="s">
        <v>3429</v>
      </c>
      <c r="C953">
        <v>2010</v>
      </c>
      <c r="D953" t="s">
        <v>140</v>
      </c>
      <c r="E953">
        <v>41</v>
      </c>
      <c r="F953">
        <v>3</v>
      </c>
      <c r="H953">
        <v>365</v>
      </c>
      <c r="I953">
        <v>387</v>
      </c>
      <c r="K953">
        <v>1</v>
      </c>
      <c r="L953" t="s">
        <v>3430</v>
      </c>
      <c r="M953" t="s">
        <v>18</v>
      </c>
      <c r="N953" t="s">
        <v>19</v>
      </c>
    </row>
    <row r="954" spans="1:14">
      <c r="A954" t="s">
        <v>3431</v>
      </c>
      <c r="B954" t="s">
        <v>3432</v>
      </c>
      <c r="C954">
        <v>2010</v>
      </c>
      <c r="D954" t="s">
        <v>3433</v>
      </c>
      <c r="H954">
        <v>33</v>
      </c>
      <c r="I954">
        <v>41</v>
      </c>
      <c r="K954">
        <v>4</v>
      </c>
      <c r="L954" t="s">
        <v>3434</v>
      </c>
      <c r="M954" t="s">
        <v>31</v>
      </c>
      <c r="N954" t="s">
        <v>19</v>
      </c>
    </row>
    <row r="955" spans="1:14">
      <c r="A955" t="s">
        <v>3435</v>
      </c>
      <c r="B955" t="s">
        <v>3436</v>
      </c>
      <c r="C955">
        <v>2010</v>
      </c>
      <c r="D955" t="s">
        <v>3437</v>
      </c>
      <c r="E955">
        <v>22</v>
      </c>
      <c r="F955">
        <v>3</v>
      </c>
      <c r="H955">
        <v>335</v>
      </c>
      <c r="I955">
        <v>359</v>
      </c>
      <c r="K955">
        <v>4</v>
      </c>
      <c r="L955" t="s">
        <v>3438</v>
      </c>
      <c r="M955" t="s">
        <v>18</v>
      </c>
      <c r="N955" t="s">
        <v>19</v>
      </c>
    </row>
    <row r="956" spans="1:14">
      <c r="A956" t="s">
        <v>3439</v>
      </c>
      <c r="B956" t="s">
        <v>3440</v>
      </c>
      <c r="C956">
        <v>2010</v>
      </c>
      <c r="D956" t="s">
        <v>1577</v>
      </c>
      <c r="H956">
        <v>23</v>
      </c>
      <c r="I956">
        <v>26</v>
      </c>
      <c r="K956">
        <v>2</v>
      </c>
      <c r="L956" t="s">
        <v>3441</v>
      </c>
      <c r="M956" t="s">
        <v>31</v>
      </c>
      <c r="N956" t="s">
        <v>19</v>
      </c>
    </row>
    <row r="957" spans="1:14">
      <c r="A957" t="s">
        <v>3442</v>
      </c>
      <c r="B957" t="s">
        <v>3443</v>
      </c>
      <c r="C957">
        <v>2010</v>
      </c>
      <c r="D957" t="s">
        <v>3444</v>
      </c>
      <c r="E957">
        <v>33</v>
      </c>
      <c r="F957">
        <v>1</v>
      </c>
      <c r="H957">
        <v>55</v>
      </c>
      <c r="I957">
        <v>67</v>
      </c>
      <c r="L957" t="s">
        <v>3445</v>
      </c>
      <c r="M957" t="s">
        <v>18</v>
      </c>
      <c r="N957" t="s">
        <v>19</v>
      </c>
    </row>
    <row r="958" spans="1:14">
      <c r="A958" t="s">
        <v>3446</v>
      </c>
      <c r="B958" t="s">
        <v>3447</v>
      </c>
      <c r="C958">
        <v>2010</v>
      </c>
      <c r="D958" t="s">
        <v>1700</v>
      </c>
      <c r="E958">
        <v>15</v>
      </c>
      <c r="F958">
        <v>3</v>
      </c>
      <c r="H958">
        <v>447</v>
      </c>
      <c r="I958">
        <v>464</v>
      </c>
      <c r="K958">
        <v>2</v>
      </c>
      <c r="L958" t="s">
        <v>3448</v>
      </c>
      <c r="M958" t="s">
        <v>18</v>
      </c>
      <c r="N958" t="s">
        <v>19</v>
      </c>
    </row>
    <row r="959" spans="1:14">
      <c r="A959" t="s">
        <v>3449</v>
      </c>
      <c r="B959" t="s">
        <v>3450</v>
      </c>
      <c r="C959">
        <v>2010</v>
      </c>
      <c r="D959" t="s">
        <v>3451</v>
      </c>
      <c r="E959">
        <v>37</v>
      </c>
      <c r="F959">
        <v>1</v>
      </c>
      <c r="H959">
        <v>99</v>
      </c>
      <c r="I959">
        <v>111</v>
      </c>
      <c r="K959">
        <v>4</v>
      </c>
      <c r="L959" t="s">
        <v>3452</v>
      </c>
      <c r="M959" t="s">
        <v>18</v>
      </c>
      <c r="N959" t="s">
        <v>19</v>
      </c>
    </row>
    <row r="960" spans="1:14">
      <c r="A960" t="s">
        <v>3453</v>
      </c>
      <c r="B960" t="s">
        <v>3454</v>
      </c>
      <c r="C960">
        <v>2010</v>
      </c>
      <c r="D960" t="s">
        <v>3455</v>
      </c>
      <c r="E960">
        <v>5</v>
      </c>
      <c r="F960">
        <v>1</v>
      </c>
      <c r="H960">
        <v>4</v>
      </c>
      <c r="I960">
        <v>25</v>
      </c>
      <c r="K960">
        <v>7</v>
      </c>
      <c r="L960" t="s">
        <v>3456</v>
      </c>
      <c r="M960" t="s">
        <v>18</v>
      </c>
      <c r="N960" t="s">
        <v>19</v>
      </c>
    </row>
    <row r="961" spans="1:14">
      <c r="A961" t="s">
        <v>3457</v>
      </c>
      <c r="B961" t="s">
        <v>3458</v>
      </c>
      <c r="C961">
        <v>2010</v>
      </c>
      <c r="D961" t="s">
        <v>3459</v>
      </c>
      <c r="E961">
        <v>7</v>
      </c>
      <c r="F961">
        <v>2</v>
      </c>
      <c r="H961">
        <v>596</v>
      </c>
      <c r="I961">
        <v>615</v>
      </c>
      <c r="K961">
        <v>15</v>
      </c>
      <c r="L961" t="s">
        <v>3460</v>
      </c>
      <c r="M961" t="s">
        <v>18</v>
      </c>
      <c r="N961" t="s">
        <v>19</v>
      </c>
    </row>
    <row r="962" spans="1:14">
      <c r="A962" t="s">
        <v>3461</v>
      </c>
      <c r="B962" t="s">
        <v>3462</v>
      </c>
      <c r="C962">
        <v>2010</v>
      </c>
      <c r="D962" t="s">
        <v>3463</v>
      </c>
      <c r="E962">
        <v>13</v>
      </c>
      <c r="F962" s="1">
        <v>41306</v>
      </c>
      <c r="H962">
        <v>10</v>
      </c>
      <c r="I962">
        <v>21</v>
      </c>
      <c r="K962">
        <v>15</v>
      </c>
      <c r="L962" t="s">
        <v>3464</v>
      </c>
      <c r="M962" t="s">
        <v>18</v>
      </c>
      <c r="N962" t="s">
        <v>19</v>
      </c>
    </row>
    <row r="963" spans="1:14">
      <c r="A963" t="s">
        <v>3465</v>
      </c>
      <c r="B963" t="s">
        <v>3466</v>
      </c>
      <c r="C963">
        <v>2010</v>
      </c>
      <c r="D963" t="s">
        <v>3467</v>
      </c>
      <c r="E963">
        <v>91</v>
      </c>
      <c r="F963">
        <v>4</v>
      </c>
      <c r="H963">
        <v>599</v>
      </c>
      <c r="I963">
        <v>614</v>
      </c>
      <c r="K963">
        <v>11</v>
      </c>
      <c r="L963" t="s">
        <v>3468</v>
      </c>
      <c r="M963" t="s">
        <v>18</v>
      </c>
      <c r="N963" t="s">
        <v>19</v>
      </c>
    </row>
    <row r="964" spans="1:14">
      <c r="A964" t="s">
        <v>3469</v>
      </c>
      <c r="B964" t="s">
        <v>3470</v>
      </c>
      <c r="C964">
        <v>2010</v>
      </c>
      <c r="D964" t="s">
        <v>1335</v>
      </c>
      <c r="E964">
        <v>20</v>
      </c>
      <c r="F964">
        <v>1</v>
      </c>
      <c r="H964">
        <v>72</v>
      </c>
      <c r="I964">
        <v>86</v>
      </c>
      <c r="K964">
        <v>11</v>
      </c>
      <c r="L964" t="s">
        <v>3471</v>
      </c>
      <c r="M964" t="s">
        <v>18</v>
      </c>
      <c r="N964" t="s">
        <v>19</v>
      </c>
    </row>
    <row r="965" spans="1:14">
      <c r="A965" t="s">
        <v>2847</v>
      </c>
      <c r="B965" t="s">
        <v>3472</v>
      </c>
      <c r="C965">
        <v>2009</v>
      </c>
      <c r="D965" t="s">
        <v>3473</v>
      </c>
      <c r="G965">
        <v>5276708</v>
      </c>
      <c r="H965">
        <v>390</v>
      </c>
      <c r="I965">
        <v>395</v>
      </c>
      <c r="L965" t="s">
        <v>3474</v>
      </c>
      <c r="M965" t="s">
        <v>31</v>
      </c>
      <c r="N965" t="s">
        <v>19</v>
      </c>
    </row>
    <row r="966" spans="1:14">
      <c r="A966" t="s">
        <v>3475</v>
      </c>
      <c r="B966" t="s">
        <v>3476</v>
      </c>
      <c r="C966">
        <v>2009</v>
      </c>
      <c r="D966" t="s">
        <v>3477</v>
      </c>
      <c r="E966">
        <v>4</v>
      </c>
      <c r="G966">
        <v>5284145</v>
      </c>
      <c r="H966">
        <v>215</v>
      </c>
      <c r="I966">
        <v>222</v>
      </c>
      <c r="K966">
        <v>9</v>
      </c>
      <c r="L966" t="s">
        <v>3478</v>
      </c>
      <c r="M966" t="s">
        <v>31</v>
      </c>
      <c r="N966" t="s">
        <v>19</v>
      </c>
    </row>
    <row r="967" spans="1:14">
      <c r="A967" t="s">
        <v>3479</v>
      </c>
      <c r="B967" t="s">
        <v>3480</v>
      </c>
      <c r="C967">
        <v>2009</v>
      </c>
      <c r="D967" t="s">
        <v>3477</v>
      </c>
      <c r="E967">
        <v>4</v>
      </c>
      <c r="G967">
        <v>5284154</v>
      </c>
      <c r="H967">
        <v>423</v>
      </c>
      <c r="I967">
        <v>428</v>
      </c>
      <c r="K967">
        <v>5</v>
      </c>
      <c r="L967" t="s">
        <v>3481</v>
      </c>
      <c r="M967" t="s">
        <v>31</v>
      </c>
      <c r="N967" t="s">
        <v>19</v>
      </c>
    </row>
    <row r="968" spans="1:14">
      <c r="A968" t="s">
        <v>3482</v>
      </c>
      <c r="B968" t="s">
        <v>3483</v>
      </c>
      <c r="C968">
        <v>2009</v>
      </c>
      <c r="D968" t="s">
        <v>3484</v>
      </c>
      <c r="H968">
        <v>523</v>
      </c>
      <c r="I968">
        <v>531</v>
      </c>
      <c r="L968" t="s">
        <v>3485</v>
      </c>
      <c r="M968" t="s">
        <v>31</v>
      </c>
      <c r="N968" t="s">
        <v>19</v>
      </c>
    </row>
    <row r="969" spans="1:14">
      <c r="A969" t="s">
        <v>3281</v>
      </c>
      <c r="B969" t="s">
        <v>3486</v>
      </c>
      <c r="C969">
        <v>2009</v>
      </c>
      <c r="D969" t="s">
        <v>3487</v>
      </c>
      <c r="G969">
        <v>5364081</v>
      </c>
      <c r="H969">
        <v>872</v>
      </c>
      <c r="I969">
        <v>877</v>
      </c>
      <c r="K969">
        <v>1</v>
      </c>
      <c r="L969" t="s">
        <v>3488</v>
      </c>
      <c r="M969" t="s">
        <v>31</v>
      </c>
      <c r="N969" t="s">
        <v>19</v>
      </c>
    </row>
    <row r="970" spans="1:14">
      <c r="A970" t="s">
        <v>3482</v>
      </c>
      <c r="B970" t="s">
        <v>3489</v>
      </c>
      <c r="C970">
        <v>2009</v>
      </c>
      <c r="D970" t="s">
        <v>3490</v>
      </c>
      <c r="H970">
        <v>523</v>
      </c>
      <c r="I970">
        <v>531</v>
      </c>
      <c r="L970" t="s">
        <v>3491</v>
      </c>
      <c r="M970" t="s">
        <v>31</v>
      </c>
      <c r="N970" t="s">
        <v>19</v>
      </c>
    </row>
    <row r="971" spans="1:14">
      <c r="A971" t="s">
        <v>3492</v>
      </c>
      <c r="B971" t="s">
        <v>3493</v>
      </c>
      <c r="C971">
        <v>2009</v>
      </c>
      <c r="D971" t="s">
        <v>3494</v>
      </c>
      <c r="L971" t="s">
        <v>3495</v>
      </c>
      <c r="M971" t="s">
        <v>31</v>
      </c>
      <c r="N971" t="s">
        <v>19</v>
      </c>
    </row>
    <row r="972" spans="1:14">
      <c r="A972" t="s">
        <v>3496</v>
      </c>
      <c r="B972" t="s">
        <v>3497</v>
      </c>
      <c r="C972">
        <v>2009</v>
      </c>
      <c r="D972" t="s">
        <v>3498</v>
      </c>
      <c r="G972">
        <v>5380397</v>
      </c>
      <c r="H972">
        <v>620</v>
      </c>
      <c r="I972">
        <v>625</v>
      </c>
      <c r="L972" t="s">
        <v>3499</v>
      </c>
      <c r="M972" t="s">
        <v>31</v>
      </c>
      <c r="N972" t="s">
        <v>19</v>
      </c>
    </row>
    <row r="973" spans="1:14">
      <c r="A973" t="s">
        <v>3500</v>
      </c>
      <c r="B973" t="s">
        <v>3501</v>
      </c>
      <c r="C973">
        <v>2009</v>
      </c>
      <c r="D973" t="s">
        <v>55</v>
      </c>
      <c r="E973" t="s">
        <v>3502</v>
      </c>
      <c r="H973">
        <v>180</v>
      </c>
      <c r="I973">
        <v>195</v>
      </c>
      <c r="K973">
        <v>8</v>
      </c>
      <c r="L973" t="s">
        <v>3503</v>
      </c>
      <c r="M973" t="s">
        <v>31</v>
      </c>
      <c r="N973" t="s">
        <v>19</v>
      </c>
    </row>
    <row r="974" spans="1:14">
      <c r="A974" t="s">
        <v>3411</v>
      </c>
      <c r="B974" t="s">
        <v>3504</v>
      </c>
      <c r="C974">
        <v>2009</v>
      </c>
      <c r="D974" t="s">
        <v>290</v>
      </c>
      <c r="H974">
        <v>65</v>
      </c>
      <c r="I974">
        <v>68</v>
      </c>
      <c r="L974" t="s">
        <v>3505</v>
      </c>
      <c r="M974" t="s">
        <v>31</v>
      </c>
      <c r="N974" t="s">
        <v>19</v>
      </c>
    </row>
    <row r="975" spans="1:14">
      <c r="A975" t="s">
        <v>3506</v>
      </c>
      <c r="B975" t="s">
        <v>3507</v>
      </c>
      <c r="C975">
        <v>2009</v>
      </c>
      <c r="D975" t="s">
        <v>3508</v>
      </c>
      <c r="L975" t="s">
        <v>3509</v>
      </c>
      <c r="M975" t="s">
        <v>31</v>
      </c>
      <c r="N975" t="s">
        <v>19</v>
      </c>
    </row>
    <row r="976" spans="1:14">
      <c r="A976" t="s">
        <v>3510</v>
      </c>
      <c r="B976" t="s">
        <v>3511</v>
      </c>
      <c r="C976">
        <v>2009</v>
      </c>
      <c r="D976" t="s">
        <v>3512</v>
      </c>
      <c r="E976">
        <v>5</v>
      </c>
      <c r="H976">
        <v>3065</v>
      </c>
      <c r="I976">
        <v>3075</v>
      </c>
      <c r="L976" t="s">
        <v>3513</v>
      </c>
      <c r="M976" t="s">
        <v>31</v>
      </c>
      <c r="N976" t="s">
        <v>19</v>
      </c>
    </row>
    <row r="977" spans="1:14">
      <c r="A977" t="s">
        <v>3514</v>
      </c>
      <c r="B977" t="s">
        <v>3515</v>
      </c>
      <c r="C977">
        <v>2009</v>
      </c>
      <c r="D977" t="s">
        <v>290</v>
      </c>
      <c r="H977">
        <v>1127</v>
      </c>
      <c r="I977">
        <v>1136</v>
      </c>
      <c r="L977" t="s">
        <v>3516</v>
      </c>
      <c r="M977" t="s">
        <v>31</v>
      </c>
      <c r="N977" t="s">
        <v>19</v>
      </c>
    </row>
    <row r="978" spans="1:14">
      <c r="A978" t="s">
        <v>3517</v>
      </c>
      <c r="B978" t="s">
        <v>3518</v>
      </c>
      <c r="C978">
        <v>2009</v>
      </c>
      <c r="D978" t="s">
        <v>3519</v>
      </c>
      <c r="H978">
        <v>66</v>
      </c>
      <c r="I978">
        <v>72</v>
      </c>
      <c r="K978">
        <v>1</v>
      </c>
      <c r="L978" t="s">
        <v>3520</v>
      </c>
      <c r="M978" t="s">
        <v>31</v>
      </c>
      <c r="N978" t="s">
        <v>19</v>
      </c>
    </row>
    <row r="979" spans="1:14">
      <c r="A979" t="s">
        <v>3521</v>
      </c>
      <c r="B979" t="s">
        <v>3522</v>
      </c>
      <c r="C979">
        <v>2009</v>
      </c>
      <c r="D979" t="s">
        <v>206</v>
      </c>
      <c r="E979">
        <v>2</v>
      </c>
      <c r="H979">
        <v>957</v>
      </c>
      <c r="I979">
        <v>963</v>
      </c>
      <c r="L979" t="s">
        <v>3523</v>
      </c>
      <c r="M979" t="s">
        <v>18</v>
      </c>
      <c r="N979" t="s">
        <v>19</v>
      </c>
    </row>
    <row r="980" spans="1:14">
      <c r="A980" t="s">
        <v>3524</v>
      </c>
      <c r="B980" t="s">
        <v>3525</v>
      </c>
      <c r="C980">
        <v>2009</v>
      </c>
      <c r="D980" t="s">
        <v>3526</v>
      </c>
      <c r="H980">
        <v>169</v>
      </c>
      <c r="I980">
        <v>175</v>
      </c>
      <c r="K980">
        <v>2</v>
      </c>
      <c r="L980" t="s">
        <v>3527</v>
      </c>
      <c r="M980" t="s">
        <v>31</v>
      </c>
      <c r="N980" t="s">
        <v>19</v>
      </c>
    </row>
    <row r="981" spans="1:14">
      <c r="A981" t="s">
        <v>3528</v>
      </c>
      <c r="B981" t="s">
        <v>3529</v>
      </c>
      <c r="C981">
        <v>2009</v>
      </c>
      <c r="D981" t="s">
        <v>3530</v>
      </c>
      <c r="K981">
        <v>1</v>
      </c>
      <c r="L981" t="s">
        <v>3531</v>
      </c>
      <c r="M981" t="s">
        <v>31</v>
      </c>
      <c r="N981" t="s">
        <v>19</v>
      </c>
    </row>
    <row r="982" spans="1:14">
      <c r="A982" t="s">
        <v>3482</v>
      </c>
      <c r="B982" t="s">
        <v>3532</v>
      </c>
      <c r="C982">
        <v>2009</v>
      </c>
      <c r="D982" t="s">
        <v>3494</v>
      </c>
      <c r="L982" t="s">
        <v>3533</v>
      </c>
      <c r="M982" t="s">
        <v>31</v>
      </c>
      <c r="N982" t="s">
        <v>19</v>
      </c>
    </row>
    <row r="983" spans="1:14">
      <c r="A983" t="s">
        <v>3534</v>
      </c>
      <c r="B983" t="s">
        <v>3535</v>
      </c>
      <c r="C983">
        <v>2009</v>
      </c>
      <c r="D983" t="s">
        <v>3512</v>
      </c>
      <c r="E983">
        <v>3</v>
      </c>
      <c r="H983">
        <v>1723</v>
      </c>
      <c r="L983" t="s">
        <v>3536</v>
      </c>
      <c r="M983" t="s">
        <v>31</v>
      </c>
      <c r="N983" t="s">
        <v>19</v>
      </c>
    </row>
    <row r="984" spans="1:14">
      <c r="A984" t="s">
        <v>1321</v>
      </c>
      <c r="B984" t="s">
        <v>3537</v>
      </c>
      <c r="C984">
        <v>2009</v>
      </c>
      <c r="D984" t="s">
        <v>3512</v>
      </c>
      <c r="E984">
        <v>6</v>
      </c>
      <c r="H984">
        <v>3920</v>
      </c>
      <c r="I984">
        <v>3931</v>
      </c>
      <c r="L984" t="s">
        <v>3538</v>
      </c>
      <c r="M984" t="s">
        <v>31</v>
      </c>
      <c r="N984" t="s">
        <v>19</v>
      </c>
    </row>
    <row r="985" spans="1:14">
      <c r="A985" t="s">
        <v>3539</v>
      </c>
      <c r="B985" t="s">
        <v>3540</v>
      </c>
      <c r="C985">
        <v>2009</v>
      </c>
      <c r="D985" t="s">
        <v>3541</v>
      </c>
      <c r="E985">
        <v>1</v>
      </c>
      <c r="H985">
        <v>286</v>
      </c>
      <c r="I985">
        <v>293</v>
      </c>
      <c r="L985" t="s">
        <v>3542</v>
      </c>
      <c r="M985" t="s">
        <v>31</v>
      </c>
      <c r="N985" t="s">
        <v>19</v>
      </c>
    </row>
    <row r="986" spans="1:14">
      <c r="A986" t="s">
        <v>3543</v>
      </c>
      <c r="B986" t="s">
        <v>3544</v>
      </c>
      <c r="C986">
        <v>2009</v>
      </c>
      <c r="D986" t="s">
        <v>3545</v>
      </c>
      <c r="H986">
        <v>379</v>
      </c>
      <c r="I986">
        <v>380</v>
      </c>
      <c r="L986" t="s">
        <v>3546</v>
      </c>
      <c r="M986" t="s">
        <v>31</v>
      </c>
      <c r="N986" t="s">
        <v>19</v>
      </c>
    </row>
    <row r="987" spans="1:14">
      <c r="A987" t="s">
        <v>3547</v>
      </c>
      <c r="B987" t="s">
        <v>3548</v>
      </c>
      <c r="C987">
        <v>2009</v>
      </c>
      <c r="D987" t="s">
        <v>3549</v>
      </c>
      <c r="H987">
        <v>400</v>
      </c>
      <c r="I987">
        <v>404</v>
      </c>
      <c r="L987" t="s">
        <v>3550</v>
      </c>
      <c r="M987" t="s">
        <v>31</v>
      </c>
      <c r="N987" t="s">
        <v>19</v>
      </c>
    </row>
    <row r="988" spans="1:14">
      <c r="A988" t="s">
        <v>1333</v>
      </c>
      <c r="B988" t="s">
        <v>3551</v>
      </c>
      <c r="C988">
        <v>2009</v>
      </c>
      <c r="D988" t="s">
        <v>3552</v>
      </c>
      <c r="E988">
        <v>1</v>
      </c>
      <c r="G988">
        <v>5286084</v>
      </c>
      <c r="H988">
        <v>128</v>
      </c>
      <c r="I988">
        <v>131</v>
      </c>
      <c r="K988">
        <v>4</v>
      </c>
      <c r="L988" t="s">
        <v>3553</v>
      </c>
      <c r="M988" t="s">
        <v>31</v>
      </c>
      <c r="N988" t="s">
        <v>19</v>
      </c>
    </row>
    <row r="989" spans="1:14">
      <c r="A989" t="s">
        <v>3554</v>
      </c>
      <c r="B989" t="s">
        <v>3555</v>
      </c>
      <c r="C989">
        <v>2009</v>
      </c>
      <c r="D989" t="s">
        <v>3545</v>
      </c>
      <c r="H989">
        <v>397</v>
      </c>
      <c r="I989">
        <v>398</v>
      </c>
      <c r="K989">
        <v>1</v>
      </c>
      <c r="L989" t="s">
        <v>3556</v>
      </c>
      <c r="M989" t="s">
        <v>31</v>
      </c>
      <c r="N989" t="s">
        <v>19</v>
      </c>
    </row>
    <row r="990" spans="1:14">
      <c r="A990" t="s">
        <v>3557</v>
      </c>
      <c r="B990" t="s">
        <v>3558</v>
      </c>
      <c r="C990">
        <v>2009</v>
      </c>
      <c r="D990" t="s">
        <v>3512</v>
      </c>
      <c r="E990">
        <v>8</v>
      </c>
      <c r="H990">
        <v>5360</v>
      </c>
      <c r="I990">
        <v>5370</v>
      </c>
      <c r="L990" t="s">
        <v>3559</v>
      </c>
      <c r="M990" t="s">
        <v>31</v>
      </c>
      <c r="N990" t="s">
        <v>19</v>
      </c>
    </row>
    <row r="991" spans="1:14">
      <c r="A991" t="s">
        <v>3560</v>
      </c>
      <c r="B991" t="s">
        <v>3561</v>
      </c>
      <c r="C991">
        <v>2009</v>
      </c>
      <c r="D991" t="s">
        <v>3530</v>
      </c>
      <c r="L991" t="s">
        <v>3562</v>
      </c>
      <c r="M991" t="s">
        <v>31</v>
      </c>
      <c r="N991" t="s">
        <v>19</v>
      </c>
    </row>
    <row r="992" spans="1:14">
      <c r="A992" t="s">
        <v>3563</v>
      </c>
      <c r="B992" t="s">
        <v>3564</v>
      </c>
      <c r="C992">
        <v>2009</v>
      </c>
      <c r="D992" t="s">
        <v>3552</v>
      </c>
      <c r="E992">
        <v>1</v>
      </c>
      <c r="G992">
        <v>5286071</v>
      </c>
      <c r="H992">
        <v>230</v>
      </c>
      <c r="I992">
        <v>237</v>
      </c>
      <c r="K992">
        <v>4</v>
      </c>
      <c r="L992" t="s">
        <v>3565</v>
      </c>
      <c r="M992" t="s">
        <v>31</v>
      </c>
      <c r="N992" t="s">
        <v>19</v>
      </c>
    </row>
    <row r="993" spans="1:14">
      <c r="A993" t="s">
        <v>3566</v>
      </c>
      <c r="B993" t="s">
        <v>3567</v>
      </c>
      <c r="C993">
        <v>2009</v>
      </c>
      <c r="D993" t="s">
        <v>206</v>
      </c>
      <c r="E993">
        <v>2</v>
      </c>
      <c r="H993">
        <v>775</v>
      </c>
      <c r="I993">
        <v>783</v>
      </c>
      <c r="K993">
        <v>1</v>
      </c>
      <c r="L993" t="s">
        <v>3568</v>
      </c>
      <c r="M993" t="s">
        <v>18</v>
      </c>
      <c r="N993" t="s">
        <v>19</v>
      </c>
    </row>
    <row r="994" spans="1:14">
      <c r="A994" t="s">
        <v>3569</v>
      </c>
      <c r="B994" t="s">
        <v>3570</v>
      </c>
      <c r="C994">
        <v>2009</v>
      </c>
      <c r="D994" t="s">
        <v>3571</v>
      </c>
      <c r="G994">
        <v>1731018</v>
      </c>
      <c r="L994" t="s">
        <v>3572</v>
      </c>
      <c r="M994" t="s">
        <v>31</v>
      </c>
      <c r="N994" t="s">
        <v>19</v>
      </c>
    </row>
    <row r="995" spans="1:14">
      <c r="A995" t="s">
        <v>3573</v>
      </c>
      <c r="B995" t="s">
        <v>3574</v>
      </c>
      <c r="C995">
        <v>2009</v>
      </c>
      <c r="D995" t="s">
        <v>3530</v>
      </c>
      <c r="L995" t="s">
        <v>3575</v>
      </c>
      <c r="M995" t="s">
        <v>31</v>
      </c>
      <c r="N995" t="s">
        <v>19</v>
      </c>
    </row>
    <row r="996" spans="1:14">
      <c r="A996" t="s">
        <v>3576</v>
      </c>
      <c r="B996" t="s">
        <v>3577</v>
      </c>
      <c r="C996">
        <v>2009</v>
      </c>
      <c r="D996" t="s">
        <v>3578</v>
      </c>
      <c r="H996">
        <v>49</v>
      </c>
      <c r="I996">
        <v>51</v>
      </c>
      <c r="L996" t="s">
        <v>3579</v>
      </c>
      <c r="M996" t="s">
        <v>31</v>
      </c>
      <c r="N996" t="s">
        <v>19</v>
      </c>
    </row>
    <row r="997" spans="1:14">
      <c r="A997" t="s">
        <v>3580</v>
      </c>
      <c r="B997" t="s">
        <v>3581</v>
      </c>
      <c r="C997">
        <v>2009</v>
      </c>
      <c r="D997" t="s">
        <v>3582</v>
      </c>
      <c r="E997">
        <v>1</v>
      </c>
      <c r="G997">
        <v>5359703</v>
      </c>
      <c r="H997">
        <v>407</v>
      </c>
      <c r="I997">
        <v>410</v>
      </c>
      <c r="K997">
        <v>4</v>
      </c>
      <c r="L997" t="s">
        <v>3583</v>
      </c>
      <c r="M997" t="s">
        <v>31</v>
      </c>
      <c r="N997" t="s">
        <v>19</v>
      </c>
    </row>
    <row r="998" spans="1:14">
      <c r="A998" t="s">
        <v>3584</v>
      </c>
      <c r="B998" t="s">
        <v>3585</v>
      </c>
      <c r="C998">
        <v>2009</v>
      </c>
      <c r="D998" t="s">
        <v>206</v>
      </c>
      <c r="E998">
        <v>2</v>
      </c>
      <c r="H998">
        <v>870</v>
      </c>
      <c r="I998">
        <v>878</v>
      </c>
      <c r="L998" t="s">
        <v>3586</v>
      </c>
      <c r="M998" t="s">
        <v>18</v>
      </c>
      <c r="N998" t="s">
        <v>19</v>
      </c>
    </row>
    <row r="999" spans="1:14">
      <c r="A999" t="s">
        <v>230</v>
      </c>
      <c r="B999" t="s">
        <v>3587</v>
      </c>
      <c r="C999">
        <v>2009</v>
      </c>
      <c r="D999" t="s">
        <v>3530</v>
      </c>
      <c r="L999" t="s">
        <v>3588</v>
      </c>
      <c r="M999" t="s">
        <v>31</v>
      </c>
      <c r="N999" t="s">
        <v>19</v>
      </c>
    </row>
    <row r="1000" spans="1:14">
      <c r="A1000" t="s">
        <v>3589</v>
      </c>
      <c r="B1000" t="s">
        <v>3590</v>
      </c>
      <c r="C1000">
        <v>2009</v>
      </c>
      <c r="D1000" t="s">
        <v>3508</v>
      </c>
      <c r="L1000" t="s">
        <v>3591</v>
      </c>
      <c r="M1000" t="s">
        <v>31</v>
      </c>
      <c r="N1000" t="s">
        <v>19</v>
      </c>
    </row>
    <row r="1001" spans="1:14">
      <c r="A1001" t="s">
        <v>3592</v>
      </c>
      <c r="B1001" t="s">
        <v>3593</v>
      </c>
      <c r="C1001">
        <v>2009</v>
      </c>
      <c r="D1001" t="s">
        <v>3594</v>
      </c>
      <c r="E1001">
        <v>1</v>
      </c>
      <c r="H1001">
        <v>49</v>
      </c>
      <c r="I1001">
        <v>60</v>
      </c>
      <c r="L1001" t="s">
        <v>3595</v>
      </c>
      <c r="M1001" t="s">
        <v>31</v>
      </c>
      <c r="N1001" t="s">
        <v>19</v>
      </c>
    </row>
    <row r="1002" spans="1:14">
      <c r="A1002" t="s">
        <v>3596</v>
      </c>
      <c r="B1002" t="s">
        <v>3597</v>
      </c>
      <c r="C1002">
        <v>2009</v>
      </c>
      <c r="D1002" t="s">
        <v>3598</v>
      </c>
      <c r="E1002">
        <v>3</v>
      </c>
      <c r="G1002">
        <v>5285095</v>
      </c>
      <c r="H1002">
        <v>38</v>
      </c>
      <c r="I1002">
        <v>41</v>
      </c>
      <c r="K1002">
        <v>3</v>
      </c>
      <c r="L1002" t="s">
        <v>3599</v>
      </c>
      <c r="M1002" t="s">
        <v>31</v>
      </c>
      <c r="N1002" t="s">
        <v>19</v>
      </c>
    </row>
    <row r="1003" spans="1:14">
      <c r="A1003" t="s">
        <v>3600</v>
      </c>
      <c r="B1003" t="s">
        <v>3601</v>
      </c>
      <c r="C1003">
        <v>2009</v>
      </c>
      <c r="D1003" t="s">
        <v>2923</v>
      </c>
      <c r="E1003">
        <v>101</v>
      </c>
      <c r="H1003">
        <v>99</v>
      </c>
      <c r="I1003">
        <v>108</v>
      </c>
      <c r="L1003" t="s">
        <v>3602</v>
      </c>
      <c r="M1003" t="s">
        <v>18</v>
      </c>
      <c r="N1003" t="s">
        <v>19</v>
      </c>
    </row>
    <row r="1004" spans="1:14">
      <c r="A1004" t="s">
        <v>3603</v>
      </c>
      <c r="B1004" t="s">
        <v>3604</v>
      </c>
      <c r="C1004">
        <v>2009</v>
      </c>
      <c r="D1004" t="s">
        <v>3605</v>
      </c>
      <c r="H1004">
        <v>155</v>
      </c>
      <c r="I1004">
        <v>163</v>
      </c>
      <c r="L1004" t="s">
        <v>3606</v>
      </c>
      <c r="M1004" t="s">
        <v>31</v>
      </c>
      <c r="N1004" t="s">
        <v>19</v>
      </c>
    </row>
    <row r="1005" spans="1:14">
      <c r="A1005" t="s">
        <v>3607</v>
      </c>
      <c r="B1005" t="s">
        <v>3608</v>
      </c>
      <c r="C1005">
        <v>2009</v>
      </c>
      <c r="D1005" t="s">
        <v>3508</v>
      </c>
      <c r="L1005" t="s">
        <v>3609</v>
      </c>
      <c r="M1005" t="s">
        <v>31</v>
      </c>
      <c r="N1005" t="s">
        <v>19</v>
      </c>
    </row>
    <row r="1006" spans="1:14">
      <c r="A1006" t="s">
        <v>3610</v>
      </c>
      <c r="B1006" t="s">
        <v>3611</v>
      </c>
      <c r="C1006">
        <v>2009</v>
      </c>
      <c r="D1006" t="s">
        <v>3612</v>
      </c>
      <c r="H1006">
        <v>741</v>
      </c>
      <c r="I1006">
        <v>750</v>
      </c>
      <c r="K1006">
        <v>48</v>
      </c>
      <c r="L1006" t="s">
        <v>3613</v>
      </c>
      <c r="M1006" t="s">
        <v>31</v>
      </c>
      <c r="N1006" t="s">
        <v>19</v>
      </c>
    </row>
    <row r="1007" spans="1:14">
      <c r="A1007" t="s">
        <v>3614</v>
      </c>
      <c r="B1007" t="s">
        <v>3615</v>
      </c>
      <c r="C1007">
        <v>2009</v>
      </c>
      <c r="D1007" t="s">
        <v>3616</v>
      </c>
      <c r="H1007">
        <v>46</v>
      </c>
      <c r="I1007">
        <v>51</v>
      </c>
      <c r="L1007" t="s">
        <v>3617</v>
      </c>
      <c r="M1007" t="s">
        <v>31</v>
      </c>
      <c r="N1007" t="s">
        <v>19</v>
      </c>
    </row>
    <row r="1008" spans="1:14">
      <c r="A1008" t="s">
        <v>3618</v>
      </c>
      <c r="B1008" t="s">
        <v>3619</v>
      </c>
      <c r="C1008">
        <v>2009</v>
      </c>
      <c r="D1008" t="s">
        <v>3620</v>
      </c>
      <c r="E1008">
        <v>1</v>
      </c>
      <c r="H1008">
        <v>99</v>
      </c>
      <c r="I1008">
        <v>103</v>
      </c>
      <c r="L1008" t="s">
        <v>3621</v>
      </c>
      <c r="M1008" t="s">
        <v>31</v>
      </c>
      <c r="N1008" t="s">
        <v>19</v>
      </c>
    </row>
    <row r="1009" spans="1:14">
      <c r="A1009" t="s">
        <v>3622</v>
      </c>
      <c r="B1009" t="s">
        <v>3623</v>
      </c>
      <c r="C1009">
        <v>2009</v>
      </c>
      <c r="D1009" t="s">
        <v>3624</v>
      </c>
      <c r="L1009" t="s">
        <v>3625</v>
      </c>
      <c r="M1009" t="s">
        <v>31</v>
      </c>
      <c r="N1009" t="s">
        <v>19</v>
      </c>
    </row>
    <row r="1010" spans="1:14">
      <c r="A1010" t="s">
        <v>230</v>
      </c>
      <c r="B1010" t="s">
        <v>3626</v>
      </c>
      <c r="C1010">
        <v>2009</v>
      </c>
      <c r="D1010" t="s">
        <v>3530</v>
      </c>
      <c r="L1010" t="s">
        <v>3627</v>
      </c>
      <c r="M1010" t="s">
        <v>31</v>
      </c>
      <c r="N1010" t="s">
        <v>19</v>
      </c>
    </row>
    <row r="1011" spans="1:14">
      <c r="A1011" t="s">
        <v>3628</v>
      </c>
      <c r="B1011" t="s">
        <v>3629</v>
      </c>
      <c r="C1011">
        <v>2009</v>
      </c>
      <c r="D1011" t="s">
        <v>55</v>
      </c>
      <c r="E1011" t="s">
        <v>3630</v>
      </c>
      <c r="H1011">
        <v>76</v>
      </c>
      <c r="I1011">
        <v>85</v>
      </c>
      <c r="L1011" t="s">
        <v>3631</v>
      </c>
      <c r="M1011" t="s">
        <v>31</v>
      </c>
      <c r="N1011" t="s">
        <v>19</v>
      </c>
    </row>
    <row r="1012" spans="1:14">
      <c r="A1012" t="s">
        <v>3632</v>
      </c>
      <c r="B1012" t="s">
        <v>3633</v>
      </c>
      <c r="C1012">
        <v>2009</v>
      </c>
      <c r="D1012" t="s">
        <v>3634</v>
      </c>
      <c r="H1012">
        <v>351</v>
      </c>
      <c r="I1012">
        <v>362</v>
      </c>
      <c r="L1012" t="s">
        <v>3635</v>
      </c>
      <c r="M1012" t="s">
        <v>31</v>
      </c>
      <c r="N1012" t="s">
        <v>19</v>
      </c>
    </row>
    <row r="1013" spans="1:14">
      <c r="A1013" t="s">
        <v>3636</v>
      </c>
      <c r="B1013" t="s">
        <v>3637</v>
      </c>
      <c r="C1013">
        <v>2009</v>
      </c>
      <c r="D1013" t="s">
        <v>3512</v>
      </c>
      <c r="E1013">
        <v>1</v>
      </c>
      <c r="H1013">
        <v>656</v>
      </c>
      <c r="I1013">
        <v>666</v>
      </c>
      <c r="L1013" t="s">
        <v>3638</v>
      </c>
      <c r="M1013" t="s">
        <v>31</v>
      </c>
      <c r="N1013" t="s">
        <v>19</v>
      </c>
    </row>
    <row r="1014" spans="1:14">
      <c r="A1014" t="s">
        <v>3639</v>
      </c>
      <c r="B1014" t="s">
        <v>3640</v>
      </c>
      <c r="C1014">
        <v>2009</v>
      </c>
      <c r="D1014" t="s">
        <v>290</v>
      </c>
      <c r="H1014">
        <v>27</v>
      </c>
      <c r="I1014">
        <v>30</v>
      </c>
      <c r="K1014">
        <v>3</v>
      </c>
      <c r="L1014" t="s">
        <v>3641</v>
      </c>
      <c r="M1014" t="s">
        <v>31</v>
      </c>
      <c r="N1014" t="s">
        <v>19</v>
      </c>
    </row>
    <row r="1015" spans="1:14">
      <c r="A1015" t="s">
        <v>3642</v>
      </c>
      <c r="B1015" t="s">
        <v>3643</v>
      </c>
      <c r="C1015">
        <v>2009</v>
      </c>
      <c r="D1015" t="s">
        <v>3612</v>
      </c>
      <c r="H1015">
        <v>1213</v>
      </c>
      <c r="I1015">
        <v>1214</v>
      </c>
      <c r="L1015" t="s">
        <v>3644</v>
      </c>
      <c r="M1015" t="s">
        <v>31</v>
      </c>
      <c r="N1015" t="s">
        <v>19</v>
      </c>
    </row>
    <row r="1016" spans="1:14">
      <c r="A1016" t="s">
        <v>3645</v>
      </c>
      <c r="B1016" t="s">
        <v>3646</v>
      </c>
      <c r="C1016">
        <v>2009</v>
      </c>
      <c r="D1016" t="s">
        <v>3647</v>
      </c>
      <c r="G1016">
        <v>5368318</v>
      </c>
      <c r="H1016">
        <v>32</v>
      </c>
      <c r="I1016">
        <v>38</v>
      </c>
      <c r="K1016">
        <v>7</v>
      </c>
      <c r="L1016" t="s">
        <v>3648</v>
      </c>
      <c r="M1016" t="s">
        <v>31</v>
      </c>
      <c r="N1016" t="s">
        <v>19</v>
      </c>
    </row>
    <row r="1017" spans="1:14">
      <c r="A1017" t="s">
        <v>3649</v>
      </c>
      <c r="B1017" t="s">
        <v>3650</v>
      </c>
      <c r="C1017">
        <v>2009</v>
      </c>
      <c r="D1017" t="s">
        <v>3508</v>
      </c>
      <c r="L1017" t="s">
        <v>3651</v>
      </c>
      <c r="M1017" t="s">
        <v>31</v>
      </c>
      <c r="N1017" t="s">
        <v>19</v>
      </c>
    </row>
    <row r="1018" spans="1:14">
      <c r="A1018" t="s">
        <v>3652</v>
      </c>
      <c r="B1018" t="s">
        <v>3653</v>
      </c>
      <c r="C1018">
        <v>2009</v>
      </c>
      <c r="D1018" t="s">
        <v>3654</v>
      </c>
      <c r="L1018" t="s">
        <v>3655</v>
      </c>
      <c r="M1018" t="s">
        <v>31</v>
      </c>
      <c r="N1018" t="s">
        <v>19</v>
      </c>
    </row>
    <row r="1019" spans="1:14">
      <c r="A1019" t="s">
        <v>3656</v>
      </c>
      <c r="B1019" t="s">
        <v>3657</v>
      </c>
      <c r="C1019">
        <v>2009</v>
      </c>
      <c r="D1019" t="s">
        <v>3612</v>
      </c>
      <c r="H1019">
        <v>731</v>
      </c>
      <c r="I1019">
        <v>740</v>
      </c>
      <c r="K1019">
        <v>17</v>
      </c>
      <c r="L1019" t="s">
        <v>3658</v>
      </c>
      <c r="M1019" t="s">
        <v>31</v>
      </c>
      <c r="N1019" t="s">
        <v>19</v>
      </c>
    </row>
    <row r="1020" spans="1:14">
      <c r="A1020" t="s">
        <v>3659</v>
      </c>
      <c r="B1020" t="s">
        <v>3660</v>
      </c>
      <c r="C1020">
        <v>2009</v>
      </c>
      <c r="D1020" t="s">
        <v>3571</v>
      </c>
      <c r="G1020">
        <v>1731013</v>
      </c>
      <c r="K1020">
        <v>2</v>
      </c>
      <c r="L1020" t="s">
        <v>3661</v>
      </c>
      <c r="M1020" t="s">
        <v>31</v>
      </c>
      <c r="N1020" t="s">
        <v>19</v>
      </c>
    </row>
    <row r="1021" spans="1:14">
      <c r="A1021" t="s">
        <v>3662</v>
      </c>
      <c r="B1021" t="s">
        <v>3663</v>
      </c>
      <c r="C1021">
        <v>2009</v>
      </c>
      <c r="D1021" t="s">
        <v>55</v>
      </c>
      <c r="E1021" t="s">
        <v>3664</v>
      </c>
      <c r="H1021">
        <v>364</v>
      </c>
      <c r="I1021">
        <v>373</v>
      </c>
      <c r="K1021">
        <v>1</v>
      </c>
      <c r="L1021" t="s">
        <v>3665</v>
      </c>
      <c r="M1021" t="s">
        <v>31</v>
      </c>
      <c r="N1021" t="s">
        <v>19</v>
      </c>
    </row>
    <row r="1022" spans="1:14">
      <c r="A1022" t="s">
        <v>3666</v>
      </c>
      <c r="B1022" t="s">
        <v>3667</v>
      </c>
      <c r="C1022">
        <v>2009</v>
      </c>
      <c r="D1022" t="s">
        <v>3668</v>
      </c>
      <c r="E1022">
        <v>2</v>
      </c>
      <c r="H1022">
        <v>43</v>
      </c>
      <c r="I1022">
        <v>45</v>
      </c>
      <c r="L1022" t="s">
        <v>3669</v>
      </c>
      <c r="M1022" t="s">
        <v>31</v>
      </c>
      <c r="N1022" t="s">
        <v>19</v>
      </c>
    </row>
    <row r="1023" spans="1:14">
      <c r="A1023" t="s">
        <v>3670</v>
      </c>
      <c r="B1023" t="s">
        <v>3671</v>
      </c>
      <c r="C1023">
        <v>2009</v>
      </c>
      <c r="D1023" t="s">
        <v>3530</v>
      </c>
      <c r="L1023" t="s">
        <v>3672</v>
      </c>
      <c r="M1023" t="s">
        <v>31</v>
      </c>
      <c r="N1023" t="s">
        <v>19</v>
      </c>
    </row>
    <row r="1024" spans="1:14">
      <c r="A1024" t="s">
        <v>3673</v>
      </c>
      <c r="B1024" t="s">
        <v>3674</v>
      </c>
      <c r="C1024">
        <v>2009</v>
      </c>
      <c r="D1024" t="s">
        <v>206</v>
      </c>
      <c r="H1024">
        <v>399</v>
      </c>
      <c r="I1024">
        <v>408</v>
      </c>
      <c r="L1024" t="s">
        <v>3675</v>
      </c>
      <c r="M1024" t="s">
        <v>18</v>
      </c>
      <c r="N1024" t="s">
        <v>19</v>
      </c>
    </row>
    <row r="1025" spans="1:14">
      <c r="A1025" t="s">
        <v>3676</v>
      </c>
      <c r="B1025" t="s">
        <v>3677</v>
      </c>
      <c r="C1025">
        <v>2009</v>
      </c>
      <c r="D1025" t="s">
        <v>3508</v>
      </c>
      <c r="L1025" t="s">
        <v>3678</v>
      </c>
      <c r="M1025" t="s">
        <v>31</v>
      </c>
      <c r="N1025" t="s">
        <v>19</v>
      </c>
    </row>
    <row r="1026" spans="1:14">
      <c r="A1026" t="s">
        <v>3679</v>
      </c>
      <c r="B1026" t="s">
        <v>3680</v>
      </c>
      <c r="C1026">
        <v>2009</v>
      </c>
      <c r="D1026" t="s">
        <v>3512</v>
      </c>
      <c r="E1026">
        <v>1</v>
      </c>
      <c r="H1026">
        <v>683</v>
      </c>
      <c r="I1026">
        <v>700</v>
      </c>
      <c r="L1026" t="s">
        <v>3681</v>
      </c>
      <c r="M1026" t="s">
        <v>31</v>
      </c>
      <c r="N1026" t="s">
        <v>19</v>
      </c>
    </row>
    <row r="1027" spans="1:14">
      <c r="A1027" t="s">
        <v>3682</v>
      </c>
      <c r="B1027" t="s">
        <v>3683</v>
      </c>
      <c r="C1027">
        <v>2009</v>
      </c>
      <c r="D1027" t="s">
        <v>3684</v>
      </c>
      <c r="E1027">
        <v>3</v>
      </c>
      <c r="H1027">
        <v>1599</v>
      </c>
      <c r="I1027">
        <v>1614</v>
      </c>
      <c r="L1027" t="s">
        <v>3685</v>
      </c>
      <c r="M1027" t="s">
        <v>31</v>
      </c>
      <c r="N1027" t="s">
        <v>19</v>
      </c>
    </row>
    <row r="1028" spans="1:14">
      <c r="A1028" t="s">
        <v>230</v>
      </c>
      <c r="B1028" t="s">
        <v>3519</v>
      </c>
      <c r="C1028">
        <v>2009</v>
      </c>
      <c r="D1028" t="s">
        <v>3519</v>
      </c>
      <c r="L1028" t="s">
        <v>3686</v>
      </c>
      <c r="M1028" t="s">
        <v>233</v>
      </c>
      <c r="N1028" t="s">
        <v>19</v>
      </c>
    </row>
    <row r="1029" spans="1:14">
      <c r="A1029" t="s">
        <v>3687</v>
      </c>
      <c r="B1029" t="s">
        <v>3688</v>
      </c>
      <c r="C1029">
        <v>2009</v>
      </c>
      <c r="D1029" t="s">
        <v>55</v>
      </c>
      <c r="E1029" t="s">
        <v>3689</v>
      </c>
      <c r="H1029">
        <v>776</v>
      </c>
      <c r="I1029">
        <v>781</v>
      </c>
      <c r="L1029" t="s">
        <v>3690</v>
      </c>
      <c r="M1029" t="s">
        <v>31</v>
      </c>
      <c r="N1029" t="s">
        <v>19</v>
      </c>
    </row>
    <row r="1030" spans="1:14">
      <c r="A1030" t="s">
        <v>2847</v>
      </c>
      <c r="B1030" t="s">
        <v>3691</v>
      </c>
      <c r="C1030">
        <v>2009</v>
      </c>
      <c r="D1030" t="s">
        <v>2159</v>
      </c>
      <c r="G1030">
        <v>5196091</v>
      </c>
      <c r="H1030">
        <v>267</v>
      </c>
      <c r="I1030">
        <v>272</v>
      </c>
      <c r="K1030">
        <v>1</v>
      </c>
      <c r="L1030" t="s">
        <v>3692</v>
      </c>
      <c r="M1030" t="s">
        <v>31</v>
      </c>
      <c r="N1030" t="s">
        <v>19</v>
      </c>
    </row>
    <row r="1031" spans="1:14">
      <c r="A1031" t="s">
        <v>3693</v>
      </c>
      <c r="B1031" t="s">
        <v>3694</v>
      </c>
      <c r="C1031">
        <v>2009</v>
      </c>
      <c r="D1031" t="s">
        <v>55</v>
      </c>
      <c r="E1031" t="s">
        <v>3689</v>
      </c>
      <c r="H1031">
        <v>181</v>
      </c>
      <c r="I1031">
        <v>195</v>
      </c>
      <c r="L1031" t="s">
        <v>3695</v>
      </c>
      <c r="M1031" t="s">
        <v>31</v>
      </c>
      <c r="N1031" t="s">
        <v>19</v>
      </c>
    </row>
    <row r="1032" spans="1:14">
      <c r="A1032" t="s">
        <v>3696</v>
      </c>
      <c r="B1032" t="s">
        <v>3697</v>
      </c>
      <c r="C1032">
        <v>2009</v>
      </c>
      <c r="D1032" t="s">
        <v>3698</v>
      </c>
      <c r="G1032">
        <v>1599284</v>
      </c>
      <c r="H1032">
        <v>53</v>
      </c>
      <c r="I1032">
        <v>61</v>
      </c>
      <c r="L1032" t="s">
        <v>3699</v>
      </c>
      <c r="M1032" t="s">
        <v>31</v>
      </c>
      <c r="N1032" t="s">
        <v>19</v>
      </c>
    </row>
    <row r="1033" spans="1:14">
      <c r="A1033" t="s">
        <v>230</v>
      </c>
      <c r="B1033" t="s">
        <v>3700</v>
      </c>
      <c r="C1033">
        <v>2009</v>
      </c>
      <c r="D1033" t="s">
        <v>3700</v>
      </c>
      <c r="L1033" t="s">
        <v>3701</v>
      </c>
      <c r="M1033" t="s">
        <v>233</v>
      </c>
      <c r="N1033" t="s">
        <v>19</v>
      </c>
    </row>
    <row r="1034" spans="1:14">
      <c r="A1034" t="s">
        <v>3281</v>
      </c>
      <c r="B1034" t="s">
        <v>3702</v>
      </c>
      <c r="C1034">
        <v>2009</v>
      </c>
      <c r="D1034" t="s">
        <v>3700</v>
      </c>
      <c r="G1034">
        <v>5169446</v>
      </c>
      <c r="H1034">
        <v>25</v>
      </c>
      <c r="I1034">
        <v>29</v>
      </c>
      <c r="K1034">
        <v>7</v>
      </c>
      <c r="L1034" t="s">
        <v>3703</v>
      </c>
      <c r="M1034" t="s">
        <v>31</v>
      </c>
      <c r="N1034" t="s">
        <v>19</v>
      </c>
    </row>
    <row r="1035" spans="1:14">
      <c r="A1035" t="s">
        <v>3704</v>
      </c>
      <c r="B1035" t="s">
        <v>3705</v>
      </c>
      <c r="C1035">
        <v>2009</v>
      </c>
      <c r="D1035" t="s">
        <v>3706</v>
      </c>
      <c r="G1035">
        <v>5211538</v>
      </c>
      <c r="H1035">
        <v>126</v>
      </c>
      <c r="I1035">
        <v>131</v>
      </c>
      <c r="K1035">
        <v>7</v>
      </c>
      <c r="L1035" t="s">
        <v>3707</v>
      </c>
      <c r="M1035" t="s">
        <v>31</v>
      </c>
      <c r="N1035" t="s">
        <v>19</v>
      </c>
    </row>
    <row r="1036" spans="1:14">
      <c r="A1036" t="s">
        <v>3642</v>
      </c>
      <c r="B1036" t="s">
        <v>3708</v>
      </c>
      <c r="C1036">
        <v>2009</v>
      </c>
      <c r="D1036" t="s">
        <v>883</v>
      </c>
      <c r="H1036">
        <v>527</v>
      </c>
      <c r="I1036">
        <v>535</v>
      </c>
      <c r="K1036">
        <v>27</v>
      </c>
      <c r="L1036" t="s">
        <v>3709</v>
      </c>
      <c r="M1036" t="s">
        <v>31</v>
      </c>
      <c r="N1036" t="s">
        <v>19</v>
      </c>
    </row>
    <row r="1037" spans="1:14">
      <c r="A1037" t="s">
        <v>3710</v>
      </c>
      <c r="B1037" t="s">
        <v>3711</v>
      </c>
      <c r="C1037">
        <v>2009</v>
      </c>
      <c r="D1037" t="s">
        <v>3712</v>
      </c>
      <c r="E1037">
        <v>27</v>
      </c>
      <c r="F1037">
        <v>4</v>
      </c>
      <c r="H1037">
        <v>481</v>
      </c>
      <c r="I1037">
        <v>492</v>
      </c>
      <c r="K1037">
        <v>17</v>
      </c>
      <c r="L1037" t="s">
        <v>3713</v>
      </c>
      <c r="M1037" t="s">
        <v>18</v>
      </c>
      <c r="N1037" t="s">
        <v>19</v>
      </c>
    </row>
    <row r="1038" spans="1:14">
      <c r="A1038" t="s">
        <v>3714</v>
      </c>
      <c r="B1038" t="s">
        <v>3715</v>
      </c>
      <c r="C1038">
        <v>2009</v>
      </c>
      <c r="D1038" t="s">
        <v>108</v>
      </c>
      <c r="E1038">
        <v>47</v>
      </c>
      <c r="F1038">
        <v>4</v>
      </c>
      <c r="H1038">
        <v>408</v>
      </c>
      <c r="I1038">
        <v>414</v>
      </c>
      <c r="K1038">
        <v>9</v>
      </c>
      <c r="L1038" t="s">
        <v>3716</v>
      </c>
      <c r="M1038" t="s">
        <v>18</v>
      </c>
      <c r="N1038" t="s">
        <v>19</v>
      </c>
    </row>
    <row r="1039" spans="1:14">
      <c r="A1039" t="s">
        <v>3240</v>
      </c>
      <c r="B1039" t="s">
        <v>3717</v>
      </c>
      <c r="C1039">
        <v>2009</v>
      </c>
      <c r="D1039" t="s">
        <v>3718</v>
      </c>
      <c r="G1039">
        <v>5117854</v>
      </c>
      <c r="H1039">
        <v>738</v>
      </c>
      <c r="I1039">
        <v>741</v>
      </c>
      <c r="K1039">
        <v>1</v>
      </c>
      <c r="L1039" t="s">
        <v>3719</v>
      </c>
      <c r="M1039" t="s">
        <v>31</v>
      </c>
      <c r="N1039" t="s">
        <v>19</v>
      </c>
    </row>
    <row r="1040" spans="1:14">
      <c r="A1040" t="s">
        <v>3720</v>
      </c>
      <c r="B1040" t="s">
        <v>3721</v>
      </c>
      <c r="C1040">
        <v>2009</v>
      </c>
      <c r="D1040" t="s">
        <v>3722</v>
      </c>
      <c r="G1040">
        <v>5137323</v>
      </c>
      <c r="H1040">
        <v>266</v>
      </c>
      <c r="I1040">
        <v>268</v>
      </c>
      <c r="L1040" t="s">
        <v>3723</v>
      </c>
      <c r="M1040" t="s">
        <v>31</v>
      </c>
      <c r="N1040" t="s">
        <v>19</v>
      </c>
    </row>
    <row r="1041" spans="1:14">
      <c r="A1041" t="s">
        <v>230</v>
      </c>
      <c r="B1041" t="s">
        <v>3724</v>
      </c>
      <c r="C1041">
        <v>2009</v>
      </c>
      <c r="D1041" t="s">
        <v>3724</v>
      </c>
      <c r="L1041" t="s">
        <v>3725</v>
      </c>
      <c r="M1041" t="s">
        <v>233</v>
      </c>
      <c r="N1041" t="s">
        <v>19</v>
      </c>
    </row>
    <row r="1042" spans="1:14">
      <c r="A1042" t="s">
        <v>3726</v>
      </c>
      <c r="B1042" t="s">
        <v>3727</v>
      </c>
      <c r="C1042">
        <v>2009</v>
      </c>
      <c r="D1042" t="s">
        <v>3724</v>
      </c>
      <c r="H1042">
        <v>231</v>
      </c>
      <c r="I1042">
        <v>236</v>
      </c>
      <c r="K1042">
        <v>2</v>
      </c>
      <c r="L1042" t="s">
        <v>3728</v>
      </c>
      <c r="M1042" t="s">
        <v>31</v>
      </c>
      <c r="N1042" t="s">
        <v>19</v>
      </c>
    </row>
    <row r="1043" spans="1:14">
      <c r="A1043" t="s">
        <v>3729</v>
      </c>
      <c r="B1043" t="s">
        <v>3730</v>
      </c>
      <c r="C1043">
        <v>2009</v>
      </c>
      <c r="D1043" t="s">
        <v>55</v>
      </c>
      <c r="E1043" t="s">
        <v>3731</v>
      </c>
      <c r="F1043" t="s">
        <v>940</v>
      </c>
      <c r="H1043">
        <v>940</v>
      </c>
      <c r="I1043">
        <v>941</v>
      </c>
      <c r="K1043">
        <v>1</v>
      </c>
      <c r="L1043" t="s">
        <v>3732</v>
      </c>
      <c r="M1043" t="s">
        <v>31</v>
      </c>
      <c r="N1043" t="s">
        <v>19</v>
      </c>
    </row>
    <row r="1044" spans="1:14">
      <c r="A1044" t="s">
        <v>3733</v>
      </c>
      <c r="B1044" t="s">
        <v>3734</v>
      </c>
      <c r="C1044">
        <v>2009</v>
      </c>
      <c r="D1044" t="s">
        <v>1397</v>
      </c>
      <c r="G1044">
        <v>5076278</v>
      </c>
      <c r="H1044">
        <v>778</v>
      </c>
      <c r="I1044">
        <v>785</v>
      </c>
      <c r="K1044">
        <v>1</v>
      </c>
      <c r="L1044" t="s">
        <v>3735</v>
      </c>
      <c r="M1044" t="s">
        <v>31</v>
      </c>
      <c r="N1044" t="s">
        <v>19</v>
      </c>
    </row>
    <row r="1045" spans="1:14">
      <c r="A1045" t="s">
        <v>3736</v>
      </c>
      <c r="B1045" t="s">
        <v>3737</v>
      </c>
      <c r="C1045">
        <v>2009</v>
      </c>
      <c r="D1045" t="s">
        <v>55</v>
      </c>
      <c r="E1045" t="s">
        <v>3738</v>
      </c>
      <c r="H1045">
        <v>424</v>
      </c>
      <c r="I1045">
        <v>433</v>
      </c>
      <c r="L1045" t="s">
        <v>3739</v>
      </c>
      <c r="M1045" t="s">
        <v>31</v>
      </c>
      <c r="N1045" t="s">
        <v>19</v>
      </c>
    </row>
    <row r="1046" spans="1:14">
      <c r="A1046" t="s">
        <v>3740</v>
      </c>
      <c r="B1046" t="s">
        <v>3741</v>
      </c>
      <c r="C1046">
        <v>2009</v>
      </c>
      <c r="D1046" t="s">
        <v>104</v>
      </c>
      <c r="E1046">
        <v>25</v>
      </c>
      <c r="F1046">
        <v>5</v>
      </c>
      <c r="H1046">
        <v>1139</v>
      </c>
      <c r="I1046">
        <v>1155</v>
      </c>
      <c r="K1046">
        <v>16</v>
      </c>
      <c r="L1046" t="s">
        <v>3742</v>
      </c>
      <c r="M1046" t="s">
        <v>18</v>
      </c>
      <c r="N1046" t="s">
        <v>19</v>
      </c>
    </row>
    <row r="1047" spans="1:14">
      <c r="A1047" t="s">
        <v>3743</v>
      </c>
      <c r="B1047" t="s">
        <v>3744</v>
      </c>
      <c r="C1047">
        <v>2009</v>
      </c>
      <c r="D1047" t="s">
        <v>1335</v>
      </c>
      <c r="E1047">
        <v>19</v>
      </c>
      <c r="F1047">
        <v>4</v>
      </c>
      <c r="H1047">
        <v>378</v>
      </c>
      <c r="I1047">
        <v>392</v>
      </c>
      <c r="K1047">
        <v>28</v>
      </c>
      <c r="L1047" t="s">
        <v>3745</v>
      </c>
      <c r="M1047" t="s">
        <v>18</v>
      </c>
      <c r="N1047" t="s">
        <v>19</v>
      </c>
    </row>
    <row r="1048" spans="1:14">
      <c r="A1048" t="s">
        <v>3746</v>
      </c>
      <c r="B1048" t="s">
        <v>3747</v>
      </c>
      <c r="C1048">
        <v>2009</v>
      </c>
      <c r="D1048" t="s">
        <v>55</v>
      </c>
      <c r="E1048" t="s">
        <v>3748</v>
      </c>
      <c r="H1048">
        <v>137</v>
      </c>
      <c r="I1048">
        <v>146</v>
      </c>
      <c r="K1048">
        <v>2</v>
      </c>
      <c r="L1048" t="s">
        <v>3749</v>
      </c>
      <c r="M1048" t="s">
        <v>31</v>
      </c>
      <c r="N1048" t="s">
        <v>19</v>
      </c>
    </row>
    <row r="1049" spans="1:14">
      <c r="A1049" t="s">
        <v>3750</v>
      </c>
      <c r="B1049" t="s">
        <v>3751</v>
      </c>
      <c r="C1049">
        <v>2009</v>
      </c>
      <c r="D1049" t="s">
        <v>3320</v>
      </c>
      <c r="E1049">
        <v>1</v>
      </c>
      <c r="F1049">
        <v>1</v>
      </c>
      <c r="H1049">
        <v>2269</v>
      </c>
      <c r="I1049">
        <v>2273</v>
      </c>
      <c r="K1049">
        <v>7</v>
      </c>
      <c r="L1049" t="s">
        <v>3752</v>
      </c>
      <c r="M1049" t="s">
        <v>18</v>
      </c>
      <c r="N1049" t="s">
        <v>19</v>
      </c>
    </row>
    <row r="1050" spans="1:14">
      <c r="A1050" t="s">
        <v>3753</v>
      </c>
      <c r="B1050" t="s">
        <v>3754</v>
      </c>
      <c r="C1050">
        <v>2009</v>
      </c>
      <c r="D1050" t="s">
        <v>1506</v>
      </c>
      <c r="E1050">
        <v>26</v>
      </c>
      <c r="F1050">
        <v>3</v>
      </c>
      <c r="H1050">
        <v>505</v>
      </c>
      <c r="I1050">
        <v>515</v>
      </c>
      <c r="K1050">
        <v>17</v>
      </c>
      <c r="L1050" t="s">
        <v>3755</v>
      </c>
      <c r="M1050" t="s">
        <v>18</v>
      </c>
      <c r="N1050" t="s">
        <v>19</v>
      </c>
    </row>
    <row r="1051" spans="1:14">
      <c r="A1051" t="s">
        <v>3756</v>
      </c>
      <c r="B1051" t="s">
        <v>3757</v>
      </c>
      <c r="C1051">
        <v>2009</v>
      </c>
      <c r="D1051" t="s">
        <v>72</v>
      </c>
      <c r="E1051">
        <v>4</v>
      </c>
      <c r="F1051">
        <v>6</v>
      </c>
      <c r="G1051" t="s">
        <v>3758</v>
      </c>
      <c r="K1051">
        <v>76</v>
      </c>
      <c r="L1051" t="s">
        <v>3759</v>
      </c>
      <c r="M1051" t="s">
        <v>18</v>
      </c>
      <c r="N1051" t="s">
        <v>19</v>
      </c>
    </row>
    <row r="1052" spans="1:14">
      <c r="A1052" t="s">
        <v>3760</v>
      </c>
      <c r="B1052" t="s">
        <v>3761</v>
      </c>
      <c r="C1052">
        <v>2009</v>
      </c>
      <c r="D1052" t="s">
        <v>108</v>
      </c>
      <c r="E1052">
        <v>47</v>
      </c>
      <c r="F1052">
        <v>3</v>
      </c>
      <c r="H1052">
        <v>254</v>
      </c>
      <c r="I1052">
        <v>265</v>
      </c>
      <c r="K1052">
        <v>23</v>
      </c>
      <c r="L1052" t="s">
        <v>3762</v>
      </c>
      <c r="M1052" t="s">
        <v>18</v>
      </c>
      <c r="N1052" t="s">
        <v>19</v>
      </c>
    </row>
    <row r="1053" spans="1:14">
      <c r="A1053" t="s">
        <v>3763</v>
      </c>
      <c r="B1053" t="s">
        <v>3764</v>
      </c>
      <c r="C1053">
        <v>2009</v>
      </c>
      <c r="D1053" t="s">
        <v>3765</v>
      </c>
      <c r="E1053">
        <v>11</v>
      </c>
      <c r="F1053">
        <v>1</v>
      </c>
      <c r="H1053">
        <v>69</v>
      </c>
      <c r="I1053">
        <v>83</v>
      </c>
      <c r="K1053">
        <v>2</v>
      </c>
      <c r="L1053" t="s">
        <v>3766</v>
      </c>
      <c r="M1053" t="s">
        <v>18</v>
      </c>
      <c r="N1053" t="s">
        <v>19</v>
      </c>
    </row>
    <row r="1054" spans="1:14">
      <c r="A1054" t="s">
        <v>3767</v>
      </c>
      <c r="B1054" t="s">
        <v>3768</v>
      </c>
      <c r="C1054">
        <v>2009</v>
      </c>
      <c r="D1054" t="s">
        <v>3769</v>
      </c>
      <c r="E1054">
        <v>111</v>
      </c>
      <c r="F1054">
        <v>5</v>
      </c>
      <c r="H1054">
        <v>1296</v>
      </c>
      <c r="I1054">
        <v>1327</v>
      </c>
      <c r="K1054">
        <v>15</v>
      </c>
      <c r="L1054" t="s">
        <v>3770</v>
      </c>
      <c r="M1054" t="s">
        <v>18</v>
      </c>
      <c r="N1054" t="s">
        <v>19</v>
      </c>
    </row>
    <row r="1055" spans="1:14">
      <c r="A1055" t="s">
        <v>3771</v>
      </c>
      <c r="B1055" t="s">
        <v>3772</v>
      </c>
      <c r="C1055">
        <v>2009</v>
      </c>
      <c r="D1055" t="s">
        <v>3773</v>
      </c>
      <c r="G1055">
        <v>4801862</v>
      </c>
      <c r="H1055">
        <v>161</v>
      </c>
      <c r="I1055">
        <v>168</v>
      </c>
      <c r="K1055">
        <v>10</v>
      </c>
      <c r="L1055" t="s">
        <v>3774</v>
      </c>
      <c r="M1055" t="s">
        <v>31</v>
      </c>
      <c r="N1055" t="s">
        <v>19</v>
      </c>
    </row>
    <row r="1056" spans="1:14">
      <c r="A1056" t="s">
        <v>3775</v>
      </c>
      <c r="B1056" t="s">
        <v>3776</v>
      </c>
      <c r="C1056">
        <v>2009</v>
      </c>
      <c r="D1056" t="s">
        <v>3777</v>
      </c>
      <c r="E1056">
        <v>3</v>
      </c>
      <c r="G1056">
        <v>4797260</v>
      </c>
      <c r="H1056">
        <v>268</v>
      </c>
      <c r="I1056">
        <v>272</v>
      </c>
      <c r="L1056" t="s">
        <v>3778</v>
      </c>
      <c r="M1056" t="s">
        <v>31</v>
      </c>
      <c r="N1056" t="s">
        <v>19</v>
      </c>
    </row>
    <row r="1057" spans="1:14">
      <c r="A1057" t="s">
        <v>3779</v>
      </c>
      <c r="B1057" t="s">
        <v>3780</v>
      </c>
      <c r="C1057">
        <v>2009</v>
      </c>
      <c r="D1057" t="s">
        <v>3781</v>
      </c>
      <c r="G1057">
        <v>4755694</v>
      </c>
      <c r="L1057" t="s">
        <v>3782</v>
      </c>
      <c r="M1057" t="s">
        <v>31</v>
      </c>
      <c r="N1057" t="s">
        <v>19</v>
      </c>
    </row>
    <row r="1058" spans="1:14">
      <c r="A1058" t="s">
        <v>3783</v>
      </c>
      <c r="B1058" t="s">
        <v>3784</v>
      </c>
      <c r="C1058">
        <v>2009</v>
      </c>
      <c r="D1058" t="s">
        <v>3785</v>
      </c>
      <c r="E1058">
        <v>25</v>
      </c>
      <c r="F1058">
        <v>2</v>
      </c>
      <c r="H1058">
        <v>189</v>
      </c>
      <c r="I1058">
        <v>200</v>
      </c>
      <c r="K1058">
        <v>3</v>
      </c>
      <c r="L1058" t="s">
        <v>3786</v>
      </c>
      <c r="M1058" t="s">
        <v>18</v>
      </c>
      <c r="N1058" t="s">
        <v>19</v>
      </c>
    </row>
    <row r="1059" spans="1:14">
      <c r="A1059" t="s">
        <v>3787</v>
      </c>
      <c r="B1059" t="s">
        <v>3788</v>
      </c>
      <c r="C1059">
        <v>2009</v>
      </c>
      <c r="D1059" t="s">
        <v>1613</v>
      </c>
      <c r="E1059">
        <v>12</v>
      </c>
      <c r="F1059">
        <v>1</v>
      </c>
      <c r="H1059">
        <v>66</v>
      </c>
      <c r="I1059">
        <v>109</v>
      </c>
      <c r="K1059">
        <v>7</v>
      </c>
      <c r="L1059" t="s">
        <v>3789</v>
      </c>
      <c r="M1059" t="s">
        <v>18</v>
      </c>
      <c r="N1059" t="s">
        <v>19</v>
      </c>
    </row>
    <row r="1060" spans="1:14">
      <c r="A1060" t="s">
        <v>3790</v>
      </c>
      <c r="B1060" t="s">
        <v>3791</v>
      </c>
      <c r="C1060">
        <v>2009</v>
      </c>
      <c r="D1060" t="s">
        <v>3792</v>
      </c>
      <c r="E1060">
        <v>60</v>
      </c>
      <c r="F1060">
        <v>1</v>
      </c>
      <c r="H1060">
        <v>86</v>
      </c>
      <c r="I1060">
        <v>100</v>
      </c>
      <c r="K1060">
        <v>6</v>
      </c>
      <c r="L1060" t="s">
        <v>3793</v>
      </c>
      <c r="M1060" t="s">
        <v>18</v>
      </c>
      <c r="N1060" t="s">
        <v>19</v>
      </c>
    </row>
    <row r="1061" spans="1:14">
      <c r="A1061" t="s">
        <v>3794</v>
      </c>
      <c r="B1061" t="s">
        <v>3795</v>
      </c>
      <c r="C1061">
        <v>2009</v>
      </c>
      <c r="D1061" t="s">
        <v>3796</v>
      </c>
      <c r="E1061">
        <v>18</v>
      </c>
      <c r="F1061">
        <v>1</v>
      </c>
      <c r="H1061">
        <v>7</v>
      </c>
      <c r="I1061">
        <v>44</v>
      </c>
      <c r="K1061">
        <v>46</v>
      </c>
      <c r="L1061" t="s">
        <v>3797</v>
      </c>
      <c r="M1061" t="s">
        <v>18</v>
      </c>
      <c r="N1061" t="s">
        <v>19</v>
      </c>
    </row>
    <row r="1062" spans="1:14">
      <c r="A1062" t="s">
        <v>3798</v>
      </c>
      <c r="B1062" t="s">
        <v>3799</v>
      </c>
      <c r="C1062">
        <v>2009</v>
      </c>
      <c r="D1062" t="s">
        <v>3800</v>
      </c>
      <c r="E1062">
        <v>7</v>
      </c>
      <c r="F1062">
        <v>1</v>
      </c>
      <c r="H1062">
        <v>1</v>
      </c>
      <c r="I1062">
        <v>22</v>
      </c>
      <c r="K1062">
        <v>1</v>
      </c>
      <c r="L1062" t="s">
        <v>3801</v>
      </c>
      <c r="M1062" t="s">
        <v>18</v>
      </c>
      <c r="N1062" t="s">
        <v>19</v>
      </c>
    </row>
    <row r="1063" spans="1:14">
      <c r="A1063" t="s">
        <v>3802</v>
      </c>
      <c r="B1063" t="s">
        <v>3803</v>
      </c>
      <c r="C1063">
        <v>2008</v>
      </c>
      <c r="D1063" t="s">
        <v>3205</v>
      </c>
      <c r="E1063">
        <v>2</v>
      </c>
      <c r="H1063">
        <v>1162</v>
      </c>
      <c r="I1063">
        <v>1168</v>
      </c>
      <c r="K1063">
        <v>2</v>
      </c>
      <c r="L1063" t="s">
        <v>3804</v>
      </c>
      <c r="M1063" t="s">
        <v>31</v>
      </c>
      <c r="N1063" t="s">
        <v>19</v>
      </c>
    </row>
    <row r="1064" spans="1:14">
      <c r="A1064" t="s">
        <v>3805</v>
      </c>
      <c r="B1064" t="s">
        <v>3806</v>
      </c>
      <c r="C1064">
        <v>2008</v>
      </c>
      <c r="D1064" t="s">
        <v>3807</v>
      </c>
      <c r="H1064">
        <v>665</v>
      </c>
      <c r="I1064">
        <v>674</v>
      </c>
      <c r="K1064">
        <v>92</v>
      </c>
      <c r="L1064" t="s">
        <v>3808</v>
      </c>
      <c r="M1064" t="s">
        <v>31</v>
      </c>
      <c r="N1064" t="s">
        <v>19</v>
      </c>
    </row>
    <row r="1065" spans="1:14">
      <c r="A1065" t="s">
        <v>3809</v>
      </c>
      <c r="B1065" t="s">
        <v>3810</v>
      </c>
      <c r="C1065">
        <v>2008</v>
      </c>
      <c r="D1065" t="s">
        <v>3811</v>
      </c>
      <c r="G1065">
        <v>1384384</v>
      </c>
      <c r="H1065">
        <v>342</v>
      </c>
      <c r="L1065" t="s">
        <v>3812</v>
      </c>
      <c r="M1065" t="s">
        <v>31</v>
      </c>
      <c r="N1065" t="s">
        <v>19</v>
      </c>
    </row>
    <row r="1066" spans="1:14">
      <c r="A1066" t="s">
        <v>3813</v>
      </c>
      <c r="B1066" t="s">
        <v>3814</v>
      </c>
      <c r="C1066">
        <v>2008</v>
      </c>
      <c r="D1066" t="s">
        <v>3815</v>
      </c>
      <c r="H1066">
        <v>449</v>
      </c>
      <c r="I1066">
        <v>455</v>
      </c>
      <c r="K1066">
        <v>1</v>
      </c>
      <c r="L1066" t="s">
        <v>3816</v>
      </c>
      <c r="M1066" t="s">
        <v>31</v>
      </c>
      <c r="N1066" t="s">
        <v>19</v>
      </c>
    </row>
    <row r="1067" spans="1:14">
      <c r="A1067" t="s">
        <v>3817</v>
      </c>
      <c r="B1067" t="s">
        <v>3818</v>
      </c>
      <c r="C1067">
        <v>2008</v>
      </c>
      <c r="D1067" t="s">
        <v>3819</v>
      </c>
      <c r="E1067">
        <v>5</v>
      </c>
      <c r="H1067">
        <v>2827</v>
      </c>
      <c r="I1067">
        <v>2835</v>
      </c>
      <c r="L1067" t="s">
        <v>3820</v>
      </c>
      <c r="M1067" t="s">
        <v>31</v>
      </c>
      <c r="N1067" t="s">
        <v>19</v>
      </c>
    </row>
    <row r="1068" spans="1:14">
      <c r="A1068" t="s">
        <v>3821</v>
      </c>
      <c r="B1068" t="s">
        <v>3822</v>
      </c>
      <c r="C1068">
        <v>2008</v>
      </c>
      <c r="D1068" t="s">
        <v>206</v>
      </c>
      <c r="H1068">
        <v>585</v>
      </c>
      <c r="I1068">
        <v>593</v>
      </c>
      <c r="K1068">
        <v>1</v>
      </c>
      <c r="L1068" t="s">
        <v>3823</v>
      </c>
      <c r="M1068" t="s">
        <v>18</v>
      </c>
      <c r="N1068" t="s">
        <v>19</v>
      </c>
    </row>
    <row r="1069" spans="1:14">
      <c r="A1069" t="s">
        <v>3824</v>
      </c>
      <c r="B1069" t="s">
        <v>3825</v>
      </c>
      <c r="C1069">
        <v>2008</v>
      </c>
      <c r="D1069" t="s">
        <v>3826</v>
      </c>
      <c r="L1069" t="s">
        <v>3827</v>
      </c>
      <c r="M1069" t="s">
        <v>31</v>
      </c>
      <c r="N1069" t="s">
        <v>19</v>
      </c>
    </row>
    <row r="1070" spans="1:14">
      <c r="A1070" t="s">
        <v>3828</v>
      </c>
      <c r="B1070" t="s">
        <v>3829</v>
      </c>
      <c r="C1070">
        <v>2008</v>
      </c>
      <c r="D1070" t="s">
        <v>3830</v>
      </c>
      <c r="L1070" t="s">
        <v>3831</v>
      </c>
      <c r="M1070" t="s">
        <v>31</v>
      </c>
      <c r="N1070" t="s">
        <v>19</v>
      </c>
    </row>
    <row r="1071" spans="1:14">
      <c r="A1071" t="s">
        <v>3832</v>
      </c>
      <c r="B1071" t="s">
        <v>3833</v>
      </c>
      <c r="C1071">
        <v>2008</v>
      </c>
      <c r="D1071" t="s">
        <v>3834</v>
      </c>
      <c r="G1071">
        <v>4720419</v>
      </c>
      <c r="H1071" t="s">
        <v>3835</v>
      </c>
      <c r="I1071" t="s">
        <v>3836</v>
      </c>
      <c r="L1071" t="s">
        <v>3837</v>
      </c>
      <c r="M1071" t="s">
        <v>31</v>
      </c>
      <c r="N1071" t="s">
        <v>19</v>
      </c>
    </row>
    <row r="1072" spans="1:14">
      <c r="A1072" t="s">
        <v>3838</v>
      </c>
      <c r="B1072" t="s">
        <v>3839</v>
      </c>
      <c r="C1072">
        <v>2008</v>
      </c>
      <c r="D1072" t="s">
        <v>3840</v>
      </c>
      <c r="G1072">
        <v>4743858</v>
      </c>
      <c r="H1072">
        <v>224</v>
      </c>
      <c r="I1072">
        <v>229</v>
      </c>
      <c r="L1072" t="s">
        <v>3841</v>
      </c>
      <c r="M1072" t="s">
        <v>31</v>
      </c>
      <c r="N1072" t="s">
        <v>19</v>
      </c>
    </row>
    <row r="1073" spans="1:14">
      <c r="A1073" t="s">
        <v>3842</v>
      </c>
      <c r="B1073" t="s">
        <v>3843</v>
      </c>
      <c r="C1073">
        <v>2008</v>
      </c>
      <c r="D1073" t="s">
        <v>3826</v>
      </c>
      <c r="L1073" t="s">
        <v>3844</v>
      </c>
      <c r="M1073" t="s">
        <v>31</v>
      </c>
      <c r="N1073" t="s">
        <v>19</v>
      </c>
    </row>
    <row r="1074" spans="1:14">
      <c r="A1074" t="s">
        <v>3845</v>
      </c>
      <c r="B1074" t="s">
        <v>3846</v>
      </c>
      <c r="C1074">
        <v>2008</v>
      </c>
      <c r="D1074" t="s">
        <v>3847</v>
      </c>
      <c r="G1074">
        <v>4736745</v>
      </c>
      <c r="H1074">
        <v>95</v>
      </c>
      <c r="I1074">
        <v>102</v>
      </c>
      <c r="K1074">
        <v>2</v>
      </c>
      <c r="L1074" t="s">
        <v>3848</v>
      </c>
      <c r="M1074" t="s">
        <v>31</v>
      </c>
      <c r="N1074" t="s">
        <v>19</v>
      </c>
    </row>
    <row r="1075" spans="1:14">
      <c r="A1075" t="s">
        <v>3849</v>
      </c>
      <c r="B1075" t="s">
        <v>3850</v>
      </c>
      <c r="C1075">
        <v>2008</v>
      </c>
      <c r="D1075" t="s">
        <v>3851</v>
      </c>
      <c r="G1075">
        <v>4740809</v>
      </c>
      <c r="H1075">
        <v>406</v>
      </c>
      <c r="I1075">
        <v>409</v>
      </c>
      <c r="L1075" t="s">
        <v>3852</v>
      </c>
      <c r="M1075" t="s">
        <v>31</v>
      </c>
      <c r="N1075" t="s">
        <v>19</v>
      </c>
    </row>
    <row r="1076" spans="1:14">
      <c r="A1076" t="s">
        <v>3853</v>
      </c>
      <c r="B1076" t="s">
        <v>3854</v>
      </c>
      <c r="C1076">
        <v>2008</v>
      </c>
      <c r="D1076" t="s">
        <v>3855</v>
      </c>
      <c r="E1076">
        <v>25</v>
      </c>
      <c r="F1076">
        <v>6</v>
      </c>
      <c r="H1076">
        <v>147</v>
      </c>
      <c r="I1076">
        <v>151</v>
      </c>
      <c r="K1076">
        <v>3</v>
      </c>
      <c r="L1076" t="s">
        <v>3856</v>
      </c>
      <c r="M1076" t="s">
        <v>18</v>
      </c>
      <c r="N1076" t="s">
        <v>19</v>
      </c>
    </row>
    <row r="1077" spans="1:14">
      <c r="A1077" t="s">
        <v>1489</v>
      </c>
      <c r="B1077" t="s">
        <v>3857</v>
      </c>
      <c r="C1077">
        <v>2008</v>
      </c>
      <c r="D1077" t="s">
        <v>3830</v>
      </c>
      <c r="L1077" t="s">
        <v>3858</v>
      </c>
      <c r="M1077" t="s">
        <v>31</v>
      </c>
      <c r="N1077" t="s">
        <v>19</v>
      </c>
    </row>
    <row r="1078" spans="1:14">
      <c r="A1078" t="s">
        <v>3859</v>
      </c>
      <c r="B1078" t="s">
        <v>3860</v>
      </c>
      <c r="C1078">
        <v>2008</v>
      </c>
      <c r="D1078" t="s">
        <v>3826</v>
      </c>
      <c r="L1078" t="s">
        <v>3861</v>
      </c>
      <c r="M1078" t="s">
        <v>31</v>
      </c>
      <c r="N1078" t="s">
        <v>19</v>
      </c>
    </row>
    <row r="1079" spans="1:14">
      <c r="A1079" t="s">
        <v>3862</v>
      </c>
      <c r="B1079" t="s">
        <v>3863</v>
      </c>
      <c r="C1079">
        <v>2008</v>
      </c>
      <c r="D1079" t="s">
        <v>3864</v>
      </c>
      <c r="H1079">
        <v>857</v>
      </c>
      <c r="I1079">
        <v>864</v>
      </c>
      <c r="L1079" t="s">
        <v>3865</v>
      </c>
      <c r="M1079" t="s">
        <v>31</v>
      </c>
      <c r="N1079" t="s">
        <v>19</v>
      </c>
    </row>
    <row r="1080" spans="1:14">
      <c r="A1080" t="s">
        <v>3866</v>
      </c>
      <c r="B1080" t="s">
        <v>3867</v>
      </c>
      <c r="C1080">
        <v>2008</v>
      </c>
      <c r="D1080" t="s">
        <v>3868</v>
      </c>
      <c r="E1080">
        <v>5</v>
      </c>
      <c r="G1080">
        <v>4722863</v>
      </c>
      <c r="H1080">
        <v>146</v>
      </c>
      <c r="I1080">
        <v>149</v>
      </c>
      <c r="L1080" t="s">
        <v>3869</v>
      </c>
      <c r="M1080" t="s">
        <v>31</v>
      </c>
      <c r="N1080" t="s">
        <v>19</v>
      </c>
    </row>
    <row r="1081" spans="1:14">
      <c r="A1081" t="s">
        <v>3870</v>
      </c>
      <c r="B1081" t="s">
        <v>3871</v>
      </c>
      <c r="C1081">
        <v>2008</v>
      </c>
      <c r="D1081" t="s">
        <v>3826</v>
      </c>
      <c r="L1081" t="s">
        <v>3872</v>
      </c>
      <c r="M1081" t="s">
        <v>31</v>
      </c>
      <c r="N1081" t="s">
        <v>19</v>
      </c>
    </row>
    <row r="1082" spans="1:14">
      <c r="A1082" t="s">
        <v>3873</v>
      </c>
      <c r="B1082" t="s">
        <v>3874</v>
      </c>
      <c r="C1082">
        <v>2008</v>
      </c>
      <c r="D1082" t="s">
        <v>3875</v>
      </c>
      <c r="L1082" t="s">
        <v>3876</v>
      </c>
      <c r="M1082" t="s">
        <v>31</v>
      </c>
      <c r="N1082" t="s">
        <v>19</v>
      </c>
    </row>
    <row r="1083" spans="1:14">
      <c r="A1083" t="s">
        <v>3877</v>
      </c>
      <c r="B1083" t="s">
        <v>3878</v>
      </c>
      <c r="C1083">
        <v>2008</v>
      </c>
      <c r="D1083" t="s">
        <v>3879</v>
      </c>
      <c r="L1083" t="s">
        <v>3880</v>
      </c>
      <c r="M1083" t="s">
        <v>31</v>
      </c>
      <c r="N1083" t="s">
        <v>19</v>
      </c>
    </row>
    <row r="1084" spans="1:14">
      <c r="A1084" t="s">
        <v>3881</v>
      </c>
      <c r="B1084" t="s">
        <v>3882</v>
      </c>
      <c r="C1084">
        <v>2008</v>
      </c>
      <c r="D1084" t="s">
        <v>3819</v>
      </c>
      <c r="E1084">
        <v>5</v>
      </c>
      <c r="H1084">
        <v>2805</v>
      </c>
      <c r="I1084">
        <v>2814</v>
      </c>
      <c r="L1084" t="s">
        <v>3883</v>
      </c>
      <c r="M1084" t="s">
        <v>31</v>
      </c>
      <c r="N1084" t="s">
        <v>19</v>
      </c>
    </row>
    <row r="1085" spans="1:14">
      <c r="A1085" t="s">
        <v>3884</v>
      </c>
      <c r="B1085" t="s">
        <v>3885</v>
      </c>
      <c r="C1085">
        <v>2008</v>
      </c>
      <c r="D1085" t="s">
        <v>3886</v>
      </c>
      <c r="L1085" t="s">
        <v>3887</v>
      </c>
      <c r="M1085" t="s">
        <v>31</v>
      </c>
      <c r="N1085" t="s">
        <v>19</v>
      </c>
    </row>
    <row r="1086" spans="1:14">
      <c r="A1086" t="s">
        <v>3888</v>
      </c>
      <c r="B1086" t="s">
        <v>3889</v>
      </c>
      <c r="C1086">
        <v>2008</v>
      </c>
      <c r="D1086" t="s">
        <v>3826</v>
      </c>
      <c r="K1086">
        <v>1</v>
      </c>
      <c r="L1086" t="s">
        <v>3890</v>
      </c>
      <c r="M1086" t="s">
        <v>31</v>
      </c>
      <c r="N1086" t="s">
        <v>19</v>
      </c>
    </row>
    <row r="1087" spans="1:14">
      <c r="A1087" t="s">
        <v>3891</v>
      </c>
      <c r="B1087" t="s">
        <v>3892</v>
      </c>
      <c r="C1087">
        <v>2008</v>
      </c>
      <c r="D1087" t="s">
        <v>3826</v>
      </c>
      <c r="L1087" t="s">
        <v>3893</v>
      </c>
      <c r="M1087" t="s">
        <v>31</v>
      </c>
      <c r="N1087" t="s">
        <v>19</v>
      </c>
    </row>
    <row r="1088" spans="1:14">
      <c r="A1088" t="s">
        <v>3894</v>
      </c>
      <c r="B1088" t="s">
        <v>3895</v>
      </c>
      <c r="C1088">
        <v>2008</v>
      </c>
      <c r="D1088" t="s">
        <v>206</v>
      </c>
      <c r="H1088">
        <v>625</v>
      </c>
      <c r="I1088">
        <v>634</v>
      </c>
      <c r="L1088" t="s">
        <v>3896</v>
      </c>
      <c r="M1088" t="s">
        <v>18</v>
      </c>
      <c r="N1088" t="s">
        <v>19</v>
      </c>
    </row>
    <row r="1089" spans="1:14">
      <c r="A1089" t="s">
        <v>3897</v>
      </c>
      <c r="B1089" t="s">
        <v>3898</v>
      </c>
      <c r="C1089">
        <v>2008</v>
      </c>
      <c r="D1089" t="s">
        <v>3826</v>
      </c>
      <c r="L1089" t="s">
        <v>3899</v>
      </c>
      <c r="M1089" t="s">
        <v>31</v>
      </c>
      <c r="N1089" t="s">
        <v>19</v>
      </c>
    </row>
    <row r="1090" spans="1:14">
      <c r="A1090" t="s">
        <v>3900</v>
      </c>
      <c r="B1090" t="s">
        <v>3901</v>
      </c>
      <c r="C1090">
        <v>2008</v>
      </c>
      <c r="D1090" t="s">
        <v>290</v>
      </c>
      <c r="H1090">
        <v>931</v>
      </c>
      <c r="I1090">
        <v>940</v>
      </c>
      <c r="K1090">
        <v>49</v>
      </c>
      <c r="L1090" t="s">
        <v>3902</v>
      </c>
      <c r="M1090" t="s">
        <v>31</v>
      </c>
      <c r="N1090" t="s">
        <v>19</v>
      </c>
    </row>
    <row r="1091" spans="1:14">
      <c r="A1091" t="s">
        <v>3903</v>
      </c>
      <c r="B1091" t="s">
        <v>3904</v>
      </c>
      <c r="C1091">
        <v>2008</v>
      </c>
      <c r="D1091" t="s">
        <v>3201</v>
      </c>
      <c r="E1091">
        <v>10</v>
      </c>
      <c r="F1091">
        <v>6</v>
      </c>
      <c r="H1091">
        <v>871</v>
      </c>
      <c r="I1091">
        <v>891</v>
      </c>
      <c r="K1091">
        <v>16</v>
      </c>
      <c r="L1091" t="s">
        <v>3905</v>
      </c>
      <c r="M1091" t="s">
        <v>18</v>
      </c>
      <c r="N1091" t="s">
        <v>19</v>
      </c>
    </row>
    <row r="1092" spans="1:14">
      <c r="A1092" t="s">
        <v>3906</v>
      </c>
      <c r="B1092" t="s">
        <v>3907</v>
      </c>
      <c r="C1092">
        <v>2008</v>
      </c>
      <c r="D1092" t="s">
        <v>3826</v>
      </c>
      <c r="L1092" t="s">
        <v>3908</v>
      </c>
      <c r="M1092" t="s">
        <v>31</v>
      </c>
      <c r="N1092" t="s">
        <v>19</v>
      </c>
    </row>
    <row r="1093" spans="1:14">
      <c r="A1093" t="s">
        <v>3873</v>
      </c>
      <c r="B1093" t="s">
        <v>3909</v>
      </c>
      <c r="C1093">
        <v>2008</v>
      </c>
      <c r="D1093" t="s">
        <v>3819</v>
      </c>
      <c r="E1093">
        <v>6</v>
      </c>
      <c r="H1093">
        <v>3484</v>
      </c>
      <c r="I1093">
        <v>3491</v>
      </c>
      <c r="L1093" t="s">
        <v>3910</v>
      </c>
      <c r="M1093" t="s">
        <v>31</v>
      </c>
      <c r="N1093" t="s">
        <v>19</v>
      </c>
    </row>
    <row r="1094" spans="1:14">
      <c r="A1094" t="s">
        <v>3911</v>
      </c>
      <c r="B1094" t="s">
        <v>3912</v>
      </c>
      <c r="C1094">
        <v>2008</v>
      </c>
      <c r="D1094" t="s">
        <v>3886</v>
      </c>
      <c r="L1094" t="s">
        <v>3913</v>
      </c>
      <c r="M1094" t="s">
        <v>31</v>
      </c>
      <c r="N1094" t="s">
        <v>19</v>
      </c>
    </row>
    <row r="1095" spans="1:14">
      <c r="A1095" t="s">
        <v>3914</v>
      </c>
      <c r="B1095" t="s">
        <v>3915</v>
      </c>
      <c r="C1095">
        <v>2008</v>
      </c>
      <c r="D1095" t="s">
        <v>1577</v>
      </c>
      <c r="H1095">
        <v>393</v>
      </c>
      <c r="I1095">
        <v>402</v>
      </c>
      <c r="K1095">
        <v>8</v>
      </c>
      <c r="L1095" t="s">
        <v>3916</v>
      </c>
      <c r="M1095" t="s">
        <v>31</v>
      </c>
      <c r="N1095" t="s">
        <v>19</v>
      </c>
    </row>
    <row r="1096" spans="1:14">
      <c r="A1096" t="s">
        <v>3917</v>
      </c>
      <c r="B1096" t="s">
        <v>3918</v>
      </c>
      <c r="C1096">
        <v>2008</v>
      </c>
      <c r="D1096" t="s">
        <v>3819</v>
      </c>
      <c r="E1096">
        <v>5</v>
      </c>
      <c r="H1096">
        <v>2836</v>
      </c>
      <c r="I1096">
        <v>2846</v>
      </c>
      <c r="L1096" t="s">
        <v>3919</v>
      </c>
      <c r="M1096" t="s">
        <v>31</v>
      </c>
      <c r="N1096" t="s">
        <v>19</v>
      </c>
    </row>
    <row r="1097" spans="1:14">
      <c r="A1097" t="s">
        <v>3920</v>
      </c>
      <c r="B1097" t="s">
        <v>3921</v>
      </c>
      <c r="C1097">
        <v>2008</v>
      </c>
      <c r="D1097" t="s">
        <v>3922</v>
      </c>
      <c r="L1097" t="s">
        <v>3923</v>
      </c>
      <c r="M1097" t="s">
        <v>31</v>
      </c>
      <c r="N1097" t="s">
        <v>19</v>
      </c>
    </row>
    <row r="1098" spans="1:14">
      <c r="A1098" t="s">
        <v>3924</v>
      </c>
      <c r="B1098" t="s">
        <v>3925</v>
      </c>
      <c r="C1098">
        <v>2008</v>
      </c>
      <c r="D1098" t="s">
        <v>206</v>
      </c>
      <c r="H1098">
        <v>289</v>
      </c>
      <c r="I1098">
        <v>296</v>
      </c>
      <c r="K1098">
        <v>2</v>
      </c>
      <c r="L1098" t="s">
        <v>3926</v>
      </c>
      <c r="M1098" t="s">
        <v>18</v>
      </c>
      <c r="N1098" t="s">
        <v>19</v>
      </c>
    </row>
    <row r="1099" spans="1:14">
      <c r="A1099" t="s">
        <v>3927</v>
      </c>
      <c r="B1099" t="s">
        <v>3928</v>
      </c>
      <c r="C1099">
        <v>2008</v>
      </c>
      <c r="D1099" t="s">
        <v>290</v>
      </c>
      <c r="H1099">
        <v>1379</v>
      </c>
      <c r="I1099">
        <v>1380</v>
      </c>
      <c r="L1099" t="s">
        <v>3929</v>
      </c>
      <c r="M1099" t="s">
        <v>31</v>
      </c>
      <c r="N1099" t="s">
        <v>19</v>
      </c>
    </row>
    <row r="1100" spans="1:14">
      <c r="A1100" t="s">
        <v>3930</v>
      </c>
      <c r="B1100" t="s">
        <v>3931</v>
      </c>
      <c r="C1100">
        <v>2008</v>
      </c>
      <c r="D1100" t="s">
        <v>3922</v>
      </c>
      <c r="L1100" t="s">
        <v>3932</v>
      </c>
      <c r="M1100" t="s">
        <v>31</v>
      </c>
      <c r="N1100" t="s">
        <v>19</v>
      </c>
    </row>
    <row r="1101" spans="1:14">
      <c r="A1101" t="s">
        <v>230</v>
      </c>
      <c r="B1101" t="s">
        <v>3933</v>
      </c>
      <c r="C1101">
        <v>2008</v>
      </c>
      <c r="D1101" t="s">
        <v>55</v>
      </c>
      <c r="E1101" t="s">
        <v>3934</v>
      </c>
      <c r="L1101" t="s">
        <v>3935</v>
      </c>
      <c r="M1101" t="s">
        <v>233</v>
      </c>
      <c r="N1101" t="s">
        <v>19</v>
      </c>
    </row>
    <row r="1102" spans="1:14">
      <c r="A1102" t="s">
        <v>3936</v>
      </c>
      <c r="B1102" t="s">
        <v>3937</v>
      </c>
      <c r="C1102">
        <v>2008</v>
      </c>
      <c r="D1102" t="s">
        <v>55</v>
      </c>
      <c r="E1102" t="s">
        <v>3938</v>
      </c>
      <c r="H1102">
        <v>11</v>
      </c>
      <c r="I1102">
        <v>21</v>
      </c>
      <c r="L1102" t="s">
        <v>3939</v>
      </c>
      <c r="M1102" t="s">
        <v>31</v>
      </c>
      <c r="N1102" t="s">
        <v>19</v>
      </c>
    </row>
    <row r="1103" spans="1:14">
      <c r="A1103" t="s">
        <v>3940</v>
      </c>
      <c r="B1103" t="s">
        <v>3941</v>
      </c>
      <c r="C1103">
        <v>2008</v>
      </c>
      <c r="D1103" t="s">
        <v>55</v>
      </c>
      <c r="E1103" t="s">
        <v>3942</v>
      </c>
      <c r="H1103">
        <v>203</v>
      </c>
      <c r="I1103">
        <v>215</v>
      </c>
      <c r="K1103">
        <v>1</v>
      </c>
      <c r="L1103" t="s">
        <v>3943</v>
      </c>
      <c r="M1103" t="s">
        <v>31</v>
      </c>
      <c r="N1103" t="s">
        <v>19</v>
      </c>
    </row>
    <row r="1104" spans="1:14">
      <c r="A1104" t="s">
        <v>3944</v>
      </c>
      <c r="B1104" t="s">
        <v>3945</v>
      </c>
      <c r="C1104">
        <v>2008</v>
      </c>
      <c r="D1104" t="s">
        <v>3946</v>
      </c>
      <c r="E1104">
        <v>17</v>
      </c>
      <c r="F1104">
        <v>6</v>
      </c>
      <c r="H1104">
        <v>603</v>
      </c>
      <c r="I1104">
        <v>610</v>
      </c>
      <c r="K1104">
        <v>1</v>
      </c>
      <c r="L1104" t="s">
        <v>3947</v>
      </c>
      <c r="M1104" t="s">
        <v>18</v>
      </c>
      <c r="N1104" t="s">
        <v>19</v>
      </c>
    </row>
    <row r="1105" spans="1:14">
      <c r="A1105" t="s">
        <v>3948</v>
      </c>
      <c r="B1105" t="s">
        <v>3949</v>
      </c>
      <c r="C1105">
        <v>2008</v>
      </c>
      <c r="D1105" t="s">
        <v>55</v>
      </c>
      <c r="E1105" t="s">
        <v>3950</v>
      </c>
      <c r="H1105">
        <v>125</v>
      </c>
      <c r="I1105">
        <v>136</v>
      </c>
      <c r="K1105">
        <v>3</v>
      </c>
      <c r="L1105" t="s">
        <v>3951</v>
      </c>
      <c r="M1105" t="s">
        <v>31</v>
      </c>
      <c r="N1105" t="s">
        <v>19</v>
      </c>
    </row>
    <row r="1106" spans="1:14">
      <c r="A1106" t="s">
        <v>3952</v>
      </c>
      <c r="B1106" t="s">
        <v>3953</v>
      </c>
      <c r="C1106">
        <v>2008</v>
      </c>
      <c r="D1106" t="s">
        <v>1008</v>
      </c>
      <c r="E1106" t="s">
        <v>3954</v>
      </c>
      <c r="H1106">
        <v>116</v>
      </c>
      <c r="I1106">
        <v>121</v>
      </c>
      <c r="K1106">
        <v>2</v>
      </c>
      <c r="L1106" t="s">
        <v>3955</v>
      </c>
      <c r="M1106" t="s">
        <v>31</v>
      </c>
      <c r="N1106" t="s">
        <v>19</v>
      </c>
    </row>
    <row r="1107" spans="1:14">
      <c r="A1107" t="s">
        <v>3956</v>
      </c>
      <c r="B1107" t="s">
        <v>3957</v>
      </c>
      <c r="C1107">
        <v>2008</v>
      </c>
      <c r="D1107" t="s">
        <v>1445</v>
      </c>
      <c r="E1107">
        <v>13</v>
      </c>
      <c r="F1107">
        <v>5</v>
      </c>
      <c r="K1107">
        <v>4</v>
      </c>
      <c r="L1107" t="s">
        <v>3958</v>
      </c>
      <c r="M1107" t="s">
        <v>18</v>
      </c>
      <c r="N1107" t="s">
        <v>19</v>
      </c>
    </row>
    <row r="1108" spans="1:14">
      <c r="A1108" t="s">
        <v>3959</v>
      </c>
      <c r="B1108" t="s">
        <v>3960</v>
      </c>
      <c r="C1108">
        <v>2008</v>
      </c>
      <c r="D1108" t="s">
        <v>3961</v>
      </c>
      <c r="G1108">
        <v>4565020</v>
      </c>
      <c r="H1108">
        <v>1</v>
      </c>
      <c r="I1108">
        <v>6</v>
      </c>
      <c r="K1108">
        <v>3</v>
      </c>
      <c r="L1108" t="s">
        <v>3962</v>
      </c>
      <c r="M1108" t="s">
        <v>31</v>
      </c>
      <c r="N1108" t="s">
        <v>19</v>
      </c>
    </row>
    <row r="1109" spans="1:14">
      <c r="A1109" t="s">
        <v>230</v>
      </c>
      <c r="B1109" t="s">
        <v>3961</v>
      </c>
      <c r="C1109">
        <v>2008</v>
      </c>
      <c r="D1109" t="s">
        <v>3961</v>
      </c>
      <c r="L1109" t="s">
        <v>3963</v>
      </c>
      <c r="M1109" t="s">
        <v>233</v>
      </c>
      <c r="N1109" t="s">
        <v>19</v>
      </c>
    </row>
    <row r="1110" spans="1:14">
      <c r="A1110" t="s">
        <v>3964</v>
      </c>
      <c r="B1110" t="s">
        <v>3965</v>
      </c>
      <c r="C1110">
        <v>2008</v>
      </c>
      <c r="D1110" t="s">
        <v>3966</v>
      </c>
      <c r="E1110">
        <v>19</v>
      </c>
      <c r="F1110">
        <v>3</v>
      </c>
      <c r="H1110">
        <v>335</v>
      </c>
      <c r="I1110">
        <v>350</v>
      </c>
      <c r="K1110">
        <v>12</v>
      </c>
      <c r="L1110" t="s">
        <v>3967</v>
      </c>
      <c r="M1110" t="s">
        <v>18</v>
      </c>
      <c r="N1110" t="s">
        <v>19</v>
      </c>
    </row>
    <row r="1111" spans="1:14">
      <c r="A1111" t="s">
        <v>3968</v>
      </c>
      <c r="B1111" t="s">
        <v>3969</v>
      </c>
      <c r="C1111">
        <v>2008</v>
      </c>
      <c r="D1111" t="s">
        <v>3970</v>
      </c>
      <c r="E1111">
        <v>52</v>
      </c>
      <c r="F1111">
        <v>1</v>
      </c>
      <c r="H1111">
        <v>95</v>
      </c>
      <c r="I1111">
        <v>112</v>
      </c>
      <c r="K1111">
        <v>4</v>
      </c>
      <c r="L1111" t="s">
        <v>3971</v>
      </c>
      <c r="M1111" t="s">
        <v>31</v>
      </c>
      <c r="N1111" t="s">
        <v>19</v>
      </c>
    </row>
    <row r="1112" spans="1:14">
      <c r="A1112" t="s">
        <v>3972</v>
      </c>
      <c r="B1112" t="s">
        <v>3973</v>
      </c>
      <c r="C1112">
        <v>2008</v>
      </c>
      <c r="D1112" t="s">
        <v>3974</v>
      </c>
      <c r="E1112">
        <v>20</v>
      </c>
      <c r="F1112">
        <v>8</v>
      </c>
      <c r="G1112">
        <v>4358968</v>
      </c>
      <c r="H1112">
        <v>1039</v>
      </c>
      <c r="I1112">
        <v>1052</v>
      </c>
      <c r="K1112">
        <v>18</v>
      </c>
      <c r="L1112" t="s">
        <v>3975</v>
      </c>
      <c r="M1112" t="s">
        <v>31</v>
      </c>
      <c r="N1112" t="s">
        <v>19</v>
      </c>
    </row>
    <row r="1113" spans="1:14">
      <c r="A1113" t="s">
        <v>3976</v>
      </c>
      <c r="B1113" t="s">
        <v>3977</v>
      </c>
      <c r="C1113">
        <v>2008</v>
      </c>
      <c r="D1113" t="s">
        <v>1700</v>
      </c>
      <c r="E1113">
        <v>13</v>
      </c>
      <c r="F1113">
        <v>4</v>
      </c>
      <c r="H1113">
        <v>856</v>
      </c>
      <c r="I1113">
        <v>879</v>
      </c>
      <c r="K1113">
        <v>16</v>
      </c>
      <c r="L1113" t="s">
        <v>3978</v>
      </c>
      <c r="M1113" t="s">
        <v>18</v>
      </c>
      <c r="N1113" t="s">
        <v>19</v>
      </c>
    </row>
    <row r="1114" spans="1:14">
      <c r="A1114" t="s">
        <v>3979</v>
      </c>
      <c r="B1114" t="s">
        <v>3980</v>
      </c>
      <c r="C1114">
        <v>2008</v>
      </c>
      <c r="D1114" t="s">
        <v>55</v>
      </c>
      <c r="E1114" t="s">
        <v>3981</v>
      </c>
      <c r="H1114">
        <v>668</v>
      </c>
      <c r="I1114">
        <v>675</v>
      </c>
      <c r="L1114" t="s">
        <v>3982</v>
      </c>
      <c r="M1114" t="s">
        <v>31</v>
      </c>
      <c r="N1114" t="s">
        <v>19</v>
      </c>
    </row>
    <row r="1115" spans="1:14">
      <c r="A1115" t="s">
        <v>3983</v>
      </c>
      <c r="B1115" t="s">
        <v>3984</v>
      </c>
      <c r="C1115">
        <v>2008</v>
      </c>
      <c r="D1115" t="s">
        <v>3985</v>
      </c>
      <c r="E1115">
        <v>15</v>
      </c>
      <c r="F1115">
        <v>2</v>
      </c>
      <c r="H1115">
        <v>37</v>
      </c>
      <c r="I1115">
        <v>56</v>
      </c>
      <c r="K1115">
        <v>5</v>
      </c>
      <c r="L1115" t="s">
        <v>3986</v>
      </c>
      <c r="M1115" t="s">
        <v>18</v>
      </c>
      <c r="N1115" t="s">
        <v>19</v>
      </c>
    </row>
    <row r="1116" spans="1:14">
      <c r="A1116" t="s">
        <v>3987</v>
      </c>
      <c r="B1116" t="s">
        <v>3988</v>
      </c>
      <c r="C1116">
        <v>2008</v>
      </c>
      <c r="D1116" t="s">
        <v>3989</v>
      </c>
      <c r="E1116">
        <v>7</v>
      </c>
      <c r="F1116">
        <v>1</v>
      </c>
      <c r="H1116">
        <v>105</v>
      </c>
      <c r="I1116">
        <v>126</v>
      </c>
      <c r="K1116">
        <v>2</v>
      </c>
      <c r="L1116" t="s">
        <v>3990</v>
      </c>
      <c r="M1116" t="s">
        <v>18</v>
      </c>
      <c r="N1116" t="s">
        <v>19</v>
      </c>
    </row>
    <row r="1117" spans="1:14">
      <c r="A1117" t="s">
        <v>3991</v>
      </c>
      <c r="B1117" t="s">
        <v>3992</v>
      </c>
      <c r="C1117">
        <v>2008</v>
      </c>
      <c r="D1117" t="s">
        <v>1335</v>
      </c>
      <c r="E1117">
        <v>18</v>
      </c>
      <c r="F1117">
        <v>2</v>
      </c>
      <c r="H1117">
        <v>177</v>
      </c>
      <c r="I1117">
        <v>190</v>
      </c>
      <c r="K1117">
        <v>21</v>
      </c>
      <c r="L1117" t="s">
        <v>3993</v>
      </c>
      <c r="M1117" t="s">
        <v>18</v>
      </c>
      <c r="N1117" t="s">
        <v>19</v>
      </c>
    </row>
    <row r="1118" spans="1:14">
      <c r="A1118" t="s">
        <v>3994</v>
      </c>
      <c r="B1118" t="s">
        <v>3995</v>
      </c>
      <c r="C1118">
        <v>2008</v>
      </c>
      <c r="D1118" t="s">
        <v>16</v>
      </c>
      <c r="E1118">
        <v>34</v>
      </c>
      <c r="F1118">
        <v>3</v>
      </c>
      <c r="H1118">
        <v>1666</v>
      </c>
      <c r="I1118">
        <v>1679</v>
      </c>
      <c r="K1118">
        <v>36</v>
      </c>
      <c r="L1118" t="s">
        <v>3996</v>
      </c>
      <c r="M1118" t="s">
        <v>18</v>
      </c>
      <c r="N1118" t="s">
        <v>19</v>
      </c>
    </row>
    <row r="1119" spans="1:14">
      <c r="A1119" t="s">
        <v>3442</v>
      </c>
      <c r="B1119" t="s">
        <v>3997</v>
      </c>
      <c r="C1119">
        <v>2008</v>
      </c>
      <c r="D1119" t="s">
        <v>3785</v>
      </c>
      <c r="E1119">
        <v>24</v>
      </c>
      <c r="F1119">
        <v>2</v>
      </c>
      <c r="H1119">
        <v>116</v>
      </c>
      <c r="I1119">
        <v>127</v>
      </c>
      <c r="K1119">
        <v>10</v>
      </c>
      <c r="L1119" t="s">
        <v>3998</v>
      </c>
      <c r="M1119" t="s">
        <v>18</v>
      </c>
      <c r="N1119" t="s">
        <v>19</v>
      </c>
    </row>
    <row r="1120" spans="1:14">
      <c r="A1120" t="s">
        <v>3999</v>
      </c>
      <c r="B1120" t="s">
        <v>4000</v>
      </c>
      <c r="C1120">
        <v>2008</v>
      </c>
      <c r="D1120" t="s">
        <v>4001</v>
      </c>
      <c r="E1120">
        <v>46</v>
      </c>
      <c r="F1120">
        <v>5</v>
      </c>
      <c r="H1120">
        <v>1357</v>
      </c>
      <c r="I1120">
        <v>1371</v>
      </c>
      <c r="K1120">
        <v>17</v>
      </c>
      <c r="L1120" t="s">
        <v>4002</v>
      </c>
      <c r="M1120" t="s">
        <v>31</v>
      </c>
      <c r="N1120" t="s">
        <v>19</v>
      </c>
    </row>
    <row r="1121" spans="1:14">
      <c r="A1121" t="s">
        <v>4003</v>
      </c>
      <c r="B1121" t="s">
        <v>4004</v>
      </c>
      <c r="C1121">
        <v>2008</v>
      </c>
      <c r="D1121" t="s">
        <v>4005</v>
      </c>
      <c r="E1121">
        <v>39</v>
      </c>
      <c r="F1121">
        <v>1</v>
      </c>
      <c r="H1121">
        <v>17</v>
      </c>
      <c r="I1121">
        <v>36</v>
      </c>
      <c r="K1121">
        <v>12</v>
      </c>
      <c r="L1121" t="s">
        <v>4006</v>
      </c>
      <c r="M1121" t="s">
        <v>18</v>
      </c>
      <c r="N1121" t="s">
        <v>19</v>
      </c>
    </row>
    <row r="1122" spans="1:14">
      <c r="A1122" t="s">
        <v>4007</v>
      </c>
      <c r="B1122" t="s">
        <v>4008</v>
      </c>
      <c r="C1122">
        <v>2007</v>
      </c>
      <c r="D1122" t="s">
        <v>213</v>
      </c>
      <c r="E1122">
        <v>258</v>
      </c>
      <c r="H1122">
        <v>293</v>
      </c>
      <c r="I1122">
        <v>302</v>
      </c>
      <c r="K1122">
        <v>6</v>
      </c>
      <c r="L1122" t="s">
        <v>4009</v>
      </c>
      <c r="M1122" t="s">
        <v>31</v>
      </c>
      <c r="N1122" t="s">
        <v>19</v>
      </c>
    </row>
    <row r="1123" spans="1:14">
      <c r="A1123" t="s">
        <v>4010</v>
      </c>
      <c r="B1123" t="s">
        <v>4011</v>
      </c>
      <c r="C1123">
        <v>2007</v>
      </c>
      <c r="D1123" t="s">
        <v>4012</v>
      </c>
      <c r="E1123">
        <v>8</v>
      </c>
      <c r="F1123" t="s">
        <v>228</v>
      </c>
      <c r="H1123">
        <v>145</v>
      </c>
      <c r="I1123">
        <v>149</v>
      </c>
      <c r="L1123" t="s">
        <v>4013</v>
      </c>
      <c r="M1123" t="s">
        <v>31</v>
      </c>
      <c r="N1123" t="s">
        <v>19</v>
      </c>
    </row>
    <row r="1124" spans="1:14">
      <c r="A1124" t="s">
        <v>4014</v>
      </c>
      <c r="B1124" t="s">
        <v>4015</v>
      </c>
      <c r="C1124">
        <v>2007</v>
      </c>
      <c r="D1124" t="s">
        <v>4016</v>
      </c>
      <c r="H1124">
        <v>502</v>
      </c>
      <c r="I1124">
        <v>511</v>
      </c>
      <c r="L1124" t="s">
        <v>4017</v>
      </c>
      <c r="M1124" t="s">
        <v>31</v>
      </c>
      <c r="N1124" t="s">
        <v>19</v>
      </c>
    </row>
    <row r="1125" spans="1:14">
      <c r="A1125" t="s">
        <v>4018</v>
      </c>
      <c r="B1125" t="s">
        <v>4019</v>
      </c>
      <c r="C1125">
        <v>2007</v>
      </c>
      <c r="D1125" t="s">
        <v>4020</v>
      </c>
      <c r="H1125">
        <v>321</v>
      </c>
      <c r="I1125">
        <v>330</v>
      </c>
      <c r="K1125">
        <v>1</v>
      </c>
      <c r="L1125" t="s">
        <v>4021</v>
      </c>
      <c r="M1125" t="s">
        <v>31</v>
      </c>
      <c r="N1125" t="s">
        <v>19</v>
      </c>
    </row>
    <row r="1126" spans="1:14">
      <c r="A1126" t="s">
        <v>4022</v>
      </c>
      <c r="B1126" t="s">
        <v>4023</v>
      </c>
      <c r="C1126">
        <v>2007</v>
      </c>
      <c r="D1126" t="s">
        <v>4024</v>
      </c>
      <c r="G1126">
        <v>4420579</v>
      </c>
      <c r="H1126">
        <v>2193</v>
      </c>
      <c r="I1126">
        <v>2198</v>
      </c>
      <c r="K1126">
        <v>1</v>
      </c>
      <c r="L1126" t="s">
        <v>4025</v>
      </c>
      <c r="M1126" t="s">
        <v>31</v>
      </c>
      <c r="N1126" t="s">
        <v>19</v>
      </c>
    </row>
    <row r="1127" spans="1:14">
      <c r="A1127" t="s">
        <v>3838</v>
      </c>
      <c r="B1127" t="s">
        <v>4026</v>
      </c>
      <c r="C1127">
        <v>2007</v>
      </c>
      <c r="D1127" t="s">
        <v>4027</v>
      </c>
      <c r="G1127">
        <v>4281130</v>
      </c>
      <c r="H1127">
        <v>699</v>
      </c>
      <c r="I1127">
        <v>700</v>
      </c>
      <c r="K1127">
        <v>3</v>
      </c>
      <c r="L1127" t="s">
        <v>4028</v>
      </c>
      <c r="M1127" t="s">
        <v>31</v>
      </c>
      <c r="N1127" t="s">
        <v>19</v>
      </c>
    </row>
    <row r="1128" spans="1:14">
      <c r="A1128" t="s">
        <v>4029</v>
      </c>
      <c r="B1128" t="s">
        <v>3730</v>
      </c>
      <c r="C1128">
        <v>2007</v>
      </c>
      <c r="D1128" t="s">
        <v>4030</v>
      </c>
      <c r="E1128">
        <v>2</v>
      </c>
      <c r="L1128" t="s">
        <v>4031</v>
      </c>
      <c r="M1128" t="s">
        <v>31</v>
      </c>
      <c r="N1128" t="s">
        <v>19</v>
      </c>
    </row>
    <row r="1129" spans="1:14">
      <c r="A1129" t="s">
        <v>4032</v>
      </c>
      <c r="B1129" t="s">
        <v>4033</v>
      </c>
      <c r="C1129">
        <v>2007</v>
      </c>
      <c r="D1129" t="s">
        <v>4034</v>
      </c>
      <c r="G1129">
        <v>4402116</v>
      </c>
      <c r="H1129">
        <v>363</v>
      </c>
      <c r="I1129">
        <v>367</v>
      </c>
      <c r="K1129">
        <v>3</v>
      </c>
      <c r="L1129" t="s">
        <v>4035</v>
      </c>
      <c r="M1129" t="s">
        <v>31</v>
      </c>
      <c r="N1129" t="s">
        <v>19</v>
      </c>
    </row>
    <row r="1130" spans="1:14">
      <c r="A1130" t="s">
        <v>4036</v>
      </c>
      <c r="B1130" t="s">
        <v>4037</v>
      </c>
      <c r="C1130">
        <v>2007</v>
      </c>
      <c r="D1130" t="s">
        <v>55</v>
      </c>
      <c r="E1130" t="s">
        <v>4038</v>
      </c>
      <c r="H1130">
        <v>334</v>
      </c>
      <c r="I1130">
        <v>341</v>
      </c>
      <c r="K1130">
        <v>1</v>
      </c>
      <c r="L1130" t="s">
        <v>4039</v>
      </c>
      <c r="M1130" t="s">
        <v>31</v>
      </c>
      <c r="N1130" t="s">
        <v>19</v>
      </c>
    </row>
    <row r="1131" spans="1:14">
      <c r="A1131" t="s">
        <v>4040</v>
      </c>
      <c r="B1131" t="s">
        <v>4041</v>
      </c>
      <c r="C1131">
        <v>2007</v>
      </c>
      <c r="D1131" t="s">
        <v>4042</v>
      </c>
      <c r="L1131" t="s">
        <v>4043</v>
      </c>
      <c r="M1131" t="s">
        <v>31</v>
      </c>
      <c r="N1131" t="s">
        <v>19</v>
      </c>
    </row>
    <row r="1132" spans="1:14">
      <c r="A1132" t="s">
        <v>4044</v>
      </c>
      <c r="B1132" t="s">
        <v>4045</v>
      </c>
      <c r="C1132">
        <v>2007</v>
      </c>
      <c r="D1132" t="s">
        <v>4012</v>
      </c>
      <c r="E1132">
        <v>8</v>
      </c>
      <c r="F1132" t="s">
        <v>228</v>
      </c>
      <c r="H1132">
        <v>128</v>
      </c>
      <c r="I1132">
        <v>131</v>
      </c>
      <c r="L1132" t="s">
        <v>4046</v>
      </c>
      <c r="M1132" t="s">
        <v>31</v>
      </c>
      <c r="N1132" t="s">
        <v>19</v>
      </c>
    </row>
    <row r="1133" spans="1:14">
      <c r="A1133" t="s">
        <v>4047</v>
      </c>
      <c r="B1133" t="s">
        <v>4048</v>
      </c>
      <c r="C1133">
        <v>2007</v>
      </c>
      <c r="D1133" t="s">
        <v>4042</v>
      </c>
      <c r="L1133" t="s">
        <v>4049</v>
      </c>
      <c r="M1133" t="s">
        <v>31</v>
      </c>
      <c r="N1133" t="s">
        <v>19</v>
      </c>
    </row>
    <row r="1134" spans="1:14">
      <c r="A1134" t="s">
        <v>4050</v>
      </c>
      <c r="B1134" t="s">
        <v>4051</v>
      </c>
      <c r="C1134">
        <v>2007</v>
      </c>
      <c r="D1134" t="s">
        <v>4012</v>
      </c>
      <c r="E1134">
        <v>8</v>
      </c>
      <c r="F1134" t="s">
        <v>228</v>
      </c>
      <c r="H1134">
        <v>267</v>
      </c>
      <c r="I1134">
        <v>276</v>
      </c>
      <c r="K1134">
        <v>4</v>
      </c>
      <c r="L1134" t="s">
        <v>4052</v>
      </c>
      <c r="M1134" t="s">
        <v>31</v>
      </c>
      <c r="N1134" t="s">
        <v>19</v>
      </c>
    </row>
    <row r="1135" spans="1:14">
      <c r="A1135" t="s">
        <v>4053</v>
      </c>
      <c r="B1135" t="s">
        <v>4054</v>
      </c>
      <c r="C1135">
        <v>2007</v>
      </c>
      <c r="D1135" t="s">
        <v>4055</v>
      </c>
      <c r="G1135">
        <v>4419181</v>
      </c>
      <c r="H1135">
        <v>209</v>
      </c>
      <c r="I1135">
        <v>213</v>
      </c>
      <c r="L1135" t="s">
        <v>4056</v>
      </c>
      <c r="M1135" t="s">
        <v>31</v>
      </c>
      <c r="N1135" t="s">
        <v>19</v>
      </c>
    </row>
    <row r="1136" spans="1:14">
      <c r="A1136" t="s">
        <v>4057</v>
      </c>
      <c r="B1136" t="s">
        <v>4058</v>
      </c>
      <c r="C1136">
        <v>2007</v>
      </c>
      <c r="D1136" t="s">
        <v>4020</v>
      </c>
      <c r="H1136">
        <v>117</v>
      </c>
      <c r="I1136">
        <v>126</v>
      </c>
      <c r="K1136">
        <v>18</v>
      </c>
      <c r="L1136" t="s">
        <v>4059</v>
      </c>
      <c r="M1136" t="s">
        <v>31</v>
      </c>
      <c r="N1136" t="s">
        <v>19</v>
      </c>
    </row>
    <row r="1137" spans="1:14">
      <c r="A1137" t="s">
        <v>4060</v>
      </c>
      <c r="B1137" t="s">
        <v>4061</v>
      </c>
      <c r="C1137">
        <v>2007</v>
      </c>
      <c r="D1137" t="s">
        <v>4062</v>
      </c>
      <c r="E1137">
        <v>13</v>
      </c>
      <c r="F1137">
        <v>4</v>
      </c>
      <c r="H1137">
        <v>255</v>
      </c>
      <c r="I1137">
        <v>266</v>
      </c>
      <c r="K1137">
        <v>9</v>
      </c>
      <c r="L1137" t="s">
        <v>4063</v>
      </c>
      <c r="M1137" t="s">
        <v>18</v>
      </c>
      <c r="N1137" t="s">
        <v>19</v>
      </c>
    </row>
    <row r="1138" spans="1:14">
      <c r="A1138" t="s">
        <v>4064</v>
      </c>
      <c r="B1138" t="s">
        <v>4065</v>
      </c>
      <c r="C1138">
        <v>2007</v>
      </c>
      <c r="D1138" t="s">
        <v>4012</v>
      </c>
      <c r="E1138">
        <v>8</v>
      </c>
      <c r="F1138" t="s">
        <v>940</v>
      </c>
      <c r="H1138">
        <v>865</v>
      </c>
      <c r="I1138">
        <v>867</v>
      </c>
      <c r="L1138" t="s">
        <v>4066</v>
      </c>
      <c r="M1138" t="s">
        <v>31</v>
      </c>
      <c r="N1138" t="s">
        <v>19</v>
      </c>
    </row>
    <row r="1139" spans="1:14">
      <c r="A1139" t="s">
        <v>4067</v>
      </c>
      <c r="B1139" t="s">
        <v>4068</v>
      </c>
      <c r="C1139">
        <v>2007</v>
      </c>
      <c r="D1139" t="s">
        <v>4042</v>
      </c>
      <c r="L1139" t="s">
        <v>4069</v>
      </c>
      <c r="M1139" t="s">
        <v>31</v>
      </c>
      <c r="N1139" t="s">
        <v>19</v>
      </c>
    </row>
    <row r="1140" spans="1:14">
      <c r="A1140" t="s">
        <v>4070</v>
      </c>
      <c r="B1140" t="s">
        <v>4071</v>
      </c>
      <c r="C1140">
        <v>2007</v>
      </c>
      <c r="D1140" t="s">
        <v>4072</v>
      </c>
      <c r="G1140">
        <v>4476009</v>
      </c>
      <c r="H1140">
        <v>441</v>
      </c>
      <c r="I1140">
        <v>446</v>
      </c>
      <c r="K1140">
        <v>1</v>
      </c>
      <c r="L1140" t="s">
        <v>4073</v>
      </c>
      <c r="M1140" t="s">
        <v>31</v>
      </c>
      <c r="N1140" t="s">
        <v>19</v>
      </c>
    </row>
    <row r="1141" spans="1:14">
      <c r="A1141" t="s">
        <v>4074</v>
      </c>
      <c r="B1141" t="s">
        <v>4075</v>
      </c>
      <c r="C1141">
        <v>2007</v>
      </c>
      <c r="D1141" t="s">
        <v>4076</v>
      </c>
      <c r="G1141">
        <v>4621731</v>
      </c>
      <c r="H1141">
        <v>1</v>
      </c>
      <c r="I1141">
        <v>8</v>
      </c>
      <c r="K1141">
        <v>1</v>
      </c>
      <c r="L1141" t="s">
        <v>4077</v>
      </c>
      <c r="M1141" t="s">
        <v>31</v>
      </c>
      <c r="N1141" t="s">
        <v>19</v>
      </c>
    </row>
    <row r="1142" spans="1:14">
      <c r="A1142" t="s">
        <v>4078</v>
      </c>
      <c r="B1142" t="s">
        <v>4079</v>
      </c>
      <c r="C1142">
        <v>2007</v>
      </c>
      <c r="D1142" t="s">
        <v>4042</v>
      </c>
      <c r="L1142" t="s">
        <v>4080</v>
      </c>
      <c r="M1142" t="s">
        <v>31</v>
      </c>
      <c r="N1142" t="s">
        <v>19</v>
      </c>
    </row>
    <row r="1143" spans="1:14">
      <c r="A1143" t="s">
        <v>4081</v>
      </c>
      <c r="B1143" t="s">
        <v>4082</v>
      </c>
      <c r="C1143">
        <v>2007</v>
      </c>
      <c r="D1143" t="s">
        <v>206</v>
      </c>
      <c r="H1143">
        <v>696</v>
      </c>
      <c r="I1143">
        <v>702</v>
      </c>
      <c r="L1143" t="s">
        <v>4083</v>
      </c>
      <c r="M1143" t="s">
        <v>18</v>
      </c>
      <c r="N1143" t="s">
        <v>19</v>
      </c>
    </row>
    <row r="1144" spans="1:14">
      <c r="A1144" t="s">
        <v>4084</v>
      </c>
      <c r="B1144" t="s">
        <v>4085</v>
      </c>
      <c r="C1144">
        <v>2007</v>
      </c>
      <c r="D1144" t="s">
        <v>81</v>
      </c>
      <c r="E1144">
        <v>2</v>
      </c>
      <c r="F1144">
        <v>6</v>
      </c>
      <c r="H1144">
        <v>22</v>
      </c>
      <c r="I1144">
        <v>29</v>
      </c>
      <c r="K1144">
        <v>4</v>
      </c>
      <c r="L1144" t="s">
        <v>4086</v>
      </c>
      <c r="M1144" t="s">
        <v>18</v>
      </c>
      <c r="N1144" t="s">
        <v>19</v>
      </c>
    </row>
    <row r="1145" spans="1:14">
      <c r="A1145" t="s">
        <v>4087</v>
      </c>
      <c r="B1145" t="s">
        <v>4088</v>
      </c>
      <c r="C1145">
        <v>2007</v>
      </c>
      <c r="D1145" t="s">
        <v>4089</v>
      </c>
      <c r="H1145">
        <v>68</v>
      </c>
      <c r="I1145">
        <v>73</v>
      </c>
      <c r="L1145" t="s">
        <v>4090</v>
      </c>
      <c r="M1145" t="s">
        <v>31</v>
      </c>
      <c r="N1145" t="s">
        <v>19</v>
      </c>
    </row>
    <row r="1146" spans="1:14">
      <c r="A1146" t="s">
        <v>4091</v>
      </c>
      <c r="B1146" t="s">
        <v>4092</v>
      </c>
      <c r="C1146">
        <v>2007</v>
      </c>
      <c r="D1146" t="s">
        <v>206</v>
      </c>
      <c r="H1146">
        <v>1093</v>
      </c>
      <c r="I1146">
        <v>1099</v>
      </c>
      <c r="L1146" t="s">
        <v>4093</v>
      </c>
      <c r="M1146" t="s">
        <v>18</v>
      </c>
      <c r="N1146" t="s">
        <v>19</v>
      </c>
    </row>
    <row r="1147" spans="1:14">
      <c r="A1147" t="s">
        <v>4094</v>
      </c>
      <c r="B1147" t="s">
        <v>4095</v>
      </c>
      <c r="C1147">
        <v>2007</v>
      </c>
      <c r="D1147" t="s">
        <v>4096</v>
      </c>
      <c r="L1147" t="s">
        <v>4097</v>
      </c>
      <c r="M1147" t="s">
        <v>31</v>
      </c>
      <c r="N1147" t="s">
        <v>19</v>
      </c>
    </row>
    <row r="1148" spans="1:14">
      <c r="A1148" t="s">
        <v>4098</v>
      </c>
      <c r="B1148" t="s">
        <v>4099</v>
      </c>
      <c r="C1148">
        <v>2007</v>
      </c>
      <c r="D1148" t="s">
        <v>4100</v>
      </c>
      <c r="E1148" t="s">
        <v>4101</v>
      </c>
      <c r="H1148">
        <v>235</v>
      </c>
      <c r="I1148">
        <v>240</v>
      </c>
      <c r="L1148" t="s">
        <v>4102</v>
      </c>
      <c r="M1148" t="s">
        <v>31</v>
      </c>
      <c r="N1148" t="s">
        <v>19</v>
      </c>
    </row>
    <row r="1149" spans="1:14">
      <c r="A1149" t="s">
        <v>4103</v>
      </c>
      <c r="B1149" t="s">
        <v>4104</v>
      </c>
      <c r="C1149">
        <v>2007</v>
      </c>
      <c r="D1149" t="s">
        <v>4105</v>
      </c>
      <c r="G1149">
        <v>4338328</v>
      </c>
      <c r="H1149">
        <v>19</v>
      </c>
      <c r="I1149">
        <v>26</v>
      </c>
      <c r="K1149">
        <v>14</v>
      </c>
      <c r="L1149" t="s">
        <v>4106</v>
      </c>
      <c r="M1149" t="s">
        <v>31</v>
      </c>
      <c r="N1149" t="s">
        <v>19</v>
      </c>
    </row>
    <row r="1150" spans="1:14">
      <c r="A1150" t="s">
        <v>4107</v>
      </c>
      <c r="B1150" t="s">
        <v>4108</v>
      </c>
      <c r="C1150">
        <v>2007</v>
      </c>
      <c r="D1150" t="s">
        <v>4109</v>
      </c>
      <c r="G1150">
        <v>4460643</v>
      </c>
      <c r="H1150">
        <v>218</v>
      </c>
      <c r="I1150">
        <v>223</v>
      </c>
      <c r="L1150" t="s">
        <v>4110</v>
      </c>
      <c r="M1150" t="s">
        <v>31</v>
      </c>
      <c r="N1150" t="s">
        <v>19</v>
      </c>
    </row>
    <row r="1151" spans="1:14">
      <c r="A1151" t="s">
        <v>4111</v>
      </c>
      <c r="B1151" t="s">
        <v>4112</v>
      </c>
      <c r="C1151">
        <v>2007</v>
      </c>
      <c r="D1151" t="s">
        <v>4113</v>
      </c>
      <c r="G1151">
        <v>4424544</v>
      </c>
      <c r="H1151">
        <v>736</v>
      </c>
      <c r="I1151">
        <v>743</v>
      </c>
      <c r="K1151">
        <v>2</v>
      </c>
      <c r="L1151" t="s">
        <v>4114</v>
      </c>
      <c r="M1151" t="s">
        <v>31</v>
      </c>
      <c r="N1151" t="s">
        <v>19</v>
      </c>
    </row>
    <row r="1152" spans="1:14">
      <c r="A1152" t="s">
        <v>4115</v>
      </c>
      <c r="B1152" t="s">
        <v>4116</v>
      </c>
      <c r="C1152">
        <v>2007</v>
      </c>
      <c r="D1152" t="s">
        <v>4117</v>
      </c>
      <c r="H1152">
        <v>97</v>
      </c>
      <c r="I1152">
        <v>104</v>
      </c>
      <c r="K1152">
        <v>31</v>
      </c>
      <c r="L1152" t="s">
        <v>4118</v>
      </c>
      <c r="M1152" t="s">
        <v>31</v>
      </c>
      <c r="N1152" t="s">
        <v>19</v>
      </c>
    </row>
    <row r="1153" spans="1:14">
      <c r="A1153" t="s">
        <v>4119</v>
      </c>
      <c r="B1153" t="s">
        <v>4120</v>
      </c>
      <c r="C1153">
        <v>2007</v>
      </c>
      <c r="D1153" t="s">
        <v>2923</v>
      </c>
      <c r="E1153">
        <v>70</v>
      </c>
      <c r="H1153">
        <v>189</v>
      </c>
      <c r="I1153">
        <v>193</v>
      </c>
      <c r="K1153">
        <v>1</v>
      </c>
      <c r="L1153" t="s">
        <v>4121</v>
      </c>
      <c r="M1153" t="s">
        <v>18</v>
      </c>
      <c r="N1153" t="s">
        <v>19</v>
      </c>
    </row>
    <row r="1154" spans="1:14">
      <c r="A1154" t="s">
        <v>4122</v>
      </c>
      <c r="B1154" t="s">
        <v>4123</v>
      </c>
      <c r="C1154">
        <v>2007</v>
      </c>
      <c r="D1154" t="s">
        <v>4012</v>
      </c>
      <c r="E1154">
        <v>8</v>
      </c>
      <c r="F1154" t="s">
        <v>228</v>
      </c>
      <c r="H1154">
        <v>428</v>
      </c>
      <c r="I1154">
        <v>437</v>
      </c>
      <c r="K1154">
        <v>1</v>
      </c>
      <c r="L1154" t="s">
        <v>4124</v>
      </c>
      <c r="M1154" t="s">
        <v>31</v>
      </c>
      <c r="N1154" t="s">
        <v>19</v>
      </c>
    </row>
    <row r="1155" spans="1:14">
      <c r="A1155" t="s">
        <v>4125</v>
      </c>
      <c r="B1155" t="s">
        <v>4126</v>
      </c>
      <c r="C1155">
        <v>2007</v>
      </c>
      <c r="D1155" t="s">
        <v>4096</v>
      </c>
      <c r="L1155" t="s">
        <v>4127</v>
      </c>
      <c r="M1155" t="s">
        <v>31</v>
      </c>
      <c r="N1155" t="s">
        <v>19</v>
      </c>
    </row>
    <row r="1156" spans="1:14">
      <c r="A1156" t="s">
        <v>4128</v>
      </c>
      <c r="B1156" t="s">
        <v>4129</v>
      </c>
      <c r="C1156">
        <v>2007</v>
      </c>
      <c r="D1156" t="s">
        <v>4130</v>
      </c>
      <c r="H1156">
        <v>330</v>
      </c>
      <c r="I1156">
        <v>337</v>
      </c>
      <c r="L1156" t="s">
        <v>4131</v>
      </c>
      <c r="M1156" t="s">
        <v>31</v>
      </c>
      <c r="N1156" t="s">
        <v>19</v>
      </c>
    </row>
    <row r="1157" spans="1:14">
      <c r="A1157" t="s">
        <v>4132</v>
      </c>
      <c r="B1157" t="s">
        <v>4133</v>
      </c>
      <c r="C1157">
        <v>2007</v>
      </c>
      <c r="D1157" t="s">
        <v>4012</v>
      </c>
      <c r="E1157">
        <v>8</v>
      </c>
      <c r="F1157" t="s">
        <v>940</v>
      </c>
      <c r="H1157">
        <v>547</v>
      </c>
      <c r="I1157">
        <v>550</v>
      </c>
      <c r="L1157" t="s">
        <v>4134</v>
      </c>
      <c r="M1157" t="s">
        <v>31</v>
      </c>
      <c r="N1157" t="s">
        <v>19</v>
      </c>
    </row>
    <row r="1158" spans="1:14">
      <c r="A1158" t="s">
        <v>4135</v>
      </c>
      <c r="B1158" t="s">
        <v>4136</v>
      </c>
      <c r="C1158">
        <v>2007</v>
      </c>
      <c r="D1158" t="s">
        <v>4137</v>
      </c>
      <c r="H1158">
        <v>221</v>
      </c>
      <c r="I1158">
        <v>230</v>
      </c>
      <c r="K1158">
        <v>119</v>
      </c>
      <c r="L1158" t="s">
        <v>4138</v>
      </c>
      <c r="M1158" t="s">
        <v>31</v>
      </c>
      <c r="N1158" t="s">
        <v>19</v>
      </c>
    </row>
    <row r="1159" spans="1:14">
      <c r="A1159" t="s">
        <v>4139</v>
      </c>
      <c r="B1159" t="s">
        <v>4140</v>
      </c>
      <c r="C1159">
        <v>2007</v>
      </c>
      <c r="D1159" t="s">
        <v>4141</v>
      </c>
      <c r="E1159">
        <v>15</v>
      </c>
      <c r="F1159">
        <v>3</v>
      </c>
      <c r="H1159">
        <v>349</v>
      </c>
      <c r="I1159">
        <v>366</v>
      </c>
      <c r="K1159">
        <v>2</v>
      </c>
      <c r="L1159" t="s">
        <v>4142</v>
      </c>
      <c r="M1159" t="s">
        <v>18</v>
      </c>
      <c r="N1159" t="s">
        <v>19</v>
      </c>
    </row>
    <row r="1160" spans="1:14">
      <c r="A1160" t="s">
        <v>4143</v>
      </c>
      <c r="B1160" t="s">
        <v>4144</v>
      </c>
      <c r="C1160">
        <v>2007</v>
      </c>
      <c r="D1160" t="s">
        <v>148</v>
      </c>
      <c r="E1160">
        <v>49</v>
      </c>
      <c r="F1160">
        <v>2</v>
      </c>
      <c r="H1160">
        <v>309</v>
      </c>
      <c r="I1160">
        <v>329</v>
      </c>
      <c r="K1160">
        <v>64</v>
      </c>
      <c r="L1160" t="s">
        <v>4145</v>
      </c>
      <c r="M1160" t="s">
        <v>18</v>
      </c>
      <c r="N1160" t="s">
        <v>19</v>
      </c>
    </row>
    <row r="1161" spans="1:14">
      <c r="A1161" t="s">
        <v>4146</v>
      </c>
      <c r="B1161" t="s">
        <v>4147</v>
      </c>
      <c r="C1161">
        <v>2007</v>
      </c>
      <c r="D1161" t="s">
        <v>778</v>
      </c>
      <c r="E1161">
        <v>3</v>
      </c>
      <c r="F1161">
        <v>3</v>
      </c>
      <c r="H1161">
        <v>345</v>
      </c>
      <c r="I1161">
        <v>363</v>
      </c>
      <c r="K1161">
        <v>17</v>
      </c>
      <c r="L1161" t="s">
        <v>4148</v>
      </c>
      <c r="M1161" t="s">
        <v>18</v>
      </c>
      <c r="N1161" t="s">
        <v>19</v>
      </c>
    </row>
    <row r="1162" spans="1:14">
      <c r="A1162" t="s">
        <v>4149</v>
      </c>
      <c r="B1162" t="s">
        <v>4150</v>
      </c>
      <c r="C1162">
        <v>2007</v>
      </c>
      <c r="D1162" t="s">
        <v>660</v>
      </c>
      <c r="E1162">
        <v>58</v>
      </c>
      <c r="F1162">
        <v>9</v>
      </c>
      <c r="H1162">
        <v>1303</v>
      </c>
      <c r="I1162">
        <v>1319</v>
      </c>
      <c r="K1162">
        <v>75</v>
      </c>
      <c r="L1162" t="s">
        <v>4151</v>
      </c>
      <c r="M1162" t="s">
        <v>18</v>
      </c>
      <c r="N1162" t="s">
        <v>19</v>
      </c>
    </row>
    <row r="1163" spans="1:14">
      <c r="A1163" t="s">
        <v>4152</v>
      </c>
      <c r="B1163" t="s">
        <v>4153</v>
      </c>
      <c r="C1163">
        <v>2007</v>
      </c>
      <c r="D1163" t="s">
        <v>4154</v>
      </c>
      <c r="E1163">
        <v>21</v>
      </c>
      <c r="F1163">
        <v>3</v>
      </c>
      <c r="H1163">
        <v>2</v>
      </c>
      <c r="I1163">
        <v>20</v>
      </c>
      <c r="K1163">
        <v>150</v>
      </c>
      <c r="L1163" t="s">
        <v>4155</v>
      </c>
      <c r="M1163" t="s">
        <v>18</v>
      </c>
      <c r="N1163" t="s">
        <v>19</v>
      </c>
    </row>
    <row r="1164" spans="1:14">
      <c r="A1164" t="s">
        <v>4156</v>
      </c>
      <c r="B1164" t="s">
        <v>4157</v>
      </c>
      <c r="C1164">
        <v>2007</v>
      </c>
      <c r="D1164" t="s">
        <v>4158</v>
      </c>
      <c r="E1164">
        <v>35</v>
      </c>
      <c r="F1164">
        <v>3</v>
      </c>
      <c r="H1164">
        <v>257</v>
      </c>
      <c r="I1164">
        <v>286</v>
      </c>
      <c r="K1164">
        <v>28</v>
      </c>
      <c r="L1164" t="s">
        <v>4159</v>
      </c>
      <c r="M1164" t="s">
        <v>18</v>
      </c>
      <c r="N1164" t="s">
        <v>19</v>
      </c>
    </row>
    <row r="1165" spans="1:14">
      <c r="A1165" t="s">
        <v>4160</v>
      </c>
      <c r="B1165" t="s">
        <v>4161</v>
      </c>
      <c r="C1165">
        <v>2007</v>
      </c>
      <c r="D1165" t="s">
        <v>4162</v>
      </c>
      <c r="E1165">
        <v>11</v>
      </c>
      <c r="F1165">
        <v>3</v>
      </c>
      <c r="H1165">
        <v>36</v>
      </c>
      <c r="I1165">
        <v>44</v>
      </c>
      <c r="K1165">
        <v>7</v>
      </c>
      <c r="L1165" t="s">
        <v>4163</v>
      </c>
      <c r="M1165" t="s">
        <v>18</v>
      </c>
      <c r="N1165" t="s">
        <v>19</v>
      </c>
    </row>
    <row r="1166" spans="1:14">
      <c r="A1166" t="s">
        <v>4164</v>
      </c>
      <c r="B1166" t="s">
        <v>4165</v>
      </c>
      <c r="C1166">
        <v>2007</v>
      </c>
      <c r="D1166" t="s">
        <v>4166</v>
      </c>
      <c r="E1166">
        <v>13</v>
      </c>
      <c r="F1166">
        <v>1</v>
      </c>
      <c r="H1166">
        <v>17</v>
      </c>
      <c r="I1166">
        <v>27</v>
      </c>
      <c r="K1166">
        <v>17</v>
      </c>
      <c r="L1166" t="s">
        <v>4167</v>
      </c>
      <c r="M1166" t="s">
        <v>18</v>
      </c>
      <c r="N1166" t="s">
        <v>19</v>
      </c>
    </row>
    <row r="1167" spans="1:14">
      <c r="A1167" t="s">
        <v>4168</v>
      </c>
      <c r="B1167" t="s">
        <v>4169</v>
      </c>
      <c r="C1167">
        <v>2007</v>
      </c>
      <c r="D1167" t="s">
        <v>3297</v>
      </c>
      <c r="E1167">
        <v>65</v>
      </c>
      <c r="F1167">
        <v>1</v>
      </c>
      <c r="H1167">
        <v>57</v>
      </c>
      <c r="I1167">
        <v>70</v>
      </c>
      <c r="K1167">
        <v>52</v>
      </c>
      <c r="L1167" t="s">
        <v>4170</v>
      </c>
      <c r="M1167" t="s">
        <v>18</v>
      </c>
      <c r="N1167" t="s">
        <v>19</v>
      </c>
    </row>
    <row r="1168" spans="1:14">
      <c r="A1168" t="s">
        <v>4171</v>
      </c>
      <c r="B1168" t="s">
        <v>4172</v>
      </c>
      <c r="C1168">
        <v>2006</v>
      </c>
      <c r="D1168" t="s">
        <v>407</v>
      </c>
      <c r="E1168">
        <v>9</v>
      </c>
      <c r="F1168">
        <v>4</v>
      </c>
      <c r="H1168">
        <v>63</v>
      </c>
      <c r="I1168">
        <v>77</v>
      </c>
      <c r="K1168">
        <v>5</v>
      </c>
      <c r="L1168" t="s">
        <v>4173</v>
      </c>
      <c r="M1168" t="s">
        <v>18</v>
      </c>
      <c r="N1168" t="s">
        <v>19</v>
      </c>
    </row>
    <row r="1169" spans="1:14">
      <c r="A1169" t="s">
        <v>4174</v>
      </c>
      <c r="B1169" t="s">
        <v>4175</v>
      </c>
      <c r="C1169">
        <v>2006</v>
      </c>
      <c r="D1169" t="s">
        <v>4176</v>
      </c>
      <c r="L1169" t="s">
        <v>4177</v>
      </c>
      <c r="M1169" t="s">
        <v>31</v>
      </c>
      <c r="N1169" t="s">
        <v>19</v>
      </c>
    </row>
    <row r="1170" spans="1:14">
      <c r="A1170" t="s">
        <v>4178</v>
      </c>
      <c r="B1170" t="s">
        <v>4179</v>
      </c>
      <c r="C1170">
        <v>2006</v>
      </c>
      <c r="D1170" t="s">
        <v>4180</v>
      </c>
      <c r="L1170" t="s">
        <v>4181</v>
      </c>
      <c r="M1170" t="s">
        <v>31</v>
      </c>
      <c r="N1170" t="s">
        <v>19</v>
      </c>
    </row>
    <row r="1171" spans="1:14">
      <c r="A1171" t="s">
        <v>4182</v>
      </c>
      <c r="B1171" t="s">
        <v>4183</v>
      </c>
      <c r="C1171">
        <v>2006</v>
      </c>
      <c r="D1171" t="s">
        <v>4184</v>
      </c>
      <c r="H1171">
        <v>70</v>
      </c>
      <c r="I1171">
        <v>72</v>
      </c>
      <c r="L1171" t="s">
        <v>4185</v>
      </c>
      <c r="M1171" t="s">
        <v>31</v>
      </c>
      <c r="N1171" t="s">
        <v>19</v>
      </c>
    </row>
    <row r="1172" spans="1:14">
      <c r="A1172" t="s">
        <v>4186</v>
      </c>
      <c r="B1172" t="s">
        <v>4187</v>
      </c>
      <c r="C1172">
        <v>2006</v>
      </c>
      <c r="D1172" t="s">
        <v>4188</v>
      </c>
      <c r="E1172">
        <v>7</v>
      </c>
      <c r="H1172">
        <v>4093</v>
      </c>
      <c r="I1172">
        <v>4100</v>
      </c>
      <c r="L1172" t="s">
        <v>4189</v>
      </c>
      <c r="M1172" t="s">
        <v>31</v>
      </c>
      <c r="N1172" t="s">
        <v>19</v>
      </c>
    </row>
    <row r="1173" spans="1:14">
      <c r="A1173" t="s">
        <v>4190</v>
      </c>
      <c r="B1173" t="s">
        <v>4191</v>
      </c>
      <c r="C1173">
        <v>2006</v>
      </c>
      <c r="D1173" t="s">
        <v>4188</v>
      </c>
      <c r="E1173">
        <v>7</v>
      </c>
      <c r="H1173">
        <v>3961</v>
      </c>
      <c r="I1173">
        <v>3964</v>
      </c>
      <c r="L1173" t="s">
        <v>4192</v>
      </c>
      <c r="M1173" t="s">
        <v>31</v>
      </c>
      <c r="N1173" t="s">
        <v>19</v>
      </c>
    </row>
    <row r="1174" spans="1:14">
      <c r="A1174" t="s">
        <v>4193</v>
      </c>
      <c r="B1174" t="s">
        <v>4194</v>
      </c>
      <c r="C1174">
        <v>2006</v>
      </c>
      <c r="D1174" t="s">
        <v>2923</v>
      </c>
      <c r="E1174">
        <v>61</v>
      </c>
      <c r="H1174">
        <v>185</v>
      </c>
      <c r="I1174">
        <v>190</v>
      </c>
      <c r="L1174" t="s">
        <v>4195</v>
      </c>
      <c r="M1174" t="s">
        <v>18</v>
      </c>
      <c r="N1174" t="s">
        <v>19</v>
      </c>
    </row>
    <row r="1175" spans="1:14">
      <c r="A1175" t="s">
        <v>4196</v>
      </c>
      <c r="B1175" t="s">
        <v>4197</v>
      </c>
      <c r="C1175">
        <v>2006</v>
      </c>
      <c r="D1175" t="s">
        <v>4198</v>
      </c>
      <c r="G1175">
        <v>4019260</v>
      </c>
      <c r="H1175">
        <v>1258</v>
      </c>
      <c r="I1175">
        <v>1262</v>
      </c>
      <c r="L1175" t="s">
        <v>4199</v>
      </c>
      <c r="M1175" t="s">
        <v>31</v>
      </c>
      <c r="N1175" t="s">
        <v>19</v>
      </c>
    </row>
    <row r="1176" spans="1:14">
      <c r="A1176" t="s">
        <v>4200</v>
      </c>
      <c r="B1176" t="s">
        <v>4201</v>
      </c>
      <c r="C1176">
        <v>2006</v>
      </c>
      <c r="D1176" t="s">
        <v>4202</v>
      </c>
      <c r="G1176">
        <v>4023892</v>
      </c>
      <c r="L1176" t="s">
        <v>4203</v>
      </c>
      <c r="M1176" t="s">
        <v>31</v>
      </c>
      <c r="N1176" t="s">
        <v>19</v>
      </c>
    </row>
    <row r="1177" spans="1:14">
      <c r="A1177" t="s">
        <v>4204</v>
      </c>
      <c r="B1177" t="s">
        <v>4205</v>
      </c>
      <c r="C1177">
        <v>2006</v>
      </c>
      <c r="D1177" t="s">
        <v>4188</v>
      </c>
      <c r="E1177">
        <v>7</v>
      </c>
      <c r="H1177">
        <v>4037</v>
      </c>
      <c r="I1177">
        <v>4044</v>
      </c>
      <c r="L1177" t="s">
        <v>4206</v>
      </c>
      <c r="M1177" t="s">
        <v>31</v>
      </c>
      <c r="N1177" t="s">
        <v>19</v>
      </c>
    </row>
    <row r="1178" spans="1:14">
      <c r="A1178" t="s">
        <v>4207</v>
      </c>
      <c r="B1178" t="s">
        <v>4208</v>
      </c>
      <c r="C1178">
        <v>2006</v>
      </c>
      <c r="D1178" t="s">
        <v>4209</v>
      </c>
      <c r="L1178" t="s">
        <v>4210</v>
      </c>
      <c r="M1178" t="s">
        <v>31</v>
      </c>
      <c r="N1178" t="s">
        <v>19</v>
      </c>
    </row>
    <row r="1179" spans="1:14">
      <c r="A1179" t="s">
        <v>4211</v>
      </c>
      <c r="B1179" t="s">
        <v>4212</v>
      </c>
      <c r="C1179">
        <v>2006</v>
      </c>
      <c r="D1179" t="s">
        <v>1363</v>
      </c>
      <c r="H1179">
        <v>1779</v>
      </c>
      <c r="I1179">
        <v>1782</v>
      </c>
      <c r="K1179">
        <v>1</v>
      </c>
      <c r="L1179" t="s">
        <v>4213</v>
      </c>
      <c r="M1179" t="s">
        <v>31</v>
      </c>
      <c r="N1179" t="s">
        <v>19</v>
      </c>
    </row>
    <row r="1180" spans="1:14">
      <c r="A1180" t="s">
        <v>4214</v>
      </c>
      <c r="B1180" t="s">
        <v>4215</v>
      </c>
      <c r="C1180">
        <v>2006</v>
      </c>
      <c r="D1180" t="s">
        <v>4216</v>
      </c>
      <c r="L1180" t="s">
        <v>4217</v>
      </c>
      <c r="M1180" t="s">
        <v>31</v>
      </c>
      <c r="N1180" t="s">
        <v>19</v>
      </c>
    </row>
    <row r="1181" spans="1:14">
      <c r="A1181" t="s">
        <v>4218</v>
      </c>
      <c r="B1181" t="s">
        <v>4219</v>
      </c>
      <c r="C1181">
        <v>2006</v>
      </c>
      <c r="D1181" t="s">
        <v>2690</v>
      </c>
      <c r="H1181">
        <v>185</v>
      </c>
      <c r="I1181">
        <v>186</v>
      </c>
      <c r="K1181">
        <v>2</v>
      </c>
      <c r="L1181" t="s">
        <v>4220</v>
      </c>
      <c r="M1181" t="s">
        <v>31</v>
      </c>
      <c r="N1181" t="s">
        <v>19</v>
      </c>
    </row>
    <row r="1182" spans="1:14">
      <c r="A1182" t="s">
        <v>4221</v>
      </c>
      <c r="B1182" t="s">
        <v>4222</v>
      </c>
      <c r="C1182">
        <v>2006</v>
      </c>
      <c r="D1182" t="s">
        <v>4223</v>
      </c>
      <c r="H1182">
        <v>569</v>
      </c>
      <c r="I1182">
        <v>590</v>
      </c>
      <c r="K1182">
        <v>5</v>
      </c>
      <c r="L1182" t="s">
        <v>4224</v>
      </c>
      <c r="M1182" t="s">
        <v>31</v>
      </c>
      <c r="N1182" t="s">
        <v>19</v>
      </c>
    </row>
    <row r="1183" spans="1:14">
      <c r="A1183" t="s">
        <v>4225</v>
      </c>
      <c r="B1183" t="s">
        <v>4226</v>
      </c>
      <c r="C1183">
        <v>2006</v>
      </c>
      <c r="D1183" t="s">
        <v>4188</v>
      </c>
      <c r="E1183">
        <v>2</v>
      </c>
      <c r="H1183">
        <v>810</v>
      </c>
      <c r="I1183">
        <v>820</v>
      </c>
      <c r="L1183" t="s">
        <v>4227</v>
      </c>
      <c r="M1183" t="s">
        <v>31</v>
      </c>
      <c r="N1183" t="s">
        <v>19</v>
      </c>
    </row>
    <row r="1184" spans="1:14">
      <c r="A1184" t="s">
        <v>4228</v>
      </c>
      <c r="B1184" t="s">
        <v>4229</v>
      </c>
      <c r="C1184">
        <v>2006</v>
      </c>
      <c r="D1184" t="s">
        <v>4230</v>
      </c>
      <c r="E1184">
        <v>224</v>
      </c>
      <c r="H1184">
        <v>265</v>
      </c>
      <c r="I1184">
        <v>272</v>
      </c>
      <c r="L1184" t="s">
        <v>4231</v>
      </c>
      <c r="M1184" t="s">
        <v>18</v>
      </c>
      <c r="N1184" t="s">
        <v>19</v>
      </c>
    </row>
    <row r="1185" spans="1:14">
      <c r="A1185" t="s">
        <v>4232</v>
      </c>
      <c r="B1185" t="s">
        <v>4233</v>
      </c>
      <c r="C1185">
        <v>2006</v>
      </c>
      <c r="D1185" t="s">
        <v>4216</v>
      </c>
      <c r="L1185" t="s">
        <v>4234</v>
      </c>
      <c r="M1185" t="s">
        <v>31</v>
      </c>
      <c r="N1185" t="s">
        <v>19</v>
      </c>
    </row>
    <row r="1186" spans="1:14">
      <c r="A1186" t="s">
        <v>4235</v>
      </c>
      <c r="B1186" t="s">
        <v>4236</v>
      </c>
      <c r="C1186">
        <v>2006</v>
      </c>
      <c r="D1186" t="s">
        <v>4223</v>
      </c>
      <c r="H1186">
        <v>1175</v>
      </c>
      <c r="I1186">
        <v>1198</v>
      </c>
      <c r="L1186" t="s">
        <v>4237</v>
      </c>
      <c r="M1186" t="s">
        <v>31</v>
      </c>
      <c r="N1186" t="s">
        <v>19</v>
      </c>
    </row>
    <row r="1187" spans="1:14">
      <c r="A1187" t="s">
        <v>4238</v>
      </c>
      <c r="B1187" t="s">
        <v>4239</v>
      </c>
      <c r="C1187">
        <v>2006</v>
      </c>
      <c r="D1187" t="s">
        <v>4240</v>
      </c>
      <c r="H1187">
        <v>233</v>
      </c>
      <c r="I1187">
        <v>250</v>
      </c>
      <c r="K1187">
        <v>1</v>
      </c>
      <c r="L1187" t="s">
        <v>4241</v>
      </c>
      <c r="M1187" t="s">
        <v>31</v>
      </c>
      <c r="N1187" t="s">
        <v>19</v>
      </c>
    </row>
    <row r="1188" spans="1:14">
      <c r="A1188" t="s">
        <v>4242</v>
      </c>
      <c r="B1188" t="s">
        <v>4243</v>
      </c>
      <c r="C1188">
        <v>2006</v>
      </c>
      <c r="D1188" t="s">
        <v>2878</v>
      </c>
      <c r="E1188">
        <v>200</v>
      </c>
      <c r="L1188" t="s">
        <v>4244</v>
      </c>
      <c r="M1188" t="s">
        <v>31</v>
      </c>
      <c r="N1188" t="s">
        <v>19</v>
      </c>
    </row>
    <row r="1189" spans="1:14">
      <c r="A1189" t="s">
        <v>4245</v>
      </c>
      <c r="B1189" t="s">
        <v>4246</v>
      </c>
      <c r="C1189">
        <v>2006</v>
      </c>
      <c r="D1189" t="s">
        <v>4247</v>
      </c>
      <c r="H1189">
        <v>1017</v>
      </c>
      <c r="I1189">
        <v>1018</v>
      </c>
      <c r="K1189">
        <v>7</v>
      </c>
      <c r="L1189" t="s">
        <v>4248</v>
      </c>
      <c r="M1189" t="s">
        <v>31</v>
      </c>
      <c r="N1189" t="s">
        <v>19</v>
      </c>
    </row>
    <row r="1190" spans="1:14">
      <c r="A1190" t="s">
        <v>4249</v>
      </c>
      <c r="B1190" t="s">
        <v>4250</v>
      </c>
      <c r="C1190">
        <v>2006</v>
      </c>
      <c r="D1190" t="s">
        <v>4188</v>
      </c>
      <c r="E1190">
        <v>7</v>
      </c>
      <c r="H1190">
        <v>4068</v>
      </c>
      <c r="I1190">
        <v>4072</v>
      </c>
      <c r="L1190" t="s">
        <v>4251</v>
      </c>
      <c r="M1190" t="s">
        <v>31</v>
      </c>
      <c r="N1190" t="s">
        <v>19</v>
      </c>
    </row>
    <row r="1191" spans="1:14">
      <c r="A1191" t="s">
        <v>4252</v>
      </c>
      <c r="B1191" t="s">
        <v>4253</v>
      </c>
      <c r="C1191">
        <v>2006</v>
      </c>
      <c r="D1191" t="s">
        <v>213</v>
      </c>
      <c r="E1191">
        <v>151</v>
      </c>
      <c r="H1191">
        <v>9</v>
      </c>
      <c r="I1191">
        <v>10</v>
      </c>
      <c r="L1191" t="s">
        <v>4254</v>
      </c>
      <c r="M1191" t="s">
        <v>31</v>
      </c>
      <c r="N1191" t="s">
        <v>19</v>
      </c>
    </row>
    <row r="1192" spans="1:14">
      <c r="A1192" t="s">
        <v>4255</v>
      </c>
      <c r="B1192" t="s">
        <v>4256</v>
      </c>
      <c r="C1192">
        <v>2006</v>
      </c>
      <c r="D1192" t="s">
        <v>4158</v>
      </c>
      <c r="E1192">
        <v>34</v>
      </c>
      <c r="F1192">
        <v>6</v>
      </c>
      <c r="H1192">
        <v>451</v>
      </c>
      <c r="I1192">
        <v>480</v>
      </c>
      <c r="K1192">
        <v>43</v>
      </c>
      <c r="L1192" t="s">
        <v>4257</v>
      </c>
      <c r="M1192" t="s">
        <v>18</v>
      </c>
      <c r="N1192" t="s">
        <v>19</v>
      </c>
    </row>
    <row r="1193" spans="1:14">
      <c r="A1193" t="s">
        <v>4258</v>
      </c>
      <c r="B1193" t="s">
        <v>4259</v>
      </c>
      <c r="C1193">
        <v>2006</v>
      </c>
      <c r="D1193" t="s">
        <v>4260</v>
      </c>
      <c r="E1193">
        <v>2006</v>
      </c>
      <c r="H1193">
        <v>210</v>
      </c>
      <c r="I1193">
        <v>211</v>
      </c>
      <c r="K1193">
        <v>4</v>
      </c>
      <c r="L1193" t="s">
        <v>4261</v>
      </c>
      <c r="M1193" t="s">
        <v>31</v>
      </c>
      <c r="N1193" t="s">
        <v>19</v>
      </c>
    </row>
    <row r="1194" spans="1:14">
      <c r="A1194" t="s">
        <v>4262</v>
      </c>
      <c r="B1194" t="s">
        <v>4263</v>
      </c>
      <c r="C1194">
        <v>2006</v>
      </c>
      <c r="D1194" t="s">
        <v>1903</v>
      </c>
      <c r="E1194">
        <v>6</v>
      </c>
      <c r="G1194">
        <v>1579571</v>
      </c>
      <c r="K1194">
        <v>3</v>
      </c>
      <c r="L1194" t="s">
        <v>4264</v>
      </c>
      <c r="M1194" t="s">
        <v>31</v>
      </c>
      <c r="N1194" t="s">
        <v>19</v>
      </c>
    </row>
    <row r="1195" spans="1:14">
      <c r="A1195" t="s">
        <v>4265</v>
      </c>
      <c r="B1195" t="s">
        <v>4266</v>
      </c>
      <c r="C1195">
        <v>2006</v>
      </c>
      <c r="D1195" t="s">
        <v>1903</v>
      </c>
      <c r="E1195">
        <v>3</v>
      </c>
      <c r="G1195">
        <v>1579410</v>
      </c>
      <c r="K1195">
        <v>24</v>
      </c>
      <c r="L1195" t="s">
        <v>4267</v>
      </c>
      <c r="M1195" t="s">
        <v>31</v>
      </c>
      <c r="N1195" t="s">
        <v>19</v>
      </c>
    </row>
    <row r="1196" spans="1:14">
      <c r="A1196" t="s">
        <v>4268</v>
      </c>
      <c r="B1196" t="s">
        <v>4269</v>
      </c>
      <c r="C1196">
        <v>2006</v>
      </c>
      <c r="D1196" t="s">
        <v>4270</v>
      </c>
      <c r="E1196">
        <v>13</v>
      </c>
      <c r="F1196">
        <v>3</v>
      </c>
      <c r="H1196">
        <v>403</v>
      </c>
      <c r="I1196">
        <v>422</v>
      </c>
      <c r="K1196">
        <v>19</v>
      </c>
      <c r="L1196" t="s">
        <v>4271</v>
      </c>
      <c r="M1196" t="s">
        <v>624</v>
      </c>
      <c r="N1196" t="s">
        <v>19</v>
      </c>
    </row>
    <row r="1197" spans="1:14">
      <c r="A1197" t="s">
        <v>4272</v>
      </c>
      <c r="B1197" t="s">
        <v>4273</v>
      </c>
      <c r="C1197">
        <v>2006</v>
      </c>
      <c r="D1197" t="s">
        <v>319</v>
      </c>
      <c r="E1197">
        <v>6201</v>
      </c>
      <c r="G1197">
        <v>620105</v>
      </c>
      <c r="K1197">
        <v>3</v>
      </c>
      <c r="L1197" t="s">
        <v>4274</v>
      </c>
      <c r="M1197" t="s">
        <v>31</v>
      </c>
      <c r="N1197" t="s">
        <v>19</v>
      </c>
    </row>
    <row r="1198" spans="1:14">
      <c r="A1198" t="s">
        <v>4275</v>
      </c>
      <c r="B1198" t="s">
        <v>4276</v>
      </c>
      <c r="C1198">
        <v>2006</v>
      </c>
      <c r="D1198" t="s">
        <v>55</v>
      </c>
      <c r="E1198" t="s">
        <v>4277</v>
      </c>
      <c r="H1198">
        <v>745</v>
      </c>
      <c r="I1198">
        <v>754</v>
      </c>
      <c r="K1198">
        <v>3</v>
      </c>
      <c r="L1198" t="s">
        <v>4278</v>
      </c>
      <c r="M1198" t="s">
        <v>31</v>
      </c>
      <c r="N1198" t="s">
        <v>19</v>
      </c>
    </row>
    <row r="1199" spans="1:14">
      <c r="A1199" t="s">
        <v>4279</v>
      </c>
      <c r="B1199" t="s">
        <v>4280</v>
      </c>
      <c r="C1199">
        <v>2006</v>
      </c>
      <c r="D1199" t="s">
        <v>3297</v>
      </c>
      <c r="E1199">
        <v>64</v>
      </c>
      <c r="F1199">
        <v>7</v>
      </c>
      <c r="H1199">
        <v>622</v>
      </c>
      <c r="I1199">
        <v>635</v>
      </c>
      <c r="K1199">
        <v>47</v>
      </c>
      <c r="L1199" t="s">
        <v>4281</v>
      </c>
      <c r="M1199" t="s">
        <v>18</v>
      </c>
      <c r="N1199" t="s">
        <v>19</v>
      </c>
    </row>
    <row r="1200" spans="1:14">
      <c r="A1200" t="s">
        <v>4282</v>
      </c>
      <c r="B1200" t="s">
        <v>4283</v>
      </c>
      <c r="C1200">
        <v>2006</v>
      </c>
      <c r="D1200" t="s">
        <v>4284</v>
      </c>
      <c r="E1200">
        <v>39</v>
      </c>
      <c r="F1200">
        <v>2</v>
      </c>
      <c r="H1200">
        <v>87</v>
      </c>
      <c r="I1200">
        <v>91</v>
      </c>
      <c r="K1200">
        <v>5</v>
      </c>
      <c r="L1200" t="s">
        <v>4285</v>
      </c>
      <c r="M1200" t="s">
        <v>18</v>
      </c>
      <c r="N1200" t="s">
        <v>19</v>
      </c>
    </row>
    <row r="1201" spans="1:14">
      <c r="A1201" t="s">
        <v>4286</v>
      </c>
      <c r="B1201" t="s">
        <v>4287</v>
      </c>
      <c r="C1201">
        <v>2005</v>
      </c>
      <c r="D1201" t="s">
        <v>206</v>
      </c>
      <c r="H1201">
        <v>615</v>
      </c>
      <c r="I1201">
        <v>620</v>
      </c>
      <c r="L1201" t="s">
        <v>4288</v>
      </c>
      <c r="M1201" t="s">
        <v>18</v>
      </c>
      <c r="N1201" t="s">
        <v>19</v>
      </c>
    </row>
    <row r="1202" spans="1:14">
      <c r="A1202" t="s">
        <v>4289</v>
      </c>
      <c r="B1202" t="s">
        <v>4290</v>
      </c>
      <c r="C1202">
        <v>2005</v>
      </c>
      <c r="D1202" t="s">
        <v>4291</v>
      </c>
      <c r="E1202">
        <v>6</v>
      </c>
      <c r="H1202">
        <v>329</v>
      </c>
      <c r="I1202">
        <v>333</v>
      </c>
      <c r="L1202" t="s">
        <v>4292</v>
      </c>
      <c r="M1202" t="s">
        <v>31</v>
      </c>
      <c r="N1202" t="s">
        <v>19</v>
      </c>
    </row>
    <row r="1203" spans="1:14">
      <c r="A1203" t="s">
        <v>4293</v>
      </c>
      <c r="B1203" t="s">
        <v>4294</v>
      </c>
      <c r="C1203">
        <v>2005</v>
      </c>
      <c r="D1203" t="s">
        <v>4295</v>
      </c>
      <c r="E1203">
        <v>2005</v>
      </c>
      <c r="G1203">
        <v>1517823</v>
      </c>
      <c r="H1203">
        <v>87</v>
      </c>
      <c r="I1203">
        <v>93</v>
      </c>
      <c r="K1203">
        <v>12</v>
      </c>
      <c r="L1203" t="s">
        <v>4296</v>
      </c>
      <c r="M1203" t="s">
        <v>31</v>
      </c>
      <c r="N1203" t="s">
        <v>19</v>
      </c>
    </row>
    <row r="1204" spans="1:14">
      <c r="A1204" t="s">
        <v>2077</v>
      </c>
      <c r="B1204" t="s">
        <v>4297</v>
      </c>
      <c r="C1204">
        <v>2005</v>
      </c>
      <c r="D1204" t="s">
        <v>4298</v>
      </c>
      <c r="H1204">
        <v>47</v>
      </c>
      <c r="L1204" t="s">
        <v>4299</v>
      </c>
      <c r="M1204" t="s">
        <v>31</v>
      </c>
      <c r="N1204" t="s">
        <v>19</v>
      </c>
    </row>
    <row r="1205" spans="1:14">
      <c r="A1205" t="s">
        <v>4300</v>
      </c>
      <c r="B1205" t="s">
        <v>4301</v>
      </c>
      <c r="C1205">
        <v>2005</v>
      </c>
      <c r="D1205" t="s">
        <v>4302</v>
      </c>
      <c r="H1205">
        <v>706</v>
      </c>
      <c r="I1205">
        <v>710</v>
      </c>
      <c r="L1205" t="s">
        <v>4303</v>
      </c>
      <c r="M1205" t="s">
        <v>31</v>
      </c>
      <c r="N1205" t="s">
        <v>19</v>
      </c>
    </row>
    <row r="1206" spans="1:14">
      <c r="A1206" t="s">
        <v>3968</v>
      </c>
      <c r="B1206" t="s">
        <v>3969</v>
      </c>
      <c r="C1206">
        <v>2005</v>
      </c>
      <c r="D1206" t="s">
        <v>55</v>
      </c>
      <c r="E1206" t="s">
        <v>4304</v>
      </c>
      <c r="H1206">
        <v>112</v>
      </c>
      <c r="I1206">
        <v>121</v>
      </c>
      <c r="L1206" t="s">
        <v>4305</v>
      </c>
      <c r="M1206" t="s">
        <v>31</v>
      </c>
      <c r="N1206" t="s">
        <v>19</v>
      </c>
    </row>
    <row r="1207" spans="1:14">
      <c r="A1207" t="s">
        <v>4306</v>
      </c>
      <c r="B1207" t="s">
        <v>4307</v>
      </c>
      <c r="C1207">
        <v>2005</v>
      </c>
      <c r="D1207" t="s">
        <v>4308</v>
      </c>
      <c r="H1207">
        <v>509</v>
      </c>
      <c r="I1207">
        <v>513</v>
      </c>
      <c r="K1207">
        <v>8</v>
      </c>
      <c r="L1207" t="s">
        <v>4309</v>
      </c>
      <c r="M1207" t="s">
        <v>31</v>
      </c>
      <c r="N1207" t="s">
        <v>19</v>
      </c>
    </row>
    <row r="1208" spans="1:14">
      <c r="A1208" t="s">
        <v>4310</v>
      </c>
      <c r="B1208" t="s">
        <v>4311</v>
      </c>
      <c r="C1208">
        <v>2005</v>
      </c>
      <c r="D1208" t="s">
        <v>4312</v>
      </c>
      <c r="L1208" t="s">
        <v>4313</v>
      </c>
      <c r="M1208" t="s">
        <v>31</v>
      </c>
      <c r="N1208" t="s">
        <v>19</v>
      </c>
    </row>
    <row r="1209" spans="1:14">
      <c r="A1209" t="s">
        <v>4314</v>
      </c>
      <c r="B1209" t="s">
        <v>4315</v>
      </c>
      <c r="C1209">
        <v>2005</v>
      </c>
      <c r="D1209" t="s">
        <v>4316</v>
      </c>
      <c r="H1209">
        <v>1094</v>
      </c>
      <c r="I1209">
        <v>1098</v>
      </c>
      <c r="K1209">
        <v>2</v>
      </c>
      <c r="L1209" t="s">
        <v>4317</v>
      </c>
      <c r="M1209" t="s">
        <v>31</v>
      </c>
      <c r="N1209" t="s">
        <v>19</v>
      </c>
    </row>
    <row r="1210" spans="1:14">
      <c r="A1210" t="s">
        <v>4318</v>
      </c>
      <c r="B1210" t="s">
        <v>4319</v>
      </c>
      <c r="C1210">
        <v>2005</v>
      </c>
      <c r="D1210" t="s">
        <v>4320</v>
      </c>
      <c r="E1210">
        <v>2</v>
      </c>
      <c r="H1210">
        <v>578</v>
      </c>
      <c r="L1210" t="s">
        <v>4321</v>
      </c>
      <c r="M1210" t="s">
        <v>31</v>
      </c>
      <c r="N1210" t="s">
        <v>19</v>
      </c>
    </row>
    <row r="1211" spans="1:14">
      <c r="A1211" t="s">
        <v>4322</v>
      </c>
      <c r="B1211" t="s">
        <v>4323</v>
      </c>
      <c r="C1211">
        <v>2005</v>
      </c>
      <c r="D1211" t="s">
        <v>4324</v>
      </c>
      <c r="L1211" t="s">
        <v>4325</v>
      </c>
      <c r="M1211" t="s">
        <v>31</v>
      </c>
      <c r="N1211" t="s">
        <v>19</v>
      </c>
    </row>
    <row r="1212" spans="1:14">
      <c r="A1212" t="s">
        <v>4326</v>
      </c>
      <c r="B1212" t="s">
        <v>4327</v>
      </c>
      <c r="C1212">
        <v>2005</v>
      </c>
      <c r="D1212" t="s">
        <v>4308</v>
      </c>
      <c r="H1212">
        <v>657</v>
      </c>
      <c r="I1212">
        <v>661</v>
      </c>
      <c r="L1212" t="s">
        <v>4328</v>
      </c>
      <c r="M1212" t="s">
        <v>31</v>
      </c>
      <c r="N1212" t="s">
        <v>19</v>
      </c>
    </row>
    <row r="1213" spans="1:14">
      <c r="A1213" t="s">
        <v>4329</v>
      </c>
      <c r="B1213" t="s">
        <v>4330</v>
      </c>
      <c r="C1213">
        <v>2005</v>
      </c>
      <c r="D1213" t="s">
        <v>4302</v>
      </c>
      <c r="H1213">
        <v>666</v>
      </c>
      <c r="I1213">
        <v>669</v>
      </c>
      <c r="L1213" t="s">
        <v>4331</v>
      </c>
      <c r="M1213" t="s">
        <v>31</v>
      </c>
      <c r="N1213" t="s">
        <v>19</v>
      </c>
    </row>
    <row r="1214" spans="1:14">
      <c r="A1214" t="s">
        <v>4332</v>
      </c>
      <c r="B1214" t="s">
        <v>4333</v>
      </c>
      <c r="C1214">
        <v>2005</v>
      </c>
      <c r="D1214" t="s">
        <v>4334</v>
      </c>
      <c r="H1214">
        <v>1145</v>
      </c>
      <c r="I1214">
        <v>1152</v>
      </c>
      <c r="K1214">
        <v>3</v>
      </c>
      <c r="L1214" t="s">
        <v>4335</v>
      </c>
      <c r="M1214" t="s">
        <v>31</v>
      </c>
      <c r="N1214" t="s">
        <v>19</v>
      </c>
    </row>
    <row r="1215" spans="1:14">
      <c r="A1215" t="s">
        <v>4336</v>
      </c>
      <c r="B1215" t="s">
        <v>4337</v>
      </c>
      <c r="C1215">
        <v>2005</v>
      </c>
      <c r="D1215" t="s">
        <v>4334</v>
      </c>
      <c r="H1215">
        <v>1449</v>
      </c>
      <c r="I1215">
        <v>1456</v>
      </c>
      <c r="K1215">
        <v>12</v>
      </c>
      <c r="L1215" t="s">
        <v>4338</v>
      </c>
      <c r="M1215" t="s">
        <v>31</v>
      </c>
      <c r="N1215" t="s">
        <v>19</v>
      </c>
    </row>
    <row r="1216" spans="1:14">
      <c r="A1216" t="s">
        <v>4339</v>
      </c>
      <c r="B1216" t="s">
        <v>4340</v>
      </c>
      <c r="C1216">
        <v>2005</v>
      </c>
      <c r="D1216" t="s">
        <v>4341</v>
      </c>
      <c r="H1216">
        <v>247</v>
      </c>
      <c r="I1216">
        <v>254</v>
      </c>
      <c r="L1216" t="s">
        <v>4342</v>
      </c>
      <c r="M1216" t="s">
        <v>31</v>
      </c>
      <c r="N1216" t="s">
        <v>19</v>
      </c>
    </row>
    <row r="1217" spans="1:14">
      <c r="A1217" t="s">
        <v>4343</v>
      </c>
      <c r="B1217" t="s">
        <v>4344</v>
      </c>
      <c r="C1217">
        <v>2005</v>
      </c>
      <c r="D1217" t="s">
        <v>4320</v>
      </c>
      <c r="E1217">
        <v>2</v>
      </c>
      <c r="H1217">
        <v>523</v>
      </c>
      <c r="I1217">
        <v>530</v>
      </c>
      <c r="L1217" t="s">
        <v>4345</v>
      </c>
      <c r="M1217" t="s">
        <v>31</v>
      </c>
      <c r="N1217" t="s">
        <v>19</v>
      </c>
    </row>
    <row r="1218" spans="1:14">
      <c r="A1218" t="s">
        <v>4346</v>
      </c>
      <c r="B1218" t="s">
        <v>4347</v>
      </c>
      <c r="C1218">
        <v>2005</v>
      </c>
      <c r="D1218" t="s">
        <v>1363</v>
      </c>
      <c r="H1218">
        <v>1268</v>
      </c>
      <c r="I1218">
        <v>1271</v>
      </c>
      <c r="K1218">
        <v>2</v>
      </c>
      <c r="L1218" t="s">
        <v>4348</v>
      </c>
      <c r="M1218" t="s">
        <v>31</v>
      </c>
      <c r="N1218" t="s">
        <v>19</v>
      </c>
    </row>
    <row r="1219" spans="1:14">
      <c r="A1219" t="s">
        <v>4349</v>
      </c>
      <c r="B1219" t="s">
        <v>4350</v>
      </c>
      <c r="C1219">
        <v>2005</v>
      </c>
      <c r="D1219" t="s">
        <v>4308</v>
      </c>
      <c r="H1219">
        <v>727</v>
      </c>
      <c r="I1219">
        <v>731</v>
      </c>
      <c r="K1219">
        <v>5</v>
      </c>
      <c r="L1219" t="s">
        <v>4351</v>
      </c>
      <c r="M1219" t="s">
        <v>31</v>
      </c>
      <c r="N1219" t="s">
        <v>19</v>
      </c>
    </row>
    <row r="1220" spans="1:14">
      <c r="A1220" t="s">
        <v>4225</v>
      </c>
      <c r="B1220" t="s">
        <v>4352</v>
      </c>
      <c r="C1220">
        <v>2005</v>
      </c>
      <c r="D1220" t="s">
        <v>4320</v>
      </c>
      <c r="E1220">
        <v>6</v>
      </c>
      <c r="H1220">
        <v>2853</v>
      </c>
      <c r="I1220">
        <v>2857</v>
      </c>
      <c r="L1220" t="s">
        <v>4353</v>
      </c>
      <c r="M1220" t="s">
        <v>31</v>
      </c>
      <c r="N1220" t="s">
        <v>19</v>
      </c>
    </row>
    <row r="1221" spans="1:14">
      <c r="A1221" t="s">
        <v>4354</v>
      </c>
      <c r="B1221" t="s">
        <v>4355</v>
      </c>
      <c r="C1221">
        <v>2005</v>
      </c>
      <c r="D1221" t="s">
        <v>4308</v>
      </c>
      <c r="H1221">
        <v>262</v>
      </c>
      <c r="I1221">
        <v>271</v>
      </c>
      <c r="K1221">
        <v>1</v>
      </c>
      <c r="L1221" t="s">
        <v>4356</v>
      </c>
      <c r="M1221" t="s">
        <v>31</v>
      </c>
      <c r="N1221" t="s">
        <v>19</v>
      </c>
    </row>
    <row r="1222" spans="1:14">
      <c r="A1222" t="s">
        <v>4357</v>
      </c>
      <c r="B1222" t="s">
        <v>4358</v>
      </c>
      <c r="C1222">
        <v>2005</v>
      </c>
      <c r="D1222" t="s">
        <v>4359</v>
      </c>
      <c r="L1222" t="s">
        <v>4360</v>
      </c>
      <c r="M1222" t="s">
        <v>31</v>
      </c>
      <c r="N1222" t="s">
        <v>19</v>
      </c>
    </row>
    <row r="1223" spans="1:14">
      <c r="A1223" t="s">
        <v>4361</v>
      </c>
      <c r="B1223" t="s">
        <v>4362</v>
      </c>
      <c r="C1223">
        <v>2005</v>
      </c>
      <c r="D1223" t="s">
        <v>4308</v>
      </c>
      <c r="H1223">
        <v>190</v>
      </c>
      <c r="I1223">
        <v>194</v>
      </c>
      <c r="K1223">
        <v>3</v>
      </c>
      <c r="L1223" t="s">
        <v>4363</v>
      </c>
      <c r="M1223" t="s">
        <v>31</v>
      </c>
      <c r="N1223" t="s">
        <v>19</v>
      </c>
    </row>
    <row r="1224" spans="1:14">
      <c r="A1224" t="s">
        <v>4364</v>
      </c>
      <c r="B1224" t="s">
        <v>4365</v>
      </c>
      <c r="C1224">
        <v>2005</v>
      </c>
      <c r="D1224" t="s">
        <v>407</v>
      </c>
      <c r="E1224">
        <v>8</v>
      </c>
      <c r="F1224">
        <v>4</v>
      </c>
      <c r="H1224">
        <v>90</v>
      </c>
      <c r="I1224">
        <v>99</v>
      </c>
      <c r="K1224">
        <v>1</v>
      </c>
      <c r="L1224" t="s">
        <v>4366</v>
      </c>
      <c r="M1224" t="s">
        <v>31</v>
      </c>
      <c r="N1224" t="s">
        <v>19</v>
      </c>
    </row>
    <row r="1225" spans="1:14">
      <c r="A1225" t="s">
        <v>4367</v>
      </c>
      <c r="B1225" t="s">
        <v>4368</v>
      </c>
      <c r="C1225">
        <v>2005</v>
      </c>
      <c r="D1225" t="s">
        <v>1187</v>
      </c>
      <c r="E1225">
        <v>29</v>
      </c>
      <c r="F1225">
        <v>5</v>
      </c>
      <c r="H1225">
        <v>499</v>
      </c>
      <c r="I1225">
        <v>512</v>
      </c>
      <c r="K1225">
        <v>9</v>
      </c>
      <c r="L1225" t="s">
        <v>4369</v>
      </c>
      <c r="M1225" t="s">
        <v>18</v>
      </c>
      <c r="N1225" t="s">
        <v>19</v>
      </c>
    </row>
    <row r="1226" spans="1:14">
      <c r="A1226" t="s">
        <v>4370</v>
      </c>
      <c r="B1226" t="s">
        <v>4371</v>
      </c>
      <c r="C1226">
        <v>2005</v>
      </c>
      <c r="D1226" t="s">
        <v>4372</v>
      </c>
      <c r="E1226">
        <v>3</v>
      </c>
      <c r="F1226" s="1">
        <v>41335</v>
      </c>
      <c r="H1226">
        <v>211</v>
      </c>
      <c r="I1226">
        <v>223</v>
      </c>
      <c r="K1226">
        <v>145</v>
      </c>
      <c r="L1226" t="s">
        <v>4373</v>
      </c>
      <c r="M1226" t="s">
        <v>31</v>
      </c>
      <c r="N1226" t="s">
        <v>19</v>
      </c>
    </row>
    <row r="1227" spans="1:14">
      <c r="A1227" t="s">
        <v>4374</v>
      </c>
      <c r="B1227" t="s">
        <v>4375</v>
      </c>
      <c r="C1227">
        <v>2005</v>
      </c>
      <c r="D1227" t="s">
        <v>4162</v>
      </c>
      <c r="E1227">
        <v>9</v>
      </c>
      <c r="F1227">
        <v>5</v>
      </c>
      <c r="H1227">
        <v>20</v>
      </c>
      <c r="I1227">
        <v>28</v>
      </c>
      <c r="K1227">
        <v>28</v>
      </c>
      <c r="L1227" t="s">
        <v>4376</v>
      </c>
      <c r="M1227" t="s">
        <v>18</v>
      </c>
      <c r="N1227" t="s">
        <v>19</v>
      </c>
    </row>
    <row r="1228" spans="1:14">
      <c r="A1228" t="s">
        <v>4377</v>
      </c>
      <c r="B1228" t="s">
        <v>4378</v>
      </c>
      <c r="C1228">
        <v>2005</v>
      </c>
      <c r="D1228" t="s">
        <v>4379</v>
      </c>
      <c r="E1228">
        <v>54</v>
      </c>
      <c r="F1228">
        <v>3</v>
      </c>
      <c r="H1228">
        <v>254</v>
      </c>
      <c r="I1228">
        <v>261</v>
      </c>
      <c r="K1228">
        <v>17</v>
      </c>
      <c r="L1228" t="s">
        <v>4380</v>
      </c>
      <c r="M1228" t="s">
        <v>18</v>
      </c>
      <c r="N1228" t="s">
        <v>19</v>
      </c>
    </row>
    <row r="1229" spans="1:14">
      <c r="A1229" t="s">
        <v>4381</v>
      </c>
      <c r="B1229" t="s">
        <v>4382</v>
      </c>
      <c r="C1229">
        <v>2004</v>
      </c>
      <c r="D1229" t="s">
        <v>1577</v>
      </c>
      <c r="H1229">
        <v>596</v>
      </c>
      <c r="I1229">
        <v>599</v>
      </c>
      <c r="K1229">
        <v>8</v>
      </c>
      <c r="L1229" t="s">
        <v>4383</v>
      </c>
      <c r="M1229" t="s">
        <v>31</v>
      </c>
      <c r="N1229" t="s">
        <v>19</v>
      </c>
    </row>
    <row r="1230" spans="1:14">
      <c r="A1230" t="s">
        <v>4364</v>
      </c>
      <c r="B1230" t="s">
        <v>4384</v>
      </c>
      <c r="C1230">
        <v>2004</v>
      </c>
      <c r="D1230" t="s">
        <v>4385</v>
      </c>
      <c r="H1230">
        <v>400</v>
      </c>
      <c r="I1230">
        <v>404</v>
      </c>
      <c r="L1230" t="s">
        <v>4386</v>
      </c>
      <c r="M1230" t="s">
        <v>31</v>
      </c>
      <c r="N1230" t="s">
        <v>19</v>
      </c>
    </row>
    <row r="1231" spans="1:14">
      <c r="A1231" t="s">
        <v>4279</v>
      </c>
      <c r="B1231" t="s">
        <v>4387</v>
      </c>
      <c r="C1231">
        <v>2004</v>
      </c>
      <c r="D1231" t="s">
        <v>55</v>
      </c>
      <c r="E1231">
        <v>3198</v>
      </c>
      <c r="H1231">
        <v>289</v>
      </c>
      <c r="I1231">
        <v>304</v>
      </c>
      <c r="K1231">
        <v>12</v>
      </c>
      <c r="L1231" t="s">
        <v>4388</v>
      </c>
      <c r="M1231" t="s">
        <v>18</v>
      </c>
      <c r="N1231" t="s">
        <v>19</v>
      </c>
    </row>
    <row r="1232" spans="1:14">
      <c r="A1232" t="s">
        <v>4370</v>
      </c>
      <c r="B1232" t="s">
        <v>4389</v>
      </c>
      <c r="C1232">
        <v>2004</v>
      </c>
      <c r="D1232" t="s">
        <v>4390</v>
      </c>
      <c r="H1232">
        <v>285</v>
      </c>
      <c r="I1232">
        <v>291</v>
      </c>
      <c r="K1232">
        <v>12</v>
      </c>
      <c r="L1232" t="s">
        <v>4391</v>
      </c>
      <c r="M1232" t="s">
        <v>31</v>
      </c>
      <c r="N1232" t="s">
        <v>19</v>
      </c>
    </row>
    <row r="1233" spans="1:14">
      <c r="A1233" t="s">
        <v>4392</v>
      </c>
      <c r="B1233" t="s">
        <v>4393</v>
      </c>
      <c r="C1233">
        <v>2004</v>
      </c>
      <c r="D1233" t="s">
        <v>4394</v>
      </c>
      <c r="H1233">
        <v>107</v>
      </c>
      <c r="I1233">
        <v>114</v>
      </c>
      <c r="L1233" t="s">
        <v>4395</v>
      </c>
      <c r="M1233" t="s">
        <v>31</v>
      </c>
      <c r="N1233" t="s">
        <v>19</v>
      </c>
    </row>
    <row r="1234" spans="1:14">
      <c r="A1234" t="s">
        <v>4396</v>
      </c>
      <c r="B1234" t="s">
        <v>4397</v>
      </c>
      <c r="C1234">
        <v>2003</v>
      </c>
      <c r="D1234" t="s">
        <v>883</v>
      </c>
      <c r="H1234">
        <v>137</v>
      </c>
      <c r="I1234">
        <v>146</v>
      </c>
      <c r="K1234">
        <v>452</v>
      </c>
      <c r="L1234" t="s">
        <v>4398</v>
      </c>
      <c r="M1234" t="s">
        <v>31</v>
      </c>
      <c r="N1234" t="s">
        <v>19</v>
      </c>
    </row>
    <row r="1235" spans="1:14">
      <c r="A1235" t="s">
        <v>4399</v>
      </c>
      <c r="B1235" t="s">
        <v>4400</v>
      </c>
      <c r="C1235">
        <v>2003</v>
      </c>
      <c r="D1235" t="s">
        <v>4401</v>
      </c>
      <c r="E1235">
        <v>7</v>
      </c>
      <c r="F1235">
        <v>3</v>
      </c>
      <c r="K1235">
        <v>79</v>
      </c>
      <c r="L1235" t="s">
        <v>4402</v>
      </c>
      <c r="M1235" t="s">
        <v>18</v>
      </c>
      <c r="N1235" t="s">
        <v>19</v>
      </c>
    </row>
    <row r="1236" spans="1:14">
      <c r="A1236" t="s">
        <v>4403</v>
      </c>
      <c r="B1236" t="s">
        <v>4404</v>
      </c>
      <c r="C1236">
        <v>2003</v>
      </c>
      <c r="D1236" t="s">
        <v>4401</v>
      </c>
      <c r="E1236">
        <v>7</v>
      </c>
      <c r="F1236">
        <v>3</v>
      </c>
      <c r="H1236">
        <v>93</v>
      </c>
      <c r="I1236">
        <v>107</v>
      </c>
      <c r="K1236">
        <v>16</v>
      </c>
      <c r="L1236" t="s">
        <v>4405</v>
      </c>
      <c r="M1236" t="s">
        <v>18</v>
      </c>
      <c r="N1236" t="s">
        <v>19</v>
      </c>
    </row>
    <row r="1237" spans="1:14">
      <c r="A1237" t="s">
        <v>3976</v>
      </c>
      <c r="B1237" t="s">
        <v>4406</v>
      </c>
      <c r="C1237">
        <v>2003</v>
      </c>
      <c r="D1237" t="s">
        <v>1700</v>
      </c>
      <c r="E1237">
        <v>8</v>
      </c>
      <c r="F1237">
        <v>4</v>
      </c>
      <c r="K1237">
        <v>75</v>
      </c>
      <c r="L1237" t="s">
        <v>4407</v>
      </c>
      <c r="M1237" t="s">
        <v>624</v>
      </c>
      <c r="N1237" t="s">
        <v>19</v>
      </c>
    </row>
    <row r="1238" spans="1:14">
      <c r="A1238" t="s">
        <v>4408</v>
      </c>
      <c r="B1238" t="s">
        <v>4409</v>
      </c>
      <c r="C1238">
        <v>2002</v>
      </c>
      <c r="D1238" t="s">
        <v>1363</v>
      </c>
      <c r="H1238">
        <v>556</v>
      </c>
      <c r="I1238">
        <v>557</v>
      </c>
      <c r="L1238" t="s">
        <v>4410</v>
      </c>
      <c r="M1238" t="s">
        <v>31</v>
      </c>
      <c r="N1238" t="s">
        <v>19</v>
      </c>
    </row>
    <row r="1239" spans="1:14">
      <c r="A1239" t="s">
        <v>4411</v>
      </c>
      <c r="B1239" t="s">
        <v>4412</v>
      </c>
      <c r="C1239">
        <v>2002</v>
      </c>
      <c r="D1239" t="s">
        <v>55</v>
      </c>
      <c r="E1239" t="s">
        <v>4413</v>
      </c>
      <c r="H1239">
        <v>30</v>
      </c>
      <c r="I1239">
        <v>38</v>
      </c>
      <c r="K1239">
        <v>1</v>
      </c>
      <c r="L1239" t="s">
        <v>4414</v>
      </c>
      <c r="M1239" t="s">
        <v>31</v>
      </c>
      <c r="N1239" t="s">
        <v>19</v>
      </c>
    </row>
    <row r="1240" spans="1:14">
      <c r="A1240" t="s">
        <v>4415</v>
      </c>
      <c r="B1240" t="s">
        <v>4416</v>
      </c>
      <c r="C1240">
        <v>2002</v>
      </c>
      <c r="D1240" t="s">
        <v>3213</v>
      </c>
      <c r="E1240">
        <v>39</v>
      </c>
      <c r="H1240">
        <v>566</v>
      </c>
      <c r="I1240">
        <v>567</v>
      </c>
      <c r="L1240" t="s">
        <v>4417</v>
      </c>
      <c r="M1240" t="s">
        <v>18</v>
      </c>
      <c r="N1240" t="s">
        <v>19</v>
      </c>
    </row>
    <row r="1241" spans="1:14">
      <c r="A1241" t="s">
        <v>4418</v>
      </c>
      <c r="B1241" t="s">
        <v>4419</v>
      </c>
      <c r="C1241">
        <v>2002</v>
      </c>
      <c r="D1241" t="s">
        <v>4420</v>
      </c>
      <c r="H1241">
        <v>20</v>
      </c>
      <c r="I1241">
        <v>27</v>
      </c>
      <c r="K1241">
        <v>11</v>
      </c>
      <c r="L1241" t="s">
        <v>4421</v>
      </c>
      <c r="M1241" t="s">
        <v>31</v>
      </c>
      <c r="N1241" t="s">
        <v>19</v>
      </c>
    </row>
    <row r="1242" spans="1:14">
      <c r="A1242" t="s">
        <v>4422</v>
      </c>
      <c r="B1242" t="s">
        <v>4423</v>
      </c>
      <c r="C1242">
        <v>1997</v>
      </c>
      <c r="D1242" t="s">
        <v>1700</v>
      </c>
      <c r="E1242">
        <v>3</v>
      </c>
      <c r="F1242">
        <v>1</v>
      </c>
      <c r="K1242">
        <v>226</v>
      </c>
      <c r="L1242" t="s">
        <v>4424</v>
      </c>
      <c r="M1242" t="s">
        <v>624</v>
      </c>
      <c r="N1242" t="s">
        <v>19</v>
      </c>
    </row>
    <row r="1243" spans="1:14">
      <c r="A1243" t="s">
        <v>4425</v>
      </c>
      <c r="B1243" t="s">
        <v>4426</v>
      </c>
      <c r="C1243">
        <v>1996</v>
      </c>
      <c r="D1243" t="s">
        <v>4427</v>
      </c>
      <c r="H1243">
        <v>1</v>
      </c>
      <c r="I1243">
        <v>11</v>
      </c>
      <c r="K1243">
        <v>29</v>
      </c>
      <c r="L1243" t="s">
        <v>4428</v>
      </c>
      <c r="M1243" t="s">
        <v>31</v>
      </c>
      <c r="N1243" t="s">
        <v>19</v>
      </c>
    </row>
  </sheetData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IV73"/>
  <sheetViews>
    <sheetView workbookViewId="0">
      <selection activeCell="HZ73" sqref="HZ73"/>
    </sheetView>
  </sheetViews>
  <sheetFormatPr defaultRowHeight="15"/>
  <sheetData>
    <row r="1" spans="1:256">
      <c r="A1" t="e">
        <f>IF(Plan1!1:1,"AAAAAH3//QA=",0)</f>
        <v>#VALUE!</v>
      </c>
      <c r="B1" t="e">
        <f>AND(Plan1!A1,"AAAAAH3//QE=")</f>
        <v>#VALUE!</v>
      </c>
      <c r="C1" t="e">
        <f>AND(Plan1!B1,"AAAAAH3//QI=")</f>
        <v>#VALUE!</v>
      </c>
      <c r="D1" t="e">
        <f>AND(Plan1!C1,"AAAAAH3//QM=")</f>
        <v>#VALUE!</v>
      </c>
      <c r="E1" t="e">
        <f>AND(Plan1!D1,"AAAAAH3//QQ=")</f>
        <v>#VALUE!</v>
      </c>
      <c r="F1" t="e">
        <f>AND(Plan1!E1,"AAAAAH3//QU=")</f>
        <v>#VALUE!</v>
      </c>
      <c r="G1" t="e">
        <f>AND(Plan1!F1,"AAAAAH3//QY=")</f>
        <v>#VALUE!</v>
      </c>
      <c r="H1" t="e">
        <f>AND(Plan1!G1,"AAAAAH3//Qc=")</f>
        <v>#VALUE!</v>
      </c>
      <c r="I1" t="e">
        <f>AND(Plan1!H1,"AAAAAH3//Qg=")</f>
        <v>#VALUE!</v>
      </c>
      <c r="J1" t="e">
        <f>AND(Plan1!I1,"AAAAAH3//Qk=")</f>
        <v>#VALUE!</v>
      </c>
      <c r="K1" t="e">
        <f>AND(Plan1!J1,"AAAAAH3//Qo=")</f>
        <v>#VALUE!</v>
      </c>
      <c r="L1" t="e">
        <f>AND(Plan1!K1,"AAAAAH3//Qs=")</f>
        <v>#VALUE!</v>
      </c>
      <c r="M1" t="e">
        <f>AND(Plan1!L1,"AAAAAH3//Qw=")</f>
        <v>#VALUE!</v>
      </c>
      <c r="N1" t="e">
        <f>AND(Plan1!M1,"AAAAAH3//Q0=")</f>
        <v>#VALUE!</v>
      </c>
      <c r="O1" t="e">
        <f>AND(Plan1!N1,"AAAAAH3//Q4=")</f>
        <v>#VALUE!</v>
      </c>
      <c r="P1">
        <f>IF(Plan1!2:2,"AAAAAH3//Q8=",0)</f>
        <v>0</v>
      </c>
      <c r="Q1" t="e">
        <f>AND(Plan1!A2,"AAAAAH3//RA=")</f>
        <v>#VALUE!</v>
      </c>
      <c r="R1" t="e">
        <f>AND(Plan1!B2,"AAAAAH3//RE=")</f>
        <v>#VALUE!</v>
      </c>
      <c r="S1" t="e">
        <f>AND(Plan1!C2,"AAAAAH3//RI=")</f>
        <v>#VALUE!</v>
      </c>
      <c r="T1" t="e">
        <f>AND(Plan1!D2,"AAAAAH3//RM=")</f>
        <v>#VALUE!</v>
      </c>
      <c r="U1" t="e">
        <f>AND(Plan1!E2,"AAAAAH3//RQ=")</f>
        <v>#VALUE!</v>
      </c>
      <c r="V1" t="e">
        <f>AND(Plan1!F2,"AAAAAH3//RU=")</f>
        <v>#VALUE!</v>
      </c>
      <c r="W1" t="e">
        <f>AND(Plan1!G2,"AAAAAH3//RY=")</f>
        <v>#VALUE!</v>
      </c>
      <c r="X1" t="e">
        <f>AND(Plan1!H2,"AAAAAH3//Rc=")</f>
        <v>#VALUE!</v>
      </c>
      <c r="Y1" t="e">
        <f>AND(Plan1!I2,"AAAAAH3//Rg=")</f>
        <v>#VALUE!</v>
      </c>
      <c r="Z1" t="e">
        <f>AND(Plan1!J2,"AAAAAH3//Rk=")</f>
        <v>#VALUE!</v>
      </c>
      <c r="AA1" t="e">
        <f>AND(Plan1!K2,"AAAAAH3//Ro=")</f>
        <v>#VALUE!</v>
      </c>
      <c r="AB1" t="e">
        <f>AND(Plan1!L2,"AAAAAH3//Rs=")</f>
        <v>#VALUE!</v>
      </c>
      <c r="AC1" t="e">
        <f>AND(Plan1!M2,"AAAAAH3//Rw=")</f>
        <v>#VALUE!</v>
      </c>
      <c r="AD1" t="e">
        <f>AND(Plan1!N2,"AAAAAH3//R0=")</f>
        <v>#VALUE!</v>
      </c>
      <c r="AE1">
        <f>IF(Plan1!3:3,"AAAAAH3//R4=",0)</f>
        <v>0</v>
      </c>
      <c r="AF1" t="e">
        <f>AND(Plan1!A3,"AAAAAH3//R8=")</f>
        <v>#VALUE!</v>
      </c>
      <c r="AG1" t="e">
        <f>AND(Plan1!B3,"AAAAAH3//SA=")</f>
        <v>#VALUE!</v>
      </c>
      <c r="AH1" t="e">
        <f>AND(Plan1!C3,"AAAAAH3//SE=")</f>
        <v>#VALUE!</v>
      </c>
      <c r="AI1" t="e">
        <f>AND(Plan1!D3,"AAAAAH3//SI=")</f>
        <v>#VALUE!</v>
      </c>
      <c r="AJ1" t="e">
        <f>AND(Plan1!E3,"AAAAAH3//SM=")</f>
        <v>#VALUE!</v>
      </c>
      <c r="AK1" t="e">
        <f>AND(Plan1!F3,"AAAAAH3//SQ=")</f>
        <v>#VALUE!</v>
      </c>
      <c r="AL1" t="e">
        <f>AND(Plan1!G3,"AAAAAH3//SU=")</f>
        <v>#VALUE!</v>
      </c>
      <c r="AM1" t="e">
        <f>AND(Plan1!H3,"AAAAAH3//SY=")</f>
        <v>#VALUE!</v>
      </c>
      <c r="AN1" t="e">
        <f>AND(Plan1!I3,"AAAAAH3//Sc=")</f>
        <v>#VALUE!</v>
      </c>
      <c r="AO1" t="e">
        <f>AND(Plan1!J3,"AAAAAH3//Sg=")</f>
        <v>#VALUE!</v>
      </c>
      <c r="AP1" t="e">
        <f>AND(Plan1!K3,"AAAAAH3//Sk=")</f>
        <v>#VALUE!</v>
      </c>
      <c r="AQ1" t="e">
        <f>AND(Plan1!L3,"AAAAAH3//So=")</f>
        <v>#VALUE!</v>
      </c>
      <c r="AR1" t="e">
        <f>AND(Plan1!M3,"AAAAAH3//Ss=")</f>
        <v>#VALUE!</v>
      </c>
      <c r="AS1" t="e">
        <f>AND(Plan1!N3,"AAAAAH3//Sw=")</f>
        <v>#VALUE!</v>
      </c>
      <c r="AT1">
        <f>IF(Plan1!4:4,"AAAAAH3//S0=",0)</f>
        <v>0</v>
      </c>
      <c r="AU1" t="e">
        <f>AND(Plan1!A4,"AAAAAH3//S4=")</f>
        <v>#VALUE!</v>
      </c>
      <c r="AV1" t="e">
        <f>AND(Plan1!B4,"AAAAAH3//S8=")</f>
        <v>#VALUE!</v>
      </c>
      <c r="AW1" t="e">
        <f>AND(Plan1!C4,"AAAAAH3//TA=")</f>
        <v>#VALUE!</v>
      </c>
      <c r="AX1" t="e">
        <f>AND(Plan1!D4,"AAAAAH3//TE=")</f>
        <v>#VALUE!</v>
      </c>
      <c r="AY1" t="e">
        <f>AND(Plan1!E4,"AAAAAH3//TI=")</f>
        <v>#VALUE!</v>
      </c>
      <c r="AZ1" t="e">
        <f>AND(Plan1!F4,"AAAAAH3//TM=")</f>
        <v>#VALUE!</v>
      </c>
      <c r="BA1" t="e">
        <f>AND(Plan1!G4,"AAAAAH3//TQ=")</f>
        <v>#VALUE!</v>
      </c>
      <c r="BB1" t="e">
        <f>AND(Plan1!H4,"AAAAAH3//TU=")</f>
        <v>#VALUE!</v>
      </c>
      <c r="BC1" t="e">
        <f>AND(Plan1!I4,"AAAAAH3//TY=")</f>
        <v>#VALUE!</v>
      </c>
      <c r="BD1" t="e">
        <f>AND(Plan1!J4,"AAAAAH3//Tc=")</f>
        <v>#VALUE!</v>
      </c>
      <c r="BE1" t="e">
        <f>AND(Plan1!K4,"AAAAAH3//Tg=")</f>
        <v>#VALUE!</v>
      </c>
      <c r="BF1" t="e">
        <f>AND(Plan1!L4,"AAAAAH3//Tk=")</f>
        <v>#VALUE!</v>
      </c>
      <c r="BG1" t="e">
        <f>AND(Plan1!M4,"AAAAAH3//To=")</f>
        <v>#VALUE!</v>
      </c>
      <c r="BH1" t="e">
        <f>AND(Plan1!N4,"AAAAAH3//Ts=")</f>
        <v>#VALUE!</v>
      </c>
      <c r="BI1">
        <f>IF(Plan1!5:5,"AAAAAH3//Tw=",0)</f>
        <v>0</v>
      </c>
      <c r="BJ1" t="e">
        <f>AND(Plan1!A5,"AAAAAH3//T0=")</f>
        <v>#VALUE!</v>
      </c>
      <c r="BK1" t="e">
        <f>AND(Plan1!B5,"AAAAAH3//T4=")</f>
        <v>#VALUE!</v>
      </c>
      <c r="BL1" t="e">
        <f>AND(Plan1!C5,"AAAAAH3//T8=")</f>
        <v>#VALUE!</v>
      </c>
      <c r="BM1" t="e">
        <f>AND(Plan1!D5,"AAAAAH3//UA=")</f>
        <v>#VALUE!</v>
      </c>
      <c r="BN1" t="e">
        <f>AND(Plan1!E5,"AAAAAH3//UE=")</f>
        <v>#VALUE!</v>
      </c>
      <c r="BO1" t="e">
        <f>AND(Plan1!F5,"AAAAAH3//UI=")</f>
        <v>#VALUE!</v>
      </c>
      <c r="BP1" t="e">
        <f>AND(Plan1!G5,"AAAAAH3//UM=")</f>
        <v>#VALUE!</v>
      </c>
      <c r="BQ1" t="e">
        <f>AND(Plan1!H5,"AAAAAH3//UQ=")</f>
        <v>#VALUE!</v>
      </c>
      <c r="BR1" t="e">
        <f>AND(Plan1!I5,"AAAAAH3//UU=")</f>
        <v>#VALUE!</v>
      </c>
      <c r="BS1" t="e">
        <f>AND(Plan1!J5,"AAAAAH3//UY=")</f>
        <v>#VALUE!</v>
      </c>
      <c r="BT1" t="e">
        <f>AND(Plan1!K5,"AAAAAH3//Uc=")</f>
        <v>#VALUE!</v>
      </c>
      <c r="BU1" t="e">
        <f>AND(Plan1!L5,"AAAAAH3//Ug=")</f>
        <v>#VALUE!</v>
      </c>
      <c r="BV1" t="e">
        <f>AND(Plan1!M5,"AAAAAH3//Uk=")</f>
        <v>#VALUE!</v>
      </c>
      <c r="BW1" t="e">
        <f>AND(Plan1!N5,"AAAAAH3//Uo=")</f>
        <v>#VALUE!</v>
      </c>
      <c r="BX1">
        <f>IF(Plan1!6:6,"AAAAAH3//Us=",0)</f>
        <v>0</v>
      </c>
      <c r="BY1" t="e">
        <f>AND(Plan1!A6,"AAAAAH3//Uw=")</f>
        <v>#VALUE!</v>
      </c>
      <c r="BZ1" t="e">
        <f>AND(Plan1!B6,"AAAAAH3//U0=")</f>
        <v>#VALUE!</v>
      </c>
      <c r="CA1" t="e">
        <f>AND(Plan1!C6,"AAAAAH3//U4=")</f>
        <v>#VALUE!</v>
      </c>
      <c r="CB1" t="e">
        <f>AND(Plan1!D6,"AAAAAH3//U8=")</f>
        <v>#VALUE!</v>
      </c>
      <c r="CC1" t="e">
        <f>AND(Plan1!E6,"AAAAAH3//VA=")</f>
        <v>#VALUE!</v>
      </c>
      <c r="CD1" t="e">
        <f>AND(Plan1!F6,"AAAAAH3//VE=")</f>
        <v>#VALUE!</v>
      </c>
      <c r="CE1" t="e">
        <f>AND(Plan1!G6,"AAAAAH3//VI=")</f>
        <v>#VALUE!</v>
      </c>
      <c r="CF1" t="e">
        <f>AND(Plan1!H6,"AAAAAH3//VM=")</f>
        <v>#VALUE!</v>
      </c>
      <c r="CG1" t="e">
        <f>AND(Plan1!I6,"AAAAAH3//VQ=")</f>
        <v>#VALUE!</v>
      </c>
      <c r="CH1" t="e">
        <f>AND(Plan1!J6,"AAAAAH3//VU=")</f>
        <v>#VALUE!</v>
      </c>
      <c r="CI1" t="e">
        <f>AND(Plan1!K6,"AAAAAH3//VY=")</f>
        <v>#VALUE!</v>
      </c>
      <c r="CJ1" t="e">
        <f>AND(Plan1!L6,"AAAAAH3//Vc=")</f>
        <v>#VALUE!</v>
      </c>
      <c r="CK1" t="e">
        <f>AND(Plan1!M6,"AAAAAH3//Vg=")</f>
        <v>#VALUE!</v>
      </c>
      <c r="CL1" t="e">
        <f>AND(Plan1!N6,"AAAAAH3//Vk=")</f>
        <v>#VALUE!</v>
      </c>
      <c r="CM1">
        <f>IF(Plan1!7:7,"AAAAAH3//Vo=",0)</f>
        <v>0</v>
      </c>
      <c r="CN1" t="e">
        <f>AND(Plan1!A7,"AAAAAH3//Vs=")</f>
        <v>#VALUE!</v>
      </c>
      <c r="CO1" t="e">
        <f>AND(Plan1!B7,"AAAAAH3//Vw=")</f>
        <v>#VALUE!</v>
      </c>
      <c r="CP1" t="e">
        <f>AND(Plan1!C7,"AAAAAH3//V0=")</f>
        <v>#VALUE!</v>
      </c>
      <c r="CQ1" t="e">
        <f>AND(Plan1!D7,"AAAAAH3//V4=")</f>
        <v>#VALUE!</v>
      </c>
      <c r="CR1" t="e">
        <f>AND(Plan1!E7,"AAAAAH3//V8=")</f>
        <v>#VALUE!</v>
      </c>
      <c r="CS1" t="e">
        <f>AND(Plan1!F7,"AAAAAH3//WA=")</f>
        <v>#VALUE!</v>
      </c>
      <c r="CT1" t="e">
        <f>AND(Plan1!G7,"AAAAAH3//WE=")</f>
        <v>#VALUE!</v>
      </c>
      <c r="CU1" t="e">
        <f>AND(Plan1!H7,"AAAAAH3//WI=")</f>
        <v>#VALUE!</v>
      </c>
      <c r="CV1" t="e">
        <f>AND(Plan1!I7,"AAAAAH3//WM=")</f>
        <v>#VALUE!</v>
      </c>
      <c r="CW1" t="e">
        <f>AND(Plan1!J7,"AAAAAH3//WQ=")</f>
        <v>#VALUE!</v>
      </c>
      <c r="CX1" t="e">
        <f>AND(Plan1!K7,"AAAAAH3//WU=")</f>
        <v>#VALUE!</v>
      </c>
      <c r="CY1" t="e">
        <f>AND(Plan1!L7,"AAAAAH3//WY=")</f>
        <v>#VALUE!</v>
      </c>
      <c r="CZ1" t="e">
        <f>AND(Plan1!M7,"AAAAAH3//Wc=")</f>
        <v>#VALUE!</v>
      </c>
      <c r="DA1" t="e">
        <f>AND(Plan1!N7,"AAAAAH3//Wg=")</f>
        <v>#VALUE!</v>
      </c>
      <c r="DB1">
        <f>IF(Plan1!8:8,"AAAAAH3//Wk=",0)</f>
        <v>0</v>
      </c>
      <c r="DC1" t="e">
        <f>AND(Plan1!A8,"AAAAAH3//Wo=")</f>
        <v>#VALUE!</v>
      </c>
      <c r="DD1" t="e">
        <f>AND(Plan1!B8,"AAAAAH3//Ws=")</f>
        <v>#VALUE!</v>
      </c>
      <c r="DE1" t="e">
        <f>AND(Plan1!C8,"AAAAAH3//Ww=")</f>
        <v>#VALUE!</v>
      </c>
      <c r="DF1" t="e">
        <f>AND(Plan1!D8,"AAAAAH3//W0=")</f>
        <v>#VALUE!</v>
      </c>
      <c r="DG1" t="e">
        <f>AND(Plan1!E8,"AAAAAH3//W4=")</f>
        <v>#VALUE!</v>
      </c>
      <c r="DH1" t="e">
        <f>AND(Plan1!F8,"AAAAAH3//W8=")</f>
        <v>#VALUE!</v>
      </c>
      <c r="DI1" t="e">
        <f>AND(Plan1!G8,"AAAAAH3//XA=")</f>
        <v>#VALUE!</v>
      </c>
      <c r="DJ1" t="e">
        <f>AND(Plan1!H8,"AAAAAH3//XE=")</f>
        <v>#VALUE!</v>
      </c>
      <c r="DK1" t="e">
        <f>AND(Plan1!I8,"AAAAAH3//XI=")</f>
        <v>#VALUE!</v>
      </c>
      <c r="DL1" t="e">
        <f>AND(Plan1!J8,"AAAAAH3//XM=")</f>
        <v>#VALUE!</v>
      </c>
      <c r="DM1" t="e">
        <f>AND(Plan1!K8,"AAAAAH3//XQ=")</f>
        <v>#VALUE!</v>
      </c>
      <c r="DN1" t="e">
        <f>AND(Plan1!L8,"AAAAAH3//XU=")</f>
        <v>#VALUE!</v>
      </c>
      <c r="DO1" t="e">
        <f>AND(Plan1!M8,"AAAAAH3//XY=")</f>
        <v>#VALUE!</v>
      </c>
      <c r="DP1" t="e">
        <f>AND(Plan1!N8,"AAAAAH3//Xc=")</f>
        <v>#VALUE!</v>
      </c>
      <c r="DQ1">
        <f>IF(Plan1!9:9,"AAAAAH3//Xg=",0)</f>
        <v>0</v>
      </c>
      <c r="DR1" t="e">
        <f>AND(Plan1!A9,"AAAAAH3//Xk=")</f>
        <v>#VALUE!</v>
      </c>
      <c r="DS1" t="e">
        <f>AND(Plan1!B9,"AAAAAH3//Xo=")</f>
        <v>#VALUE!</v>
      </c>
      <c r="DT1" t="e">
        <f>AND(Plan1!C9,"AAAAAH3//Xs=")</f>
        <v>#VALUE!</v>
      </c>
      <c r="DU1" t="e">
        <f>AND(Plan1!D9,"AAAAAH3//Xw=")</f>
        <v>#VALUE!</v>
      </c>
      <c r="DV1" t="e">
        <f>AND(Plan1!E9,"AAAAAH3//X0=")</f>
        <v>#VALUE!</v>
      </c>
      <c r="DW1" t="e">
        <f>AND(Plan1!F9,"AAAAAH3//X4=")</f>
        <v>#VALUE!</v>
      </c>
      <c r="DX1" t="e">
        <f>AND(Plan1!G9,"AAAAAH3//X8=")</f>
        <v>#VALUE!</v>
      </c>
      <c r="DY1" t="e">
        <f>AND(Plan1!H9,"AAAAAH3//YA=")</f>
        <v>#VALUE!</v>
      </c>
      <c r="DZ1" t="e">
        <f>AND(Plan1!I9,"AAAAAH3//YE=")</f>
        <v>#VALUE!</v>
      </c>
      <c r="EA1" t="e">
        <f>AND(Plan1!J9,"AAAAAH3//YI=")</f>
        <v>#VALUE!</v>
      </c>
      <c r="EB1" t="e">
        <f>AND(Plan1!K9,"AAAAAH3//YM=")</f>
        <v>#VALUE!</v>
      </c>
      <c r="EC1" t="e">
        <f>AND(Plan1!L9,"AAAAAH3//YQ=")</f>
        <v>#VALUE!</v>
      </c>
      <c r="ED1" t="e">
        <f>AND(Plan1!M9,"AAAAAH3//YU=")</f>
        <v>#VALUE!</v>
      </c>
      <c r="EE1" t="e">
        <f>AND(Plan1!N9,"AAAAAH3//YY=")</f>
        <v>#VALUE!</v>
      </c>
      <c r="EF1">
        <f>IF(Plan1!10:10,"AAAAAH3//Yc=",0)</f>
        <v>0</v>
      </c>
      <c r="EG1" t="e">
        <f>AND(Plan1!A10,"AAAAAH3//Yg=")</f>
        <v>#VALUE!</v>
      </c>
      <c r="EH1" t="e">
        <f>AND(Plan1!B10,"AAAAAH3//Yk=")</f>
        <v>#VALUE!</v>
      </c>
      <c r="EI1" t="e">
        <f>AND(Plan1!C10,"AAAAAH3//Yo=")</f>
        <v>#VALUE!</v>
      </c>
      <c r="EJ1" t="e">
        <f>AND(Plan1!D10,"AAAAAH3//Ys=")</f>
        <v>#VALUE!</v>
      </c>
      <c r="EK1" t="e">
        <f>AND(Plan1!E10,"AAAAAH3//Yw=")</f>
        <v>#VALUE!</v>
      </c>
      <c r="EL1" t="e">
        <f>AND(Plan1!F10,"AAAAAH3//Y0=")</f>
        <v>#VALUE!</v>
      </c>
      <c r="EM1" t="e">
        <f>AND(Plan1!G10,"AAAAAH3//Y4=")</f>
        <v>#VALUE!</v>
      </c>
      <c r="EN1" t="e">
        <f>AND(Plan1!H10,"AAAAAH3//Y8=")</f>
        <v>#VALUE!</v>
      </c>
      <c r="EO1" t="e">
        <f>AND(Plan1!I10,"AAAAAH3//ZA=")</f>
        <v>#VALUE!</v>
      </c>
      <c r="EP1" t="e">
        <f>AND(Plan1!J10,"AAAAAH3//ZE=")</f>
        <v>#VALUE!</v>
      </c>
      <c r="EQ1" t="e">
        <f>AND(Plan1!K10,"AAAAAH3//ZI=")</f>
        <v>#VALUE!</v>
      </c>
      <c r="ER1" t="e">
        <f>AND(Plan1!L10,"AAAAAH3//ZM=")</f>
        <v>#VALUE!</v>
      </c>
      <c r="ES1" t="e">
        <f>AND(Plan1!M10,"AAAAAH3//ZQ=")</f>
        <v>#VALUE!</v>
      </c>
      <c r="ET1" t="e">
        <f>AND(Plan1!N10,"AAAAAH3//ZU=")</f>
        <v>#VALUE!</v>
      </c>
      <c r="EU1">
        <f>IF(Plan1!11:11,"AAAAAH3//ZY=",0)</f>
        <v>0</v>
      </c>
      <c r="EV1" t="e">
        <f>AND(Plan1!A11,"AAAAAH3//Zc=")</f>
        <v>#VALUE!</v>
      </c>
      <c r="EW1" t="e">
        <f>AND(Plan1!B11,"AAAAAH3//Zg=")</f>
        <v>#VALUE!</v>
      </c>
      <c r="EX1" t="e">
        <f>AND(Plan1!C11,"AAAAAH3//Zk=")</f>
        <v>#VALUE!</v>
      </c>
      <c r="EY1" t="e">
        <f>AND(Plan1!D11,"AAAAAH3//Zo=")</f>
        <v>#VALUE!</v>
      </c>
      <c r="EZ1" t="e">
        <f>AND(Plan1!E11,"AAAAAH3//Zs=")</f>
        <v>#VALUE!</v>
      </c>
      <c r="FA1" t="e">
        <f>AND(Plan1!F11,"AAAAAH3//Zw=")</f>
        <v>#VALUE!</v>
      </c>
      <c r="FB1" t="e">
        <f>AND(Plan1!G11,"AAAAAH3//Z0=")</f>
        <v>#VALUE!</v>
      </c>
      <c r="FC1" t="e">
        <f>AND(Plan1!H11,"AAAAAH3//Z4=")</f>
        <v>#VALUE!</v>
      </c>
      <c r="FD1" t="e">
        <f>AND(Plan1!I11,"AAAAAH3//Z8=")</f>
        <v>#VALUE!</v>
      </c>
      <c r="FE1" t="e">
        <f>AND(Plan1!J11,"AAAAAH3//aA=")</f>
        <v>#VALUE!</v>
      </c>
      <c r="FF1" t="e">
        <f>AND(Plan1!K11,"AAAAAH3//aE=")</f>
        <v>#VALUE!</v>
      </c>
      <c r="FG1" t="e">
        <f>AND(Plan1!L11,"AAAAAH3//aI=")</f>
        <v>#VALUE!</v>
      </c>
      <c r="FH1" t="e">
        <f>AND(Plan1!M11,"AAAAAH3//aM=")</f>
        <v>#VALUE!</v>
      </c>
      <c r="FI1" t="e">
        <f>AND(Plan1!N11,"AAAAAH3//aQ=")</f>
        <v>#VALUE!</v>
      </c>
      <c r="FJ1">
        <f>IF(Plan1!12:12,"AAAAAH3//aU=",0)</f>
        <v>0</v>
      </c>
      <c r="FK1" t="e">
        <f>AND(Plan1!A12,"AAAAAH3//aY=")</f>
        <v>#VALUE!</v>
      </c>
      <c r="FL1" t="e">
        <f>AND(Plan1!B12,"AAAAAH3//ac=")</f>
        <v>#VALUE!</v>
      </c>
      <c r="FM1" t="e">
        <f>AND(Plan1!C12,"AAAAAH3//ag=")</f>
        <v>#VALUE!</v>
      </c>
      <c r="FN1" t="e">
        <f>AND(Plan1!D12,"AAAAAH3//ak=")</f>
        <v>#VALUE!</v>
      </c>
      <c r="FO1" t="e">
        <f>AND(Plan1!E12,"AAAAAH3//ao=")</f>
        <v>#VALUE!</v>
      </c>
      <c r="FP1" t="e">
        <f>AND(Plan1!F12,"AAAAAH3//as=")</f>
        <v>#VALUE!</v>
      </c>
      <c r="FQ1" t="e">
        <f>AND(Plan1!G12,"AAAAAH3//aw=")</f>
        <v>#VALUE!</v>
      </c>
      <c r="FR1" t="e">
        <f>AND(Plan1!H12,"AAAAAH3//a0=")</f>
        <v>#VALUE!</v>
      </c>
      <c r="FS1" t="e">
        <f>AND(Plan1!I12,"AAAAAH3//a4=")</f>
        <v>#VALUE!</v>
      </c>
      <c r="FT1" t="e">
        <f>AND(Plan1!J12,"AAAAAH3//a8=")</f>
        <v>#VALUE!</v>
      </c>
      <c r="FU1" t="e">
        <f>AND(Plan1!K12,"AAAAAH3//bA=")</f>
        <v>#VALUE!</v>
      </c>
      <c r="FV1" t="e">
        <f>AND(Plan1!L12,"AAAAAH3//bE=")</f>
        <v>#VALUE!</v>
      </c>
      <c r="FW1" t="e">
        <f>AND(Plan1!M12,"AAAAAH3//bI=")</f>
        <v>#VALUE!</v>
      </c>
      <c r="FX1" t="e">
        <f>AND(Plan1!N12,"AAAAAH3//bM=")</f>
        <v>#VALUE!</v>
      </c>
      <c r="FY1">
        <f>IF(Plan1!13:13,"AAAAAH3//bQ=",0)</f>
        <v>0</v>
      </c>
      <c r="FZ1" t="e">
        <f>AND(Plan1!A13,"AAAAAH3//bU=")</f>
        <v>#VALUE!</v>
      </c>
      <c r="GA1" t="e">
        <f>AND(Plan1!B13,"AAAAAH3//bY=")</f>
        <v>#VALUE!</v>
      </c>
      <c r="GB1" t="e">
        <f>AND(Plan1!C13,"AAAAAH3//bc=")</f>
        <v>#VALUE!</v>
      </c>
      <c r="GC1" t="e">
        <f>AND(Plan1!D13,"AAAAAH3//bg=")</f>
        <v>#VALUE!</v>
      </c>
      <c r="GD1" t="e">
        <f>AND(Plan1!E13,"AAAAAH3//bk=")</f>
        <v>#VALUE!</v>
      </c>
      <c r="GE1" t="e">
        <f>AND(Plan1!F13,"AAAAAH3//bo=")</f>
        <v>#VALUE!</v>
      </c>
      <c r="GF1" t="e">
        <f>AND(Plan1!G13,"AAAAAH3//bs=")</f>
        <v>#VALUE!</v>
      </c>
      <c r="GG1" t="e">
        <f>AND(Plan1!H13,"AAAAAH3//bw=")</f>
        <v>#VALUE!</v>
      </c>
      <c r="GH1" t="e">
        <f>AND(Plan1!I13,"AAAAAH3//b0=")</f>
        <v>#VALUE!</v>
      </c>
      <c r="GI1" t="e">
        <f>AND(Plan1!J13,"AAAAAH3//b4=")</f>
        <v>#VALUE!</v>
      </c>
      <c r="GJ1" t="e">
        <f>AND(Plan1!K13,"AAAAAH3//b8=")</f>
        <v>#VALUE!</v>
      </c>
      <c r="GK1" t="e">
        <f>AND(Plan1!L13,"AAAAAH3//cA=")</f>
        <v>#VALUE!</v>
      </c>
      <c r="GL1" t="e">
        <f>AND(Plan1!M13,"AAAAAH3//cE=")</f>
        <v>#VALUE!</v>
      </c>
      <c r="GM1" t="e">
        <f>AND(Plan1!N13,"AAAAAH3//cI=")</f>
        <v>#VALUE!</v>
      </c>
      <c r="GN1">
        <f>IF(Plan1!14:14,"AAAAAH3//cM=",0)</f>
        <v>0</v>
      </c>
      <c r="GO1" t="e">
        <f>AND(Plan1!A14,"AAAAAH3//cQ=")</f>
        <v>#VALUE!</v>
      </c>
      <c r="GP1" t="e">
        <f>AND(Plan1!B14,"AAAAAH3//cU=")</f>
        <v>#VALUE!</v>
      </c>
      <c r="GQ1" t="e">
        <f>AND(Plan1!C14,"AAAAAH3//cY=")</f>
        <v>#VALUE!</v>
      </c>
      <c r="GR1" t="e">
        <f>AND(Plan1!D14,"AAAAAH3//cc=")</f>
        <v>#VALUE!</v>
      </c>
      <c r="GS1" t="e">
        <f>AND(Plan1!E14,"AAAAAH3//cg=")</f>
        <v>#VALUE!</v>
      </c>
      <c r="GT1" t="e">
        <f>AND(Plan1!F14,"AAAAAH3//ck=")</f>
        <v>#VALUE!</v>
      </c>
      <c r="GU1" t="e">
        <f>AND(Plan1!G14,"AAAAAH3//co=")</f>
        <v>#VALUE!</v>
      </c>
      <c r="GV1" t="e">
        <f>AND(Plan1!H14,"AAAAAH3//cs=")</f>
        <v>#VALUE!</v>
      </c>
      <c r="GW1" t="e">
        <f>AND(Plan1!I14,"AAAAAH3//cw=")</f>
        <v>#VALUE!</v>
      </c>
      <c r="GX1" t="e">
        <f>AND(Plan1!J14,"AAAAAH3//c0=")</f>
        <v>#VALUE!</v>
      </c>
      <c r="GY1" t="e">
        <f>AND(Plan1!K14,"AAAAAH3//c4=")</f>
        <v>#VALUE!</v>
      </c>
      <c r="GZ1" t="e">
        <f>AND(Plan1!L14,"AAAAAH3//c8=")</f>
        <v>#VALUE!</v>
      </c>
      <c r="HA1" t="e">
        <f>AND(Plan1!M14,"AAAAAH3//dA=")</f>
        <v>#VALUE!</v>
      </c>
      <c r="HB1" t="e">
        <f>AND(Plan1!N14,"AAAAAH3//dE=")</f>
        <v>#VALUE!</v>
      </c>
      <c r="HC1">
        <f>IF(Plan1!15:15,"AAAAAH3//dI=",0)</f>
        <v>0</v>
      </c>
      <c r="HD1" t="e">
        <f>AND(Plan1!A15,"AAAAAH3//dM=")</f>
        <v>#VALUE!</v>
      </c>
      <c r="HE1" t="e">
        <f>AND(Plan1!B15,"AAAAAH3//dQ=")</f>
        <v>#VALUE!</v>
      </c>
      <c r="HF1" t="e">
        <f>AND(Plan1!C15,"AAAAAH3//dU=")</f>
        <v>#VALUE!</v>
      </c>
      <c r="HG1" t="e">
        <f>AND(Plan1!D15,"AAAAAH3//dY=")</f>
        <v>#VALUE!</v>
      </c>
      <c r="HH1" t="e">
        <f>AND(Plan1!E15,"AAAAAH3//dc=")</f>
        <v>#VALUE!</v>
      </c>
      <c r="HI1" t="e">
        <f>AND(Plan1!F15,"AAAAAH3//dg=")</f>
        <v>#VALUE!</v>
      </c>
      <c r="HJ1" t="e">
        <f>AND(Plan1!G15,"AAAAAH3//dk=")</f>
        <v>#VALUE!</v>
      </c>
      <c r="HK1" t="e">
        <f>AND(Plan1!H15,"AAAAAH3//do=")</f>
        <v>#VALUE!</v>
      </c>
      <c r="HL1" t="e">
        <f>AND(Plan1!I15,"AAAAAH3//ds=")</f>
        <v>#VALUE!</v>
      </c>
      <c r="HM1" t="e">
        <f>AND(Plan1!J15,"AAAAAH3//dw=")</f>
        <v>#VALUE!</v>
      </c>
      <c r="HN1" t="e">
        <f>AND(Plan1!K15,"AAAAAH3//d0=")</f>
        <v>#VALUE!</v>
      </c>
      <c r="HO1" t="e">
        <f>AND(Plan1!L15,"AAAAAH3//d4=")</f>
        <v>#VALUE!</v>
      </c>
      <c r="HP1" t="e">
        <f>AND(Plan1!M15,"AAAAAH3//d8=")</f>
        <v>#VALUE!</v>
      </c>
      <c r="HQ1" t="e">
        <f>AND(Plan1!N15,"AAAAAH3//eA=")</f>
        <v>#VALUE!</v>
      </c>
      <c r="HR1">
        <f>IF(Plan1!16:16,"AAAAAH3//eE=",0)</f>
        <v>0</v>
      </c>
      <c r="HS1" t="e">
        <f>AND(Plan1!A16,"AAAAAH3//eI=")</f>
        <v>#VALUE!</v>
      </c>
      <c r="HT1" t="e">
        <f>AND(Plan1!B16,"AAAAAH3//eM=")</f>
        <v>#VALUE!</v>
      </c>
      <c r="HU1" t="e">
        <f>AND(Plan1!C16,"AAAAAH3//eQ=")</f>
        <v>#VALUE!</v>
      </c>
      <c r="HV1" t="e">
        <f>AND(Plan1!D16,"AAAAAH3//eU=")</f>
        <v>#VALUE!</v>
      </c>
      <c r="HW1" t="e">
        <f>AND(Plan1!E16,"AAAAAH3//eY=")</f>
        <v>#VALUE!</v>
      </c>
      <c r="HX1" t="e">
        <f>AND(Plan1!F16,"AAAAAH3//ec=")</f>
        <v>#VALUE!</v>
      </c>
      <c r="HY1" t="e">
        <f>AND(Plan1!G16,"AAAAAH3//eg=")</f>
        <v>#VALUE!</v>
      </c>
      <c r="HZ1" t="e">
        <f>AND(Plan1!H16,"AAAAAH3//ek=")</f>
        <v>#VALUE!</v>
      </c>
      <c r="IA1" t="e">
        <f>AND(Plan1!I16,"AAAAAH3//eo=")</f>
        <v>#VALUE!</v>
      </c>
      <c r="IB1" t="e">
        <f>AND(Plan1!J16,"AAAAAH3//es=")</f>
        <v>#VALUE!</v>
      </c>
      <c r="IC1" t="e">
        <f>AND(Plan1!K16,"AAAAAH3//ew=")</f>
        <v>#VALUE!</v>
      </c>
      <c r="ID1" t="e">
        <f>AND(Plan1!L16,"AAAAAH3//e0=")</f>
        <v>#VALUE!</v>
      </c>
      <c r="IE1" t="e">
        <f>AND(Plan1!M16,"AAAAAH3//e4=")</f>
        <v>#VALUE!</v>
      </c>
      <c r="IF1" t="e">
        <f>AND(Plan1!N16,"AAAAAH3//e8=")</f>
        <v>#VALUE!</v>
      </c>
      <c r="IG1">
        <f>IF(Plan1!17:17,"AAAAAH3//fA=",0)</f>
        <v>0</v>
      </c>
      <c r="IH1" t="e">
        <f>AND(Plan1!A17,"AAAAAH3//fE=")</f>
        <v>#VALUE!</v>
      </c>
      <c r="II1" t="e">
        <f>AND(Plan1!B17,"AAAAAH3//fI=")</f>
        <v>#VALUE!</v>
      </c>
      <c r="IJ1" t="e">
        <f>AND(Plan1!C17,"AAAAAH3//fM=")</f>
        <v>#VALUE!</v>
      </c>
      <c r="IK1" t="e">
        <f>AND(Plan1!D17,"AAAAAH3//fQ=")</f>
        <v>#VALUE!</v>
      </c>
      <c r="IL1" t="e">
        <f>AND(Plan1!E17,"AAAAAH3//fU=")</f>
        <v>#VALUE!</v>
      </c>
      <c r="IM1" t="e">
        <f>AND(Plan1!F17,"AAAAAH3//fY=")</f>
        <v>#VALUE!</v>
      </c>
      <c r="IN1" t="e">
        <f>AND(Plan1!G17,"AAAAAH3//fc=")</f>
        <v>#VALUE!</v>
      </c>
      <c r="IO1" t="e">
        <f>AND(Plan1!H17,"AAAAAH3//fg=")</f>
        <v>#VALUE!</v>
      </c>
      <c r="IP1" t="e">
        <f>AND(Plan1!I17,"AAAAAH3//fk=")</f>
        <v>#VALUE!</v>
      </c>
      <c r="IQ1" t="e">
        <f>AND(Plan1!J17,"AAAAAH3//fo=")</f>
        <v>#VALUE!</v>
      </c>
      <c r="IR1" t="e">
        <f>AND(Plan1!K17,"AAAAAH3//fs=")</f>
        <v>#VALUE!</v>
      </c>
      <c r="IS1" t="e">
        <f>AND(Plan1!L17,"AAAAAH3//fw=")</f>
        <v>#VALUE!</v>
      </c>
      <c r="IT1" t="e">
        <f>AND(Plan1!M17,"AAAAAH3//f0=")</f>
        <v>#VALUE!</v>
      </c>
      <c r="IU1" t="e">
        <f>AND(Plan1!N17,"AAAAAH3//f4=")</f>
        <v>#VALUE!</v>
      </c>
      <c r="IV1">
        <f>IF(Plan1!18:18,"AAAAAH3//f8=",0)</f>
        <v>0</v>
      </c>
    </row>
    <row r="2" spans="1:256">
      <c r="A2" t="e">
        <f>AND(Plan1!A18,"AAAAAE8/lwA=")</f>
        <v>#VALUE!</v>
      </c>
      <c r="B2" t="e">
        <f>AND(Plan1!B18,"AAAAAE8/lwE=")</f>
        <v>#VALUE!</v>
      </c>
      <c r="C2" t="e">
        <f>AND(Plan1!C18,"AAAAAE8/lwI=")</f>
        <v>#VALUE!</v>
      </c>
      <c r="D2" t="e">
        <f>AND(Plan1!D18,"AAAAAE8/lwM=")</f>
        <v>#VALUE!</v>
      </c>
      <c r="E2" t="e">
        <f>AND(Plan1!E18,"AAAAAE8/lwQ=")</f>
        <v>#VALUE!</v>
      </c>
      <c r="F2" t="e">
        <f>AND(Plan1!F18,"AAAAAE8/lwU=")</f>
        <v>#VALUE!</v>
      </c>
      <c r="G2" t="e">
        <f>AND(Plan1!G18,"AAAAAE8/lwY=")</f>
        <v>#VALUE!</v>
      </c>
      <c r="H2" t="e">
        <f>AND(Plan1!H18,"AAAAAE8/lwc=")</f>
        <v>#VALUE!</v>
      </c>
      <c r="I2" t="e">
        <f>AND(Plan1!I18,"AAAAAE8/lwg=")</f>
        <v>#VALUE!</v>
      </c>
      <c r="J2" t="e">
        <f>AND(Plan1!J18,"AAAAAE8/lwk=")</f>
        <v>#VALUE!</v>
      </c>
      <c r="K2" t="e">
        <f>AND(Plan1!K18,"AAAAAE8/lwo=")</f>
        <v>#VALUE!</v>
      </c>
      <c r="L2" t="e">
        <f>AND(Plan1!L18,"AAAAAE8/lws=")</f>
        <v>#VALUE!</v>
      </c>
      <c r="M2" t="e">
        <f>AND(Plan1!M18,"AAAAAE8/lww=")</f>
        <v>#VALUE!</v>
      </c>
      <c r="N2" t="e">
        <f>AND(Plan1!N18,"AAAAAE8/lw0=")</f>
        <v>#VALUE!</v>
      </c>
      <c r="O2">
        <f>IF(Plan1!19:19,"AAAAAE8/lw4=",0)</f>
        <v>0</v>
      </c>
      <c r="P2" t="e">
        <f>AND(Plan1!A19,"AAAAAE8/lw8=")</f>
        <v>#VALUE!</v>
      </c>
      <c r="Q2" t="e">
        <f>AND(Plan1!B19,"AAAAAE8/lxA=")</f>
        <v>#VALUE!</v>
      </c>
      <c r="R2" t="e">
        <f>AND(Plan1!C19,"AAAAAE8/lxE=")</f>
        <v>#VALUE!</v>
      </c>
      <c r="S2" t="e">
        <f>AND(Plan1!D19,"AAAAAE8/lxI=")</f>
        <v>#VALUE!</v>
      </c>
      <c r="T2" t="e">
        <f>AND(Plan1!E19,"AAAAAE8/lxM=")</f>
        <v>#VALUE!</v>
      </c>
      <c r="U2" t="e">
        <f>AND(Plan1!F19,"AAAAAE8/lxQ=")</f>
        <v>#VALUE!</v>
      </c>
      <c r="V2" t="e">
        <f>AND(Plan1!G19,"AAAAAE8/lxU=")</f>
        <v>#VALUE!</v>
      </c>
      <c r="W2" t="e">
        <f>AND(Plan1!H19,"AAAAAE8/lxY=")</f>
        <v>#VALUE!</v>
      </c>
      <c r="X2" t="e">
        <f>AND(Plan1!I19,"AAAAAE8/lxc=")</f>
        <v>#VALUE!</v>
      </c>
      <c r="Y2" t="e">
        <f>AND(Plan1!J19,"AAAAAE8/lxg=")</f>
        <v>#VALUE!</v>
      </c>
      <c r="Z2" t="e">
        <f>AND(Plan1!K19,"AAAAAE8/lxk=")</f>
        <v>#VALUE!</v>
      </c>
      <c r="AA2" t="e">
        <f>AND(Plan1!L19,"AAAAAE8/lxo=")</f>
        <v>#VALUE!</v>
      </c>
      <c r="AB2" t="e">
        <f>AND(Plan1!M19,"AAAAAE8/lxs=")</f>
        <v>#VALUE!</v>
      </c>
      <c r="AC2" t="e">
        <f>AND(Plan1!N19,"AAAAAE8/lxw=")</f>
        <v>#VALUE!</v>
      </c>
      <c r="AD2">
        <f>IF(Plan1!20:20,"AAAAAE8/lx0=",0)</f>
        <v>0</v>
      </c>
      <c r="AE2" t="e">
        <f>AND(Plan1!A20,"AAAAAE8/lx4=")</f>
        <v>#VALUE!</v>
      </c>
      <c r="AF2" t="e">
        <f>AND(Plan1!B20,"AAAAAE8/lx8=")</f>
        <v>#VALUE!</v>
      </c>
      <c r="AG2" t="e">
        <f>AND(Plan1!C20,"AAAAAE8/lyA=")</f>
        <v>#VALUE!</v>
      </c>
      <c r="AH2" t="e">
        <f>AND(Plan1!D20,"AAAAAE8/lyE=")</f>
        <v>#VALUE!</v>
      </c>
      <c r="AI2" t="e">
        <f>AND(Plan1!E20,"AAAAAE8/lyI=")</f>
        <v>#VALUE!</v>
      </c>
      <c r="AJ2" t="e">
        <f>AND(Plan1!F20,"AAAAAE8/lyM=")</f>
        <v>#VALUE!</v>
      </c>
      <c r="AK2" t="e">
        <f>AND(Plan1!G20,"AAAAAE8/lyQ=")</f>
        <v>#VALUE!</v>
      </c>
      <c r="AL2" t="e">
        <f>AND(Plan1!H20,"AAAAAE8/lyU=")</f>
        <v>#VALUE!</v>
      </c>
      <c r="AM2" t="e">
        <f>AND(Plan1!I20,"AAAAAE8/lyY=")</f>
        <v>#VALUE!</v>
      </c>
      <c r="AN2" t="e">
        <f>AND(Plan1!J20,"AAAAAE8/lyc=")</f>
        <v>#VALUE!</v>
      </c>
      <c r="AO2" t="e">
        <f>AND(Plan1!K20,"AAAAAE8/lyg=")</f>
        <v>#VALUE!</v>
      </c>
      <c r="AP2" t="e">
        <f>AND(Plan1!L20,"AAAAAE8/lyk=")</f>
        <v>#VALUE!</v>
      </c>
      <c r="AQ2" t="e">
        <f>AND(Plan1!M20,"AAAAAE8/lyo=")</f>
        <v>#VALUE!</v>
      </c>
      <c r="AR2" t="e">
        <f>AND(Plan1!N20,"AAAAAE8/lys=")</f>
        <v>#VALUE!</v>
      </c>
      <c r="AS2">
        <f>IF(Plan1!21:21,"AAAAAE8/lyw=",0)</f>
        <v>0</v>
      </c>
      <c r="AT2" t="e">
        <f>AND(Plan1!A21,"AAAAAE8/ly0=")</f>
        <v>#VALUE!</v>
      </c>
      <c r="AU2" t="e">
        <f>AND(Plan1!B21,"AAAAAE8/ly4=")</f>
        <v>#VALUE!</v>
      </c>
      <c r="AV2" t="e">
        <f>AND(Plan1!C21,"AAAAAE8/ly8=")</f>
        <v>#VALUE!</v>
      </c>
      <c r="AW2" t="e">
        <f>AND(Plan1!D21,"AAAAAE8/lzA=")</f>
        <v>#VALUE!</v>
      </c>
      <c r="AX2" t="e">
        <f>AND(Plan1!E21,"AAAAAE8/lzE=")</f>
        <v>#VALUE!</v>
      </c>
      <c r="AY2" t="e">
        <f>AND(Plan1!F21,"AAAAAE8/lzI=")</f>
        <v>#VALUE!</v>
      </c>
      <c r="AZ2" t="e">
        <f>AND(Plan1!G21,"AAAAAE8/lzM=")</f>
        <v>#VALUE!</v>
      </c>
      <c r="BA2" t="e">
        <f>AND(Plan1!H21,"AAAAAE8/lzQ=")</f>
        <v>#VALUE!</v>
      </c>
      <c r="BB2" t="e">
        <f>AND(Plan1!I21,"AAAAAE8/lzU=")</f>
        <v>#VALUE!</v>
      </c>
      <c r="BC2" t="e">
        <f>AND(Plan1!J21,"AAAAAE8/lzY=")</f>
        <v>#VALUE!</v>
      </c>
      <c r="BD2" t="e">
        <f>AND(Plan1!K21,"AAAAAE8/lzc=")</f>
        <v>#VALUE!</v>
      </c>
      <c r="BE2" t="e">
        <f>AND(Plan1!L21,"AAAAAE8/lzg=")</f>
        <v>#VALUE!</v>
      </c>
      <c r="BF2" t="e">
        <f>AND(Plan1!M21,"AAAAAE8/lzk=")</f>
        <v>#VALUE!</v>
      </c>
      <c r="BG2" t="e">
        <f>AND(Plan1!N21,"AAAAAE8/lzo=")</f>
        <v>#VALUE!</v>
      </c>
      <c r="BH2">
        <f>IF(Plan1!22:22,"AAAAAE8/lzs=",0)</f>
        <v>0</v>
      </c>
      <c r="BI2" t="e">
        <f>AND(Plan1!A22,"AAAAAE8/lzw=")</f>
        <v>#VALUE!</v>
      </c>
      <c r="BJ2" t="e">
        <f>AND(Plan1!B22,"AAAAAE8/lz0=")</f>
        <v>#VALUE!</v>
      </c>
      <c r="BK2" t="e">
        <f>AND(Plan1!C22,"AAAAAE8/lz4=")</f>
        <v>#VALUE!</v>
      </c>
      <c r="BL2" t="e">
        <f>AND(Plan1!D22,"AAAAAE8/lz8=")</f>
        <v>#VALUE!</v>
      </c>
      <c r="BM2" t="e">
        <f>AND(Plan1!E22,"AAAAAE8/l0A=")</f>
        <v>#VALUE!</v>
      </c>
      <c r="BN2" t="e">
        <f>AND(Plan1!F22,"AAAAAE8/l0E=")</f>
        <v>#VALUE!</v>
      </c>
      <c r="BO2" t="e">
        <f>AND(Plan1!G22,"AAAAAE8/l0I=")</f>
        <v>#VALUE!</v>
      </c>
      <c r="BP2" t="e">
        <f>AND(Plan1!H22,"AAAAAE8/l0M=")</f>
        <v>#VALUE!</v>
      </c>
      <c r="BQ2" t="e">
        <f>AND(Plan1!I22,"AAAAAE8/l0Q=")</f>
        <v>#VALUE!</v>
      </c>
      <c r="BR2" t="e">
        <f>AND(Plan1!J22,"AAAAAE8/l0U=")</f>
        <v>#VALUE!</v>
      </c>
      <c r="BS2" t="e">
        <f>AND(Plan1!K22,"AAAAAE8/l0Y=")</f>
        <v>#VALUE!</v>
      </c>
      <c r="BT2" t="e">
        <f>AND(Plan1!L22,"AAAAAE8/l0c=")</f>
        <v>#VALUE!</v>
      </c>
      <c r="BU2" t="e">
        <f>AND(Plan1!M22,"AAAAAE8/l0g=")</f>
        <v>#VALUE!</v>
      </c>
      <c r="BV2" t="e">
        <f>AND(Plan1!N22,"AAAAAE8/l0k=")</f>
        <v>#VALUE!</v>
      </c>
      <c r="BW2">
        <f>IF(Plan1!23:23,"AAAAAE8/l0o=",0)</f>
        <v>0</v>
      </c>
      <c r="BX2" t="e">
        <f>AND(Plan1!A23,"AAAAAE8/l0s=")</f>
        <v>#VALUE!</v>
      </c>
      <c r="BY2" t="e">
        <f>AND(Plan1!B23,"AAAAAE8/l0w=")</f>
        <v>#VALUE!</v>
      </c>
      <c r="BZ2" t="e">
        <f>AND(Plan1!C23,"AAAAAE8/l00=")</f>
        <v>#VALUE!</v>
      </c>
      <c r="CA2" t="e">
        <f>AND(Plan1!D23,"AAAAAE8/l04=")</f>
        <v>#VALUE!</v>
      </c>
      <c r="CB2" t="e">
        <f>AND(Plan1!E23,"AAAAAE8/l08=")</f>
        <v>#VALUE!</v>
      </c>
      <c r="CC2" t="e">
        <f>AND(Plan1!F23,"AAAAAE8/l1A=")</f>
        <v>#VALUE!</v>
      </c>
      <c r="CD2" t="e">
        <f>AND(Plan1!G23,"AAAAAE8/l1E=")</f>
        <v>#VALUE!</v>
      </c>
      <c r="CE2" t="e">
        <f>AND(Plan1!H23,"AAAAAE8/l1I=")</f>
        <v>#VALUE!</v>
      </c>
      <c r="CF2" t="e">
        <f>AND(Plan1!I23,"AAAAAE8/l1M=")</f>
        <v>#VALUE!</v>
      </c>
      <c r="CG2" t="e">
        <f>AND(Plan1!J23,"AAAAAE8/l1Q=")</f>
        <v>#VALUE!</v>
      </c>
      <c r="CH2" t="e">
        <f>AND(Plan1!K23,"AAAAAE8/l1U=")</f>
        <v>#VALUE!</v>
      </c>
      <c r="CI2" t="e">
        <f>AND(Plan1!L23,"AAAAAE8/l1Y=")</f>
        <v>#VALUE!</v>
      </c>
      <c r="CJ2" t="e">
        <f>AND(Plan1!M23,"AAAAAE8/l1c=")</f>
        <v>#VALUE!</v>
      </c>
      <c r="CK2" t="e">
        <f>AND(Plan1!N23,"AAAAAE8/l1g=")</f>
        <v>#VALUE!</v>
      </c>
      <c r="CL2">
        <f>IF(Plan1!24:24,"AAAAAE8/l1k=",0)</f>
        <v>0</v>
      </c>
      <c r="CM2" t="e">
        <f>AND(Plan1!A24,"AAAAAE8/l1o=")</f>
        <v>#VALUE!</v>
      </c>
      <c r="CN2" t="e">
        <f>AND(Plan1!B24,"AAAAAE8/l1s=")</f>
        <v>#VALUE!</v>
      </c>
      <c r="CO2" t="e">
        <f>AND(Plan1!C24,"AAAAAE8/l1w=")</f>
        <v>#VALUE!</v>
      </c>
      <c r="CP2" t="e">
        <f>AND(Plan1!D24,"AAAAAE8/l10=")</f>
        <v>#VALUE!</v>
      </c>
      <c r="CQ2" t="e">
        <f>AND(Plan1!E24,"AAAAAE8/l14=")</f>
        <v>#VALUE!</v>
      </c>
      <c r="CR2" t="e">
        <f>AND(Plan1!F24,"AAAAAE8/l18=")</f>
        <v>#VALUE!</v>
      </c>
      <c r="CS2" t="e">
        <f>AND(Plan1!G24,"AAAAAE8/l2A=")</f>
        <v>#VALUE!</v>
      </c>
      <c r="CT2" t="e">
        <f>AND(Plan1!H24,"AAAAAE8/l2E=")</f>
        <v>#VALUE!</v>
      </c>
      <c r="CU2" t="e">
        <f>AND(Plan1!I24,"AAAAAE8/l2I=")</f>
        <v>#VALUE!</v>
      </c>
      <c r="CV2" t="e">
        <f>AND(Plan1!J24,"AAAAAE8/l2M=")</f>
        <v>#VALUE!</v>
      </c>
      <c r="CW2" t="e">
        <f>AND(Plan1!K24,"AAAAAE8/l2Q=")</f>
        <v>#VALUE!</v>
      </c>
      <c r="CX2" t="e">
        <f>AND(Plan1!L24,"AAAAAE8/l2U=")</f>
        <v>#VALUE!</v>
      </c>
      <c r="CY2" t="e">
        <f>AND(Plan1!M24,"AAAAAE8/l2Y=")</f>
        <v>#VALUE!</v>
      </c>
      <c r="CZ2" t="e">
        <f>AND(Plan1!N24,"AAAAAE8/l2c=")</f>
        <v>#VALUE!</v>
      </c>
      <c r="DA2">
        <f>IF(Plan1!25:25,"AAAAAE8/l2g=",0)</f>
        <v>0</v>
      </c>
      <c r="DB2" t="e">
        <f>AND(Plan1!A25,"AAAAAE8/l2k=")</f>
        <v>#VALUE!</v>
      </c>
      <c r="DC2" t="e">
        <f>AND(Plan1!B25,"AAAAAE8/l2o=")</f>
        <v>#VALUE!</v>
      </c>
      <c r="DD2" t="e">
        <f>AND(Plan1!C25,"AAAAAE8/l2s=")</f>
        <v>#VALUE!</v>
      </c>
      <c r="DE2" t="e">
        <f>AND(Plan1!D25,"AAAAAE8/l2w=")</f>
        <v>#VALUE!</v>
      </c>
      <c r="DF2" t="e">
        <f>AND(Plan1!E25,"AAAAAE8/l20=")</f>
        <v>#VALUE!</v>
      </c>
      <c r="DG2" t="e">
        <f>AND(Plan1!F25,"AAAAAE8/l24=")</f>
        <v>#VALUE!</v>
      </c>
      <c r="DH2" t="e">
        <f>AND(Plan1!G25,"AAAAAE8/l28=")</f>
        <v>#VALUE!</v>
      </c>
      <c r="DI2" t="e">
        <f>AND(Plan1!H25,"AAAAAE8/l3A=")</f>
        <v>#VALUE!</v>
      </c>
      <c r="DJ2" t="e">
        <f>AND(Plan1!I25,"AAAAAE8/l3E=")</f>
        <v>#VALUE!</v>
      </c>
      <c r="DK2" t="e">
        <f>AND(Plan1!J25,"AAAAAE8/l3I=")</f>
        <v>#VALUE!</v>
      </c>
      <c r="DL2" t="e">
        <f>AND(Plan1!K25,"AAAAAE8/l3M=")</f>
        <v>#VALUE!</v>
      </c>
      <c r="DM2" t="e">
        <f>AND(Plan1!L25,"AAAAAE8/l3Q=")</f>
        <v>#VALUE!</v>
      </c>
      <c r="DN2" t="e">
        <f>AND(Plan1!M25,"AAAAAE8/l3U=")</f>
        <v>#VALUE!</v>
      </c>
      <c r="DO2" t="e">
        <f>AND(Plan1!N25,"AAAAAE8/l3Y=")</f>
        <v>#VALUE!</v>
      </c>
      <c r="DP2">
        <f>IF(Plan1!26:26,"AAAAAE8/l3c=",0)</f>
        <v>0</v>
      </c>
      <c r="DQ2" t="e">
        <f>AND(Plan1!A26,"AAAAAE8/l3g=")</f>
        <v>#VALUE!</v>
      </c>
      <c r="DR2" t="e">
        <f>AND(Plan1!B26,"AAAAAE8/l3k=")</f>
        <v>#VALUE!</v>
      </c>
      <c r="DS2" t="e">
        <f>AND(Plan1!C26,"AAAAAE8/l3o=")</f>
        <v>#VALUE!</v>
      </c>
      <c r="DT2" t="e">
        <f>AND(Plan1!D26,"AAAAAE8/l3s=")</f>
        <v>#VALUE!</v>
      </c>
      <c r="DU2" t="e">
        <f>AND(Plan1!E26,"AAAAAE8/l3w=")</f>
        <v>#VALUE!</v>
      </c>
      <c r="DV2" t="e">
        <f>AND(Plan1!F26,"AAAAAE8/l30=")</f>
        <v>#VALUE!</v>
      </c>
      <c r="DW2" t="e">
        <f>AND(Plan1!G26,"AAAAAE8/l34=")</f>
        <v>#VALUE!</v>
      </c>
      <c r="DX2" t="e">
        <f>AND(Plan1!H26,"AAAAAE8/l38=")</f>
        <v>#VALUE!</v>
      </c>
      <c r="DY2" t="e">
        <f>AND(Plan1!I26,"AAAAAE8/l4A=")</f>
        <v>#VALUE!</v>
      </c>
      <c r="DZ2" t="e">
        <f>AND(Plan1!J26,"AAAAAE8/l4E=")</f>
        <v>#VALUE!</v>
      </c>
      <c r="EA2" t="e">
        <f>AND(Plan1!K26,"AAAAAE8/l4I=")</f>
        <v>#VALUE!</v>
      </c>
      <c r="EB2" t="e">
        <f>AND(Plan1!L26,"AAAAAE8/l4M=")</f>
        <v>#VALUE!</v>
      </c>
      <c r="EC2" t="e">
        <f>AND(Plan1!M26,"AAAAAE8/l4Q=")</f>
        <v>#VALUE!</v>
      </c>
      <c r="ED2" t="e">
        <f>AND(Plan1!N26,"AAAAAE8/l4U=")</f>
        <v>#VALUE!</v>
      </c>
      <c r="EE2">
        <f>IF(Plan1!27:27,"AAAAAE8/l4Y=",0)</f>
        <v>0</v>
      </c>
      <c r="EF2" t="e">
        <f>AND(Plan1!A27,"AAAAAE8/l4c=")</f>
        <v>#VALUE!</v>
      </c>
      <c r="EG2" t="e">
        <f>AND(Plan1!B27,"AAAAAE8/l4g=")</f>
        <v>#VALUE!</v>
      </c>
      <c r="EH2" t="e">
        <f>AND(Plan1!C27,"AAAAAE8/l4k=")</f>
        <v>#VALUE!</v>
      </c>
      <c r="EI2" t="e">
        <f>AND(Plan1!D27,"AAAAAE8/l4o=")</f>
        <v>#VALUE!</v>
      </c>
      <c r="EJ2" t="e">
        <f>AND(Plan1!E27,"AAAAAE8/l4s=")</f>
        <v>#VALUE!</v>
      </c>
      <c r="EK2" t="e">
        <f>AND(Plan1!F27,"AAAAAE8/l4w=")</f>
        <v>#VALUE!</v>
      </c>
      <c r="EL2" t="e">
        <f>AND(Plan1!G27,"AAAAAE8/l40=")</f>
        <v>#VALUE!</v>
      </c>
      <c r="EM2" t="e">
        <f>AND(Plan1!H27,"AAAAAE8/l44=")</f>
        <v>#VALUE!</v>
      </c>
      <c r="EN2" t="e">
        <f>AND(Plan1!I27,"AAAAAE8/l48=")</f>
        <v>#VALUE!</v>
      </c>
      <c r="EO2" t="e">
        <f>AND(Plan1!J27,"AAAAAE8/l5A=")</f>
        <v>#VALUE!</v>
      </c>
      <c r="EP2" t="e">
        <f>AND(Plan1!K27,"AAAAAE8/l5E=")</f>
        <v>#VALUE!</v>
      </c>
      <c r="EQ2" t="e">
        <f>AND(Plan1!L27,"AAAAAE8/l5I=")</f>
        <v>#VALUE!</v>
      </c>
      <c r="ER2" t="e">
        <f>AND(Plan1!M27,"AAAAAE8/l5M=")</f>
        <v>#VALUE!</v>
      </c>
      <c r="ES2" t="e">
        <f>AND(Plan1!N27,"AAAAAE8/l5Q=")</f>
        <v>#VALUE!</v>
      </c>
      <c r="ET2">
        <f>IF(Plan1!28:28,"AAAAAE8/l5U=",0)</f>
        <v>0</v>
      </c>
      <c r="EU2" t="e">
        <f>AND(Plan1!A28,"AAAAAE8/l5Y=")</f>
        <v>#VALUE!</v>
      </c>
      <c r="EV2" t="e">
        <f>AND(Plan1!B28,"AAAAAE8/l5c=")</f>
        <v>#VALUE!</v>
      </c>
      <c r="EW2" t="e">
        <f>AND(Plan1!C28,"AAAAAE8/l5g=")</f>
        <v>#VALUE!</v>
      </c>
      <c r="EX2" t="e">
        <f>AND(Plan1!D28,"AAAAAE8/l5k=")</f>
        <v>#VALUE!</v>
      </c>
      <c r="EY2" t="e">
        <f>AND(Plan1!E28,"AAAAAE8/l5o=")</f>
        <v>#VALUE!</v>
      </c>
      <c r="EZ2" t="e">
        <f>AND(Plan1!F28,"AAAAAE8/l5s=")</f>
        <v>#VALUE!</v>
      </c>
      <c r="FA2" t="e">
        <f>AND(Plan1!G28,"AAAAAE8/l5w=")</f>
        <v>#VALUE!</v>
      </c>
      <c r="FB2" t="e">
        <f>AND(Plan1!H28,"AAAAAE8/l50=")</f>
        <v>#VALUE!</v>
      </c>
      <c r="FC2" t="e">
        <f>AND(Plan1!I28,"AAAAAE8/l54=")</f>
        <v>#VALUE!</v>
      </c>
      <c r="FD2" t="e">
        <f>AND(Plan1!J28,"AAAAAE8/l58=")</f>
        <v>#VALUE!</v>
      </c>
      <c r="FE2" t="e">
        <f>AND(Plan1!K28,"AAAAAE8/l6A=")</f>
        <v>#VALUE!</v>
      </c>
      <c r="FF2" t="e">
        <f>AND(Plan1!L28,"AAAAAE8/l6E=")</f>
        <v>#VALUE!</v>
      </c>
      <c r="FG2" t="e">
        <f>AND(Plan1!M28,"AAAAAE8/l6I=")</f>
        <v>#VALUE!</v>
      </c>
      <c r="FH2" t="e">
        <f>AND(Plan1!N28,"AAAAAE8/l6M=")</f>
        <v>#VALUE!</v>
      </c>
      <c r="FI2">
        <f>IF(Plan1!29:29,"AAAAAE8/l6Q=",0)</f>
        <v>0</v>
      </c>
      <c r="FJ2" t="e">
        <f>AND(Plan1!A29,"AAAAAE8/l6U=")</f>
        <v>#VALUE!</v>
      </c>
      <c r="FK2" t="e">
        <f>AND(Plan1!B29,"AAAAAE8/l6Y=")</f>
        <v>#VALUE!</v>
      </c>
      <c r="FL2" t="e">
        <f>AND(Plan1!C29,"AAAAAE8/l6c=")</f>
        <v>#VALUE!</v>
      </c>
      <c r="FM2" t="e">
        <f>AND(Plan1!D29,"AAAAAE8/l6g=")</f>
        <v>#VALUE!</v>
      </c>
      <c r="FN2" t="e">
        <f>AND(Plan1!E29,"AAAAAE8/l6k=")</f>
        <v>#VALUE!</v>
      </c>
      <c r="FO2" t="e">
        <f>AND(Plan1!F29,"AAAAAE8/l6o=")</f>
        <v>#VALUE!</v>
      </c>
      <c r="FP2" t="e">
        <f>AND(Plan1!G29,"AAAAAE8/l6s=")</f>
        <v>#VALUE!</v>
      </c>
      <c r="FQ2" t="e">
        <f>AND(Plan1!H29,"AAAAAE8/l6w=")</f>
        <v>#VALUE!</v>
      </c>
      <c r="FR2" t="e">
        <f>AND(Plan1!I29,"AAAAAE8/l60=")</f>
        <v>#VALUE!</v>
      </c>
      <c r="FS2" t="e">
        <f>AND(Plan1!J29,"AAAAAE8/l64=")</f>
        <v>#VALUE!</v>
      </c>
      <c r="FT2" t="e">
        <f>AND(Plan1!K29,"AAAAAE8/l68=")</f>
        <v>#VALUE!</v>
      </c>
      <c r="FU2" t="e">
        <f>AND(Plan1!L29,"AAAAAE8/l7A=")</f>
        <v>#VALUE!</v>
      </c>
      <c r="FV2" t="e">
        <f>AND(Plan1!M29,"AAAAAE8/l7E=")</f>
        <v>#VALUE!</v>
      </c>
      <c r="FW2" t="e">
        <f>AND(Plan1!N29,"AAAAAE8/l7I=")</f>
        <v>#VALUE!</v>
      </c>
      <c r="FX2">
        <f>IF(Plan1!30:30,"AAAAAE8/l7M=",0)</f>
        <v>0</v>
      </c>
      <c r="FY2" t="e">
        <f>AND(Plan1!A30,"AAAAAE8/l7Q=")</f>
        <v>#VALUE!</v>
      </c>
      <c r="FZ2" t="e">
        <f>AND(Plan1!B30,"AAAAAE8/l7U=")</f>
        <v>#VALUE!</v>
      </c>
      <c r="GA2" t="e">
        <f>AND(Plan1!C30,"AAAAAE8/l7Y=")</f>
        <v>#VALUE!</v>
      </c>
      <c r="GB2" t="e">
        <f>AND(Plan1!D30,"AAAAAE8/l7c=")</f>
        <v>#VALUE!</v>
      </c>
      <c r="GC2" t="e">
        <f>AND(Plan1!E30,"AAAAAE8/l7g=")</f>
        <v>#VALUE!</v>
      </c>
      <c r="GD2" t="e">
        <f>AND(Plan1!F30,"AAAAAE8/l7k=")</f>
        <v>#VALUE!</v>
      </c>
      <c r="GE2" t="e">
        <f>AND(Plan1!G30,"AAAAAE8/l7o=")</f>
        <v>#VALUE!</v>
      </c>
      <c r="GF2" t="e">
        <f>AND(Plan1!H30,"AAAAAE8/l7s=")</f>
        <v>#VALUE!</v>
      </c>
      <c r="GG2" t="e">
        <f>AND(Plan1!I30,"AAAAAE8/l7w=")</f>
        <v>#VALUE!</v>
      </c>
      <c r="GH2" t="e">
        <f>AND(Plan1!J30,"AAAAAE8/l70=")</f>
        <v>#VALUE!</v>
      </c>
      <c r="GI2" t="e">
        <f>AND(Plan1!K30,"AAAAAE8/l74=")</f>
        <v>#VALUE!</v>
      </c>
      <c r="GJ2" t="e">
        <f>AND(Plan1!L30,"AAAAAE8/l78=")</f>
        <v>#VALUE!</v>
      </c>
      <c r="GK2" t="e">
        <f>AND(Plan1!M30,"AAAAAE8/l8A=")</f>
        <v>#VALUE!</v>
      </c>
      <c r="GL2" t="e">
        <f>AND(Plan1!N30,"AAAAAE8/l8E=")</f>
        <v>#VALUE!</v>
      </c>
      <c r="GM2">
        <f>IF(Plan1!31:31,"AAAAAE8/l8I=",0)</f>
        <v>0</v>
      </c>
      <c r="GN2" t="e">
        <f>AND(Plan1!A31,"AAAAAE8/l8M=")</f>
        <v>#VALUE!</v>
      </c>
      <c r="GO2" t="e">
        <f>AND(Plan1!B31,"AAAAAE8/l8Q=")</f>
        <v>#VALUE!</v>
      </c>
      <c r="GP2" t="e">
        <f>AND(Plan1!C31,"AAAAAE8/l8U=")</f>
        <v>#VALUE!</v>
      </c>
      <c r="GQ2" t="e">
        <f>AND(Plan1!D31,"AAAAAE8/l8Y=")</f>
        <v>#VALUE!</v>
      </c>
      <c r="GR2" t="e">
        <f>AND(Plan1!E31,"AAAAAE8/l8c=")</f>
        <v>#VALUE!</v>
      </c>
      <c r="GS2" t="e">
        <f>AND(Plan1!F31,"AAAAAE8/l8g=")</f>
        <v>#VALUE!</v>
      </c>
      <c r="GT2" t="e">
        <f>AND(Plan1!G31,"AAAAAE8/l8k=")</f>
        <v>#VALUE!</v>
      </c>
      <c r="GU2" t="e">
        <f>AND(Plan1!H31,"AAAAAE8/l8o=")</f>
        <v>#VALUE!</v>
      </c>
      <c r="GV2" t="e">
        <f>AND(Plan1!I31,"AAAAAE8/l8s=")</f>
        <v>#VALUE!</v>
      </c>
      <c r="GW2" t="e">
        <f>AND(Plan1!J31,"AAAAAE8/l8w=")</f>
        <v>#VALUE!</v>
      </c>
      <c r="GX2" t="e">
        <f>AND(Plan1!K31,"AAAAAE8/l80=")</f>
        <v>#VALUE!</v>
      </c>
      <c r="GY2" t="e">
        <f>AND(Plan1!L31,"AAAAAE8/l84=")</f>
        <v>#VALUE!</v>
      </c>
      <c r="GZ2" t="e">
        <f>AND(Plan1!M31,"AAAAAE8/l88=")</f>
        <v>#VALUE!</v>
      </c>
      <c r="HA2" t="e">
        <f>AND(Plan1!N31,"AAAAAE8/l9A=")</f>
        <v>#VALUE!</v>
      </c>
      <c r="HB2">
        <f>IF(Plan1!32:32,"AAAAAE8/l9E=",0)</f>
        <v>0</v>
      </c>
      <c r="HC2" t="e">
        <f>AND(Plan1!A32,"AAAAAE8/l9I=")</f>
        <v>#VALUE!</v>
      </c>
      <c r="HD2" t="e">
        <f>AND(Plan1!B32,"AAAAAE8/l9M=")</f>
        <v>#VALUE!</v>
      </c>
      <c r="HE2" t="e">
        <f>AND(Plan1!C32,"AAAAAE8/l9Q=")</f>
        <v>#VALUE!</v>
      </c>
      <c r="HF2" t="e">
        <f>AND(Plan1!D32,"AAAAAE8/l9U=")</f>
        <v>#VALUE!</v>
      </c>
      <c r="HG2" t="e">
        <f>AND(Plan1!E32,"AAAAAE8/l9Y=")</f>
        <v>#VALUE!</v>
      </c>
      <c r="HH2" t="e">
        <f>AND(Plan1!F32,"AAAAAE8/l9c=")</f>
        <v>#VALUE!</v>
      </c>
      <c r="HI2" t="e">
        <f>AND(Plan1!G32,"AAAAAE8/l9g=")</f>
        <v>#VALUE!</v>
      </c>
      <c r="HJ2" t="e">
        <f>AND(Plan1!H32,"AAAAAE8/l9k=")</f>
        <v>#VALUE!</v>
      </c>
      <c r="HK2" t="e">
        <f>AND(Plan1!I32,"AAAAAE8/l9o=")</f>
        <v>#VALUE!</v>
      </c>
      <c r="HL2" t="e">
        <f>AND(Plan1!J32,"AAAAAE8/l9s=")</f>
        <v>#VALUE!</v>
      </c>
      <c r="HM2" t="e">
        <f>AND(Plan1!K32,"AAAAAE8/l9w=")</f>
        <v>#VALUE!</v>
      </c>
      <c r="HN2" t="e">
        <f>AND(Plan1!L32,"AAAAAE8/l90=")</f>
        <v>#VALUE!</v>
      </c>
      <c r="HO2" t="e">
        <f>AND(Plan1!M32,"AAAAAE8/l94=")</f>
        <v>#VALUE!</v>
      </c>
      <c r="HP2" t="e">
        <f>AND(Plan1!N32,"AAAAAE8/l98=")</f>
        <v>#VALUE!</v>
      </c>
      <c r="HQ2">
        <f>IF(Plan1!33:33,"AAAAAE8/l+A=",0)</f>
        <v>0</v>
      </c>
      <c r="HR2" t="e">
        <f>AND(Plan1!A33,"AAAAAE8/l+E=")</f>
        <v>#VALUE!</v>
      </c>
      <c r="HS2" t="e">
        <f>AND(Plan1!B33,"AAAAAE8/l+I=")</f>
        <v>#VALUE!</v>
      </c>
      <c r="HT2" t="e">
        <f>AND(Plan1!C33,"AAAAAE8/l+M=")</f>
        <v>#VALUE!</v>
      </c>
      <c r="HU2" t="e">
        <f>AND(Plan1!D33,"AAAAAE8/l+Q=")</f>
        <v>#VALUE!</v>
      </c>
      <c r="HV2" t="e">
        <f>AND(Plan1!E33,"AAAAAE8/l+U=")</f>
        <v>#VALUE!</v>
      </c>
      <c r="HW2" t="e">
        <f>AND(Plan1!F33,"AAAAAE8/l+Y=")</f>
        <v>#VALUE!</v>
      </c>
      <c r="HX2" t="e">
        <f>AND(Plan1!G33,"AAAAAE8/l+c=")</f>
        <v>#VALUE!</v>
      </c>
      <c r="HY2" t="e">
        <f>AND(Plan1!H33,"AAAAAE8/l+g=")</f>
        <v>#VALUE!</v>
      </c>
      <c r="HZ2" t="e">
        <f>AND(Plan1!I33,"AAAAAE8/l+k=")</f>
        <v>#VALUE!</v>
      </c>
      <c r="IA2" t="e">
        <f>AND(Plan1!J33,"AAAAAE8/l+o=")</f>
        <v>#VALUE!</v>
      </c>
      <c r="IB2" t="e">
        <f>AND(Plan1!K33,"AAAAAE8/l+s=")</f>
        <v>#VALUE!</v>
      </c>
      <c r="IC2" t="e">
        <f>AND(Plan1!L33,"AAAAAE8/l+w=")</f>
        <v>#VALUE!</v>
      </c>
      <c r="ID2" t="e">
        <f>AND(Plan1!M33,"AAAAAE8/l+0=")</f>
        <v>#VALUE!</v>
      </c>
      <c r="IE2" t="e">
        <f>AND(Plan1!N33,"AAAAAE8/l+4=")</f>
        <v>#VALUE!</v>
      </c>
      <c r="IF2">
        <f>IF(Plan1!34:34,"AAAAAE8/l+8=",0)</f>
        <v>0</v>
      </c>
      <c r="IG2" t="e">
        <f>AND(Plan1!A34,"AAAAAE8/l/A=")</f>
        <v>#VALUE!</v>
      </c>
      <c r="IH2" t="e">
        <f>AND(Plan1!B34,"AAAAAE8/l/E=")</f>
        <v>#VALUE!</v>
      </c>
      <c r="II2" t="e">
        <f>AND(Plan1!C34,"AAAAAE8/l/I=")</f>
        <v>#VALUE!</v>
      </c>
      <c r="IJ2" t="e">
        <f>AND(Plan1!D34,"AAAAAE8/l/M=")</f>
        <v>#VALUE!</v>
      </c>
      <c r="IK2" t="e">
        <f>AND(Plan1!E34,"AAAAAE8/l/Q=")</f>
        <v>#VALUE!</v>
      </c>
      <c r="IL2" t="e">
        <f>AND(Plan1!F34,"AAAAAE8/l/U=")</f>
        <v>#VALUE!</v>
      </c>
      <c r="IM2" t="e">
        <f>AND(Plan1!G34,"AAAAAE8/l/Y=")</f>
        <v>#VALUE!</v>
      </c>
      <c r="IN2" t="e">
        <f>AND(Plan1!H34,"AAAAAE8/l/c=")</f>
        <v>#VALUE!</v>
      </c>
      <c r="IO2" t="e">
        <f>AND(Plan1!I34,"AAAAAE8/l/g=")</f>
        <v>#VALUE!</v>
      </c>
      <c r="IP2" t="e">
        <f>AND(Plan1!J34,"AAAAAE8/l/k=")</f>
        <v>#VALUE!</v>
      </c>
      <c r="IQ2" t="e">
        <f>AND(Plan1!K34,"AAAAAE8/l/o=")</f>
        <v>#VALUE!</v>
      </c>
      <c r="IR2" t="e">
        <f>AND(Plan1!L34,"AAAAAE8/l/s=")</f>
        <v>#VALUE!</v>
      </c>
      <c r="IS2" t="e">
        <f>AND(Plan1!M34,"AAAAAE8/l/w=")</f>
        <v>#VALUE!</v>
      </c>
      <c r="IT2" t="e">
        <f>AND(Plan1!N34,"AAAAAE8/l/0=")</f>
        <v>#VALUE!</v>
      </c>
      <c r="IU2">
        <f>IF(Plan1!35:35,"AAAAAE8/l/4=",0)</f>
        <v>0</v>
      </c>
      <c r="IV2" t="e">
        <f>AND(Plan1!A35,"AAAAAE8/l/8=")</f>
        <v>#VALUE!</v>
      </c>
    </row>
    <row r="3" spans="1:256">
      <c r="A3" t="e">
        <f>AND(Plan1!B35,"AAAAAGv//gA=")</f>
        <v>#VALUE!</v>
      </c>
      <c r="B3" t="e">
        <f>AND(Plan1!C35,"AAAAAGv//gE=")</f>
        <v>#VALUE!</v>
      </c>
      <c r="C3" t="e">
        <f>AND(Plan1!D35,"AAAAAGv//gI=")</f>
        <v>#VALUE!</v>
      </c>
      <c r="D3" t="e">
        <f>AND(Plan1!E35,"AAAAAGv//gM=")</f>
        <v>#VALUE!</v>
      </c>
      <c r="E3" t="e">
        <f>AND(Plan1!F35,"AAAAAGv//gQ=")</f>
        <v>#VALUE!</v>
      </c>
      <c r="F3" t="e">
        <f>AND(Plan1!G35,"AAAAAGv//gU=")</f>
        <v>#VALUE!</v>
      </c>
      <c r="G3" t="e">
        <f>AND(Plan1!H35,"AAAAAGv//gY=")</f>
        <v>#VALUE!</v>
      </c>
      <c r="H3" t="e">
        <f>AND(Plan1!I35,"AAAAAGv//gc=")</f>
        <v>#VALUE!</v>
      </c>
      <c r="I3" t="e">
        <f>AND(Plan1!J35,"AAAAAGv//gg=")</f>
        <v>#VALUE!</v>
      </c>
      <c r="J3" t="e">
        <f>AND(Plan1!K35,"AAAAAGv//gk=")</f>
        <v>#VALUE!</v>
      </c>
      <c r="K3" t="e">
        <f>AND(Plan1!L35,"AAAAAGv//go=")</f>
        <v>#VALUE!</v>
      </c>
      <c r="L3" t="e">
        <f>AND(Plan1!M35,"AAAAAGv//gs=")</f>
        <v>#VALUE!</v>
      </c>
      <c r="M3" t="e">
        <f>AND(Plan1!N35,"AAAAAGv//gw=")</f>
        <v>#VALUE!</v>
      </c>
      <c r="N3" t="e">
        <f>IF(Plan1!36:36,"AAAAAGv//g0=",0)</f>
        <v>#VALUE!</v>
      </c>
      <c r="O3" t="e">
        <f>AND(Plan1!A36,"AAAAAGv//g4=")</f>
        <v>#VALUE!</v>
      </c>
      <c r="P3" t="e">
        <f>AND(Plan1!B36,"AAAAAGv//g8=")</f>
        <v>#VALUE!</v>
      </c>
      <c r="Q3" t="e">
        <f>AND(Plan1!C36,"AAAAAGv//hA=")</f>
        <v>#VALUE!</v>
      </c>
      <c r="R3" t="e">
        <f>AND(Plan1!D36,"AAAAAGv//hE=")</f>
        <v>#VALUE!</v>
      </c>
      <c r="S3" t="e">
        <f>AND(Plan1!E36,"AAAAAGv//hI=")</f>
        <v>#VALUE!</v>
      </c>
      <c r="T3" t="e">
        <f>AND(Plan1!F36,"AAAAAGv//hM=")</f>
        <v>#VALUE!</v>
      </c>
      <c r="U3" t="e">
        <f>AND(Plan1!G36,"AAAAAGv//hQ=")</f>
        <v>#VALUE!</v>
      </c>
      <c r="V3" t="e">
        <f>AND(Plan1!H36,"AAAAAGv//hU=")</f>
        <v>#VALUE!</v>
      </c>
      <c r="W3" t="e">
        <f>AND(Plan1!I36,"AAAAAGv//hY=")</f>
        <v>#VALUE!</v>
      </c>
      <c r="X3" t="e">
        <f>AND(Plan1!J36,"AAAAAGv//hc=")</f>
        <v>#VALUE!</v>
      </c>
      <c r="Y3" t="e">
        <f>AND(Plan1!K36,"AAAAAGv//hg=")</f>
        <v>#VALUE!</v>
      </c>
      <c r="Z3" t="e">
        <f>AND(Plan1!L36,"AAAAAGv//hk=")</f>
        <v>#VALUE!</v>
      </c>
      <c r="AA3" t="e">
        <f>AND(Plan1!M36,"AAAAAGv//ho=")</f>
        <v>#VALUE!</v>
      </c>
      <c r="AB3" t="e">
        <f>AND(Plan1!N36,"AAAAAGv//hs=")</f>
        <v>#VALUE!</v>
      </c>
      <c r="AC3">
        <f>IF(Plan1!37:37,"AAAAAGv//hw=",0)</f>
        <v>0</v>
      </c>
      <c r="AD3" t="e">
        <f>AND(Plan1!A37,"AAAAAGv//h0=")</f>
        <v>#VALUE!</v>
      </c>
      <c r="AE3" t="e">
        <f>AND(Plan1!B37,"AAAAAGv//h4=")</f>
        <v>#VALUE!</v>
      </c>
      <c r="AF3" t="e">
        <f>AND(Plan1!C37,"AAAAAGv//h8=")</f>
        <v>#VALUE!</v>
      </c>
      <c r="AG3" t="e">
        <f>AND(Plan1!D37,"AAAAAGv//iA=")</f>
        <v>#VALUE!</v>
      </c>
      <c r="AH3" t="e">
        <f>AND(Plan1!E37,"AAAAAGv//iE=")</f>
        <v>#VALUE!</v>
      </c>
      <c r="AI3" t="e">
        <f>AND(Plan1!F37,"AAAAAGv//iI=")</f>
        <v>#VALUE!</v>
      </c>
      <c r="AJ3" t="e">
        <f>AND(Plan1!G37,"AAAAAGv//iM=")</f>
        <v>#VALUE!</v>
      </c>
      <c r="AK3" t="e">
        <f>AND(Plan1!H37,"AAAAAGv//iQ=")</f>
        <v>#VALUE!</v>
      </c>
      <c r="AL3" t="e">
        <f>AND(Plan1!I37,"AAAAAGv//iU=")</f>
        <v>#VALUE!</v>
      </c>
      <c r="AM3" t="e">
        <f>AND(Plan1!J37,"AAAAAGv//iY=")</f>
        <v>#VALUE!</v>
      </c>
      <c r="AN3" t="e">
        <f>AND(Plan1!K37,"AAAAAGv//ic=")</f>
        <v>#VALUE!</v>
      </c>
      <c r="AO3" t="e">
        <f>AND(Plan1!L37,"AAAAAGv//ig=")</f>
        <v>#VALUE!</v>
      </c>
      <c r="AP3" t="e">
        <f>AND(Plan1!M37,"AAAAAGv//ik=")</f>
        <v>#VALUE!</v>
      </c>
      <c r="AQ3" t="e">
        <f>AND(Plan1!N37,"AAAAAGv//io=")</f>
        <v>#VALUE!</v>
      </c>
      <c r="AR3">
        <f>IF(Plan1!38:38,"AAAAAGv//is=",0)</f>
        <v>0</v>
      </c>
      <c r="AS3" t="e">
        <f>AND(Plan1!A38,"AAAAAGv//iw=")</f>
        <v>#VALUE!</v>
      </c>
      <c r="AT3" t="e">
        <f>AND(Plan1!B38,"AAAAAGv//i0=")</f>
        <v>#VALUE!</v>
      </c>
      <c r="AU3" t="e">
        <f>AND(Plan1!C38,"AAAAAGv//i4=")</f>
        <v>#VALUE!</v>
      </c>
      <c r="AV3" t="e">
        <f>AND(Plan1!D38,"AAAAAGv//i8=")</f>
        <v>#VALUE!</v>
      </c>
      <c r="AW3" t="e">
        <f>AND(Plan1!E38,"AAAAAGv//jA=")</f>
        <v>#VALUE!</v>
      </c>
      <c r="AX3" t="e">
        <f>AND(Plan1!F38,"AAAAAGv//jE=")</f>
        <v>#VALUE!</v>
      </c>
      <c r="AY3" t="e">
        <f>AND(Plan1!G38,"AAAAAGv//jI=")</f>
        <v>#VALUE!</v>
      </c>
      <c r="AZ3" t="e">
        <f>AND(Plan1!H38,"AAAAAGv//jM=")</f>
        <v>#VALUE!</v>
      </c>
      <c r="BA3" t="e">
        <f>AND(Plan1!I38,"AAAAAGv//jQ=")</f>
        <v>#VALUE!</v>
      </c>
      <c r="BB3" t="e">
        <f>AND(Plan1!J38,"AAAAAGv//jU=")</f>
        <v>#VALUE!</v>
      </c>
      <c r="BC3" t="e">
        <f>AND(Plan1!K38,"AAAAAGv//jY=")</f>
        <v>#VALUE!</v>
      </c>
      <c r="BD3" t="e">
        <f>AND(Plan1!L38,"AAAAAGv//jc=")</f>
        <v>#VALUE!</v>
      </c>
      <c r="BE3" t="e">
        <f>AND(Plan1!M38,"AAAAAGv//jg=")</f>
        <v>#VALUE!</v>
      </c>
      <c r="BF3" t="e">
        <f>AND(Plan1!N38,"AAAAAGv//jk=")</f>
        <v>#VALUE!</v>
      </c>
      <c r="BG3">
        <f>IF(Plan1!39:39,"AAAAAGv//jo=",0)</f>
        <v>0</v>
      </c>
      <c r="BH3" t="e">
        <f>AND(Plan1!A39,"AAAAAGv//js=")</f>
        <v>#VALUE!</v>
      </c>
      <c r="BI3" t="e">
        <f>AND(Plan1!B39,"AAAAAGv//jw=")</f>
        <v>#VALUE!</v>
      </c>
      <c r="BJ3" t="e">
        <f>AND(Plan1!C39,"AAAAAGv//j0=")</f>
        <v>#VALUE!</v>
      </c>
      <c r="BK3" t="e">
        <f>AND(Plan1!D39,"AAAAAGv//j4=")</f>
        <v>#VALUE!</v>
      </c>
      <c r="BL3" t="e">
        <f>AND(Plan1!E39,"AAAAAGv//j8=")</f>
        <v>#VALUE!</v>
      </c>
      <c r="BM3" t="e">
        <f>AND(Plan1!F39,"AAAAAGv//kA=")</f>
        <v>#VALUE!</v>
      </c>
      <c r="BN3" t="e">
        <f>AND(Plan1!G39,"AAAAAGv//kE=")</f>
        <v>#VALUE!</v>
      </c>
      <c r="BO3" t="e">
        <f>AND(Plan1!H39,"AAAAAGv//kI=")</f>
        <v>#VALUE!</v>
      </c>
      <c r="BP3" t="e">
        <f>AND(Plan1!I39,"AAAAAGv//kM=")</f>
        <v>#VALUE!</v>
      </c>
      <c r="BQ3" t="e">
        <f>AND(Plan1!J39,"AAAAAGv//kQ=")</f>
        <v>#VALUE!</v>
      </c>
      <c r="BR3" t="e">
        <f>AND(Plan1!K39,"AAAAAGv//kU=")</f>
        <v>#VALUE!</v>
      </c>
      <c r="BS3" t="e">
        <f>AND(Plan1!L39,"AAAAAGv//kY=")</f>
        <v>#VALUE!</v>
      </c>
      <c r="BT3" t="e">
        <f>AND(Plan1!M39,"AAAAAGv//kc=")</f>
        <v>#VALUE!</v>
      </c>
      <c r="BU3" t="e">
        <f>AND(Plan1!N39,"AAAAAGv//kg=")</f>
        <v>#VALUE!</v>
      </c>
      <c r="BV3">
        <f>IF(Plan1!40:40,"AAAAAGv//kk=",0)</f>
        <v>0</v>
      </c>
      <c r="BW3" t="e">
        <f>AND(Plan1!A40,"AAAAAGv//ko=")</f>
        <v>#VALUE!</v>
      </c>
      <c r="BX3" t="e">
        <f>AND(Plan1!B40,"AAAAAGv//ks=")</f>
        <v>#VALUE!</v>
      </c>
      <c r="BY3" t="e">
        <f>AND(Plan1!C40,"AAAAAGv//kw=")</f>
        <v>#VALUE!</v>
      </c>
      <c r="BZ3" t="e">
        <f>AND(Plan1!D40,"AAAAAGv//k0=")</f>
        <v>#VALUE!</v>
      </c>
      <c r="CA3" t="e">
        <f>AND(Plan1!E40,"AAAAAGv//k4=")</f>
        <v>#VALUE!</v>
      </c>
      <c r="CB3" t="e">
        <f>AND(Plan1!F40,"AAAAAGv//k8=")</f>
        <v>#VALUE!</v>
      </c>
      <c r="CC3" t="e">
        <f>AND(Plan1!G40,"AAAAAGv//lA=")</f>
        <v>#VALUE!</v>
      </c>
      <c r="CD3" t="e">
        <f>AND(Plan1!H40,"AAAAAGv//lE=")</f>
        <v>#VALUE!</v>
      </c>
      <c r="CE3" t="e">
        <f>AND(Plan1!I40,"AAAAAGv//lI=")</f>
        <v>#VALUE!</v>
      </c>
      <c r="CF3" t="e">
        <f>AND(Plan1!J40,"AAAAAGv//lM=")</f>
        <v>#VALUE!</v>
      </c>
      <c r="CG3" t="e">
        <f>AND(Plan1!K40,"AAAAAGv//lQ=")</f>
        <v>#VALUE!</v>
      </c>
      <c r="CH3" t="e">
        <f>AND(Plan1!L40,"AAAAAGv//lU=")</f>
        <v>#VALUE!</v>
      </c>
      <c r="CI3" t="e">
        <f>AND(Plan1!M40,"AAAAAGv//lY=")</f>
        <v>#VALUE!</v>
      </c>
      <c r="CJ3" t="e">
        <f>AND(Plan1!N40,"AAAAAGv//lc=")</f>
        <v>#VALUE!</v>
      </c>
      <c r="CK3">
        <f>IF(Plan1!41:41,"AAAAAGv//lg=",0)</f>
        <v>0</v>
      </c>
      <c r="CL3" t="e">
        <f>AND(Plan1!A41,"AAAAAGv//lk=")</f>
        <v>#VALUE!</v>
      </c>
      <c r="CM3" t="e">
        <f>AND(Plan1!B41,"AAAAAGv//lo=")</f>
        <v>#VALUE!</v>
      </c>
      <c r="CN3" t="e">
        <f>AND(Plan1!C41,"AAAAAGv//ls=")</f>
        <v>#VALUE!</v>
      </c>
      <c r="CO3" t="e">
        <f>AND(Plan1!D41,"AAAAAGv//lw=")</f>
        <v>#VALUE!</v>
      </c>
      <c r="CP3" t="e">
        <f>AND(Plan1!E41,"AAAAAGv//l0=")</f>
        <v>#VALUE!</v>
      </c>
      <c r="CQ3" t="e">
        <f>AND(Plan1!F41,"AAAAAGv//l4=")</f>
        <v>#VALUE!</v>
      </c>
      <c r="CR3" t="e">
        <f>AND(Plan1!G41,"AAAAAGv//l8=")</f>
        <v>#VALUE!</v>
      </c>
      <c r="CS3" t="e">
        <f>AND(Plan1!H41,"AAAAAGv//mA=")</f>
        <v>#VALUE!</v>
      </c>
      <c r="CT3" t="e">
        <f>AND(Plan1!I41,"AAAAAGv//mE=")</f>
        <v>#VALUE!</v>
      </c>
      <c r="CU3" t="e">
        <f>AND(Plan1!J41,"AAAAAGv//mI=")</f>
        <v>#VALUE!</v>
      </c>
      <c r="CV3" t="e">
        <f>AND(Plan1!K41,"AAAAAGv//mM=")</f>
        <v>#VALUE!</v>
      </c>
      <c r="CW3" t="e">
        <f>AND(Plan1!L41,"AAAAAGv//mQ=")</f>
        <v>#VALUE!</v>
      </c>
      <c r="CX3" t="e">
        <f>AND(Plan1!M41,"AAAAAGv//mU=")</f>
        <v>#VALUE!</v>
      </c>
      <c r="CY3" t="e">
        <f>AND(Plan1!N41,"AAAAAGv//mY=")</f>
        <v>#VALUE!</v>
      </c>
      <c r="CZ3">
        <f>IF(Plan1!42:42,"AAAAAGv//mc=",0)</f>
        <v>0</v>
      </c>
      <c r="DA3" t="e">
        <f>AND(Plan1!A42,"AAAAAGv//mg=")</f>
        <v>#VALUE!</v>
      </c>
      <c r="DB3" t="e">
        <f>AND(Plan1!B42,"AAAAAGv//mk=")</f>
        <v>#VALUE!</v>
      </c>
      <c r="DC3" t="e">
        <f>AND(Plan1!C42,"AAAAAGv//mo=")</f>
        <v>#VALUE!</v>
      </c>
      <c r="DD3" t="e">
        <f>AND(Plan1!D42,"AAAAAGv//ms=")</f>
        <v>#VALUE!</v>
      </c>
      <c r="DE3" t="e">
        <f>AND(Plan1!E42,"AAAAAGv//mw=")</f>
        <v>#VALUE!</v>
      </c>
      <c r="DF3" t="e">
        <f>AND(Plan1!F42,"AAAAAGv//m0=")</f>
        <v>#VALUE!</v>
      </c>
      <c r="DG3" t="e">
        <f>AND(Plan1!G42,"AAAAAGv//m4=")</f>
        <v>#VALUE!</v>
      </c>
      <c r="DH3" t="e">
        <f>AND(Plan1!H42,"AAAAAGv//m8=")</f>
        <v>#VALUE!</v>
      </c>
      <c r="DI3" t="e">
        <f>AND(Plan1!I42,"AAAAAGv//nA=")</f>
        <v>#VALUE!</v>
      </c>
      <c r="DJ3" t="e">
        <f>AND(Plan1!J42,"AAAAAGv//nE=")</f>
        <v>#VALUE!</v>
      </c>
      <c r="DK3" t="e">
        <f>AND(Plan1!K42,"AAAAAGv//nI=")</f>
        <v>#VALUE!</v>
      </c>
      <c r="DL3" t="e">
        <f>AND(Plan1!L42,"AAAAAGv//nM=")</f>
        <v>#VALUE!</v>
      </c>
      <c r="DM3" t="e">
        <f>AND(Plan1!M42,"AAAAAGv//nQ=")</f>
        <v>#VALUE!</v>
      </c>
      <c r="DN3" t="e">
        <f>AND(Plan1!N42,"AAAAAGv//nU=")</f>
        <v>#VALUE!</v>
      </c>
      <c r="DO3">
        <f>IF(Plan1!43:43,"AAAAAGv//nY=",0)</f>
        <v>0</v>
      </c>
      <c r="DP3" t="e">
        <f>AND(Plan1!A43,"AAAAAGv//nc=")</f>
        <v>#VALUE!</v>
      </c>
      <c r="DQ3" t="e">
        <f>AND(Plan1!B43,"AAAAAGv//ng=")</f>
        <v>#VALUE!</v>
      </c>
      <c r="DR3" t="e">
        <f>AND(Plan1!C43,"AAAAAGv//nk=")</f>
        <v>#VALUE!</v>
      </c>
      <c r="DS3" t="e">
        <f>AND(Plan1!D43,"AAAAAGv//no=")</f>
        <v>#VALUE!</v>
      </c>
      <c r="DT3" t="e">
        <f>AND(Plan1!E43,"AAAAAGv//ns=")</f>
        <v>#VALUE!</v>
      </c>
      <c r="DU3" t="e">
        <f>AND(Plan1!F43,"AAAAAGv//nw=")</f>
        <v>#VALUE!</v>
      </c>
      <c r="DV3" t="e">
        <f>AND(Plan1!G43,"AAAAAGv//n0=")</f>
        <v>#VALUE!</v>
      </c>
      <c r="DW3" t="e">
        <f>AND(Plan1!H43,"AAAAAGv//n4=")</f>
        <v>#VALUE!</v>
      </c>
      <c r="DX3" t="e">
        <f>AND(Plan1!I43,"AAAAAGv//n8=")</f>
        <v>#VALUE!</v>
      </c>
      <c r="DY3" t="e">
        <f>AND(Plan1!J43,"AAAAAGv//oA=")</f>
        <v>#VALUE!</v>
      </c>
      <c r="DZ3" t="e">
        <f>AND(Plan1!K43,"AAAAAGv//oE=")</f>
        <v>#VALUE!</v>
      </c>
      <c r="EA3" t="e">
        <f>AND(Plan1!L43,"AAAAAGv//oI=")</f>
        <v>#VALUE!</v>
      </c>
      <c r="EB3" t="e">
        <f>AND(Plan1!M43,"AAAAAGv//oM=")</f>
        <v>#VALUE!</v>
      </c>
      <c r="EC3" t="e">
        <f>AND(Plan1!N43,"AAAAAGv//oQ=")</f>
        <v>#VALUE!</v>
      </c>
      <c r="ED3">
        <f>IF(Plan1!44:44,"AAAAAGv//oU=",0)</f>
        <v>0</v>
      </c>
      <c r="EE3" t="e">
        <f>AND(Plan1!A44,"AAAAAGv//oY=")</f>
        <v>#VALUE!</v>
      </c>
      <c r="EF3" t="e">
        <f>AND(Plan1!B44,"AAAAAGv//oc=")</f>
        <v>#VALUE!</v>
      </c>
      <c r="EG3" t="e">
        <f>AND(Plan1!C44,"AAAAAGv//og=")</f>
        <v>#VALUE!</v>
      </c>
      <c r="EH3" t="e">
        <f>AND(Plan1!D44,"AAAAAGv//ok=")</f>
        <v>#VALUE!</v>
      </c>
      <c r="EI3" t="e">
        <f>AND(Plan1!E44,"AAAAAGv//oo=")</f>
        <v>#VALUE!</v>
      </c>
      <c r="EJ3" t="e">
        <f>AND(Plan1!F44,"AAAAAGv//os=")</f>
        <v>#VALUE!</v>
      </c>
      <c r="EK3" t="e">
        <f>AND(Plan1!G44,"AAAAAGv//ow=")</f>
        <v>#VALUE!</v>
      </c>
      <c r="EL3" t="e">
        <f>AND(Plan1!H44,"AAAAAGv//o0=")</f>
        <v>#VALUE!</v>
      </c>
      <c r="EM3" t="e">
        <f>AND(Plan1!I44,"AAAAAGv//o4=")</f>
        <v>#VALUE!</v>
      </c>
      <c r="EN3" t="e">
        <f>AND(Plan1!J44,"AAAAAGv//o8=")</f>
        <v>#VALUE!</v>
      </c>
      <c r="EO3" t="e">
        <f>AND(Plan1!K44,"AAAAAGv//pA=")</f>
        <v>#VALUE!</v>
      </c>
      <c r="EP3" t="e">
        <f>AND(Plan1!L44,"AAAAAGv//pE=")</f>
        <v>#VALUE!</v>
      </c>
      <c r="EQ3" t="e">
        <f>AND(Plan1!M44,"AAAAAGv//pI=")</f>
        <v>#VALUE!</v>
      </c>
      <c r="ER3" t="e">
        <f>AND(Plan1!N44,"AAAAAGv//pM=")</f>
        <v>#VALUE!</v>
      </c>
      <c r="ES3">
        <f>IF(Plan1!45:45,"AAAAAGv//pQ=",0)</f>
        <v>0</v>
      </c>
      <c r="ET3" t="e">
        <f>AND(Plan1!A45,"AAAAAGv//pU=")</f>
        <v>#VALUE!</v>
      </c>
      <c r="EU3" t="e">
        <f>AND(Plan1!B45,"AAAAAGv//pY=")</f>
        <v>#VALUE!</v>
      </c>
      <c r="EV3" t="e">
        <f>AND(Plan1!C45,"AAAAAGv//pc=")</f>
        <v>#VALUE!</v>
      </c>
      <c r="EW3" t="e">
        <f>AND(Plan1!D45,"AAAAAGv//pg=")</f>
        <v>#VALUE!</v>
      </c>
      <c r="EX3" t="e">
        <f>AND(Plan1!E45,"AAAAAGv//pk=")</f>
        <v>#VALUE!</v>
      </c>
      <c r="EY3" t="e">
        <f>AND(Plan1!F45,"AAAAAGv//po=")</f>
        <v>#VALUE!</v>
      </c>
      <c r="EZ3" t="e">
        <f>AND(Plan1!G45,"AAAAAGv//ps=")</f>
        <v>#VALUE!</v>
      </c>
      <c r="FA3" t="e">
        <f>AND(Plan1!H45,"AAAAAGv//pw=")</f>
        <v>#VALUE!</v>
      </c>
      <c r="FB3" t="e">
        <f>AND(Plan1!I45,"AAAAAGv//p0=")</f>
        <v>#VALUE!</v>
      </c>
      <c r="FC3" t="e">
        <f>AND(Plan1!J45,"AAAAAGv//p4=")</f>
        <v>#VALUE!</v>
      </c>
      <c r="FD3" t="e">
        <f>AND(Plan1!K45,"AAAAAGv//p8=")</f>
        <v>#VALUE!</v>
      </c>
      <c r="FE3" t="e">
        <f>AND(Plan1!L45,"AAAAAGv//qA=")</f>
        <v>#VALUE!</v>
      </c>
      <c r="FF3" t="e">
        <f>AND(Plan1!M45,"AAAAAGv//qE=")</f>
        <v>#VALUE!</v>
      </c>
      <c r="FG3" t="e">
        <f>AND(Plan1!N45,"AAAAAGv//qI=")</f>
        <v>#VALUE!</v>
      </c>
      <c r="FH3">
        <f>IF(Plan1!46:46,"AAAAAGv//qM=",0)</f>
        <v>0</v>
      </c>
      <c r="FI3" t="e">
        <f>AND(Plan1!A46,"AAAAAGv//qQ=")</f>
        <v>#VALUE!</v>
      </c>
      <c r="FJ3" t="e">
        <f>AND(Plan1!B46,"AAAAAGv//qU=")</f>
        <v>#VALUE!</v>
      </c>
      <c r="FK3" t="e">
        <f>AND(Plan1!C46,"AAAAAGv//qY=")</f>
        <v>#VALUE!</v>
      </c>
      <c r="FL3" t="e">
        <f>AND(Plan1!D46,"AAAAAGv//qc=")</f>
        <v>#VALUE!</v>
      </c>
      <c r="FM3" t="e">
        <f>AND(Plan1!E46,"AAAAAGv//qg=")</f>
        <v>#VALUE!</v>
      </c>
      <c r="FN3" t="e">
        <f>AND(Plan1!F46,"AAAAAGv//qk=")</f>
        <v>#VALUE!</v>
      </c>
      <c r="FO3" t="e">
        <f>AND(Plan1!G46,"AAAAAGv//qo=")</f>
        <v>#VALUE!</v>
      </c>
      <c r="FP3" t="e">
        <f>AND(Plan1!H46,"AAAAAGv//qs=")</f>
        <v>#VALUE!</v>
      </c>
      <c r="FQ3" t="e">
        <f>AND(Plan1!I46,"AAAAAGv//qw=")</f>
        <v>#VALUE!</v>
      </c>
      <c r="FR3" t="e">
        <f>AND(Plan1!J46,"AAAAAGv//q0=")</f>
        <v>#VALUE!</v>
      </c>
      <c r="FS3" t="e">
        <f>AND(Plan1!K46,"AAAAAGv//q4=")</f>
        <v>#VALUE!</v>
      </c>
      <c r="FT3" t="e">
        <f>AND(Plan1!L46,"AAAAAGv//q8=")</f>
        <v>#VALUE!</v>
      </c>
      <c r="FU3" t="e">
        <f>AND(Plan1!M46,"AAAAAGv//rA=")</f>
        <v>#VALUE!</v>
      </c>
      <c r="FV3" t="e">
        <f>AND(Plan1!N46,"AAAAAGv//rE=")</f>
        <v>#VALUE!</v>
      </c>
      <c r="FW3">
        <f>IF(Plan1!47:47,"AAAAAGv//rI=",0)</f>
        <v>0</v>
      </c>
      <c r="FX3" t="e">
        <f>AND(Plan1!A47,"AAAAAGv//rM=")</f>
        <v>#VALUE!</v>
      </c>
      <c r="FY3" t="e">
        <f>AND(Plan1!B47,"AAAAAGv//rQ=")</f>
        <v>#VALUE!</v>
      </c>
      <c r="FZ3" t="e">
        <f>AND(Plan1!C47,"AAAAAGv//rU=")</f>
        <v>#VALUE!</v>
      </c>
      <c r="GA3" t="e">
        <f>AND(Plan1!D47,"AAAAAGv//rY=")</f>
        <v>#VALUE!</v>
      </c>
      <c r="GB3" t="e">
        <f>AND(Plan1!E47,"AAAAAGv//rc=")</f>
        <v>#VALUE!</v>
      </c>
      <c r="GC3" t="e">
        <f>AND(Plan1!F47,"AAAAAGv//rg=")</f>
        <v>#VALUE!</v>
      </c>
      <c r="GD3" t="e">
        <f>AND(Plan1!G47,"AAAAAGv//rk=")</f>
        <v>#VALUE!</v>
      </c>
      <c r="GE3" t="e">
        <f>AND(Plan1!H47,"AAAAAGv//ro=")</f>
        <v>#VALUE!</v>
      </c>
      <c r="GF3" t="e">
        <f>AND(Plan1!I47,"AAAAAGv//rs=")</f>
        <v>#VALUE!</v>
      </c>
      <c r="GG3" t="e">
        <f>AND(Plan1!J47,"AAAAAGv//rw=")</f>
        <v>#VALUE!</v>
      </c>
      <c r="GH3" t="e">
        <f>AND(Plan1!K47,"AAAAAGv//r0=")</f>
        <v>#VALUE!</v>
      </c>
      <c r="GI3" t="e">
        <f>AND(Plan1!L47,"AAAAAGv//r4=")</f>
        <v>#VALUE!</v>
      </c>
      <c r="GJ3" t="e">
        <f>AND(Plan1!M47,"AAAAAGv//r8=")</f>
        <v>#VALUE!</v>
      </c>
      <c r="GK3" t="e">
        <f>AND(Plan1!N47,"AAAAAGv//sA=")</f>
        <v>#VALUE!</v>
      </c>
      <c r="GL3">
        <f>IF(Plan1!48:48,"AAAAAGv//sE=",0)</f>
        <v>0</v>
      </c>
      <c r="GM3" t="e">
        <f>AND(Plan1!A48,"AAAAAGv//sI=")</f>
        <v>#VALUE!</v>
      </c>
      <c r="GN3" t="e">
        <f>AND(Plan1!B48,"AAAAAGv//sM=")</f>
        <v>#VALUE!</v>
      </c>
      <c r="GO3" t="e">
        <f>AND(Plan1!C48,"AAAAAGv//sQ=")</f>
        <v>#VALUE!</v>
      </c>
      <c r="GP3" t="e">
        <f>AND(Plan1!D48,"AAAAAGv//sU=")</f>
        <v>#VALUE!</v>
      </c>
      <c r="GQ3" t="e">
        <f>AND(Plan1!E48,"AAAAAGv//sY=")</f>
        <v>#VALUE!</v>
      </c>
      <c r="GR3" t="e">
        <f>AND(Plan1!F48,"AAAAAGv//sc=")</f>
        <v>#VALUE!</v>
      </c>
      <c r="GS3" t="e">
        <f>AND(Plan1!G48,"AAAAAGv//sg=")</f>
        <v>#VALUE!</v>
      </c>
      <c r="GT3" t="e">
        <f>AND(Plan1!H48,"AAAAAGv//sk=")</f>
        <v>#VALUE!</v>
      </c>
      <c r="GU3" t="e">
        <f>AND(Plan1!I48,"AAAAAGv//so=")</f>
        <v>#VALUE!</v>
      </c>
      <c r="GV3" t="e">
        <f>AND(Plan1!J48,"AAAAAGv//ss=")</f>
        <v>#VALUE!</v>
      </c>
      <c r="GW3" t="e">
        <f>AND(Plan1!K48,"AAAAAGv//sw=")</f>
        <v>#VALUE!</v>
      </c>
      <c r="GX3" t="e">
        <f>AND(Plan1!L48,"AAAAAGv//s0=")</f>
        <v>#VALUE!</v>
      </c>
      <c r="GY3" t="e">
        <f>AND(Plan1!M48,"AAAAAGv//s4=")</f>
        <v>#VALUE!</v>
      </c>
      <c r="GZ3" t="e">
        <f>AND(Plan1!N48,"AAAAAGv//s8=")</f>
        <v>#VALUE!</v>
      </c>
      <c r="HA3">
        <f>IF(Plan1!49:49,"AAAAAGv//tA=",0)</f>
        <v>0</v>
      </c>
      <c r="HB3" t="e">
        <f>AND(Plan1!A49,"AAAAAGv//tE=")</f>
        <v>#VALUE!</v>
      </c>
      <c r="HC3" t="e">
        <f>AND(Plan1!B49,"AAAAAGv//tI=")</f>
        <v>#VALUE!</v>
      </c>
      <c r="HD3" t="e">
        <f>AND(Plan1!C49,"AAAAAGv//tM=")</f>
        <v>#VALUE!</v>
      </c>
      <c r="HE3" t="e">
        <f>AND(Plan1!D49,"AAAAAGv//tQ=")</f>
        <v>#VALUE!</v>
      </c>
      <c r="HF3" t="e">
        <f>AND(Plan1!E49,"AAAAAGv//tU=")</f>
        <v>#VALUE!</v>
      </c>
      <c r="HG3" t="e">
        <f>AND(Plan1!F49,"AAAAAGv//tY=")</f>
        <v>#VALUE!</v>
      </c>
      <c r="HH3" t="e">
        <f>AND(Plan1!G49,"AAAAAGv//tc=")</f>
        <v>#VALUE!</v>
      </c>
      <c r="HI3" t="e">
        <f>AND(Plan1!H49,"AAAAAGv//tg=")</f>
        <v>#VALUE!</v>
      </c>
      <c r="HJ3" t="e">
        <f>AND(Plan1!I49,"AAAAAGv//tk=")</f>
        <v>#VALUE!</v>
      </c>
      <c r="HK3" t="e">
        <f>AND(Plan1!J49,"AAAAAGv//to=")</f>
        <v>#VALUE!</v>
      </c>
      <c r="HL3" t="e">
        <f>AND(Plan1!K49,"AAAAAGv//ts=")</f>
        <v>#VALUE!</v>
      </c>
      <c r="HM3" t="e">
        <f>AND(Plan1!L49,"AAAAAGv//tw=")</f>
        <v>#VALUE!</v>
      </c>
      <c r="HN3" t="e">
        <f>AND(Plan1!M49,"AAAAAGv//t0=")</f>
        <v>#VALUE!</v>
      </c>
      <c r="HO3" t="e">
        <f>AND(Plan1!N49,"AAAAAGv//t4=")</f>
        <v>#VALUE!</v>
      </c>
      <c r="HP3">
        <f>IF(Plan1!50:50,"AAAAAGv//t8=",0)</f>
        <v>0</v>
      </c>
      <c r="HQ3" t="e">
        <f>AND(Plan1!A50,"AAAAAGv//uA=")</f>
        <v>#VALUE!</v>
      </c>
      <c r="HR3" t="e">
        <f>AND(Plan1!B50,"AAAAAGv//uE=")</f>
        <v>#VALUE!</v>
      </c>
      <c r="HS3" t="e">
        <f>AND(Plan1!C50,"AAAAAGv//uI=")</f>
        <v>#VALUE!</v>
      </c>
      <c r="HT3" t="e">
        <f>AND(Plan1!D50,"AAAAAGv//uM=")</f>
        <v>#VALUE!</v>
      </c>
      <c r="HU3" t="e">
        <f>AND(Plan1!E50,"AAAAAGv//uQ=")</f>
        <v>#VALUE!</v>
      </c>
      <c r="HV3" t="e">
        <f>AND(Plan1!F50,"AAAAAGv//uU=")</f>
        <v>#VALUE!</v>
      </c>
      <c r="HW3" t="e">
        <f>AND(Plan1!G50,"AAAAAGv//uY=")</f>
        <v>#VALUE!</v>
      </c>
      <c r="HX3" t="e">
        <f>AND(Plan1!H50,"AAAAAGv//uc=")</f>
        <v>#VALUE!</v>
      </c>
      <c r="HY3" t="e">
        <f>AND(Plan1!I50,"AAAAAGv//ug=")</f>
        <v>#VALUE!</v>
      </c>
      <c r="HZ3" t="e">
        <f>AND(Plan1!J50,"AAAAAGv//uk=")</f>
        <v>#VALUE!</v>
      </c>
      <c r="IA3" t="e">
        <f>AND(Plan1!K50,"AAAAAGv//uo=")</f>
        <v>#VALUE!</v>
      </c>
      <c r="IB3" t="e">
        <f>AND(Plan1!L50,"AAAAAGv//us=")</f>
        <v>#VALUE!</v>
      </c>
      <c r="IC3" t="e">
        <f>AND(Plan1!M50,"AAAAAGv//uw=")</f>
        <v>#VALUE!</v>
      </c>
      <c r="ID3" t="e">
        <f>AND(Plan1!N50,"AAAAAGv//u0=")</f>
        <v>#VALUE!</v>
      </c>
      <c r="IE3">
        <f>IF(Plan1!51:51,"AAAAAGv//u4=",0)</f>
        <v>0</v>
      </c>
      <c r="IF3" t="e">
        <f>AND(Plan1!A51,"AAAAAGv//u8=")</f>
        <v>#VALUE!</v>
      </c>
      <c r="IG3" t="e">
        <f>AND(Plan1!B51,"AAAAAGv//vA=")</f>
        <v>#VALUE!</v>
      </c>
      <c r="IH3" t="e">
        <f>AND(Plan1!C51,"AAAAAGv//vE=")</f>
        <v>#VALUE!</v>
      </c>
      <c r="II3" t="e">
        <f>AND(Plan1!D51,"AAAAAGv//vI=")</f>
        <v>#VALUE!</v>
      </c>
      <c r="IJ3" t="e">
        <f>AND(Plan1!E51,"AAAAAGv//vM=")</f>
        <v>#VALUE!</v>
      </c>
      <c r="IK3" t="e">
        <f>AND(Plan1!F51,"AAAAAGv//vQ=")</f>
        <v>#VALUE!</v>
      </c>
      <c r="IL3" t="e">
        <f>AND(Plan1!G51,"AAAAAGv//vU=")</f>
        <v>#VALUE!</v>
      </c>
      <c r="IM3" t="e">
        <f>AND(Plan1!H51,"AAAAAGv//vY=")</f>
        <v>#VALUE!</v>
      </c>
      <c r="IN3" t="e">
        <f>AND(Plan1!I51,"AAAAAGv//vc=")</f>
        <v>#VALUE!</v>
      </c>
      <c r="IO3" t="e">
        <f>AND(Plan1!J51,"AAAAAGv//vg=")</f>
        <v>#VALUE!</v>
      </c>
      <c r="IP3" t="e">
        <f>AND(Plan1!K51,"AAAAAGv//vk=")</f>
        <v>#VALUE!</v>
      </c>
      <c r="IQ3" t="e">
        <f>AND(Plan1!L51,"AAAAAGv//vo=")</f>
        <v>#VALUE!</v>
      </c>
      <c r="IR3" t="e">
        <f>AND(Plan1!M51,"AAAAAGv//vs=")</f>
        <v>#VALUE!</v>
      </c>
      <c r="IS3" t="e">
        <f>AND(Plan1!N51,"AAAAAGv//vw=")</f>
        <v>#VALUE!</v>
      </c>
      <c r="IT3">
        <f>IF(Plan1!52:52,"AAAAAGv//v0=",0)</f>
        <v>0</v>
      </c>
      <c r="IU3" t="e">
        <f>AND(Plan1!A52,"AAAAAGv//v4=")</f>
        <v>#VALUE!</v>
      </c>
      <c r="IV3" t="e">
        <f>AND(Plan1!B52,"AAAAAGv//v8=")</f>
        <v>#VALUE!</v>
      </c>
    </row>
    <row r="4" spans="1:256">
      <c r="A4" t="e">
        <f>AND(Plan1!C52,"AAAAAH3gvwA=")</f>
        <v>#VALUE!</v>
      </c>
      <c r="B4" t="e">
        <f>AND(Plan1!D52,"AAAAAH3gvwE=")</f>
        <v>#VALUE!</v>
      </c>
      <c r="C4" t="e">
        <f>AND(Plan1!E52,"AAAAAH3gvwI=")</f>
        <v>#VALUE!</v>
      </c>
      <c r="D4" t="e">
        <f>AND(Plan1!F52,"AAAAAH3gvwM=")</f>
        <v>#VALUE!</v>
      </c>
      <c r="E4" t="e">
        <f>AND(Plan1!G52,"AAAAAH3gvwQ=")</f>
        <v>#VALUE!</v>
      </c>
      <c r="F4" t="e">
        <f>AND(Plan1!H52,"AAAAAH3gvwU=")</f>
        <v>#VALUE!</v>
      </c>
      <c r="G4" t="e">
        <f>AND(Plan1!I52,"AAAAAH3gvwY=")</f>
        <v>#VALUE!</v>
      </c>
      <c r="H4" t="e">
        <f>AND(Plan1!J52,"AAAAAH3gvwc=")</f>
        <v>#VALUE!</v>
      </c>
      <c r="I4" t="e">
        <f>AND(Plan1!K52,"AAAAAH3gvwg=")</f>
        <v>#VALUE!</v>
      </c>
      <c r="J4" t="e">
        <f>AND(Plan1!L52,"AAAAAH3gvwk=")</f>
        <v>#VALUE!</v>
      </c>
      <c r="K4" t="e">
        <f>AND(Plan1!M52,"AAAAAH3gvwo=")</f>
        <v>#VALUE!</v>
      </c>
      <c r="L4" t="e">
        <f>AND(Plan1!N52,"AAAAAH3gvws=")</f>
        <v>#VALUE!</v>
      </c>
      <c r="M4" t="e">
        <f>IF(Plan1!53:53,"AAAAAH3gvww=",0)</f>
        <v>#VALUE!</v>
      </c>
      <c r="N4" t="e">
        <f>AND(Plan1!A53,"AAAAAH3gvw0=")</f>
        <v>#VALUE!</v>
      </c>
      <c r="O4" t="e">
        <f>AND(Plan1!B53,"AAAAAH3gvw4=")</f>
        <v>#VALUE!</v>
      </c>
      <c r="P4" t="e">
        <f>AND(Plan1!C53,"AAAAAH3gvw8=")</f>
        <v>#VALUE!</v>
      </c>
      <c r="Q4" t="e">
        <f>AND(Plan1!D53,"AAAAAH3gvxA=")</f>
        <v>#VALUE!</v>
      </c>
      <c r="R4" t="e">
        <f>AND(Plan1!E53,"AAAAAH3gvxE=")</f>
        <v>#VALUE!</v>
      </c>
      <c r="S4" t="e">
        <f>AND(Plan1!F53,"AAAAAH3gvxI=")</f>
        <v>#VALUE!</v>
      </c>
      <c r="T4" t="e">
        <f>AND(Plan1!G53,"AAAAAH3gvxM=")</f>
        <v>#VALUE!</v>
      </c>
      <c r="U4" t="e">
        <f>AND(Plan1!H53,"AAAAAH3gvxQ=")</f>
        <v>#VALUE!</v>
      </c>
      <c r="V4" t="e">
        <f>AND(Plan1!I53,"AAAAAH3gvxU=")</f>
        <v>#VALUE!</v>
      </c>
      <c r="W4" t="e">
        <f>AND(Plan1!J53,"AAAAAH3gvxY=")</f>
        <v>#VALUE!</v>
      </c>
      <c r="X4" t="e">
        <f>AND(Plan1!K53,"AAAAAH3gvxc=")</f>
        <v>#VALUE!</v>
      </c>
      <c r="Y4" t="e">
        <f>AND(Plan1!L53,"AAAAAH3gvxg=")</f>
        <v>#VALUE!</v>
      </c>
      <c r="Z4" t="e">
        <f>AND(Plan1!M53,"AAAAAH3gvxk=")</f>
        <v>#VALUE!</v>
      </c>
      <c r="AA4" t="e">
        <f>AND(Plan1!N53,"AAAAAH3gvxo=")</f>
        <v>#VALUE!</v>
      </c>
      <c r="AB4">
        <f>IF(Plan1!54:54,"AAAAAH3gvxs=",0)</f>
        <v>0</v>
      </c>
      <c r="AC4" t="e">
        <f>AND(Plan1!A54,"AAAAAH3gvxw=")</f>
        <v>#VALUE!</v>
      </c>
      <c r="AD4" t="e">
        <f>AND(Plan1!B54,"AAAAAH3gvx0=")</f>
        <v>#VALUE!</v>
      </c>
      <c r="AE4" t="e">
        <f>AND(Plan1!C54,"AAAAAH3gvx4=")</f>
        <v>#VALUE!</v>
      </c>
      <c r="AF4" t="e">
        <f>AND(Plan1!D54,"AAAAAH3gvx8=")</f>
        <v>#VALUE!</v>
      </c>
      <c r="AG4" t="e">
        <f>AND(Plan1!E54,"AAAAAH3gvyA=")</f>
        <v>#VALUE!</v>
      </c>
      <c r="AH4" t="e">
        <f>AND(Plan1!F54,"AAAAAH3gvyE=")</f>
        <v>#VALUE!</v>
      </c>
      <c r="AI4" t="e">
        <f>AND(Plan1!G54,"AAAAAH3gvyI=")</f>
        <v>#VALUE!</v>
      </c>
      <c r="AJ4" t="e">
        <f>AND(Plan1!H54,"AAAAAH3gvyM=")</f>
        <v>#VALUE!</v>
      </c>
      <c r="AK4" t="e">
        <f>AND(Plan1!I54,"AAAAAH3gvyQ=")</f>
        <v>#VALUE!</v>
      </c>
      <c r="AL4" t="e">
        <f>AND(Plan1!J54,"AAAAAH3gvyU=")</f>
        <v>#VALUE!</v>
      </c>
      <c r="AM4" t="e">
        <f>AND(Plan1!K54,"AAAAAH3gvyY=")</f>
        <v>#VALUE!</v>
      </c>
      <c r="AN4" t="e">
        <f>AND(Plan1!L54,"AAAAAH3gvyc=")</f>
        <v>#VALUE!</v>
      </c>
      <c r="AO4" t="e">
        <f>AND(Plan1!M54,"AAAAAH3gvyg=")</f>
        <v>#VALUE!</v>
      </c>
      <c r="AP4" t="e">
        <f>AND(Plan1!N54,"AAAAAH3gvyk=")</f>
        <v>#VALUE!</v>
      </c>
      <c r="AQ4">
        <f>IF(Plan1!55:55,"AAAAAH3gvyo=",0)</f>
        <v>0</v>
      </c>
      <c r="AR4" t="e">
        <f>AND(Plan1!A55,"AAAAAH3gvys=")</f>
        <v>#VALUE!</v>
      </c>
      <c r="AS4" t="e">
        <f>AND(Plan1!B55,"AAAAAH3gvyw=")</f>
        <v>#VALUE!</v>
      </c>
      <c r="AT4" t="e">
        <f>AND(Plan1!C55,"AAAAAH3gvy0=")</f>
        <v>#VALUE!</v>
      </c>
      <c r="AU4" t="e">
        <f>AND(Plan1!D55,"AAAAAH3gvy4=")</f>
        <v>#VALUE!</v>
      </c>
      <c r="AV4" t="e">
        <f>AND(Plan1!E55,"AAAAAH3gvy8=")</f>
        <v>#VALUE!</v>
      </c>
      <c r="AW4" t="e">
        <f>AND(Plan1!F55,"AAAAAH3gvzA=")</f>
        <v>#VALUE!</v>
      </c>
      <c r="AX4" t="e">
        <f>AND(Plan1!G55,"AAAAAH3gvzE=")</f>
        <v>#VALUE!</v>
      </c>
      <c r="AY4" t="e">
        <f>AND(Plan1!H55,"AAAAAH3gvzI=")</f>
        <v>#VALUE!</v>
      </c>
      <c r="AZ4" t="e">
        <f>AND(Plan1!I55,"AAAAAH3gvzM=")</f>
        <v>#VALUE!</v>
      </c>
      <c r="BA4" t="e">
        <f>AND(Plan1!J55,"AAAAAH3gvzQ=")</f>
        <v>#VALUE!</v>
      </c>
      <c r="BB4" t="e">
        <f>AND(Plan1!K55,"AAAAAH3gvzU=")</f>
        <v>#VALUE!</v>
      </c>
      <c r="BC4" t="e">
        <f>AND(Plan1!L55,"AAAAAH3gvzY=")</f>
        <v>#VALUE!</v>
      </c>
      <c r="BD4" t="e">
        <f>AND(Plan1!M55,"AAAAAH3gvzc=")</f>
        <v>#VALUE!</v>
      </c>
      <c r="BE4" t="e">
        <f>AND(Plan1!N55,"AAAAAH3gvzg=")</f>
        <v>#VALUE!</v>
      </c>
      <c r="BF4">
        <f>IF(Plan1!56:56,"AAAAAH3gvzk=",0)</f>
        <v>0</v>
      </c>
      <c r="BG4" t="e">
        <f>AND(Plan1!A56,"AAAAAH3gvzo=")</f>
        <v>#VALUE!</v>
      </c>
      <c r="BH4" t="e">
        <f>AND(Plan1!B56,"AAAAAH3gvzs=")</f>
        <v>#VALUE!</v>
      </c>
      <c r="BI4" t="e">
        <f>AND(Plan1!C56,"AAAAAH3gvzw=")</f>
        <v>#VALUE!</v>
      </c>
      <c r="BJ4" t="e">
        <f>AND(Plan1!D56,"AAAAAH3gvz0=")</f>
        <v>#VALUE!</v>
      </c>
      <c r="BK4" t="e">
        <f>AND(Plan1!E56,"AAAAAH3gvz4=")</f>
        <v>#VALUE!</v>
      </c>
      <c r="BL4" t="e">
        <f>AND(Plan1!F56,"AAAAAH3gvz8=")</f>
        <v>#VALUE!</v>
      </c>
      <c r="BM4" t="e">
        <f>AND(Plan1!G56,"AAAAAH3gv0A=")</f>
        <v>#VALUE!</v>
      </c>
      <c r="BN4" t="e">
        <f>AND(Plan1!H56,"AAAAAH3gv0E=")</f>
        <v>#VALUE!</v>
      </c>
      <c r="BO4" t="e">
        <f>AND(Plan1!I56,"AAAAAH3gv0I=")</f>
        <v>#VALUE!</v>
      </c>
      <c r="BP4" t="e">
        <f>AND(Plan1!J56,"AAAAAH3gv0M=")</f>
        <v>#VALUE!</v>
      </c>
      <c r="BQ4" t="e">
        <f>AND(Plan1!K56,"AAAAAH3gv0Q=")</f>
        <v>#VALUE!</v>
      </c>
      <c r="BR4" t="e">
        <f>AND(Plan1!L56,"AAAAAH3gv0U=")</f>
        <v>#VALUE!</v>
      </c>
      <c r="BS4" t="e">
        <f>AND(Plan1!M56,"AAAAAH3gv0Y=")</f>
        <v>#VALUE!</v>
      </c>
      <c r="BT4" t="e">
        <f>AND(Plan1!N56,"AAAAAH3gv0c=")</f>
        <v>#VALUE!</v>
      </c>
      <c r="BU4">
        <f>IF(Plan1!57:57,"AAAAAH3gv0g=",0)</f>
        <v>0</v>
      </c>
      <c r="BV4" t="e">
        <f>AND(Plan1!A57,"AAAAAH3gv0k=")</f>
        <v>#VALUE!</v>
      </c>
      <c r="BW4" t="e">
        <f>AND(Plan1!B57,"AAAAAH3gv0o=")</f>
        <v>#VALUE!</v>
      </c>
      <c r="BX4" t="e">
        <f>AND(Plan1!C57,"AAAAAH3gv0s=")</f>
        <v>#VALUE!</v>
      </c>
      <c r="BY4" t="e">
        <f>AND(Plan1!D57,"AAAAAH3gv0w=")</f>
        <v>#VALUE!</v>
      </c>
      <c r="BZ4" t="e">
        <f>AND(Plan1!E57,"AAAAAH3gv00=")</f>
        <v>#VALUE!</v>
      </c>
      <c r="CA4" t="e">
        <f>AND(Plan1!F57,"AAAAAH3gv04=")</f>
        <v>#VALUE!</v>
      </c>
      <c r="CB4" t="e">
        <f>AND(Plan1!G57,"AAAAAH3gv08=")</f>
        <v>#VALUE!</v>
      </c>
      <c r="CC4" t="e">
        <f>AND(Plan1!H57,"AAAAAH3gv1A=")</f>
        <v>#VALUE!</v>
      </c>
      <c r="CD4" t="e">
        <f>AND(Plan1!I57,"AAAAAH3gv1E=")</f>
        <v>#VALUE!</v>
      </c>
      <c r="CE4" t="e">
        <f>AND(Plan1!J57,"AAAAAH3gv1I=")</f>
        <v>#VALUE!</v>
      </c>
      <c r="CF4" t="e">
        <f>AND(Plan1!K57,"AAAAAH3gv1M=")</f>
        <v>#VALUE!</v>
      </c>
      <c r="CG4" t="e">
        <f>AND(Plan1!L57,"AAAAAH3gv1Q=")</f>
        <v>#VALUE!</v>
      </c>
      <c r="CH4" t="e">
        <f>AND(Plan1!M57,"AAAAAH3gv1U=")</f>
        <v>#VALUE!</v>
      </c>
      <c r="CI4" t="e">
        <f>AND(Plan1!N57,"AAAAAH3gv1Y=")</f>
        <v>#VALUE!</v>
      </c>
      <c r="CJ4">
        <f>IF(Plan1!58:58,"AAAAAH3gv1c=",0)</f>
        <v>0</v>
      </c>
      <c r="CK4" t="e">
        <f>AND(Plan1!A58,"AAAAAH3gv1g=")</f>
        <v>#VALUE!</v>
      </c>
      <c r="CL4" t="e">
        <f>AND(Plan1!B58,"AAAAAH3gv1k=")</f>
        <v>#VALUE!</v>
      </c>
      <c r="CM4" t="e">
        <f>AND(Plan1!C58,"AAAAAH3gv1o=")</f>
        <v>#VALUE!</v>
      </c>
      <c r="CN4" t="e">
        <f>AND(Plan1!D58,"AAAAAH3gv1s=")</f>
        <v>#VALUE!</v>
      </c>
      <c r="CO4" t="e">
        <f>AND(Plan1!E58,"AAAAAH3gv1w=")</f>
        <v>#VALUE!</v>
      </c>
      <c r="CP4" t="e">
        <f>AND(Plan1!F58,"AAAAAH3gv10=")</f>
        <v>#VALUE!</v>
      </c>
      <c r="CQ4" t="e">
        <f>AND(Plan1!G58,"AAAAAH3gv14=")</f>
        <v>#VALUE!</v>
      </c>
      <c r="CR4" t="e">
        <f>AND(Plan1!H58,"AAAAAH3gv18=")</f>
        <v>#VALUE!</v>
      </c>
      <c r="CS4" t="e">
        <f>AND(Plan1!I58,"AAAAAH3gv2A=")</f>
        <v>#VALUE!</v>
      </c>
      <c r="CT4" t="e">
        <f>AND(Plan1!J58,"AAAAAH3gv2E=")</f>
        <v>#VALUE!</v>
      </c>
      <c r="CU4" t="e">
        <f>AND(Plan1!K58,"AAAAAH3gv2I=")</f>
        <v>#VALUE!</v>
      </c>
      <c r="CV4" t="e">
        <f>AND(Plan1!L58,"AAAAAH3gv2M=")</f>
        <v>#VALUE!</v>
      </c>
      <c r="CW4" t="e">
        <f>AND(Plan1!M58,"AAAAAH3gv2Q=")</f>
        <v>#VALUE!</v>
      </c>
      <c r="CX4" t="e">
        <f>AND(Plan1!N58,"AAAAAH3gv2U=")</f>
        <v>#VALUE!</v>
      </c>
      <c r="CY4">
        <f>IF(Plan1!59:59,"AAAAAH3gv2Y=",0)</f>
        <v>0</v>
      </c>
      <c r="CZ4" t="e">
        <f>AND(Plan1!A59,"AAAAAH3gv2c=")</f>
        <v>#VALUE!</v>
      </c>
      <c r="DA4" t="e">
        <f>AND(Plan1!B59,"AAAAAH3gv2g=")</f>
        <v>#VALUE!</v>
      </c>
      <c r="DB4" t="e">
        <f>AND(Plan1!C59,"AAAAAH3gv2k=")</f>
        <v>#VALUE!</v>
      </c>
      <c r="DC4" t="e">
        <f>AND(Plan1!D59,"AAAAAH3gv2o=")</f>
        <v>#VALUE!</v>
      </c>
      <c r="DD4" t="e">
        <f>AND(Plan1!E59,"AAAAAH3gv2s=")</f>
        <v>#VALUE!</v>
      </c>
      <c r="DE4" t="e">
        <f>AND(Plan1!F59,"AAAAAH3gv2w=")</f>
        <v>#VALUE!</v>
      </c>
      <c r="DF4" t="e">
        <f>AND(Plan1!G59,"AAAAAH3gv20=")</f>
        <v>#VALUE!</v>
      </c>
      <c r="DG4" t="e">
        <f>AND(Plan1!H59,"AAAAAH3gv24=")</f>
        <v>#VALUE!</v>
      </c>
      <c r="DH4" t="e">
        <f>AND(Plan1!I59,"AAAAAH3gv28=")</f>
        <v>#VALUE!</v>
      </c>
      <c r="DI4" t="e">
        <f>AND(Plan1!J59,"AAAAAH3gv3A=")</f>
        <v>#VALUE!</v>
      </c>
      <c r="DJ4" t="e">
        <f>AND(Plan1!K59,"AAAAAH3gv3E=")</f>
        <v>#VALUE!</v>
      </c>
      <c r="DK4" t="e">
        <f>AND(Plan1!L59,"AAAAAH3gv3I=")</f>
        <v>#VALUE!</v>
      </c>
      <c r="DL4" t="e">
        <f>AND(Plan1!M59,"AAAAAH3gv3M=")</f>
        <v>#VALUE!</v>
      </c>
      <c r="DM4" t="e">
        <f>AND(Plan1!N59,"AAAAAH3gv3Q=")</f>
        <v>#VALUE!</v>
      </c>
      <c r="DN4">
        <f>IF(Plan1!60:60,"AAAAAH3gv3U=",0)</f>
        <v>0</v>
      </c>
      <c r="DO4" t="e">
        <f>AND(Plan1!A60,"AAAAAH3gv3Y=")</f>
        <v>#VALUE!</v>
      </c>
      <c r="DP4" t="e">
        <f>AND(Plan1!B60,"AAAAAH3gv3c=")</f>
        <v>#VALUE!</v>
      </c>
      <c r="DQ4" t="e">
        <f>AND(Plan1!C60,"AAAAAH3gv3g=")</f>
        <v>#VALUE!</v>
      </c>
      <c r="DR4" t="e">
        <f>AND(Plan1!D60,"AAAAAH3gv3k=")</f>
        <v>#VALUE!</v>
      </c>
      <c r="DS4" t="e">
        <f>AND(Plan1!E60,"AAAAAH3gv3o=")</f>
        <v>#VALUE!</v>
      </c>
      <c r="DT4" t="e">
        <f>AND(Plan1!F60,"AAAAAH3gv3s=")</f>
        <v>#VALUE!</v>
      </c>
      <c r="DU4" t="e">
        <f>AND(Plan1!G60,"AAAAAH3gv3w=")</f>
        <v>#VALUE!</v>
      </c>
      <c r="DV4" t="e">
        <f>AND(Plan1!H60,"AAAAAH3gv30=")</f>
        <v>#VALUE!</v>
      </c>
      <c r="DW4" t="e">
        <f>AND(Plan1!I60,"AAAAAH3gv34=")</f>
        <v>#VALUE!</v>
      </c>
      <c r="DX4" t="e">
        <f>AND(Plan1!J60,"AAAAAH3gv38=")</f>
        <v>#VALUE!</v>
      </c>
      <c r="DY4" t="e">
        <f>AND(Plan1!K60,"AAAAAH3gv4A=")</f>
        <v>#VALUE!</v>
      </c>
      <c r="DZ4" t="e">
        <f>AND(Plan1!L60,"AAAAAH3gv4E=")</f>
        <v>#VALUE!</v>
      </c>
      <c r="EA4" t="e">
        <f>AND(Plan1!M60,"AAAAAH3gv4I=")</f>
        <v>#VALUE!</v>
      </c>
      <c r="EB4" t="e">
        <f>AND(Plan1!N60,"AAAAAH3gv4M=")</f>
        <v>#VALUE!</v>
      </c>
      <c r="EC4">
        <f>IF(Plan1!61:61,"AAAAAH3gv4Q=",0)</f>
        <v>0</v>
      </c>
      <c r="ED4" t="e">
        <f>AND(Plan1!A61,"AAAAAH3gv4U=")</f>
        <v>#VALUE!</v>
      </c>
      <c r="EE4" t="e">
        <f>AND(Plan1!B61,"AAAAAH3gv4Y=")</f>
        <v>#VALUE!</v>
      </c>
      <c r="EF4" t="e">
        <f>AND(Plan1!C61,"AAAAAH3gv4c=")</f>
        <v>#VALUE!</v>
      </c>
      <c r="EG4" t="e">
        <f>AND(Plan1!D61,"AAAAAH3gv4g=")</f>
        <v>#VALUE!</v>
      </c>
      <c r="EH4" t="e">
        <f>AND(Plan1!E61,"AAAAAH3gv4k=")</f>
        <v>#VALUE!</v>
      </c>
      <c r="EI4" t="e">
        <f>AND(Plan1!F61,"AAAAAH3gv4o=")</f>
        <v>#VALUE!</v>
      </c>
      <c r="EJ4" t="e">
        <f>AND(Plan1!G61,"AAAAAH3gv4s=")</f>
        <v>#VALUE!</v>
      </c>
      <c r="EK4" t="e">
        <f>AND(Plan1!H61,"AAAAAH3gv4w=")</f>
        <v>#VALUE!</v>
      </c>
      <c r="EL4" t="e">
        <f>AND(Plan1!I61,"AAAAAH3gv40=")</f>
        <v>#VALUE!</v>
      </c>
      <c r="EM4" t="e">
        <f>AND(Plan1!J61,"AAAAAH3gv44=")</f>
        <v>#VALUE!</v>
      </c>
      <c r="EN4" t="e">
        <f>AND(Plan1!K61,"AAAAAH3gv48=")</f>
        <v>#VALUE!</v>
      </c>
      <c r="EO4" t="e">
        <f>AND(Plan1!L61,"AAAAAH3gv5A=")</f>
        <v>#VALUE!</v>
      </c>
      <c r="EP4" t="e">
        <f>AND(Plan1!M61,"AAAAAH3gv5E=")</f>
        <v>#VALUE!</v>
      </c>
      <c r="EQ4" t="e">
        <f>AND(Plan1!N61,"AAAAAH3gv5I=")</f>
        <v>#VALUE!</v>
      </c>
      <c r="ER4">
        <f>IF(Plan1!62:62,"AAAAAH3gv5M=",0)</f>
        <v>0</v>
      </c>
      <c r="ES4" t="e">
        <f>AND(Plan1!A62,"AAAAAH3gv5Q=")</f>
        <v>#VALUE!</v>
      </c>
      <c r="ET4" t="e">
        <f>AND(Plan1!B62,"AAAAAH3gv5U=")</f>
        <v>#VALUE!</v>
      </c>
      <c r="EU4" t="e">
        <f>AND(Plan1!C62,"AAAAAH3gv5Y=")</f>
        <v>#VALUE!</v>
      </c>
      <c r="EV4" t="e">
        <f>AND(Plan1!D62,"AAAAAH3gv5c=")</f>
        <v>#VALUE!</v>
      </c>
      <c r="EW4" t="e">
        <f>AND(Plan1!E62,"AAAAAH3gv5g=")</f>
        <v>#VALUE!</v>
      </c>
      <c r="EX4" t="e">
        <f>AND(Plan1!F62,"AAAAAH3gv5k=")</f>
        <v>#VALUE!</v>
      </c>
      <c r="EY4" t="e">
        <f>AND(Plan1!G62,"AAAAAH3gv5o=")</f>
        <v>#VALUE!</v>
      </c>
      <c r="EZ4" t="e">
        <f>AND(Plan1!H62,"AAAAAH3gv5s=")</f>
        <v>#VALUE!</v>
      </c>
      <c r="FA4" t="e">
        <f>AND(Plan1!I62,"AAAAAH3gv5w=")</f>
        <v>#VALUE!</v>
      </c>
      <c r="FB4" t="e">
        <f>AND(Plan1!J62,"AAAAAH3gv50=")</f>
        <v>#VALUE!</v>
      </c>
      <c r="FC4" t="e">
        <f>AND(Plan1!K62,"AAAAAH3gv54=")</f>
        <v>#VALUE!</v>
      </c>
      <c r="FD4" t="e">
        <f>AND(Plan1!L62,"AAAAAH3gv58=")</f>
        <v>#VALUE!</v>
      </c>
      <c r="FE4" t="e">
        <f>AND(Plan1!M62,"AAAAAH3gv6A=")</f>
        <v>#VALUE!</v>
      </c>
      <c r="FF4" t="e">
        <f>AND(Plan1!N62,"AAAAAH3gv6E=")</f>
        <v>#VALUE!</v>
      </c>
      <c r="FG4">
        <f>IF(Plan1!63:63,"AAAAAH3gv6I=",0)</f>
        <v>0</v>
      </c>
      <c r="FH4" t="e">
        <f>AND(Plan1!A63,"AAAAAH3gv6M=")</f>
        <v>#VALUE!</v>
      </c>
      <c r="FI4" t="e">
        <f>AND(Plan1!B63,"AAAAAH3gv6Q=")</f>
        <v>#VALUE!</v>
      </c>
      <c r="FJ4" t="e">
        <f>AND(Plan1!C63,"AAAAAH3gv6U=")</f>
        <v>#VALUE!</v>
      </c>
      <c r="FK4" t="e">
        <f>AND(Plan1!D63,"AAAAAH3gv6Y=")</f>
        <v>#VALUE!</v>
      </c>
      <c r="FL4" t="e">
        <f>AND(Plan1!E63,"AAAAAH3gv6c=")</f>
        <v>#VALUE!</v>
      </c>
      <c r="FM4" t="e">
        <f>AND(Plan1!F63,"AAAAAH3gv6g=")</f>
        <v>#VALUE!</v>
      </c>
      <c r="FN4" t="e">
        <f>AND(Plan1!G63,"AAAAAH3gv6k=")</f>
        <v>#VALUE!</v>
      </c>
      <c r="FO4" t="e">
        <f>AND(Plan1!H63,"AAAAAH3gv6o=")</f>
        <v>#VALUE!</v>
      </c>
      <c r="FP4" t="e">
        <f>AND(Plan1!I63,"AAAAAH3gv6s=")</f>
        <v>#VALUE!</v>
      </c>
      <c r="FQ4" t="e">
        <f>AND(Plan1!J63,"AAAAAH3gv6w=")</f>
        <v>#VALUE!</v>
      </c>
      <c r="FR4" t="e">
        <f>AND(Plan1!K63,"AAAAAH3gv60=")</f>
        <v>#VALUE!</v>
      </c>
      <c r="FS4" t="e">
        <f>AND(Plan1!L63,"AAAAAH3gv64=")</f>
        <v>#VALUE!</v>
      </c>
      <c r="FT4" t="e">
        <f>AND(Plan1!M63,"AAAAAH3gv68=")</f>
        <v>#VALUE!</v>
      </c>
      <c r="FU4" t="e">
        <f>AND(Plan1!N63,"AAAAAH3gv7A=")</f>
        <v>#VALUE!</v>
      </c>
      <c r="FV4">
        <f>IF(Plan1!64:64,"AAAAAH3gv7E=",0)</f>
        <v>0</v>
      </c>
      <c r="FW4" t="e">
        <f>AND(Plan1!A64,"AAAAAH3gv7I=")</f>
        <v>#VALUE!</v>
      </c>
      <c r="FX4" t="e">
        <f>AND(Plan1!B64,"AAAAAH3gv7M=")</f>
        <v>#VALUE!</v>
      </c>
      <c r="FY4" t="e">
        <f>AND(Plan1!C64,"AAAAAH3gv7Q=")</f>
        <v>#VALUE!</v>
      </c>
      <c r="FZ4" t="e">
        <f>AND(Plan1!D64,"AAAAAH3gv7U=")</f>
        <v>#VALUE!</v>
      </c>
      <c r="GA4" t="e">
        <f>AND(Plan1!E64,"AAAAAH3gv7Y=")</f>
        <v>#VALUE!</v>
      </c>
      <c r="GB4" t="e">
        <f>AND(Plan1!F64,"AAAAAH3gv7c=")</f>
        <v>#VALUE!</v>
      </c>
      <c r="GC4" t="e">
        <f>AND(Plan1!G64,"AAAAAH3gv7g=")</f>
        <v>#VALUE!</v>
      </c>
      <c r="GD4" t="e">
        <f>AND(Plan1!H64,"AAAAAH3gv7k=")</f>
        <v>#VALUE!</v>
      </c>
      <c r="GE4" t="e">
        <f>AND(Plan1!I64,"AAAAAH3gv7o=")</f>
        <v>#VALUE!</v>
      </c>
      <c r="GF4" t="e">
        <f>AND(Plan1!J64,"AAAAAH3gv7s=")</f>
        <v>#VALUE!</v>
      </c>
      <c r="GG4" t="e">
        <f>AND(Plan1!K64,"AAAAAH3gv7w=")</f>
        <v>#VALUE!</v>
      </c>
      <c r="GH4" t="e">
        <f>AND(Plan1!L64,"AAAAAH3gv70=")</f>
        <v>#VALUE!</v>
      </c>
      <c r="GI4" t="e">
        <f>AND(Plan1!M64,"AAAAAH3gv74=")</f>
        <v>#VALUE!</v>
      </c>
      <c r="GJ4" t="e">
        <f>AND(Plan1!N64,"AAAAAH3gv78=")</f>
        <v>#VALUE!</v>
      </c>
      <c r="GK4">
        <f>IF(Plan1!65:65,"AAAAAH3gv8A=",0)</f>
        <v>0</v>
      </c>
      <c r="GL4" t="e">
        <f>AND(Plan1!A65,"AAAAAH3gv8E=")</f>
        <v>#VALUE!</v>
      </c>
      <c r="GM4" t="e">
        <f>AND(Plan1!B65,"AAAAAH3gv8I=")</f>
        <v>#VALUE!</v>
      </c>
      <c r="GN4" t="e">
        <f>AND(Plan1!C65,"AAAAAH3gv8M=")</f>
        <v>#VALUE!</v>
      </c>
      <c r="GO4" t="e">
        <f>AND(Plan1!D65,"AAAAAH3gv8Q=")</f>
        <v>#VALUE!</v>
      </c>
      <c r="GP4" t="e">
        <f>AND(Plan1!E65,"AAAAAH3gv8U=")</f>
        <v>#VALUE!</v>
      </c>
      <c r="GQ4" t="e">
        <f>AND(Plan1!F65,"AAAAAH3gv8Y=")</f>
        <v>#VALUE!</v>
      </c>
      <c r="GR4" t="e">
        <f>AND(Plan1!G65,"AAAAAH3gv8c=")</f>
        <v>#VALUE!</v>
      </c>
      <c r="GS4" t="e">
        <f>AND(Plan1!H65,"AAAAAH3gv8g=")</f>
        <v>#VALUE!</v>
      </c>
      <c r="GT4" t="e">
        <f>AND(Plan1!I65,"AAAAAH3gv8k=")</f>
        <v>#VALUE!</v>
      </c>
      <c r="GU4" t="e">
        <f>AND(Plan1!J65,"AAAAAH3gv8o=")</f>
        <v>#VALUE!</v>
      </c>
      <c r="GV4" t="e">
        <f>AND(Plan1!K65,"AAAAAH3gv8s=")</f>
        <v>#VALUE!</v>
      </c>
      <c r="GW4" t="e">
        <f>AND(Plan1!L65,"AAAAAH3gv8w=")</f>
        <v>#VALUE!</v>
      </c>
      <c r="GX4" t="e">
        <f>AND(Plan1!M65,"AAAAAH3gv80=")</f>
        <v>#VALUE!</v>
      </c>
      <c r="GY4" t="e">
        <f>AND(Plan1!N65,"AAAAAH3gv84=")</f>
        <v>#VALUE!</v>
      </c>
      <c r="GZ4">
        <f>IF(Plan1!66:66,"AAAAAH3gv88=",0)</f>
        <v>0</v>
      </c>
      <c r="HA4" t="e">
        <f>AND(Plan1!A66,"AAAAAH3gv9A=")</f>
        <v>#VALUE!</v>
      </c>
      <c r="HB4" t="e">
        <f>AND(Plan1!B66,"AAAAAH3gv9E=")</f>
        <v>#VALUE!</v>
      </c>
      <c r="HC4" t="e">
        <f>AND(Plan1!C66,"AAAAAH3gv9I=")</f>
        <v>#VALUE!</v>
      </c>
      <c r="HD4" t="e">
        <f>AND(Plan1!D66,"AAAAAH3gv9M=")</f>
        <v>#VALUE!</v>
      </c>
      <c r="HE4" t="e">
        <f>AND(Plan1!E66,"AAAAAH3gv9Q=")</f>
        <v>#VALUE!</v>
      </c>
      <c r="HF4" t="e">
        <f>AND(Plan1!F66,"AAAAAH3gv9U=")</f>
        <v>#VALUE!</v>
      </c>
      <c r="HG4" t="e">
        <f>AND(Plan1!G66,"AAAAAH3gv9Y=")</f>
        <v>#VALUE!</v>
      </c>
      <c r="HH4" t="e">
        <f>AND(Plan1!H66,"AAAAAH3gv9c=")</f>
        <v>#VALUE!</v>
      </c>
      <c r="HI4" t="e">
        <f>AND(Plan1!I66,"AAAAAH3gv9g=")</f>
        <v>#VALUE!</v>
      </c>
      <c r="HJ4" t="e">
        <f>AND(Plan1!J66,"AAAAAH3gv9k=")</f>
        <v>#VALUE!</v>
      </c>
      <c r="HK4" t="e">
        <f>AND(Plan1!K66,"AAAAAH3gv9o=")</f>
        <v>#VALUE!</v>
      </c>
      <c r="HL4" t="e">
        <f>AND(Plan1!L66,"AAAAAH3gv9s=")</f>
        <v>#VALUE!</v>
      </c>
      <c r="HM4" t="e">
        <f>AND(Plan1!M66,"AAAAAH3gv9w=")</f>
        <v>#VALUE!</v>
      </c>
      <c r="HN4" t="e">
        <f>AND(Plan1!N66,"AAAAAH3gv90=")</f>
        <v>#VALUE!</v>
      </c>
      <c r="HO4">
        <f>IF(Plan1!67:67,"AAAAAH3gv94=",0)</f>
        <v>0</v>
      </c>
      <c r="HP4" t="e">
        <f>AND(Plan1!A67,"AAAAAH3gv98=")</f>
        <v>#VALUE!</v>
      </c>
      <c r="HQ4" t="e">
        <f>AND(Plan1!B67,"AAAAAH3gv+A=")</f>
        <v>#VALUE!</v>
      </c>
      <c r="HR4" t="e">
        <f>AND(Plan1!C67,"AAAAAH3gv+E=")</f>
        <v>#VALUE!</v>
      </c>
      <c r="HS4" t="e">
        <f>AND(Plan1!D67,"AAAAAH3gv+I=")</f>
        <v>#VALUE!</v>
      </c>
      <c r="HT4" t="e">
        <f>AND(Plan1!E67,"AAAAAH3gv+M=")</f>
        <v>#VALUE!</v>
      </c>
      <c r="HU4" t="e">
        <f>AND(Plan1!F67,"AAAAAH3gv+Q=")</f>
        <v>#VALUE!</v>
      </c>
      <c r="HV4" t="e">
        <f>AND(Plan1!G67,"AAAAAH3gv+U=")</f>
        <v>#VALUE!</v>
      </c>
      <c r="HW4" t="e">
        <f>AND(Plan1!H67,"AAAAAH3gv+Y=")</f>
        <v>#VALUE!</v>
      </c>
      <c r="HX4" t="e">
        <f>AND(Plan1!I67,"AAAAAH3gv+c=")</f>
        <v>#VALUE!</v>
      </c>
      <c r="HY4" t="e">
        <f>AND(Plan1!J67,"AAAAAH3gv+g=")</f>
        <v>#VALUE!</v>
      </c>
      <c r="HZ4" t="e">
        <f>AND(Plan1!K67,"AAAAAH3gv+k=")</f>
        <v>#VALUE!</v>
      </c>
      <c r="IA4" t="e">
        <f>AND(Plan1!L67,"AAAAAH3gv+o=")</f>
        <v>#VALUE!</v>
      </c>
      <c r="IB4" t="e">
        <f>AND(Plan1!M67,"AAAAAH3gv+s=")</f>
        <v>#VALUE!</v>
      </c>
      <c r="IC4" t="e">
        <f>AND(Plan1!N67,"AAAAAH3gv+w=")</f>
        <v>#VALUE!</v>
      </c>
      <c r="ID4">
        <f>IF(Plan1!68:68,"AAAAAH3gv+0=",0)</f>
        <v>0</v>
      </c>
      <c r="IE4" t="e">
        <f>AND(Plan1!A68,"AAAAAH3gv+4=")</f>
        <v>#VALUE!</v>
      </c>
      <c r="IF4" t="e">
        <f>AND(Plan1!B68,"AAAAAH3gv+8=")</f>
        <v>#VALUE!</v>
      </c>
      <c r="IG4" t="e">
        <f>AND(Plan1!C68,"AAAAAH3gv/A=")</f>
        <v>#VALUE!</v>
      </c>
      <c r="IH4" t="e">
        <f>AND(Plan1!D68,"AAAAAH3gv/E=")</f>
        <v>#VALUE!</v>
      </c>
      <c r="II4" t="e">
        <f>AND(Plan1!E68,"AAAAAH3gv/I=")</f>
        <v>#VALUE!</v>
      </c>
      <c r="IJ4" t="e">
        <f>AND(Plan1!F68,"AAAAAH3gv/M=")</f>
        <v>#VALUE!</v>
      </c>
      <c r="IK4" t="e">
        <f>AND(Plan1!G68,"AAAAAH3gv/Q=")</f>
        <v>#VALUE!</v>
      </c>
      <c r="IL4" t="e">
        <f>AND(Plan1!H68,"AAAAAH3gv/U=")</f>
        <v>#VALUE!</v>
      </c>
      <c r="IM4" t="e">
        <f>AND(Plan1!I68,"AAAAAH3gv/Y=")</f>
        <v>#VALUE!</v>
      </c>
      <c r="IN4" t="e">
        <f>AND(Plan1!J68,"AAAAAH3gv/c=")</f>
        <v>#VALUE!</v>
      </c>
      <c r="IO4" t="e">
        <f>AND(Plan1!K68,"AAAAAH3gv/g=")</f>
        <v>#VALUE!</v>
      </c>
      <c r="IP4" t="e">
        <f>AND(Plan1!L68,"AAAAAH3gv/k=")</f>
        <v>#VALUE!</v>
      </c>
      <c r="IQ4" t="e">
        <f>AND(Plan1!M68,"AAAAAH3gv/o=")</f>
        <v>#VALUE!</v>
      </c>
      <c r="IR4" t="e">
        <f>AND(Plan1!N68,"AAAAAH3gv/s=")</f>
        <v>#VALUE!</v>
      </c>
      <c r="IS4">
        <f>IF(Plan1!69:69,"AAAAAH3gv/w=",0)</f>
        <v>0</v>
      </c>
      <c r="IT4" t="e">
        <f>AND(Plan1!A69,"AAAAAH3gv/0=")</f>
        <v>#VALUE!</v>
      </c>
      <c r="IU4" t="e">
        <f>AND(Plan1!B69,"AAAAAH3gv/4=")</f>
        <v>#VALUE!</v>
      </c>
      <c r="IV4" t="e">
        <f>AND(Plan1!C69,"AAAAAH3gv/8=")</f>
        <v>#VALUE!</v>
      </c>
    </row>
    <row r="5" spans="1:256">
      <c r="A5" t="e">
        <f>AND(Plan1!D69,"AAAAAHzkdgA=")</f>
        <v>#VALUE!</v>
      </c>
      <c r="B5" t="e">
        <f>AND(Plan1!E69,"AAAAAHzkdgE=")</f>
        <v>#VALUE!</v>
      </c>
      <c r="C5" t="e">
        <f>AND(Plan1!F69,"AAAAAHzkdgI=")</f>
        <v>#VALUE!</v>
      </c>
      <c r="D5" t="e">
        <f>AND(Plan1!G69,"AAAAAHzkdgM=")</f>
        <v>#VALUE!</v>
      </c>
      <c r="E5" t="e">
        <f>AND(Plan1!H69,"AAAAAHzkdgQ=")</f>
        <v>#VALUE!</v>
      </c>
      <c r="F5" t="e">
        <f>AND(Plan1!I69,"AAAAAHzkdgU=")</f>
        <v>#VALUE!</v>
      </c>
      <c r="G5" t="e">
        <f>AND(Plan1!J69,"AAAAAHzkdgY=")</f>
        <v>#VALUE!</v>
      </c>
      <c r="H5" t="e">
        <f>AND(Plan1!K69,"AAAAAHzkdgc=")</f>
        <v>#VALUE!</v>
      </c>
      <c r="I5" t="e">
        <f>AND(Plan1!L69,"AAAAAHzkdgg=")</f>
        <v>#VALUE!</v>
      </c>
      <c r="J5" t="e">
        <f>AND(Plan1!M69,"AAAAAHzkdgk=")</f>
        <v>#VALUE!</v>
      </c>
      <c r="K5" t="e">
        <f>AND(Plan1!N69,"AAAAAHzkdgo=")</f>
        <v>#VALUE!</v>
      </c>
      <c r="L5" t="e">
        <f>IF(Plan1!70:70,"AAAAAHzkdgs=",0)</f>
        <v>#VALUE!</v>
      </c>
      <c r="M5" t="e">
        <f>AND(Plan1!A70,"AAAAAHzkdgw=")</f>
        <v>#VALUE!</v>
      </c>
      <c r="N5" t="e">
        <f>AND(Plan1!B70,"AAAAAHzkdg0=")</f>
        <v>#VALUE!</v>
      </c>
      <c r="O5" t="e">
        <f>AND(Plan1!C70,"AAAAAHzkdg4=")</f>
        <v>#VALUE!</v>
      </c>
      <c r="P5" t="e">
        <f>AND(Plan1!D70,"AAAAAHzkdg8=")</f>
        <v>#VALUE!</v>
      </c>
      <c r="Q5" t="e">
        <f>AND(Plan1!E70,"AAAAAHzkdhA=")</f>
        <v>#VALUE!</v>
      </c>
      <c r="R5" t="e">
        <f>AND(Plan1!F70,"AAAAAHzkdhE=")</f>
        <v>#VALUE!</v>
      </c>
      <c r="S5" t="e">
        <f>AND(Plan1!G70,"AAAAAHzkdhI=")</f>
        <v>#VALUE!</v>
      </c>
      <c r="T5" t="e">
        <f>AND(Plan1!H70,"AAAAAHzkdhM=")</f>
        <v>#VALUE!</v>
      </c>
      <c r="U5" t="e">
        <f>AND(Plan1!I70,"AAAAAHzkdhQ=")</f>
        <v>#VALUE!</v>
      </c>
      <c r="V5" t="e">
        <f>AND(Plan1!J70,"AAAAAHzkdhU=")</f>
        <v>#VALUE!</v>
      </c>
      <c r="W5" t="e">
        <f>AND(Plan1!K70,"AAAAAHzkdhY=")</f>
        <v>#VALUE!</v>
      </c>
      <c r="X5" t="e">
        <f>AND(Plan1!L70,"AAAAAHzkdhc=")</f>
        <v>#VALUE!</v>
      </c>
      <c r="Y5" t="e">
        <f>AND(Plan1!M70,"AAAAAHzkdhg=")</f>
        <v>#VALUE!</v>
      </c>
      <c r="Z5" t="e">
        <f>AND(Plan1!N70,"AAAAAHzkdhk=")</f>
        <v>#VALUE!</v>
      </c>
      <c r="AA5">
        <f>IF(Plan1!71:71,"AAAAAHzkdho=",0)</f>
        <v>0</v>
      </c>
      <c r="AB5" t="e">
        <f>AND(Plan1!A71,"AAAAAHzkdhs=")</f>
        <v>#VALUE!</v>
      </c>
      <c r="AC5" t="e">
        <f>AND(Plan1!B71,"AAAAAHzkdhw=")</f>
        <v>#VALUE!</v>
      </c>
      <c r="AD5" t="e">
        <f>AND(Plan1!C71,"AAAAAHzkdh0=")</f>
        <v>#VALUE!</v>
      </c>
      <c r="AE5" t="e">
        <f>AND(Plan1!D71,"AAAAAHzkdh4=")</f>
        <v>#VALUE!</v>
      </c>
      <c r="AF5" t="e">
        <f>AND(Plan1!E71,"AAAAAHzkdh8=")</f>
        <v>#VALUE!</v>
      </c>
      <c r="AG5" t="e">
        <f>AND(Plan1!F71,"AAAAAHzkdiA=")</f>
        <v>#VALUE!</v>
      </c>
      <c r="AH5" t="e">
        <f>AND(Plan1!G71,"AAAAAHzkdiE=")</f>
        <v>#VALUE!</v>
      </c>
      <c r="AI5" t="e">
        <f>AND(Plan1!H71,"AAAAAHzkdiI=")</f>
        <v>#VALUE!</v>
      </c>
      <c r="AJ5" t="e">
        <f>AND(Plan1!I71,"AAAAAHzkdiM=")</f>
        <v>#VALUE!</v>
      </c>
      <c r="AK5" t="e">
        <f>AND(Plan1!J71,"AAAAAHzkdiQ=")</f>
        <v>#VALUE!</v>
      </c>
      <c r="AL5" t="e">
        <f>AND(Plan1!K71,"AAAAAHzkdiU=")</f>
        <v>#VALUE!</v>
      </c>
      <c r="AM5" t="e">
        <f>AND(Plan1!L71,"AAAAAHzkdiY=")</f>
        <v>#VALUE!</v>
      </c>
      <c r="AN5" t="e">
        <f>AND(Plan1!M71,"AAAAAHzkdic=")</f>
        <v>#VALUE!</v>
      </c>
      <c r="AO5" t="e">
        <f>AND(Plan1!N71,"AAAAAHzkdig=")</f>
        <v>#VALUE!</v>
      </c>
      <c r="AP5">
        <f>IF(Plan1!72:72,"AAAAAHzkdik=",0)</f>
        <v>0</v>
      </c>
      <c r="AQ5" t="e">
        <f>AND(Plan1!A72,"AAAAAHzkdio=")</f>
        <v>#VALUE!</v>
      </c>
      <c r="AR5" t="e">
        <f>AND(Plan1!B72,"AAAAAHzkdis=")</f>
        <v>#VALUE!</v>
      </c>
      <c r="AS5" t="e">
        <f>AND(Plan1!C72,"AAAAAHzkdiw=")</f>
        <v>#VALUE!</v>
      </c>
      <c r="AT5" t="e">
        <f>AND(Plan1!D72,"AAAAAHzkdi0=")</f>
        <v>#VALUE!</v>
      </c>
      <c r="AU5" t="e">
        <f>AND(Plan1!E72,"AAAAAHzkdi4=")</f>
        <v>#VALUE!</v>
      </c>
      <c r="AV5" t="e">
        <f>AND(Plan1!F72,"AAAAAHzkdi8=")</f>
        <v>#VALUE!</v>
      </c>
      <c r="AW5" t="e">
        <f>AND(Plan1!G72,"AAAAAHzkdjA=")</f>
        <v>#VALUE!</v>
      </c>
      <c r="AX5" t="e">
        <f>AND(Plan1!H72,"AAAAAHzkdjE=")</f>
        <v>#VALUE!</v>
      </c>
      <c r="AY5" t="e">
        <f>AND(Plan1!I72,"AAAAAHzkdjI=")</f>
        <v>#VALUE!</v>
      </c>
      <c r="AZ5" t="e">
        <f>AND(Plan1!J72,"AAAAAHzkdjM=")</f>
        <v>#VALUE!</v>
      </c>
      <c r="BA5" t="e">
        <f>AND(Plan1!K72,"AAAAAHzkdjQ=")</f>
        <v>#VALUE!</v>
      </c>
      <c r="BB5" t="e">
        <f>AND(Plan1!L72,"AAAAAHzkdjU=")</f>
        <v>#VALUE!</v>
      </c>
      <c r="BC5" t="e">
        <f>AND(Plan1!M72,"AAAAAHzkdjY=")</f>
        <v>#VALUE!</v>
      </c>
      <c r="BD5" t="e">
        <f>AND(Plan1!N72,"AAAAAHzkdjc=")</f>
        <v>#VALUE!</v>
      </c>
      <c r="BE5">
        <f>IF(Plan1!73:73,"AAAAAHzkdjg=",0)</f>
        <v>0</v>
      </c>
      <c r="BF5" t="e">
        <f>AND(Plan1!A73,"AAAAAHzkdjk=")</f>
        <v>#VALUE!</v>
      </c>
      <c r="BG5" t="e">
        <f>AND(Plan1!B73,"AAAAAHzkdjo=")</f>
        <v>#VALUE!</v>
      </c>
      <c r="BH5" t="e">
        <f>AND(Plan1!C73,"AAAAAHzkdjs=")</f>
        <v>#VALUE!</v>
      </c>
      <c r="BI5" t="e">
        <f>AND(Plan1!D73,"AAAAAHzkdjw=")</f>
        <v>#VALUE!</v>
      </c>
      <c r="BJ5" t="e">
        <f>AND(Plan1!E73,"AAAAAHzkdj0=")</f>
        <v>#VALUE!</v>
      </c>
      <c r="BK5" t="e">
        <f>AND(Plan1!F73,"AAAAAHzkdj4=")</f>
        <v>#VALUE!</v>
      </c>
      <c r="BL5" t="e">
        <f>AND(Plan1!G73,"AAAAAHzkdj8=")</f>
        <v>#VALUE!</v>
      </c>
      <c r="BM5" t="e">
        <f>AND(Plan1!H73,"AAAAAHzkdkA=")</f>
        <v>#VALUE!</v>
      </c>
      <c r="BN5" t="e">
        <f>AND(Plan1!I73,"AAAAAHzkdkE=")</f>
        <v>#VALUE!</v>
      </c>
      <c r="BO5" t="e">
        <f>AND(Plan1!J73,"AAAAAHzkdkI=")</f>
        <v>#VALUE!</v>
      </c>
      <c r="BP5" t="e">
        <f>AND(Plan1!K73,"AAAAAHzkdkM=")</f>
        <v>#VALUE!</v>
      </c>
      <c r="BQ5" t="e">
        <f>AND(Plan1!L73,"AAAAAHzkdkQ=")</f>
        <v>#VALUE!</v>
      </c>
      <c r="BR5" t="e">
        <f>AND(Plan1!M73,"AAAAAHzkdkU=")</f>
        <v>#VALUE!</v>
      </c>
      <c r="BS5" t="e">
        <f>AND(Plan1!N73,"AAAAAHzkdkY=")</f>
        <v>#VALUE!</v>
      </c>
      <c r="BT5">
        <f>IF(Plan1!74:74,"AAAAAHzkdkc=",0)</f>
        <v>0</v>
      </c>
      <c r="BU5" t="e">
        <f>AND(Plan1!A74,"AAAAAHzkdkg=")</f>
        <v>#VALUE!</v>
      </c>
      <c r="BV5" t="e">
        <f>AND(Plan1!B74,"AAAAAHzkdkk=")</f>
        <v>#VALUE!</v>
      </c>
      <c r="BW5" t="e">
        <f>AND(Plan1!C74,"AAAAAHzkdko=")</f>
        <v>#VALUE!</v>
      </c>
      <c r="BX5" t="e">
        <f>AND(Plan1!D74,"AAAAAHzkdks=")</f>
        <v>#VALUE!</v>
      </c>
      <c r="BY5" t="e">
        <f>AND(Plan1!E74,"AAAAAHzkdkw=")</f>
        <v>#VALUE!</v>
      </c>
      <c r="BZ5" t="e">
        <f>AND(Plan1!F74,"AAAAAHzkdk0=")</f>
        <v>#VALUE!</v>
      </c>
      <c r="CA5" t="e">
        <f>AND(Plan1!G74,"AAAAAHzkdk4=")</f>
        <v>#VALUE!</v>
      </c>
      <c r="CB5" t="e">
        <f>AND(Plan1!H74,"AAAAAHzkdk8=")</f>
        <v>#VALUE!</v>
      </c>
      <c r="CC5" t="e">
        <f>AND(Plan1!I74,"AAAAAHzkdlA=")</f>
        <v>#VALUE!</v>
      </c>
      <c r="CD5" t="e">
        <f>AND(Plan1!J74,"AAAAAHzkdlE=")</f>
        <v>#VALUE!</v>
      </c>
      <c r="CE5" t="e">
        <f>AND(Plan1!K74,"AAAAAHzkdlI=")</f>
        <v>#VALUE!</v>
      </c>
      <c r="CF5" t="e">
        <f>AND(Plan1!L74,"AAAAAHzkdlM=")</f>
        <v>#VALUE!</v>
      </c>
      <c r="CG5" t="e">
        <f>AND(Plan1!M74,"AAAAAHzkdlQ=")</f>
        <v>#VALUE!</v>
      </c>
      <c r="CH5" t="e">
        <f>AND(Plan1!N74,"AAAAAHzkdlU=")</f>
        <v>#VALUE!</v>
      </c>
      <c r="CI5">
        <f>IF(Plan1!75:75,"AAAAAHzkdlY=",0)</f>
        <v>0</v>
      </c>
      <c r="CJ5" t="e">
        <f>AND(Plan1!A75,"AAAAAHzkdlc=")</f>
        <v>#VALUE!</v>
      </c>
      <c r="CK5" t="e">
        <f>AND(Plan1!B75,"AAAAAHzkdlg=")</f>
        <v>#VALUE!</v>
      </c>
      <c r="CL5" t="e">
        <f>AND(Plan1!C75,"AAAAAHzkdlk=")</f>
        <v>#VALUE!</v>
      </c>
      <c r="CM5" t="e">
        <f>AND(Plan1!D75,"AAAAAHzkdlo=")</f>
        <v>#VALUE!</v>
      </c>
      <c r="CN5" t="e">
        <f>AND(Plan1!E75,"AAAAAHzkdls=")</f>
        <v>#VALUE!</v>
      </c>
      <c r="CO5" t="e">
        <f>AND(Plan1!F75,"AAAAAHzkdlw=")</f>
        <v>#VALUE!</v>
      </c>
      <c r="CP5" t="e">
        <f>AND(Plan1!G75,"AAAAAHzkdl0=")</f>
        <v>#VALUE!</v>
      </c>
      <c r="CQ5" t="e">
        <f>AND(Plan1!H75,"AAAAAHzkdl4=")</f>
        <v>#VALUE!</v>
      </c>
      <c r="CR5" t="e">
        <f>AND(Plan1!I75,"AAAAAHzkdl8=")</f>
        <v>#VALUE!</v>
      </c>
      <c r="CS5" t="e">
        <f>AND(Plan1!J75,"AAAAAHzkdmA=")</f>
        <v>#VALUE!</v>
      </c>
      <c r="CT5" t="e">
        <f>AND(Plan1!K75,"AAAAAHzkdmE=")</f>
        <v>#VALUE!</v>
      </c>
      <c r="CU5" t="e">
        <f>AND(Plan1!L75,"AAAAAHzkdmI=")</f>
        <v>#VALUE!</v>
      </c>
      <c r="CV5" t="e">
        <f>AND(Plan1!M75,"AAAAAHzkdmM=")</f>
        <v>#VALUE!</v>
      </c>
      <c r="CW5" t="e">
        <f>AND(Plan1!N75,"AAAAAHzkdmQ=")</f>
        <v>#VALUE!</v>
      </c>
      <c r="CX5">
        <f>IF(Plan1!76:76,"AAAAAHzkdmU=",0)</f>
        <v>0</v>
      </c>
      <c r="CY5" t="e">
        <f>AND(Plan1!A76,"AAAAAHzkdmY=")</f>
        <v>#VALUE!</v>
      </c>
      <c r="CZ5" t="e">
        <f>AND(Plan1!B76,"AAAAAHzkdmc=")</f>
        <v>#VALUE!</v>
      </c>
      <c r="DA5" t="e">
        <f>AND(Plan1!C76,"AAAAAHzkdmg=")</f>
        <v>#VALUE!</v>
      </c>
      <c r="DB5" t="e">
        <f>AND(Plan1!D76,"AAAAAHzkdmk=")</f>
        <v>#VALUE!</v>
      </c>
      <c r="DC5" t="e">
        <f>AND(Plan1!E76,"AAAAAHzkdmo=")</f>
        <v>#VALUE!</v>
      </c>
      <c r="DD5" t="e">
        <f>AND(Plan1!F76,"AAAAAHzkdms=")</f>
        <v>#VALUE!</v>
      </c>
      <c r="DE5" t="e">
        <f>AND(Plan1!G76,"AAAAAHzkdmw=")</f>
        <v>#VALUE!</v>
      </c>
      <c r="DF5" t="e">
        <f>AND(Plan1!H76,"AAAAAHzkdm0=")</f>
        <v>#VALUE!</v>
      </c>
      <c r="DG5" t="e">
        <f>AND(Plan1!I76,"AAAAAHzkdm4=")</f>
        <v>#VALUE!</v>
      </c>
      <c r="DH5" t="e">
        <f>AND(Plan1!J76,"AAAAAHzkdm8=")</f>
        <v>#VALUE!</v>
      </c>
      <c r="DI5" t="e">
        <f>AND(Plan1!K76,"AAAAAHzkdnA=")</f>
        <v>#VALUE!</v>
      </c>
      <c r="DJ5" t="e">
        <f>AND(Plan1!L76,"AAAAAHzkdnE=")</f>
        <v>#VALUE!</v>
      </c>
      <c r="DK5" t="e">
        <f>AND(Plan1!M76,"AAAAAHzkdnI=")</f>
        <v>#VALUE!</v>
      </c>
      <c r="DL5" t="e">
        <f>AND(Plan1!N76,"AAAAAHzkdnM=")</f>
        <v>#VALUE!</v>
      </c>
      <c r="DM5">
        <f>IF(Plan1!77:77,"AAAAAHzkdnQ=",0)</f>
        <v>0</v>
      </c>
      <c r="DN5" t="e">
        <f>AND(Plan1!A77,"AAAAAHzkdnU=")</f>
        <v>#VALUE!</v>
      </c>
      <c r="DO5" t="e">
        <f>AND(Plan1!B77,"AAAAAHzkdnY=")</f>
        <v>#VALUE!</v>
      </c>
      <c r="DP5" t="e">
        <f>AND(Plan1!C77,"AAAAAHzkdnc=")</f>
        <v>#VALUE!</v>
      </c>
      <c r="DQ5" t="e">
        <f>AND(Plan1!D77,"AAAAAHzkdng=")</f>
        <v>#VALUE!</v>
      </c>
      <c r="DR5" t="e">
        <f>AND(Plan1!E77,"AAAAAHzkdnk=")</f>
        <v>#VALUE!</v>
      </c>
      <c r="DS5" t="e">
        <f>AND(Plan1!F77,"AAAAAHzkdno=")</f>
        <v>#VALUE!</v>
      </c>
      <c r="DT5" t="e">
        <f>AND(Plan1!G77,"AAAAAHzkdns=")</f>
        <v>#VALUE!</v>
      </c>
      <c r="DU5" t="e">
        <f>AND(Plan1!H77,"AAAAAHzkdnw=")</f>
        <v>#VALUE!</v>
      </c>
      <c r="DV5" t="e">
        <f>AND(Plan1!I77,"AAAAAHzkdn0=")</f>
        <v>#VALUE!</v>
      </c>
      <c r="DW5" t="e">
        <f>AND(Plan1!J77,"AAAAAHzkdn4=")</f>
        <v>#VALUE!</v>
      </c>
      <c r="DX5" t="e">
        <f>AND(Plan1!K77,"AAAAAHzkdn8=")</f>
        <v>#VALUE!</v>
      </c>
      <c r="DY5" t="e">
        <f>AND(Plan1!L77,"AAAAAHzkdoA=")</f>
        <v>#VALUE!</v>
      </c>
      <c r="DZ5" t="e">
        <f>AND(Plan1!M77,"AAAAAHzkdoE=")</f>
        <v>#VALUE!</v>
      </c>
      <c r="EA5" t="e">
        <f>AND(Plan1!N77,"AAAAAHzkdoI=")</f>
        <v>#VALUE!</v>
      </c>
      <c r="EB5">
        <f>IF(Plan1!78:78,"AAAAAHzkdoM=",0)</f>
        <v>0</v>
      </c>
      <c r="EC5" t="e">
        <f>AND(Plan1!A78,"AAAAAHzkdoQ=")</f>
        <v>#VALUE!</v>
      </c>
      <c r="ED5" t="e">
        <f>AND(Plan1!B78,"AAAAAHzkdoU=")</f>
        <v>#VALUE!</v>
      </c>
      <c r="EE5" t="e">
        <f>AND(Plan1!C78,"AAAAAHzkdoY=")</f>
        <v>#VALUE!</v>
      </c>
      <c r="EF5" t="e">
        <f>AND(Plan1!D78,"AAAAAHzkdoc=")</f>
        <v>#VALUE!</v>
      </c>
      <c r="EG5" t="e">
        <f>AND(Plan1!E78,"AAAAAHzkdog=")</f>
        <v>#VALUE!</v>
      </c>
      <c r="EH5" t="e">
        <f>AND(Plan1!F78,"AAAAAHzkdok=")</f>
        <v>#VALUE!</v>
      </c>
      <c r="EI5" t="e">
        <f>AND(Plan1!G78,"AAAAAHzkdoo=")</f>
        <v>#VALUE!</v>
      </c>
      <c r="EJ5" t="e">
        <f>AND(Plan1!H78,"AAAAAHzkdos=")</f>
        <v>#VALUE!</v>
      </c>
      <c r="EK5" t="e">
        <f>AND(Plan1!I78,"AAAAAHzkdow=")</f>
        <v>#VALUE!</v>
      </c>
      <c r="EL5" t="e">
        <f>AND(Plan1!J78,"AAAAAHzkdo0=")</f>
        <v>#VALUE!</v>
      </c>
      <c r="EM5" t="e">
        <f>AND(Plan1!K78,"AAAAAHzkdo4=")</f>
        <v>#VALUE!</v>
      </c>
      <c r="EN5" t="e">
        <f>AND(Plan1!L78,"AAAAAHzkdo8=")</f>
        <v>#VALUE!</v>
      </c>
      <c r="EO5" t="e">
        <f>AND(Plan1!M78,"AAAAAHzkdpA=")</f>
        <v>#VALUE!</v>
      </c>
      <c r="EP5" t="e">
        <f>AND(Plan1!N78,"AAAAAHzkdpE=")</f>
        <v>#VALUE!</v>
      </c>
      <c r="EQ5">
        <f>IF(Plan1!79:79,"AAAAAHzkdpI=",0)</f>
        <v>0</v>
      </c>
      <c r="ER5" t="e">
        <f>AND(Plan1!A79,"AAAAAHzkdpM=")</f>
        <v>#VALUE!</v>
      </c>
      <c r="ES5" t="e">
        <f>AND(Plan1!B79,"AAAAAHzkdpQ=")</f>
        <v>#VALUE!</v>
      </c>
      <c r="ET5" t="e">
        <f>AND(Plan1!C79,"AAAAAHzkdpU=")</f>
        <v>#VALUE!</v>
      </c>
      <c r="EU5" t="e">
        <f>AND(Plan1!D79,"AAAAAHzkdpY=")</f>
        <v>#VALUE!</v>
      </c>
      <c r="EV5" t="e">
        <f>AND(Plan1!E79,"AAAAAHzkdpc=")</f>
        <v>#VALUE!</v>
      </c>
      <c r="EW5" t="e">
        <f>AND(Plan1!F79,"AAAAAHzkdpg=")</f>
        <v>#VALUE!</v>
      </c>
      <c r="EX5" t="e">
        <f>AND(Plan1!G79,"AAAAAHzkdpk=")</f>
        <v>#VALUE!</v>
      </c>
      <c r="EY5" t="e">
        <f>AND(Plan1!H79,"AAAAAHzkdpo=")</f>
        <v>#VALUE!</v>
      </c>
      <c r="EZ5" t="e">
        <f>AND(Plan1!I79,"AAAAAHzkdps=")</f>
        <v>#VALUE!</v>
      </c>
      <c r="FA5" t="e">
        <f>AND(Plan1!J79,"AAAAAHzkdpw=")</f>
        <v>#VALUE!</v>
      </c>
      <c r="FB5" t="e">
        <f>AND(Plan1!K79,"AAAAAHzkdp0=")</f>
        <v>#VALUE!</v>
      </c>
      <c r="FC5" t="e">
        <f>AND(Plan1!L79,"AAAAAHzkdp4=")</f>
        <v>#VALUE!</v>
      </c>
      <c r="FD5" t="e">
        <f>AND(Plan1!M79,"AAAAAHzkdp8=")</f>
        <v>#VALUE!</v>
      </c>
      <c r="FE5" t="e">
        <f>AND(Plan1!N79,"AAAAAHzkdqA=")</f>
        <v>#VALUE!</v>
      </c>
      <c r="FF5">
        <f>IF(Plan1!80:80,"AAAAAHzkdqE=",0)</f>
        <v>0</v>
      </c>
      <c r="FG5" t="e">
        <f>AND(Plan1!A80,"AAAAAHzkdqI=")</f>
        <v>#VALUE!</v>
      </c>
      <c r="FH5" t="e">
        <f>AND(Plan1!B80,"AAAAAHzkdqM=")</f>
        <v>#VALUE!</v>
      </c>
      <c r="FI5" t="e">
        <f>AND(Plan1!C80,"AAAAAHzkdqQ=")</f>
        <v>#VALUE!</v>
      </c>
      <c r="FJ5" t="e">
        <f>AND(Plan1!D80,"AAAAAHzkdqU=")</f>
        <v>#VALUE!</v>
      </c>
      <c r="FK5" t="e">
        <f>AND(Plan1!E80,"AAAAAHzkdqY=")</f>
        <v>#VALUE!</v>
      </c>
      <c r="FL5" t="e">
        <f>AND(Plan1!F80,"AAAAAHzkdqc=")</f>
        <v>#VALUE!</v>
      </c>
      <c r="FM5" t="e">
        <f>AND(Plan1!G80,"AAAAAHzkdqg=")</f>
        <v>#VALUE!</v>
      </c>
      <c r="FN5" t="e">
        <f>AND(Plan1!H80,"AAAAAHzkdqk=")</f>
        <v>#VALUE!</v>
      </c>
      <c r="FO5" t="e">
        <f>AND(Plan1!I80,"AAAAAHzkdqo=")</f>
        <v>#VALUE!</v>
      </c>
      <c r="FP5" t="e">
        <f>AND(Plan1!J80,"AAAAAHzkdqs=")</f>
        <v>#VALUE!</v>
      </c>
      <c r="FQ5" t="e">
        <f>AND(Plan1!K80,"AAAAAHzkdqw=")</f>
        <v>#VALUE!</v>
      </c>
      <c r="FR5" t="e">
        <f>AND(Plan1!L80,"AAAAAHzkdq0=")</f>
        <v>#VALUE!</v>
      </c>
      <c r="FS5" t="e">
        <f>AND(Plan1!M80,"AAAAAHzkdq4=")</f>
        <v>#VALUE!</v>
      </c>
      <c r="FT5" t="e">
        <f>AND(Plan1!N80,"AAAAAHzkdq8=")</f>
        <v>#VALUE!</v>
      </c>
      <c r="FU5">
        <f>IF(Plan1!81:81,"AAAAAHzkdrA=",0)</f>
        <v>0</v>
      </c>
      <c r="FV5" t="e">
        <f>AND(Plan1!A81,"AAAAAHzkdrE=")</f>
        <v>#VALUE!</v>
      </c>
      <c r="FW5" t="e">
        <f>AND(Plan1!B81,"AAAAAHzkdrI=")</f>
        <v>#VALUE!</v>
      </c>
      <c r="FX5" t="e">
        <f>AND(Plan1!C81,"AAAAAHzkdrM=")</f>
        <v>#VALUE!</v>
      </c>
      <c r="FY5" t="e">
        <f>AND(Plan1!D81,"AAAAAHzkdrQ=")</f>
        <v>#VALUE!</v>
      </c>
      <c r="FZ5" t="e">
        <f>AND(Plan1!E81,"AAAAAHzkdrU=")</f>
        <v>#VALUE!</v>
      </c>
      <c r="GA5" t="e">
        <f>AND(Plan1!F81,"AAAAAHzkdrY=")</f>
        <v>#VALUE!</v>
      </c>
      <c r="GB5" t="e">
        <f>AND(Plan1!G81,"AAAAAHzkdrc=")</f>
        <v>#VALUE!</v>
      </c>
      <c r="GC5" t="e">
        <f>AND(Plan1!H81,"AAAAAHzkdrg=")</f>
        <v>#VALUE!</v>
      </c>
      <c r="GD5" t="e">
        <f>AND(Plan1!I81,"AAAAAHzkdrk=")</f>
        <v>#VALUE!</v>
      </c>
      <c r="GE5" t="e">
        <f>AND(Plan1!J81,"AAAAAHzkdro=")</f>
        <v>#VALUE!</v>
      </c>
      <c r="GF5" t="e">
        <f>AND(Plan1!K81,"AAAAAHzkdrs=")</f>
        <v>#VALUE!</v>
      </c>
      <c r="GG5" t="e">
        <f>AND(Plan1!L81,"AAAAAHzkdrw=")</f>
        <v>#VALUE!</v>
      </c>
      <c r="GH5" t="e">
        <f>AND(Plan1!M81,"AAAAAHzkdr0=")</f>
        <v>#VALUE!</v>
      </c>
      <c r="GI5" t="e">
        <f>AND(Plan1!N81,"AAAAAHzkdr4=")</f>
        <v>#VALUE!</v>
      </c>
      <c r="GJ5">
        <f>IF(Plan1!82:82,"AAAAAHzkdr8=",0)</f>
        <v>0</v>
      </c>
      <c r="GK5" t="e">
        <f>AND(Plan1!A82,"AAAAAHzkdsA=")</f>
        <v>#VALUE!</v>
      </c>
      <c r="GL5" t="e">
        <f>AND(Plan1!B82,"AAAAAHzkdsE=")</f>
        <v>#VALUE!</v>
      </c>
      <c r="GM5" t="e">
        <f>AND(Plan1!C82,"AAAAAHzkdsI=")</f>
        <v>#VALUE!</v>
      </c>
      <c r="GN5" t="e">
        <f>AND(Plan1!D82,"AAAAAHzkdsM=")</f>
        <v>#VALUE!</v>
      </c>
      <c r="GO5" t="e">
        <f>AND(Plan1!E82,"AAAAAHzkdsQ=")</f>
        <v>#VALUE!</v>
      </c>
      <c r="GP5" t="e">
        <f>AND(Plan1!F82,"AAAAAHzkdsU=")</f>
        <v>#VALUE!</v>
      </c>
      <c r="GQ5" t="e">
        <f>AND(Plan1!G82,"AAAAAHzkdsY=")</f>
        <v>#VALUE!</v>
      </c>
      <c r="GR5" t="e">
        <f>AND(Plan1!H82,"AAAAAHzkdsc=")</f>
        <v>#VALUE!</v>
      </c>
      <c r="GS5" t="e">
        <f>AND(Plan1!I82,"AAAAAHzkdsg=")</f>
        <v>#VALUE!</v>
      </c>
      <c r="GT5" t="e">
        <f>AND(Plan1!J82,"AAAAAHzkdsk=")</f>
        <v>#VALUE!</v>
      </c>
      <c r="GU5" t="e">
        <f>AND(Plan1!K82,"AAAAAHzkdso=")</f>
        <v>#VALUE!</v>
      </c>
      <c r="GV5" t="e">
        <f>AND(Plan1!L82,"AAAAAHzkdss=")</f>
        <v>#VALUE!</v>
      </c>
      <c r="GW5" t="e">
        <f>AND(Plan1!M82,"AAAAAHzkdsw=")</f>
        <v>#VALUE!</v>
      </c>
      <c r="GX5" t="e">
        <f>AND(Plan1!N82,"AAAAAHzkds0=")</f>
        <v>#VALUE!</v>
      </c>
      <c r="GY5">
        <f>IF(Plan1!83:83,"AAAAAHzkds4=",0)</f>
        <v>0</v>
      </c>
      <c r="GZ5" t="e">
        <f>AND(Plan1!A83,"AAAAAHzkds8=")</f>
        <v>#VALUE!</v>
      </c>
      <c r="HA5" t="e">
        <f>AND(Plan1!B83,"AAAAAHzkdtA=")</f>
        <v>#VALUE!</v>
      </c>
      <c r="HB5" t="e">
        <f>AND(Plan1!C83,"AAAAAHzkdtE=")</f>
        <v>#VALUE!</v>
      </c>
      <c r="HC5" t="e">
        <f>AND(Plan1!D83,"AAAAAHzkdtI=")</f>
        <v>#VALUE!</v>
      </c>
      <c r="HD5" t="e">
        <f>AND(Plan1!E83,"AAAAAHzkdtM=")</f>
        <v>#VALUE!</v>
      </c>
      <c r="HE5" t="e">
        <f>AND(Plan1!F83,"AAAAAHzkdtQ=")</f>
        <v>#VALUE!</v>
      </c>
      <c r="HF5" t="e">
        <f>AND(Plan1!G83,"AAAAAHzkdtU=")</f>
        <v>#VALUE!</v>
      </c>
      <c r="HG5" t="e">
        <f>AND(Plan1!H83,"AAAAAHzkdtY=")</f>
        <v>#VALUE!</v>
      </c>
      <c r="HH5" t="e">
        <f>AND(Plan1!I83,"AAAAAHzkdtc=")</f>
        <v>#VALUE!</v>
      </c>
      <c r="HI5" t="e">
        <f>AND(Plan1!J83,"AAAAAHzkdtg=")</f>
        <v>#VALUE!</v>
      </c>
      <c r="HJ5" t="e">
        <f>AND(Plan1!K83,"AAAAAHzkdtk=")</f>
        <v>#VALUE!</v>
      </c>
      <c r="HK5" t="e">
        <f>AND(Plan1!L83,"AAAAAHzkdto=")</f>
        <v>#VALUE!</v>
      </c>
      <c r="HL5" t="e">
        <f>AND(Plan1!M83,"AAAAAHzkdts=")</f>
        <v>#VALUE!</v>
      </c>
      <c r="HM5" t="e">
        <f>AND(Plan1!N83,"AAAAAHzkdtw=")</f>
        <v>#VALUE!</v>
      </c>
      <c r="HN5">
        <f>IF(Plan1!84:84,"AAAAAHzkdt0=",0)</f>
        <v>0</v>
      </c>
      <c r="HO5" t="e">
        <f>AND(Plan1!A84,"AAAAAHzkdt4=")</f>
        <v>#VALUE!</v>
      </c>
      <c r="HP5" t="e">
        <f>AND(Plan1!B84,"AAAAAHzkdt8=")</f>
        <v>#VALUE!</v>
      </c>
      <c r="HQ5" t="e">
        <f>AND(Plan1!C84,"AAAAAHzkduA=")</f>
        <v>#VALUE!</v>
      </c>
      <c r="HR5" t="e">
        <f>AND(Plan1!D84,"AAAAAHzkduE=")</f>
        <v>#VALUE!</v>
      </c>
      <c r="HS5" t="e">
        <f>AND(Plan1!E84,"AAAAAHzkduI=")</f>
        <v>#VALUE!</v>
      </c>
      <c r="HT5" t="e">
        <f>AND(Plan1!F84,"AAAAAHzkduM=")</f>
        <v>#VALUE!</v>
      </c>
      <c r="HU5" t="e">
        <f>AND(Plan1!G84,"AAAAAHzkduQ=")</f>
        <v>#VALUE!</v>
      </c>
      <c r="HV5" t="e">
        <f>AND(Plan1!H84,"AAAAAHzkduU=")</f>
        <v>#VALUE!</v>
      </c>
      <c r="HW5" t="e">
        <f>AND(Plan1!I84,"AAAAAHzkduY=")</f>
        <v>#VALUE!</v>
      </c>
      <c r="HX5" t="e">
        <f>AND(Plan1!J84,"AAAAAHzkduc=")</f>
        <v>#VALUE!</v>
      </c>
      <c r="HY5" t="e">
        <f>AND(Plan1!K84,"AAAAAHzkdug=")</f>
        <v>#VALUE!</v>
      </c>
      <c r="HZ5" t="e">
        <f>AND(Plan1!L84,"AAAAAHzkduk=")</f>
        <v>#VALUE!</v>
      </c>
      <c r="IA5" t="e">
        <f>AND(Plan1!M84,"AAAAAHzkduo=")</f>
        <v>#VALUE!</v>
      </c>
      <c r="IB5" t="e">
        <f>AND(Plan1!N84,"AAAAAHzkdus=")</f>
        <v>#VALUE!</v>
      </c>
      <c r="IC5">
        <f>IF(Plan1!85:85,"AAAAAHzkduw=",0)</f>
        <v>0</v>
      </c>
      <c r="ID5" t="e">
        <f>AND(Plan1!A85,"AAAAAHzkdu0=")</f>
        <v>#VALUE!</v>
      </c>
      <c r="IE5" t="e">
        <f>AND(Plan1!B85,"AAAAAHzkdu4=")</f>
        <v>#VALUE!</v>
      </c>
      <c r="IF5" t="e">
        <f>AND(Plan1!C85,"AAAAAHzkdu8=")</f>
        <v>#VALUE!</v>
      </c>
      <c r="IG5" t="e">
        <f>AND(Plan1!D85,"AAAAAHzkdvA=")</f>
        <v>#VALUE!</v>
      </c>
      <c r="IH5" t="e">
        <f>AND(Plan1!E85,"AAAAAHzkdvE=")</f>
        <v>#VALUE!</v>
      </c>
      <c r="II5" t="e">
        <f>AND(Plan1!F85,"AAAAAHzkdvI=")</f>
        <v>#VALUE!</v>
      </c>
      <c r="IJ5" t="e">
        <f>AND(Plan1!G85,"AAAAAHzkdvM=")</f>
        <v>#VALUE!</v>
      </c>
      <c r="IK5" t="e">
        <f>AND(Plan1!H85,"AAAAAHzkdvQ=")</f>
        <v>#VALUE!</v>
      </c>
      <c r="IL5" t="e">
        <f>AND(Plan1!I85,"AAAAAHzkdvU=")</f>
        <v>#VALUE!</v>
      </c>
      <c r="IM5" t="e">
        <f>AND(Plan1!J85,"AAAAAHzkdvY=")</f>
        <v>#VALUE!</v>
      </c>
      <c r="IN5" t="e">
        <f>AND(Plan1!K85,"AAAAAHzkdvc=")</f>
        <v>#VALUE!</v>
      </c>
      <c r="IO5" t="e">
        <f>AND(Plan1!L85,"AAAAAHzkdvg=")</f>
        <v>#VALUE!</v>
      </c>
      <c r="IP5" t="e">
        <f>AND(Plan1!M85,"AAAAAHzkdvk=")</f>
        <v>#VALUE!</v>
      </c>
      <c r="IQ5" t="e">
        <f>AND(Plan1!N85,"AAAAAHzkdvo=")</f>
        <v>#VALUE!</v>
      </c>
      <c r="IR5">
        <f>IF(Plan1!86:86,"AAAAAHzkdvs=",0)</f>
        <v>0</v>
      </c>
      <c r="IS5" t="e">
        <f>AND(Plan1!A86,"AAAAAHzkdvw=")</f>
        <v>#VALUE!</v>
      </c>
      <c r="IT5" t="e">
        <f>AND(Plan1!B86,"AAAAAHzkdv0=")</f>
        <v>#VALUE!</v>
      </c>
      <c r="IU5" t="e">
        <f>AND(Plan1!C86,"AAAAAHzkdv4=")</f>
        <v>#VALUE!</v>
      </c>
      <c r="IV5" t="e">
        <f>AND(Plan1!D86,"AAAAAHzkdv8=")</f>
        <v>#VALUE!</v>
      </c>
    </row>
    <row r="6" spans="1:256">
      <c r="A6" t="e">
        <f>AND(Plan1!E86,"AAAAADr1fwA=")</f>
        <v>#VALUE!</v>
      </c>
      <c r="B6" t="e">
        <f>AND(Plan1!F86,"AAAAADr1fwE=")</f>
        <v>#VALUE!</v>
      </c>
      <c r="C6" t="e">
        <f>AND(Plan1!G86,"AAAAADr1fwI=")</f>
        <v>#VALUE!</v>
      </c>
      <c r="D6" t="e">
        <f>AND(Plan1!H86,"AAAAADr1fwM=")</f>
        <v>#VALUE!</v>
      </c>
      <c r="E6" t="e">
        <f>AND(Plan1!I86,"AAAAADr1fwQ=")</f>
        <v>#VALUE!</v>
      </c>
      <c r="F6" t="e">
        <f>AND(Plan1!J86,"AAAAADr1fwU=")</f>
        <v>#VALUE!</v>
      </c>
      <c r="G6" t="e">
        <f>AND(Plan1!K86,"AAAAADr1fwY=")</f>
        <v>#VALUE!</v>
      </c>
      <c r="H6" t="e">
        <f>AND(Plan1!L86,"AAAAADr1fwc=")</f>
        <v>#VALUE!</v>
      </c>
      <c r="I6" t="e">
        <f>AND(Plan1!M86,"AAAAADr1fwg=")</f>
        <v>#VALUE!</v>
      </c>
      <c r="J6" t="e">
        <f>AND(Plan1!N86,"AAAAADr1fwk=")</f>
        <v>#VALUE!</v>
      </c>
      <c r="K6">
        <f>IF(Plan1!87:87,"AAAAADr1fwo=",0)</f>
        <v>0</v>
      </c>
      <c r="L6" t="e">
        <f>AND(Plan1!A87,"AAAAADr1fws=")</f>
        <v>#VALUE!</v>
      </c>
      <c r="M6" t="e">
        <f>AND(Plan1!B87,"AAAAADr1fww=")</f>
        <v>#VALUE!</v>
      </c>
      <c r="N6" t="e">
        <f>AND(Plan1!C87,"AAAAADr1fw0=")</f>
        <v>#VALUE!</v>
      </c>
      <c r="O6" t="e">
        <f>AND(Plan1!D87,"AAAAADr1fw4=")</f>
        <v>#VALUE!</v>
      </c>
      <c r="P6" t="e">
        <f>AND(Plan1!E87,"AAAAADr1fw8=")</f>
        <v>#VALUE!</v>
      </c>
      <c r="Q6" t="e">
        <f>AND(Plan1!F87,"AAAAADr1fxA=")</f>
        <v>#VALUE!</v>
      </c>
      <c r="R6" t="e">
        <f>AND(Plan1!G87,"AAAAADr1fxE=")</f>
        <v>#VALUE!</v>
      </c>
      <c r="S6" t="e">
        <f>AND(Plan1!H87,"AAAAADr1fxI=")</f>
        <v>#VALUE!</v>
      </c>
      <c r="T6" t="e">
        <f>AND(Plan1!I87,"AAAAADr1fxM=")</f>
        <v>#VALUE!</v>
      </c>
      <c r="U6" t="e">
        <f>AND(Plan1!J87,"AAAAADr1fxQ=")</f>
        <v>#VALUE!</v>
      </c>
      <c r="V6" t="e">
        <f>AND(Plan1!K87,"AAAAADr1fxU=")</f>
        <v>#VALUE!</v>
      </c>
      <c r="W6" t="e">
        <f>AND(Plan1!L87,"AAAAADr1fxY=")</f>
        <v>#VALUE!</v>
      </c>
      <c r="X6" t="e">
        <f>AND(Plan1!M87,"AAAAADr1fxc=")</f>
        <v>#VALUE!</v>
      </c>
      <c r="Y6" t="e">
        <f>AND(Plan1!N87,"AAAAADr1fxg=")</f>
        <v>#VALUE!</v>
      </c>
      <c r="Z6">
        <f>IF(Plan1!88:88,"AAAAADr1fxk=",0)</f>
        <v>0</v>
      </c>
      <c r="AA6" t="e">
        <f>AND(Plan1!A88,"AAAAADr1fxo=")</f>
        <v>#VALUE!</v>
      </c>
      <c r="AB6" t="e">
        <f>AND(Plan1!B88,"AAAAADr1fxs=")</f>
        <v>#VALUE!</v>
      </c>
      <c r="AC6" t="e">
        <f>AND(Plan1!C88,"AAAAADr1fxw=")</f>
        <v>#VALUE!</v>
      </c>
      <c r="AD6" t="e">
        <f>AND(Plan1!D88,"AAAAADr1fx0=")</f>
        <v>#VALUE!</v>
      </c>
      <c r="AE6" t="e">
        <f>AND(Plan1!E88,"AAAAADr1fx4=")</f>
        <v>#VALUE!</v>
      </c>
      <c r="AF6" t="e">
        <f>AND(Plan1!F88,"AAAAADr1fx8=")</f>
        <v>#VALUE!</v>
      </c>
      <c r="AG6" t="e">
        <f>AND(Plan1!G88,"AAAAADr1fyA=")</f>
        <v>#VALUE!</v>
      </c>
      <c r="AH6" t="e">
        <f>AND(Plan1!H88,"AAAAADr1fyE=")</f>
        <v>#VALUE!</v>
      </c>
      <c r="AI6" t="e">
        <f>AND(Plan1!I88,"AAAAADr1fyI=")</f>
        <v>#VALUE!</v>
      </c>
      <c r="AJ6" t="e">
        <f>AND(Plan1!J88,"AAAAADr1fyM=")</f>
        <v>#VALUE!</v>
      </c>
      <c r="AK6" t="e">
        <f>AND(Plan1!K88,"AAAAADr1fyQ=")</f>
        <v>#VALUE!</v>
      </c>
      <c r="AL6" t="e">
        <f>AND(Plan1!L88,"AAAAADr1fyU=")</f>
        <v>#VALUE!</v>
      </c>
      <c r="AM6" t="e">
        <f>AND(Plan1!M88,"AAAAADr1fyY=")</f>
        <v>#VALUE!</v>
      </c>
      <c r="AN6" t="e">
        <f>AND(Plan1!N88,"AAAAADr1fyc=")</f>
        <v>#VALUE!</v>
      </c>
      <c r="AO6">
        <f>IF(Plan1!89:89,"AAAAADr1fyg=",0)</f>
        <v>0</v>
      </c>
      <c r="AP6" t="e">
        <f>AND(Plan1!A89,"AAAAADr1fyk=")</f>
        <v>#VALUE!</v>
      </c>
      <c r="AQ6" t="e">
        <f>AND(Plan1!B89,"AAAAADr1fyo=")</f>
        <v>#VALUE!</v>
      </c>
      <c r="AR6" t="e">
        <f>AND(Plan1!C89,"AAAAADr1fys=")</f>
        <v>#VALUE!</v>
      </c>
      <c r="AS6" t="e">
        <f>AND(Plan1!D89,"AAAAADr1fyw=")</f>
        <v>#VALUE!</v>
      </c>
      <c r="AT6" t="e">
        <f>AND(Plan1!E89,"AAAAADr1fy0=")</f>
        <v>#VALUE!</v>
      </c>
      <c r="AU6" t="e">
        <f>AND(Plan1!F89,"AAAAADr1fy4=")</f>
        <v>#VALUE!</v>
      </c>
      <c r="AV6" t="e">
        <f>AND(Plan1!G89,"AAAAADr1fy8=")</f>
        <v>#VALUE!</v>
      </c>
      <c r="AW6" t="e">
        <f>AND(Plan1!H89,"AAAAADr1fzA=")</f>
        <v>#VALUE!</v>
      </c>
      <c r="AX6" t="e">
        <f>AND(Plan1!I89,"AAAAADr1fzE=")</f>
        <v>#VALUE!</v>
      </c>
      <c r="AY6" t="e">
        <f>AND(Plan1!J89,"AAAAADr1fzI=")</f>
        <v>#VALUE!</v>
      </c>
      <c r="AZ6" t="e">
        <f>AND(Plan1!K89,"AAAAADr1fzM=")</f>
        <v>#VALUE!</v>
      </c>
      <c r="BA6" t="e">
        <f>AND(Plan1!L89,"AAAAADr1fzQ=")</f>
        <v>#VALUE!</v>
      </c>
      <c r="BB6" t="e">
        <f>AND(Plan1!M89,"AAAAADr1fzU=")</f>
        <v>#VALUE!</v>
      </c>
      <c r="BC6" t="e">
        <f>AND(Plan1!N89,"AAAAADr1fzY=")</f>
        <v>#VALUE!</v>
      </c>
      <c r="BD6">
        <f>IF(Plan1!90:90,"AAAAADr1fzc=",0)</f>
        <v>0</v>
      </c>
      <c r="BE6" t="e">
        <f>AND(Plan1!A90,"AAAAADr1fzg=")</f>
        <v>#VALUE!</v>
      </c>
      <c r="BF6" t="e">
        <f>AND(Plan1!B90,"AAAAADr1fzk=")</f>
        <v>#VALUE!</v>
      </c>
      <c r="BG6" t="e">
        <f>AND(Plan1!C90,"AAAAADr1fzo=")</f>
        <v>#VALUE!</v>
      </c>
      <c r="BH6" t="e">
        <f>AND(Plan1!D90,"AAAAADr1fzs=")</f>
        <v>#VALUE!</v>
      </c>
      <c r="BI6" t="e">
        <f>AND(Plan1!E90,"AAAAADr1fzw=")</f>
        <v>#VALUE!</v>
      </c>
      <c r="BJ6" t="e">
        <f>AND(Plan1!F90,"AAAAADr1fz0=")</f>
        <v>#VALUE!</v>
      </c>
      <c r="BK6" t="e">
        <f>AND(Plan1!G90,"AAAAADr1fz4=")</f>
        <v>#VALUE!</v>
      </c>
      <c r="BL6" t="e">
        <f>AND(Plan1!H90,"AAAAADr1fz8=")</f>
        <v>#VALUE!</v>
      </c>
      <c r="BM6" t="e">
        <f>AND(Plan1!I90,"AAAAADr1f0A=")</f>
        <v>#VALUE!</v>
      </c>
      <c r="BN6" t="e">
        <f>AND(Plan1!J90,"AAAAADr1f0E=")</f>
        <v>#VALUE!</v>
      </c>
      <c r="BO6" t="e">
        <f>AND(Plan1!K90,"AAAAADr1f0I=")</f>
        <v>#VALUE!</v>
      </c>
      <c r="BP6" t="e">
        <f>AND(Plan1!L90,"AAAAADr1f0M=")</f>
        <v>#VALUE!</v>
      </c>
      <c r="BQ6" t="e">
        <f>AND(Plan1!M90,"AAAAADr1f0Q=")</f>
        <v>#VALUE!</v>
      </c>
      <c r="BR6" t="e">
        <f>AND(Plan1!N90,"AAAAADr1f0U=")</f>
        <v>#VALUE!</v>
      </c>
      <c r="BS6">
        <f>IF(Plan1!91:91,"AAAAADr1f0Y=",0)</f>
        <v>0</v>
      </c>
      <c r="BT6" t="e">
        <f>AND(Plan1!A91,"AAAAADr1f0c=")</f>
        <v>#VALUE!</v>
      </c>
      <c r="BU6" t="e">
        <f>AND(Plan1!B91,"AAAAADr1f0g=")</f>
        <v>#VALUE!</v>
      </c>
      <c r="BV6" t="e">
        <f>AND(Plan1!C91,"AAAAADr1f0k=")</f>
        <v>#VALUE!</v>
      </c>
      <c r="BW6" t="e">
        <f>AND(Plan1!D91,"AAAAADr1f0o=")</f>
        <v>#VALUE!</v>
      </c>
      <c r="BX6" t="e">
        <f>AND(Plan1!E91,"AAAAADr1f0s=")</f>
        <v>#VALUE!</v>
      </c>
      <c r="BY6" t="e">
        <f>AND(Plan1!F91,"AAAAADr1f0w=")</f>
        <v>#VALUE!</v>
      </c>
      <c r="BZ6" t="e">
        <f>AND(Plan1!G91,"AAAAADr1f00=")</f>
        <v>#VALUE!</v>
      </c>
      <c r="CA6" t="e">
        <f>AND(Plan1!H91,"AAAAADr1f04=")</f>
        <v>#VALUE!</v>
      </c>
      <c r="CB6" t="e">
        <f>AND(Plan1!I91,"AAAAADr1f08=")</f>
        <v>#VALUE!</v>
      </c>
      <c r="CC6" t="e">
        <f>AND(Plan1!J91,"AAAAADr1f1A=")</f>
        <v>#VALUE!</v>
      </c>
      <c r="CD6" t="e">
        <f>AND(Plan1!K91,"AAAAADr1f1E=")</f>
        <v>#VALUE!</v>
      </c>
      <c r="CE6" t="e">
        <f>AND(Plan1!L91,"AAAAADr1f1I=")</f>
        <v>#VALUE!</v>
      </c>
      <c r="CF6" t="e">
        <f>AND(Plan1!M91,"AAAAADr1f1M=")</f>
        <v>#VALUE!</v>
      </c>
      <c r="CG6" t="e">
        <f>AND(Plan1!N91,"AAAAADr1f1Q=")</f>
        <v>#VALUE!</v>
      </c>
      <c r="CH6">
        <f>IF(Plan1!92:92,"AAAAADr1f1U=",0)</f>
        <v>0</v>
      </c>
      <c r="CI6" t="e">
        <f>AND(Plan1!A92,"AAAAADr1f1Y=")</f>
        <v>#VALUE!</v>
      </c>
      <c r="CJ6" t="e">
        <f>AND(Plan1!B92,"AAAAADr1f1c=")</f>
        <v>#VALUE!</v>
      </c>
      <c r="CK6" t="e">
        <f>AND(Plan1!C92,"AAAAADr1f1g=")</f>
        <v>#VALUE!</v>
      </c>
      <c r="CL6" t="e">
        <f>AND(Plan1!D92,"AAAAADr1f1k=")</f>
        <v>#VALUE!</v>
      </c>
      <c r="CM6" t="e">
        <f>AND(Plan1!E92,"AAAAADr1f1o=")</f>
        <v>#VALUE!</v>
      </c>
      <c r="CN6" t="e">
        <f>AND(Plan1!F92,"AAAAADr1f1s=")</f>
        <v>#VALUE!</v>
      </c>
      <c r="CO6" t="e">
        <f>AND(Plan1!G92,"AAAAADr1f1w=")</f>
        <v>#VALUE!</v>
      </c>
      <c r="CP6" t="e">
        <f>AND(Plan1!H92,"AAAAADr1f10=")</f>
        <v>#VALUE!</v>
      </c>
      <c r="CQ6" t="e">
        <f>AND(Plan1!I92,"AAAAADr1f14=")</f>
        <v>#VALUE!</v>
      </c>
      <c r="CR6" t="e">
        <f>AND(Plan1!J92,"AAAAADr1f18=")</f>
        <v>#VALUE!</v>
      </c>
      <c r="CS6" t="e">
        <f>AND(Plan1!K92,"AAAAADr1f2A=")</f>
        <v>#VALUE!</v>
      </c>
      <c r="CT6" t="e">
        <f>AND(Plan1!L92,"AAAAADr1f2E=")</f>
        <v>#VALUE!</v>
      </c>
      <c r="CU6" t="e">
        <f>AND(Plan1!M92,"AAAAADr1f2I=")</f>
        <v>#VALUE!</v>
      </c>
      <c r="CV6" t="e">
        <f>AND(Plan1!N92,"AAAAADr1f2M=")</f>
        <v>#VALUE!</v>
      </c>
      <c r="CW6">
        <f>IF(Plan1!93:93,"AAAAADr1f2Q=",0)</f>
        <v>0</v>
      </c>
      <c r="CX6" t="e">
        <f>AND(Plan1!A93,"AAAAADr1f2U=")</f>
        <v>#VALUE!</v>
      </c>
      <c r="CY6" t="e">
        <f>AND(Plan1!B93,"AAAAADr1f2Y=")</f>
        <v>#VALUE!</v>
      </c>
      <c r="CZ6" t="e">
        <f>AND(Plan1!C93,"AAAAADr1f2c=")</f>
        <v>#VALUE!</v>
      </c>
      <c r="DA6" t="e">
        <f>AND(Plan1!D93,"AAAAADr1f2g=")</f>
        <v>#VALUE!</v>
      </c>
      <c r="DB6" t="e">
        <f>AND(Plan1!E93,"AAAAADr1f2k=")</f>
        <v>#VALUE!</v>
      </c>
      <c r="DC6" t="e">
        <f>AND(Plan1!F93,"AAAAADr1f2o=")</f>
        <v>#VALUE!</v>
      </c>
      <c r="DD6" t="e">
        <f>AND(Plan1!G93,"AAAAADr1f2s=")</f>
        <v>#VALUE!</v>
      </c>
      <c r="DE6" t="e">
        <f>AND(Plan1!H93,"AAAAADr1f2w=")</f>
        <v>#VALUE!</v>
      </c>
      <c r="DF6" t="e">
        <f>AND(Plan1!I93,"AAAAADr1f20=")</f>
        <v>#VALUE!</v>
      </c>
      <c r="DG6" t="e">
        <f>AND(Plan1!J93,"AAAAADr1f24=")</f>
        <v>#VALUE!</v>
      </c>
      <c r="DH6" t="e">
        <f>AND(Plan1!K93,"AAAAADr1f28=")</f>
        <v>#VALUE!</v>
      </c>
      <c r="DI6" t="e">
        <f>AND(Plan1!L93,"AAAAADr1f3A=")</f>
        <v>#VALUE!</v>
      </c>
      <c r="DJ6" t="e">
        <f>AND(Plan1!M93,"AAAAADr1f3E=")</f>
        <v>#VALUE!</v>
      </c>
      <c r="DK6" t="e">
        <f>AND(Plan1!N93,"AAAAADr1f3I=")</f>
        <v>#VALUE!</v>
      </c>
      <c r="DL6">
        <f>IF(Plan1!94:94,"AAAAADr1f3M=",0)</f>
        <v>0</v>
      </c>
      <c r="DM6" t="e">
        <f>AND(Plan1!A94,"AAAAADr1f3Q=")</f>
        <v>#VALUE!</v>
      </c>
      <c r="DN6" t="e">
        <f>AND(Plan1!B94,"AAAAADr1f3U=")</f>
        <v>#VALUE!</v>
      </c>
      <c r="DO6" t="e">
        <f>AND(Plan1!C94,"AAAAADr1f3Y=")</f>
        <v>#VALUE!</v>
      </c>
      <c r="DP6" t="e">
        <f>AND(Plan1!D94,"AAAAADr1f3c=")</f>
        <v>#VALUE!</v>
      </c>
      <c r="DQ6" t="e">
        <f>AND(Plan1!E94,"AAAAADr1f3g=")</f>
        <v>#VALUE!</v>
      </c>
      <c r="DR6" t="e">
        <f>AND(Plan1!F94,"AAAAADr1f3k=")</f>
        <v>#VALUE!</v>
      </c>
      <c r="DS6" t="e">
        <f>AND(Plan1!G94,"AAAAADr1f3o=")</f>
        <v>#VALUE!</v>
      </c>
      <c r="DT6" t="e">
        <f>AND(Plan1!H94,"AAAAADr1f3s=")</f>
        <v>#VALUE!</v>
      </c>
      <c r="DU6" t="e">
        <f>AND(Plan1!I94,"AAAAADr1f3w=")</f>
        <v>#VALUE!</v>
      </c>
      <c r="DV6" t="e">
        <f>AND(Plan1!J94,"AAAAADr1f30=")</f>
        <v>#VALUE!</v>
      </c>
      <c r="DW6" t="e">
        <f>AND(Plan1!K94,"AAAAADr1f34=")</f>
        <v>#VALUE!</v>
      </c>
      <c r="DX6" t="e">
        <f>AND(Plan1!L94,"AAAAADr1f38=")</f>
        <v>#VALUE!</v>
      </c>
      <c r="DY6" t="e">
        <f>AND(Plan1!M94,"AAAAADr1f4A=")</f>
        <v>#VALUE!</v>
      </c>
      <c r="DZ6" t="e">
        <f>AND(Plan1!N94,"AAAAADr1f4E=")</f>
        <v>#VALUE!</v>
      </c>
      <c r="EA6">
        <f>IF(Plan1!95:95,"AAAAADr1f4I=",0)</f>
        <v>0</v>
      </c>
      <c r="EB6" t="e">
        <f>AND(Plan1!A95,"AAAAADr1f4M=")</f>
        <v>#VALUE!</v>
      </c>
      <c r="EC6" t="e">
        <f>AND(Plan1!B95,"AAAAADr1f4Q=")</f>
        <v>#VALUE!</v>
      </c>
      <c r="ED6" t="e">
        <f>AND(Plan1!C95,"AAAAADr1f4U=")</f>
        <v>#VALUE!</v>
      </c>
      <c r="EE6" t="e">
        <f>AND(Plan1!D95,"AAAAADr1f4Y=")</f>
        <v>#VALUE!</v>
      </c>
      <c r="EF6" t="e">
        <f>AND(Plan1!E95,"AAAAADr1f4c=")</f>
        <v>#VALUE!</v>
      </c>
      <c r="EG6" t="e">
        <f>AND(Plan1!F95,"AAAAADr1f4g=")</f>
        <v>#VALUE!</v>
      </c>
      <c r="EH6" t="e">
        <f>AND(Plan1!G95,"AAAAADr1f4k=")</f>
        <v>#VALUE!</v>
      </c>
      <c r="EI6" t="e">
        <f>AND(Plan1!H95,"AAAAADr1f4o=")</f>
        <v>#VALUE!</v>
      </c>
      <c r="EJ6" t="e">
        <f>AND(Plan1!I95,"AAAAADr1f4s=")</f>
        <v>#VALUE!</v>
      </c>
      <c r="EK6" t="e">
        <f>AND(Plan1!J95,"AAAAADr1f4w=")</f>
        <v>#VALUE!</v>
      </c>
      <c r="EL6" t="e">
        <f>AND(Plan1!K95,"AAAAADr1f40=")</f>
        <v>#VALUE!</v>
      </c>
      <c r="EM6" t="e">
        <f>AND(Plan1!L95,"AAAAADr1f44=")</f>
        <v>#VALUE!</v>
      </c>
      <c r="EN6" t="e">
        <f>AND(Plan1!M95,"AAAAADr1f48=")</f>
        <v>#VALUE!</v>
      </c>
      <c r="EO6" t="e">
        <f>AND(Plan1!N95,"AAAAADr1f5A=")</f>
        <v>#VALUE!</v>
      </c>
      <c r="EP6">
        <f>IF(Plan1!96:96,"AAAAADr1f5E=",0)</f>
        <v>0</v>
      </c>
      <c r="EQ6" t="e">
        <f>AND(Plan1!A96,"AAAAADr1f5I=")</f>
        <v>#VALUE!</v>
      </c>
      <c r="ER6" t="e">
        <f>AND(Plan1!B96,"AAAAADr1f5M=")</f>
        <v>#VALUE!</v>
      </c>
      <c r="ES6" t="e">
        <f>AND(Plan1!C96,"AAAAADr1f5Q=")</f>
        <v>#VALUE!</v>
      </c>
      <c r="ET6" t="e">
        <f>AND(Plan1!D96,"AAAAADr1f5U=")</f>
        <v>#VALUE!</v>
      </c>
      <c r="EU6" t="e">
        <f>AND(Plan1!E96,"AAAAADr1f5Y=")</f>
        <v>#VALUE!</v>
      </c>
      <c r="EV6" t="e">
        <f>AND(Plan1!F96,"AAAAADr1f5c=")</f>
        <v>#VALUE!</v>
      </c>
      <c r="EW6" t="e">
        <f>AND(Plan1!G96,"AAAAADr1f5g=")</f>
        <v>#VALUE!</v>
      </c>
      <c r="EX6" t="e">
        <f>AND(Plan1!H96,"AAAAADr1f5k=")</f>
        <v>#VALUE!</v>
      </c>
      <c r="EY6" t="e">
        <f>AND(Plan1!I96,"AAAAADr1f5o=")</f>
        <v>#VALUE!</v>
      </c>
      <c r="EZ6" t="e">
        <f>AND(Plan1!J96,"AAAAADr1f5s=")</f>
        <v>#VALUE!</v>
      </c>
      <c r="FA6" t="e">
        <f>AND(Plan1!K96,"AAAAADr1f5w=")</f>
        <v>#VALUE!</v>
      </c>
      <c r="FB6" t="e">
        <f>AND(Plan1!L96,"AAAAADr1f50=")</f>
        <v>#VALUE!</v>
      </c>
      <c r="FC6" t="e">
        <f>AND(Plan1!M96,"AAAAADr1f54=")</f>
        <v>#VALUE!</v>
      </c>
      <c r="FD6" t="e">
        <f>AND(Plan1!N96,"AAAAADr1f58=")</f>
        <v>#VALUE!</v>
      </c>
      <c r="FE6">
        <f>IF(Plan1!97:97,"AAAAADr1f6A=",0)</f>
        <v>0</v>
      </c>
      <c r="FF6" t="e">
        <f>AND(Plan1!A97,"AAAAADr1f6E=")</f>
        <v>#VALUE!</v>
      </c>
      <c r="FG6" t="e">
        <f>AND(Plan1!B97,"AAAAADr1f6I=")</f>
        <v>#VALUE!</v>
      </c>
      <c r="FH6" t="e">
        <f>AND(Plan1!C97,"AAAAADr1f6M=")</f>
        <v>#VALUE!</v>
      </c>
      <c r="FI6" t="e">
        <f>AND(Plan1!D97,"AAAAADr1f6Q=")</f>
        <v>#VALUE!</v>
      </c>
      <c r="FJ6" t="e">
        <f>AND(Plan1!E97,"AAAAADr1f6U=")</f>
        <v>#VALUE!</v>
      </c>
      <c r="FK6" t="e">
        <f>AND(Plan1!F97,"AAAAADr1f6Y=")</f>
        <v>#VALUE!</v>
      </c>
      <c r="FL6" t="e">
        <f>AND(Plan1!G97,"AAAAADr1f6c=")</f>
        <v>#VALUE!</v>
      </c>
      <c r="FM6" t="e">
        <f>AND(Plan1!H97,"AAAAADr1f6g=")</f>
        <v>#VALUE!</v>
      </c>
      <c r="FN6" t="e">
        <f>AND(Plan1!I97,"AAAAADr1f6k=")</f>
        <v>#VALUE!</v>
      </c>
      <c r="FO6" t="e">
        <f>AND(Plan1!J97,"AAAAADr1f6o=")</f>
        <v>#VALUE!</v>
      </c>
      <c r="FP6" t="e">
        <f>AND(Plan1!K97,"AAAAADr1f6s=")</f>
        <v>#VALUE!</v>
      </c>
      <c r="FQ6" t="e">
        <f>AND(Plan1!L97,"AAAAADr1f6w=")</f>
        <v>#VALUE!</v>
      </c>
      <c r="FR6" t="e">
        <f>AND(Plan1!M97,"AAAAADr1f60=")</f>
        <v>#VALUE!</v>
      </c>
      <c r="FS6" t="e">
        <f>AND(Plan1!N97,"AAAAADr1f64=")</f>
        <v>#VALUE!</v>
      </c>
      <c r="FT6">
        <f>IF(Plan1!98:98,"AAAAADr1f68=",0)</f>
        <v>0</v>
      </c>
      <c r="FU6" t="e">
        <f>AND(Plan1!A98,"AAAAADr1f7A=")</f>
        <v>#VALUE!</v>
      </c>
      <c r="FV6" t="e">
        <f>AND(Plan1!B98,"AAAAADr1f7E=")</f>
        <v>#VALUE!</v>
      </c>
      <c r="FW6" t="e">
        <f>AND(Plan1!C98,"AAAAADr1f7I=")</f>
        <v>#VALUE!</v>
      </c>
      <c r="FX6" t="e">
        <f>AND(Plan1!D98,"AAAAADr1f7M=")</f>
        <v>#VALUE!</v>
      </c>
      <c r="FY6" t="e">
        <f>AND(Plan1!E98,"AAAAADr1f7Q=")</f>
        <v>#VALUE!</v>
      </c>
      <c r="FZ6" t="e">
        <f>AND(Plan1!F98,"AAAAADr1f7U=")</f>
        <v>#VALUE!</v>
      </c>
      <c r="GA6" t="e">
        <f>AND(Plan1!G98,"AAAAADr1f7Y=")</f>
        <v>#VALUE!</v>
      </c>
      <c r="GB6" t="e">
        <f>AND(Plan1!H98,"AAAAADr1f7c=")</f>
        <v>#VALUE!</v>
      </c>
      <c r="GC6" t="e">
        <f>AND(Plan1!I98,"AAAAADr1f7g=")</f>
        <v>#VALUE!</v>
      </c>
      <c r="GD6" t="e">
        <f>AND(Plan1!J98,"AAAAADr1f7k=")</f>
        <v>#VALUE!</v>
      </c>
      <c r="GE6" t="e">
        <f>AND(Plan1!K98,"AAAAADr1f7o=")</f>
        <v>#VALUE!</v>
      </c>
      <c r="GF6" t="e">
        <f>AND(Plan1!L98,"AAAAADr1f7s=")</f>
        <v>#VALUE!</v>
      </c>
      <c r="GG6" t="e">
        <f>AND(Plan1!M98,"AAAAADr1f7w=")</f>
        <v>#VALUE!</v>
      </c>
      <c r="GH6" t="e">
        <f>AND(Plan1!N98,"AAAAADr1f70=")</f>
        <v>#VALUE!</v>
      </c>
      <c r="GI6">
        <f>IF(Plan1!99:99,"AAAAADr1f74=",0)</f>
        <v>0</v>
      </c>
      <c r="GJ6" t="e">
        <f>AND(Plan1!A99,"AAAAADr1f78=")</f>
        <v>#VALUE!</v>
      </c>
      <c r="GK6" t="e">
        <f>AND(Plan1!B99,"AAAAADr1f8A=")</f>
        <v>#VALUE!</v>
      </c>
      <c r="GL6" t="e">
        <f>AND(Plan1!C99,"AAAAADr1f8E=")</f>
        <v>#VALUE!</v>
      </c>
      <c r="GM6" t="e">
        <f>AND(Plan1!D99,"AAAAADr1f8I=")</f>
        <v>#VALUE!</v>
      </c>
      <c r="GN6" t="e">
        <f>AND(Plan1!E99,"AAAAADr1f8M=")</f>
        <v>#VALUE!</v>
      </c>
      <c r="GO6" t="e">
        <f>AND(Plan1!F99,"AAAAADr1f8Q=")</f>
        <v>#VALUE!</v>
      </c>
      <c r="GP6" t="e">
        <f>AND(Plan1!G99,"AAAAADr1f8U=")</f>
        <v>#VALUE!</v>
      </c>
      <c r="GQ6" t="e">
        <f>AND(Plan1!H99,"AAAAADr1f8Y=")</f>
        <v>#VALUE!</v>
      </c>
      <c r="GR6" t="e">
        <f>AND(Plan1!I99,"AAAAADr1f8c=")</f>
        <v>#VALUE!</v>
      </c>
      <c r="GS6" t="e">
        <f>AND(Plan1!J99,"AAAAADr1f8g=")</f>
        <v>#VALUE!</v>
      </c>
      <c r="GT6" t="e">
        <f>AND(Plan1!K99,"AAAAADr1f8k=")</f>
        <v>#VALUE!</v>
      </c>
      <c r="GU6" t="e">
        <f>AND(Plan1!L99,"AAAAADr1f8o=")</f>
        <v>#VALUE!</v>
      </c>
      <c r="GV6" t="e">
        <f>AND(Plan1!M99,"AAAAADr1f8s=")</f>
        <v>#VALUE!</v>
      </c>
      <c r="GW6" t="e">
        <f>AND(Plan1!N99,"AAAAADr1f8w=")</f>
        <v>#VALUE!</v>
      </c>
      <c r="GX6">
        <f>IF(Plan1!100:100,"AAAAADr1f80=",0)</f>
        <v>0</v>
      </c>
      <c r="GY6" t="e">
        <f>AND(Plan1!A100,"AAAAADr1f84=")</f>
        <v>#VALUE!</v>
      </c>
      <c r="GZ6" t="e">
        <f>AND(Plan1!B100,"AAAAADr1f88=")</f>
        <v>#VALUE!</v>
      </c>
      <c r="HA6" t="e">
        <f>AND(Plan1!C100,"AAAAADr1f9A=")</f>
        <v>#VALUE!</v>
      </c>
      <c r="HB6" t="e">
        <f>AND(Plan1!D100,"AAAAADr1f9E=")</f>
        <v>#VALUE!</v>
      </c>
      <c r="HC6" t="e">
        <f>AND(Plan1!E100,"AAAAADr1f9I=")</f>
        <v>#VALUE!</v>
      </c>
      <c r="HD6" t="e">
        <f>AND(Plan1!F100,"AAAAADr1f9M=")</f>
        <v>#VALUE!</v>
      </c>
      <c r="HE6" t="e">
        <f>AND(Plan1!G100,"AAAAADr1f9Q=")</f>
        <v>#VALUE!</v>
      </c>
      <c r="HF6" t="e">
        <f>AND(Plan1!H100,"AAAAADr1f9U=")</f>
        <v>#VALUE!</v>
      </c>
      <c r="HG6" t="e">
        <f>AND(Plan1!I100,"AAAAADr1f9Y=")</f>
        <v>#VALUE!</v>
      </c>
      <c r="HH6" t="e">
        <f>AND(Plan1!J100,"AAAAADr1f9c=")</f>
        <v>#VALUE!</v>
      </c>
      <c r="HI6" t="e">
        <f>AND(Plan1!K100,"AAAAADr1f9g=")</f>
        <v>#VALUE!</v>
      </c>
      <c r="HJ6" t="e">
        <f>AND(Plan1!L100,"AAAAADr1f9k=")</f>
        <v>#VALUE!</v>
      </c>
      <c r="HK6" t="e">
        <f>AND(Plan1!M100,"AAAAADr1f9o=")</f>
        <v>#VALUE!</v>
      </c>
      <c r="HL6" t="e">
        <f>AND(Plan1!N100,"AAAAADr1f9s=")</f>
        <v>#VALUE!</v>
      </c>
      <c r="HM6">
        <f>IF(Plan1!101:101,"AAAAADr1f9w=",0)</f>
        <v>0</v>
      </c>
      <c r="HN6" t="e">
        <f>AND(Plan1!A101,"AAAAADr1f90=")</f>
        <v>#VALUE!</v>
      </c>
      <c r="HO6" t="e">
        <f>AND(Plan1!B101,"AAAAADr1f94=")</f>
        <v>#VALUE!</v>
      </c>
      <c r="HP6" t="e">
        <f>AND(Plan1!C101,"AAAAADr1f98=")</f>
        <v>#VALUE!</v>
      </c>
      <c r="HQ6" t="e">
        <f>AND(Plan1!D101,"AAAAADr1f+A=")</f>
        <v>#VALUE!</v>
      </c>
      <c r="HR6" t="e">
        <f>AND(Plan1!E101,"AAAAADr1f+E=")</f>
        <v>#VALUE!</v>
      </c>
      <c r="HS6" t="e">
        <f>AND(Plan1!F101,"AAAAADr1f+I=")</f>
        <v>#VALUE!</v>
      </c>
      <c r="HT6" t="e">
        <f>AND(Plan1!G101,"AAAAADr1f+M=")</f>
        <v>#VALUE!</v>
      </c>
      <c r="HU6" t="e">
        <f>AND(Plan1!H101,"AAAAADr1f+Q=")</f>
        <v>#VALUE!</v>
      </c>
      <c r="HV6" t="e">
        <f>AND(Plan1!I101,"AAAAADr1f+U=")</f>
        <v>#VALUE!</v>
      </c>
      <c r="HW6" t="e">
        <f>AND(Plan1!J101,"AAAAADr1f+Y=")</f>
        <v>#VALUE!</v>
      </c>
      <c r="HX6" t="e">
        <f>AND(Plan1!K101,"AAAAADr1f+c=")</f>
        <v>#VALUE!</v>
      </c>
      <c r="HY6" t="e">
        <f>AND(Plan1!L101,"AAAAADr1f+g=")</f>
        <v>#VALUE!</v>
      </c>
      <c r="HZ6" t="e">
        <f>AND(Plan1!M101,"AAAAADr1f+k=")</f>
        <v>#VALUE!</v>
      </c>
      <c r="IA6" t="e">
        <f>AND(Plan1!N101,"AAAAADr1f+o=")</f>
        <v>#VALUE!</v>
      </c>
      <c r="IB6">
        <f>IF(Plan1!102:102,"AAAAADr1f+s=",0)</f>
        <v>0</v>
      </c>
      <c r="IC6" t="e">
        <f>AND(Plan1!A102,"AAAAADr1f+w=")</f>
        <v>#VALUE!</v>
      </c>
      <c r="ID6" t="e">
        <f>AND(Plan1!B102,"AAAAADr1f+0=")</f>
        <v>#VALUE!</v>
      </c>
      <c r="IE6" t="e">
        <f>AND(Plan1!C102,"AAAAADr1f+4=")</f>
        <v>#VALUE!</v>
      </c>
      <c r="IF6" t="e">
        <f>AND(Plan1!D102,"AAAAADr1f+8=")</f>
        <v>#VALUE!</v>
      </c>
      <c r="IG6" t="e">
        <f>AND(Plan1!E102,"AAAAADr1f/A=")</f>
        <v>#VALUE!</v>
      </c>
      <c r="IH6" t="e">
        <f>AND(Plan1!F102,"AAAAADr1f/E=")</f>
        <v>#VALUE!</v>
      </c>
      <c r="II6" t="e">
        <f>AND(Plan1!G102,"AAAAADr1f/I=")</f>
        <v>#VALUE!</v>
      </c>
      <c r="IJ6" t="e">
        <f>AND(Plan1!H102,"AAAAADr1f/M=")</f>
        <v>#VALUE!</v>
      </c>
      <c r="IK6" t="e">
        <f>AND(Plan1!I102,"AAAAADr1f/Q=")</f>
        <v>#VALUE!</v>
      </c>
      <c r="IL6" t="e">
        <f>AND(Plan1!J102,"AAAAADr1f/U=")</f>
        <v>#VALUE!</v>
      </c>
      <c r="IM6" t="e">
        <f>AND(Plan1!K102,"AAAAADr1f/Y=")</f>
        <v>#VALUE!</v>
      </c>
      <c r="IN6" t="e">
        <f>AND(Plan1!L102,"AAAAADr1f/c=")</f>
        <v>#VALUE!</v>
      </c>
      <c r="IO6" t="e">
        <f>AND(Plan1!M102,"AAAAADr1f/g=")</f>
        <v>#VALUE!</v>
      </c>
      <c r="IP6" t="e">
        <f>AND(Plan1!N102,"AAAAADr1f/k=")</f>
        <v>#VALUE!</v>
      </c>
      <c r="IQ6">
        <f>IF(Plan1!103:103,"AAAAADr1f/o=",0)</f>
        <v>0</v>
      </c>
      <c r="IR6" t="e">
        <f>AND(Plan1!A103,"AAAAADr1f/s=")</f>
        <v>#VALUE!</v>
      </c>
      <c r="IS6" t="e">
        <f>AND(Plan1!B103,"AAAAADr1f/w=")</f>
        <v>#VALUE!</v>
      </c>
      <c r="IT6" t="e">
        <f>AND(Plan1!C103,"AAAAADr1f/0=")</f>
        <v>#VALUE!</v>
      </c>
      <c r="IU6" t="e">
        <f>AND(Plan1!D103,"AAAAADr1f/4=")</f>
        <v>#VALUE!</v>
      </c>
      <c r="IV6" t="e">
        <f>AND(Plan1!E103,"AAAAADr1f/8=")</f>
        <v>#VALUE!</v>
      </c>
    </row>
    <row r="7" spans="1:256">
      <c r="A7" t="e">
        <f>AND(Plan1!F103,"AAAAAGNPtwA=")</f>
        <v>#VALUE!</v>
      </c>
      <c r="B7" t="e">
        <f>AND(Plan1!G103,"AAAAAGNPtwE=")</f>
        <v>#VALUE!</v>
      </c>
      <c r="C7" t="e">
        <f>AND(Plan1!H103,"AAAAAGNPtwI=")</f>
        <v>#VALUE!</v>
      </c>
      <c r="D7" t="e">
        <f>AND(Plan1!I103,"AAAAAGNPtwM=")</f>
        <v>#VALUE!</v>
      </c>
      <c r="E7" t="e">
        <f>AND(Plan1!J103,"AAAAAGNPtwQ=")</f>
        <v>#VALUE!</v>
      </c>
      <c r="F7" t="e">
        <f>AND(Plan1!K103,"AAAAAGNPtwU=")</f>
        <v>#VALUE!</v>
      </c>
      <c r="G7" t="e">
        <f>AND(Plan1!L103,"AAAAAGNPtwY=")</f>
        <v>#VALUE!</v>
      </c>
      <c r="H7" t="e">
        <f>AND(Plan1!M103,"AAAAAGNPtwc=")</f>
        <v>#VALUE!</v>
      </c>
      <c r="I7" t="e">
        <f>AND(Plan1!N103,"AAAAAGNPtwg=")</f>
        <v>#VALUE!</v>
      </c>
      <c r="J7">
        <f>IF(Plan1!104:104,"AAAAAGNPtwk=",0)</f>
        <v>0</v>
      </c>
      <c r="K7" t="e">
        <f>AND(Plan1!A104,"AAAAAGNPtwo=")</f>
        <v>#VALUE!</v>
      </c>
      <c r="L7" t="e">
        <f>AND(Plan1!B104,"AAAAAGNPtws=")</f>
        <v>#VALUE!</v>
      </c>
      <c r="M7" t="e">
        <f>AND(Plan1!C104,"AAAAAGNPtww=")</f>
        <v>#VALUE!</v>
      </c>
      <c r="N7" t="e">
        <f>AND(Plan1!D104,"AAAAAGNPtw0=")</f>
        <v>#VALUE!</v>
      </c>
      <c r="O7" t="e">
        <f>AND(Plan1!E104,"AAAAAGNPtw4=")</f>
        <v>#VALUE!</v>
      </c>
      <c r="P7" t="e">
        <f>AND(Plan1!F104,"AAAAAGNPtw8=")</f>
        <v>#VALUE!</v>
      </c>
      <c r="Q7" t="e">
        <f>AND(Plan1!G104,"AAAAAGNPtxA=")</f>
        <v>#VALUE!</v>
      </c>
      <c r="R7" t="e">
        <f>AND(Plan1!H104,"AAAAAGNPtxE=")</f>
        <v>#VALUE!</v>
      </c>
      <c r="S7" t="e">
        <f>AND(Plan1!I104,"AAAAAGNPtxI=")</f>
        <v>#VALUE!</v>
      </c>
      <c r="T7" t="e">
        <f>AND(Plan1!J104,"AAAAAGNPtxM=")</f>
        <v>#VALUE!</v>
      </c>
      <c r="U7" t="e">
        <f>AND(Plan1!K104,"AAAAAGNPtxQ=")</f>
        <v>#VALUE!</v>
      </c>
      <c r="V7" t="e">
        <f>AND(Plan1!L104,"AAAAAGNPtxU=")</f>
        <v>#VALUE!</v>
      </c>
      <c r="W7" t="e">
        <f>AND(Plan1!M104,"AAAAAGNPtxY=")</f>
        <v>#VALUE!</v>
      </c>
      <c r="X7" t="e">
        <f>AND(Plan1!N104,"AAAAAGNPtxc=")</f>
        <v>#VALUE!</v>
      </c>
      <c r="Y7">
        <f>IF(Plan1!105:105,"AAAAAGNPtxg=",0)</f>
        <v>0</v>
      </c>
      <c r="Z7" t="e">
        <f>AND(Plan1!A105,"AAAAAGNPtxk=")</f>
        <v>#VALUE!</v>
      </c>
      <c r="AA7" t="e">
        <f>AND(Plan1!B105,"AAAAAGNPtxo=")</f>
        <v>#VALUE!</v>
      </c>
      <c r="AB7" t="e">
        <f>AND(Plan1!C105,"AAAAAGNPtxs=")</f>
        <v>#VALUE!</v>
      </c>
      <c r="AC7" t="e">
        <f>AND(Plan1!D105,"AAAAAGNPtxw=")</f>
        <v>#VALUE!</v>
      </c>
      <c r="AD7" t="e">
        <f>AND(Plan1!E105,"AAAAAGNPtx0=")</f>
        <v>#VALUE!</v>
      </c>
      <c r="AE7" t="e">
        <f>AND(Plan1!F105,"AAAAAGNPtx4=")</f>
        <v>#VALUE!</v>
      </c>
      <c r="AF7" t="e">
        <f>AND(Plan1!G105,"AAAAAGNPtx8=")</f>
        <v>#VALUE!</v>
      </c>
      <c r="AG7" t="e">
        <f>AND(Plan1!H105,"AAAAAGNPtyA=")</f>
        <v>#VALUE!</v>
      </c>
      <c r="AH7" t="e">
        <f>AND(Plan1!I105,"AAAAAGNPtyE=")</f>
        <v>#VALUE!</v>
      </c>
      <c r="AI7" t="e">
        <f>AND(Plan1!J105,"AAAAAGNPtyI=")</f>
        <v>#VALUE!</v>
      </c>
      <c r="AJ7" t="e">
        <f>AND(Plan1!K105,"AAAAAGNPtyM=")</f>
        <v>#VALUE!</v>
      </c>
      <c r="AK7" t="e">
        <f>AND(Plan1!L105,"AAAAAGNPtyQ=")</f>
        <v>#VALUE!</v>
      </c>
      <c r="AL7" t="e">
        <f>AND(Plan1!M105,"AAAAAGNPtyU=")</f>
        <v>#VALUE!</v>
      </c>
      <c r="AM7" t="e">
        <f>AND(Plan1!N105,"AAAAAGNPtyY=")</f>
        <v>#VALUE!</v>
      </c>
      <c r="AN7">
        <f>IF(Plan1!106:106,"AAAAAGNPtyc=",0)</f>
        <v>0</v>
      </c>
      <c r="AO7" t="e">
        <f>AND(Plan1!A106,"AAAAAGNPtyg=")</f>
        <v>#VALUE!</v>
      </c>
      <c r="AP7" t="e">
        <f>AND(Plan1!B106,"AAAAAGNPtyk=")</f>
        <v>#VALUE!</v>
      </c>
      <c r="AQ7" t="e">
        <f>AND(Plan1!C106,"AAAAAGNPtyo=")</f>
        <v>#VALUE!</v>
      </c>
      <c r="AR7" t="e">
        <f>AND(Plan1!D106,"AAAAAGNPtys=")</f>
        <v>#VALUE!</v>
      </c>
      <c r="AS7" t="e">
        <f>AND(Plan1!E106,"AAAAAGNPtyw=")</f>
        <v>#VALUE!</v>
      </c>
      <c r="AT7" t="e">
        <f>AND(Plan1!F106,"AAAAAGNPty0=")</f>
        <v>#VALUE!</v>
      </c>
      <c r="AU7" t="e">
        <f>AND(Plan1!G106,"AAAAAGNPty4=")</f>
        <v>#VALUE!</v>
      </c>
      <c r="AV7" t="e">
        <f>AND(Plan1!H106,"AAAAAGNPty8=")</f>
        <v>#VALUE!</v>
      </c>
      <c r="AW7" t="e">
        <f>AND(Plan1!I106,"AAAAAGNPtzA=")</f>
        <v>#VALUE!</v>
      </c>
      <c r="AX7" t="e">
        <f>AND(Plan1!J106,"AAAAAGNPtzE=")</f>
        <v>#VALUE!</v>
      </c>
      <c r="AY7" t="e">
        <f>AND(Plan1!K106,"AAAAAGNPtzI=")</f>
        <v>#VALUE!</v>
      </c>
      <c r="AZ7" t="e">
        <f>AND(Plan1!L106,"AAAAAGNPtzM=")</f>
        <v>#VALUE!</v>
      </c>
      <c r="BA7" t="e">
        <f>AND(Plan1!M106,"AAAAAGNPtzQ=")</f>
        <v>#VALUE!</v>
      </c>
      <c r="BB7" t="e">
        <f>AND(Plan1!N106,"AAAAAGNPtzU=")</f>
        <v>#VALUE!</v>
      </c>
      <c r="BC7">
        <f>IF(Plan1!107:107,"AAAAAGNPtzY=",0)</f>
        <v>0</v>
      </c>
      <c r="BD7" t="e">
        <f>AND(Plan1!A107,"AAAAAGNPtzc=")</f>
        <v>#VALUE!</v>
      </c>
      <c r="BE7" t="e">
        <f>AND(Plan1!B107,"AAAAAGNPtzg=")</f>
        <v>#VALUE!</v>
      </c>
      <c r="BF7" t="e">
        <f>AND(Plan1!C107,"AAAAAGNPtzk=")</f>
        <v>#VALUE!</v>
      </c>
      <c r="BG7" t="e">
        <f>AND(Plan1!D107,"AAAAAGNPtzo=")</f>
        <v>#VALUE!</v>
      </c>
      <c r="BH7" t="e">
        <f>AND(Plan1!E107,"AAAAAGNPtzs=")</f>
        <v>#VALUE!</v>
      </c>
      <c r="BI7" t="e">
        <f>AND(Plan1!F107,"AAAAAGNPtzw=")</f>
        <v>#VALUE!</v>
      </c>
      <c r="BJ7" t="e">
        <f>AND(Plan1!G107,"AAAAAGNPtz0=")</f>
        <v>#VALUE!</v>
      </c>
      <c r="BK7" t="e">
        <f>AND(Plan1!H107,"AAAAAGNPtz4=")</f>
        <v>#VALUE!</v>
      </c>
      <c r="BL7" t="e">
        <f>AND(Plan1!I107,"AAAAAGNPtz8=")</f>
        <v>#VALUE!</v>
      </c>
      <c r="BM7" t="e">
        <f>AND(Plan1!J107,"AAAAAGNPt0A=")</f>
        <v>#VALUE!</v>
      </c>
      <c r="BN7" t="e">
        <f>AND(Plan1!K107,"AAAAAGNPt0E=")</f>
        <v>#VALUE!</v>
      </c>
      <c r="BO7" t="e">
        <f>AND(Plan1!L107,"AAAAAGNPt0I=")</f>
        <v>#VALUE!</v>
      </c>
      <c r="BP7" t="e">
        <f>AND(Plan1!M107,"AAAAAGNPt0M=")</f>
        <v>#VALUE!</v>
      </c>
      <c r="BQ7" t="e">
        <f>AND(Plan1!N107,"AAAAAGNPt0Q=")</f>
        <v>#VALUE!</v>
      </c>
      <c r="BR7">
        <f>IF(Plan1!108:108,"AAAAAGNPt0U=",0)</f>
        <v>0</v>
      </c>
      <c r="BS7" t="e">
        <f>AND(Plan1!A108,"AAAAAGNPt0Y=")</f>
        <v>#VALUE!</v>
      </c>
      <c r="BT7" t="e">
        <f>AND(Plan1!B108,"AAAAAGNPt0c=")</f>
        <v>#VALUE!</v>
      </c>
      <c r="BU7" t="e">
        <f>AND(Plan1!C108,"AAAAAGNPt0g=")</f>
        <v>#VALUE!</v>
      </c>
      <c r="BV7" t="e">
        <f>AND(Plan1!D108,"AAAAAGNPt0k=")</f>
        <v>#VALUE!</v>
      </c>
      <c r="BW7" t="e">
        <f>AND(Plan1!E108,"AAAAAGNPt0o=")</f>
        <v>#VALUE!</v>
      </c>
      <c r="BX7" t="e">
        <f>AND(Plan1!F108,"AAAAAGNPt0s=")</f>
        <v>#VALUE!</v>
      </c>
      <c r="BY7" t="e">
        <f>AND(Plan1!G108,"AAAAAGNPt0w=")</f>
        <v>#VALUE!</v>
      </c>
      <c r="BZ7" t="e">
        <f>AND(Plan1!H108,"AAAAAGNPt00=")</f>
        <v>#VALUE!</v>
      </c>
      <c r="CA7" t="e">
        <f>AND(Plan1!I108,"AAAAAGNPt04=")</f>
        <v>#VALUE!</v>
      </c>
      <c r="CB7" t="e">
        <f>AND(Plan1!J108,"AAAAAGNPt08=")</f>
        <v>#VALUE!</v>
      </c>
      <c r="CC7" t="e">
        <f>AND(Plan1!K108,"AAAAAGNPt1A=")</f>
        <v>#VALUE!</v>
      </c>
      <c r="CD7" t="e">
        <f>AND(Plan1!L108,"AAAAAGNPt1E=")</f>
        <v>#VALUE!</v>
      </c>
      <c r="CE7" t="e">
        <f>AND(Plan1!M108,"AAAAAGNPt1I=")</f>
        <v>#VALUE!</v>
      </c>
      <c r="CF7" t="e">
        <f>AND(Plan1!N108,"AAAAAGNPt1M=")</f>
        <v>#VALUE!</v>
      </c>
      <c r="CG7">
        <f>IF(Plan1!109:109,"AAAAAGNPt1Q=",0)</f>
        <v>0</v>
      </c>
      <c r="CH7" t="e">
        <f>AND(Plan1!A109,"AAAAAGNPt1U=")</f>
        <v>#VALUE!</v>
      </c>
      <c r="CI7" t="e">
        <f>AND(Plan1!B109,"AAAAAGNPt1Y=")</f>
        <v>#VALUE!</v>
      </c>
      <c r="CJ7" t="e">
        <f>AND(Plan1!C109,"AAAAAGNPt1c=")</f>
        <v>#VALUE!</v>
      </c>
      <c r="CK7" t="e">
        <f>AND(Plan1!D109,"AAAAAGNPt1g=")</f>
        <v>#VALUE!</v>
      </c>
      <c r="CL7" t="e">
        <f>AND(Plan1!E109,"AAAAAGNPt1k=")</f>
        <v>#VALUE!</v>
      </c>
      <c r="CM7" t="e">
        <f>AND(Plan1!F109,"AAAAAGNPt1o=")</f>
        <v>#VALUE!</v>
      </c>
      <c r="CN7" t="e">
        <f>AND(Plan1!G109,"AAAAAGNPt1s=")</f>
        <v>#VALUE!</v>
      </c>
      <c r="CO7" t="e">
        <f>AND(Plan1!H109,"AAAAAGNPt1w=")</f>
        <v>#VALUE!</v>
      </c>
      <c r="CP7" t="e">
        <f>AND(Plan1!I109,"AAAAAGNPt10=")</f>
        <v>#VALUE!</v>
      </c>
      <c r="CQ7" t="e">
        <f>AND(Plan1!J109,"AAAAAGNPt14=")</f>
        <v>#VALUE!</v>
      </c>
      <c r="CR7" t="e">
        <f>AND(Plan1!K109,"AAAAAGNPt18=")</f>
        <v>#VALUE!</v>
      </c>
      <c r="CS7" t="e">
        <f>AND(Plan1!L109,"AAAAAGNPt2A=")</f>
        <v>#VALUE!</v>
      </c>
      <c r="CT7" t="e">
        <f>AND(Plan1!M109,"AAAAAGNPt2E=")</f>
        <v>#VALUE!</v>
      </c>
      <c r="CU7" t="e">
        <f>AND(Plan1!N109,"AAAAAGNPt2I=")</f>
        <v>#VALUE!</v>
      </c>
      <c r="CV7">
        <f>IF(Plan1!110:110,"AAAAAGNPt2M=",0)</f>
        <v>0</v>
      </c>
      <c r="CW7" t="e">
        <f>AND(Plan1!A110,"AAAAAGNPt2Q=")</f>
        <v>#VALUE!</v>
      </c>
      <c r="CX7" t="e">
        <f>AND(Plan1!B110,"AAAAAGNPt2U=")</f>
        <v>#VALUE!</v>
      </c>
      <c r="CY7" t="e">
        <f>AND(Plan1!C110,"AAAAAGNPt2Y=")</f>
        <v>#VALUE!</v>
      </c>
      <c r="CZ7" t="e">
        <f>AND(Plan1!D110,"AAAAAGNPt2c=")</f>
        <v>#VALUE!</v>
      </c>
      <c r="DA7" t="e">
        <f>AND(Plan1!E110,"AAAAAGNPt2g=")</f>
        <v>#VALUE!</v>
      </c>
      <c r="DB7" t="e">
        <f>AND(Plan1!F110,"AAAAAGNPt2k=")</f>
        <v>#VALUE!</v>
      </c>
      <c r="DC7" t="e">
        <f>AND(Plan1!G110,"AAAAAGNPt2o=")</f>
        <v>#VALUE!</v>
      </c>
      <c r="DD7" t="e">
        <f>AND(Plan1!H110,"AAAAAGNPt2s=")</f>
        <v>#VALUE!</v>
      </c>
      <c r="DE7" t="e">
        <f>AND(Plan1!I110,"AAAAAGNPt2w=")</f>
        <v>#VALUE!</v>
      </c>
      <c r="DF7" t="e">
        <f>AND(Plan1!J110,"AAAAAGNPt20=")</f>
        <v>#VALUE!</v>
      </c>
      <c r="DG7" t="e">
        <f>AND(Plan1!K110,"AAAAAGNPt24=")</f>
        <v>#VALUE!</v>
      </c>
      <c r="DH7" t="e">
        <f>AND(Plan1!L110,"AAAAAGNPt28=")</f>
        <v>#VALUE!</v>
      </c>
      <c r="DI7" t="e">
        <f>AND(Plan1!M110,"AAAAAGNPt3A=")</f>
        <v>#VALUE!</v>
      </c>
      <c r="DJ7" t="e">
        <f>AND(Plan1!N110,"AAAAAGNPt3E=")</f>
        <v>#VALUE!</v>
      </c>
      <c r="DK7">
        <f>IF(Plan1!111:111,"AAAAAGNPt3I=",0)</f>
        <v>0</v>
      </c>
      <c r="DL7" t="e">
        <f>AND(Plan1!A111,"AAAAAGNPt3M=")</f>
        <v>#VALUE!</v>
      </c>
      <c r="DM7" t="e">
        <f>AND(Plan1!B111,"AAAAAGNPt3Q=")</f>
        <v>#VALUE!</v>
      </c>
      <c r="DN7" t="e">
        <f>AND(Plan1!C111,"AAAAAGNPt3U=")</f>
        <v>#VALUE!</v>
      </c>
      <c r="DO7" t="e">
        <f>AND(Plan1!D111,"AAAAAGNPt3Y=")</f>
        <v>#VALUE!</v>
      </c>
      <c r="DP7" t="e">
        <f>AND(Plan1!E111,"AAAAAGNPt3c=")</f>
        <v>#VALUE!</v>
      </c>
      <c r="DQ7" t="e">
        <f>AND(Plan1!F111,"AAAAAGNPt3g=")</f>
        <v>#VALUE!</v>
      </c>
      <c r="DR7" t="e">
        <f>AND(Plan1!G111,"AAAAAGNPt3k=")</f>
        <v>#VALUE!</v>
      </c>
      <c r="DS7" t="e">
        <f>AND(Plan1!H111,"AAAAAGNPt3o=")</f>
        <v>#VALUE!</v>
      </c>
      <c r="DT7" t="e">
        <f>AND(Plan1!I111,"AAAAAGNPt3s=")</f>
        <v>#VALUE!</v>
      </c>
      <c r="DU7" t="e">
        <f>AND(Plan1!J111,"AAAAAGNPt3w=")</f>
        <v>#VALUE!</v>
      </c>
      <c r="DV7" t="e">
        <f>AND(Plan1!K111,"AAAAAGNPt30=")</f>
        <v>#VALUE!</v>
      </c>
      <c r="DW7" t="e">
        <f>AND(Plan1!L111,"AAAAAGNPt34=")</f>
        <v>#VALUE!</v>
      </c>
      <c r="DX7" t="e">
        <f>AND(Plan1!M111,"AAAAAGNPt38=")</f>
        <v>#VALUE!</v>
      </c>
      <c r="DY7" t="e">
        <f>AND(Plan1!N111,"AAAAAGNPt4A=")</f>
        <v>#VALUE!</v>
      </c>
      <c r="DZ7">
        <f>IF(Plan1!112:112,"AAAAAGNPt4E=",0)</f>
        <v>0</v>
      </c>
      <c r="EA7" t="e">
        <f>AND(Plan1!A112,"AAAAAGNPt4I=")</f>
        <v>#VALUE!</v>
      </c>
      <c r="EB7" t="e">
        <f>AND(Plan1!B112,"AAAAAGNPt4M=")</f>
        <v>#VALUE!</v>
      </c>
      <c r="EC7" t="e">
        <f>AND(Plan1!C112,"AAAAAGNPt4Q=")</f>
        <v>#VALUE!</v>
      </c>
      <c r="ED7" t="e">
        <f>AND(Plan1!D112,"AAAAAGNPt4U=")</f>
        <v>#VALUE!</v>
      </c>
      <c r="EE7" t="e">
        <f>AND(Plan1!E112,"AAAAAGNPt4Y=")</f>
        <v>#VALUE!</v>
      </c>
      <c r="EF7" t="e">
        <f>AND(Plan1!F112,"AAAAAGNPt4c=")</f>
        <v>#VALUE!</v>
      </c>
      <c r="EG7" t="e">
        <f>AND(Plan1!G112,"AAAAAGNPt4g=")</f>
        <v>#VALUE!</v>
      </c>
      <c r="EH7" t="e">
        <f>AND(Plan1!H112,"AAAAAGNPt4k=")</f>
        <v>#VALUE!</v>
      </c>
      <c r="EI7" t="e">
        <f>AND(Plan1!I112,"AAAAAGNPt4o=")</f>
        <v>#VALUE!</v>
      </c>
      <c r="EJ7" t="e">
        <f>AND(Plan1!J112,"AAAAAGNPt4s=")</f>
        <v>#VALUE!</v>
      </c>
      <c r="EK7" t="e">
        <f>AND(Plan1!K112,"AAAAAGNPt4w=")</f>
        <v>#VALUE!</v>
      </c>
      <c r="EL7" t="e">
        <f>AND(Plan1!L112,"AAAAAGNPt40=")</f>
        <v>#VALUE!</v>
      </c>
      <c r="EM7" t="e">
        <f>AND(Plan1!M112,"AAAAAGNPt44=")</f>
        <v>#VALUE!</v>
      </c>
      <c r="EN7" t="e">
        <f>AND(Plan1!N112,"AAAAAGNPt48=")</f>
        <v>#VALUE!</v>
      </c>
      <c r="EO7">
        <f>IF(Plan1!113:113,"AAAAAGNPt5A=",0)</f>
        <v>0</v>
      </c>
      <c r="EP7" t="e">
        <f>AND(Plan1!A113,"AAAAAGNPt5E=")</f>
        <v>#VALUE!</v>
      </c>
      <c r="EQ7" t="e">
        <f>AND(Plan1!B113,"AAAAAGNPt5I=")</f>
        <v>#VALUE!</v>
      </c>
      <c r="ER7" t="e">
        <f>AND(Plan1!C113,"AAAAAGNPt5M=")</f>
        <v>#VALUE!</v>
      </c>
      <c r="ES7" t="e">
        <f>AND(Plan1!D113,"AAAAAGNPt5Q=")</f>
        <v>#VALUE!</v>
      </c>
      <c r="ET7" t="e">
        <f>AND(Plan1!E113,"AAAAAGNPt5U=")</f>
        <v>#VALUE!</v>
      </c>
      <c r="EU7" t="e">
        <f>AND(Plan1!F113,"AAAAAGNPt5Y=")</f>
        <v>#VALUE!</v>
      </c>
      <c r="EV7" t="e">
        <f>AND(Plan1!G113,"AAAAAGNPt5c=")</f>
        <v>#VALUE!</v>
      </c>
      <c r="EW7" t="e">
        <f>AND(Plan1!H113,"AAAAAGNPt5g=")</f>
        <v>#VALUE!</v>
      </c>
      <c r="EX7" t="e">
        <f>AND(Plan1!I113,"AAAAAGNPt5k=")</f>
        <v>#VALUE!</v>
      </c>
      <c r="EY7" t="e">
        <f>AND(Plan1!J113,"AAAAAGNPt5o=")</f>
        <v>#VALUE!</v>
      </c>
      <c r="EZ7" t="e">
        <f>AND(Plan1!K113,"AAAAAGNPt5s=")</f>
        <v>#VALUE!</v>
      </c>
      <c r="FA7" t="e">
        <f>AND(Plan1!L113,"AAAAAGNPt5w=")</f>
        <v>#VALUE!</v>
      </c>
      <c r="FB7" t="e">
        <f>AND(Plan1!M113,"AAAAAGNPt50=")</f>
        <v>#VALUE!</v>
      </c>
      <c r="FC7" t="e">
        <f>AND(Plan1!N113,"AAAAAGNPt54=")</f>
        <v>#VALUE!</v>
      </c>
      <c r="FD7">
        <f>IF(Plan1!114:114,"AAAAAGNPt58=",0)</f>
        <v>0</v>
      </c>
      <c r="FE7" t="e">
        <f>AND(Plan1!A114,"AAAAAGNPt6A=")</f>
        <v>#VALUE!</v>
      </c>
      <c r="FF7" t="e">
        <f>AND(Plan1!B114,"AAAAAGNPt6E=")</f>
        <v>#VALUE!</v>
      </c>
      <c r="FG7" t="e">
        <f>AND(Plan1!C114,"AAAAAGNPt6I=")</f>
        <v>#VALUE!</v>
      </c>
      <c r="FH7" t="e">
        <f>AND(Plan1!D114,"AAAAAGNPt6M=")</f>
        <v>#VALUE!</v>
      </c>
      <c r="FI7" t="e">
        <f>AND(Plan1!E114,"AAAAAGNPt6Q=")</f>
        <v>#VALUE!</v>
      </c>
      <c r="FJ7" t="e">
        <f>AND(Plan1!F114,"AAAAAGNPt6U=")</f>
        <v>#VALUE!</v>
      </c>
      <c r="FK7" t="e">
        <f>AND(Plan1!G114,"AAAAAGNPt6Y=")</f>
        <v>#VALUE!</v>
      </c>
      <c r="FL7" t="e">
        <f>AND(Plan1!H114,"AAAAAGNPt6c=")</f>
        <v>#VALUE!</v>
      </c>
      <c r="FM7" t="e">
        <f>AND(Plan1!I114,"AAAAAGNPt6g=")</f>
        <v>#VALUE!</v>
      </c>
      <c r="FN7" t="e">
        <f>AND(Plan1!J114,"AAAAAGNPt6k=")</f>
        <v>#VALUE!</v>
      </c>
      <c r="FO7" t="e">
        <f>AND(Plan1!K114,"AAAAAGNPt6o=")</f>
        <v>#VALUE!</v>
      </c>
      <c r="FP7" t="e">
        <f>AND(Plan1!L114,"AAAAAGNPt6s=")</f>
        <v>#VALUE!</v>
      </c>
      <c r="FQ7" t="e">
        <f>AND(Plan1!M114,"AAAAAGNPt6w=")</f>
        <v>#VALUE!</v>
      </c>
      <c r="FR7" t="e">
        <f>AND(Plan1!N114,"AAAAAGNPt60=")</f>
        <v>#VALUE!</v>
      </c>
      <c r="FS7">
        <f>IF(Plan1!115:115,"AAAAAGNPt64=",0)</f>
        <v>0</v>
      </c>
      <c r="FT7" t="e">
        <f>AND(Plan1!A115,"AAAAAGNPt68=")</f>
        <v>#VALUE!</v>
      </c>
      <c r="FU7" t="e">
        <f>AND(Plan1!B115,"AAAAAGNPt7A=")</f>
        <v>#VALUE!</v>
      </c>
      <c r="FV7" t="e">
        <f>AND(Plan1!C115,"AAAAAGNPt7E=")</f>
        <v>#VALUE!</v>
      </c>
      <c r="FW7" t="e">
        <f>AND(Plan1!D115,"AAAAAGNPt7I=")</f>
        <v>#VALUE!</v>
      </c>
      <c r="FX7" t="e">
        <f>AND(Plan1!E115,"AAAAAGNPt7M=")</f>
        <v>#VALUE!</v>
      </c>
      <c r="FY7" t="e">
        <f>AND(Plan1!F115,"AAAAAGNPt7Q=")</f>
        <v>#VALUE!</v>
      </c>
      <c r="FZ7" t="e">
        <f>AND(Plan1!G115,"AAAAAGNPt7U=")</f>
        <v>#VALUE!</v>
      </c>
      <c r="GA7" t="e">
        <f>AND(Plan1!H115,"AAAAAGNPt7Y=")</f>
        <v>#VALUE!</v>
      </c>
      <c r="GB7" t="e">
        <f>AND(Plan1!I115,"AAAAAGNPt7c=")</f>
        <v>#VALUE!</v>
      </c>
      <c r="GC7" t="e">
        <f>AND(Plan1!J115,"AAAAAGNPt7g=")</f>
        <v>#VALUE!</v>
      </c>
      <c r="GD7" t="e">
        <f>AND(Plan1!K115,"AAAAAGNPt7k=")</f>
        <v>#VALUE!</v>
      </c>
      <c r="GE7" t="e">
        <f>AND(Plan1!L115,"AAAAAGNPt7o=")</f>
        <v>#VALUE!</v>
      </c>
      <c r="GF7" t="e">
        <f>AND(Plan1!M115,"AAAAAGNPt7s=")</f>
        <v>#VALUE!</v>
      </c>
      <c r="GG7" t="e">
        <f>AND(Plan1!N115,"AAAAAGNPt7w=")</f>
        <v>#VALUE!</v>
      </c>
      <c r="GH7">
        <f>IF(Plan1!116:116,"AAAAAGNPt70=",0)</f>
        <v>0</v>
      </c>
      <c r="GI7" t="e">
        <f>AND(Plan1!A116,"AAAAAGNPt74=")</f>
        <v>#VALUE!</v>
      </c>
      <c r="GJ7" t="e">
        <f>AND(Plan1!B116,"AAAAAGNPt78=")</f>
        <v>#VALUE!</v>
      </c>
      <c r="GK7" t="e">
        <f>AND(Plan1!C116,"AAAAAGNPt8A=")</f>
        <v>#VALUE!</v>
      </c>
      <c r="GL7" t="e">
        <f>AND(Plan1!D116,"AAAAAGNPt8E=")</f>
        <v>#VALUE!</v>
      </c>
      <c r="GM7" t="e">
        <f>AND(Plan1!E116,"AAAAAGNPt8I=")</f>
        <v>#VALUE!</v>
      </c>
      <c r="GN7" t="e">
        <f>AND(Plan1!F116,"AAAAAGNPt8M=")</f>
        <v>#VALUE!</v>
      </c>
      <c r="GO7" t="e">
        <f>AND(Plan1!G116,"AAAAAGNPt8Q=")</f>
        <v>#VALUE!</v>
      </c>
      <c r="GP7" t="e">
        <f>AND(Plan1!H116,"AAAAAGNPt8U=")</f>
        <v>#VALUE!</v>
      </c>
      <c r="GQ7" t="e">
        <f>AND(Plan1!I116,"AAAAAGNPt8Y=")</f>
        <v>#VALUE!</v>
      </c>
      <c r="GR7" t="e">
        <f>AND(Plan1!J116,"AAAAAGNPt8c=")</f>
        <v>#VALUE!</v>
      </c>
      <c r="GS7" t="e">
        <f>AND(Plan1!K116,"AAAAAGNPt8g=")</f>
        <v>#VALUE!</v>
      </c>
      <c r="GT7" t="e">
        <f>AND(Plan1!L116,"AAAAAGNPt8k=")</f>
        <v>#VALUE!</v>
      </c>
      <c r="GU7" t="e">
        <f>AND(Plan1!M116,"AAAAAGNPt8o=")</f>
        <v>#VALUE!</v>
      </c>
      <c r="GV7" t="e">
        <f>AND(Plan1!N116,"AAAAAGNPt8s=")</f>
        <v>#VALUE!</v>
      </c>
      <c r="GW7">
        <f>IF(Plan1!117:117,"AAAAAGNPt8w=",0)</f>
        <v>0</v>
      </c>
      <c r="GX7" t="e">
        <f>AND(Plan1!A117,"AAAAAGNPt80=")</f>
        <v>#VALUE!</v>
      </c>
      <c r="GY7" t="e">
        <f>AND(Plan1!B117,"AAAAAGNPt84=")</f>
        <v>#VALUE!</v>
      </c>
      <c r="GZ7" t="e">
        <f>AND(Plan1!C117,"AAAAAGNPt88=")</f>
        <v>#VALUE!</v>
      </c>
      <c r="HA7" t="e">
        <f>AND(Plan1!D117,"AAAAAGNPt9A=")</f>
        <v>#VALUE!</v>
      </c>
      <c r="HB7" t="e">
        <f>AND(Plan1!E117,"AAAAAGNPt9E=")</f>
        <v>#VALUE!</v>
      </c>
      <c r="HC7" t="e">
        <f>AND(Plan1!F117,"AAAAAGNPt9I=")</f>
        <v>#VALUE!</v>
      </c>
      <c r="HD7" t="e">
        <f>AND(Plan1!G117,"AAAAAGNPt9M=")</f>
        <v>#VALUE!</v>
      </c>
      <c r="HE7" t="e">
        <f>AND(Plan1!H117,"AAAAAGNPt9Q=")</f>
        <v>#VALUE!</v>
      </c>
      <c r="HF7" t="e">
        <f>AND(Plan1!I117,"AAAAAGNPt9U=")</f>
        <v>#VALUE!</v>
      </c>
      <c r="HG7" t="e">
        <f>AND(Plan1!J117,"AAAAAGNPt9Y=")</f>
        <v>#VALUE!</v>
      </c>
      <c r="HH7" t="e">
        <f>AND(Plan1!K117,"AAAAAGNPt9c=")</f>
        <v>#VALUE!</v>
      </c>
      <c r="HI7" t="e">
        <f>AND(Plan1!L117,"AAAAAGNPt9g=")</f>
        <v>#VALUE!</v>
      </c>
      <c r="HJ7" t="e">
        <f>AND(Plan1!M117,"AAAAAGNPt9k=")</f>
        <v>#VALUE!</v>
      </c>
      <c r="HK7" t="e">
        <f>AND(Plan1!N117,"AAAAAGNPt9o=")</f>
        <v>#VALUE!</v>
      </c>
      <c r="HL7">
        <f>IF(Plan1!118:118,"AAAAAGNPt9s=",0)</f>
        <v>0</v>
      </c>
      <c r="HM7" t="e">
        <f>AND(Plan1!A118,"AAAAAGNPt9w=")</f>
        <v>#VALUE!</v>
      </c>
      <c r="HN7" t="e">
        <f>AND(Plan1!B118,"AAAAAGNPt90=")</f>
        <v>#VALUE!</v>
      </c>
      <c r="HO7" t="e">
        <f>AND(Plan1!C118,"AAAAAGNPt94=")</f>
        <v>#VALUE!</v>
      </c>
      <c r="HP7" t="e">
        <f>AND(Plan1!D118,"AAAAAGNPt98=")</f>
        <v>#VALUE!</v>
      </c>
      <c r="HQ7" t="e">
        <f>AND(Plan1!E118,"AAAAAGNPt+A=")</f>
        <v>#VALUE!</v>
      </c>
      <c r="HR7" t="e">
        <f>AND(Plan1!F118,"AAAAAGNPt+E=")</f>
        <v>#VALUE!</v>
      </c>
      <c r="HS7" t="e">
        <f>AND(Plan1!G118,"AAAAAGNPt+I=")</f>
        <v>#VALUE!</v>
      </c>
      <c r="HT7" t="e">
        <f>AND(Plan1!H118,"AAAAAGNPt+M=")</f>
        <v>#VALUE!</v>
      </c>
      <c r="HU7" t="e">
        <f>AND(Plan1!I118,"AAAAAGNPt+Q=")</f>
        <v>#VALUE!</v>
      </c>
      <c r="HV7" t="e">
        <f>AND(Plan1!J118,"AAAAAGNPt+U=")</f>
        <v>#VALUE!</v>
      </c>
      <c r="HW7" t="e">
        <f>AND(Plan1!K118,"AAAAAGNPt+Y=")</f>
        <v>#VALUE!</v>
      </c>
      <c r="HX7" t="e">
        <f>AND(Plan1!L118,"AAAAAGNPt+c=")</f>
        <v>#VALUE!</v>
      </c>
      <c r="HY7" t="e">
        <f>AND(Plan1!M118,"AAAAAGNPt+g=")</f>
        <v>#VALUE!</v>
      </c>
      <c r="HZ7" t="e">
        <f>AND(Plan1!N118,"AAAAAGNPt+k=")</f>
        <v>#VALUE!</v>
      </c>
      <c r="IA7">
        <f>IF(Plan1!119:119,"AAAAAGNPt+o=",0)</f>
        <v>0</v>
      </c>
      <c r="IB7" t="e">
        <f>AND(Plan1!A119,"AAAAAGNPt+s=")</f>
        <v>#VALUE!</v>
      </c>
      <c r="IC7" t="e">
        <f>AND(Plan1!B119,"AAAAAGNPt+w=")</f>
        <v>#VALUE!</v>
      </c>
      <c r="ID7" t="e">
        <f>AND(Plan1!C119,"AAAAAGNPt+0=")</f>
        <v>#VALUE!</v>
      </c>
      <c r="IE7" t="e">
        <f>AND(Plan1!D119,"AAAAAGNPt+4=")</f>
        <v>#VALUE!</v>
      </c>
      <c r="IF7" t="e">
        <f>AND(Plan1!E119,"AAAAAGNPt+8=")</f>
        <v>#VALUE!</v>
      </c>
      <c r="IG7" t="e">
        <f>AND(Plan1!F119,"AAAAAGNPt/A=")</f>
        <v>#VALUE!</v>
      </c>
      <c r="IH7" t="e">
        <f>AND(Plan1!G119,"AAAAAGNPt/E=")</f>
        <v>#VALUE!</v>
      </c>
      <c r="II7" t="e">
        <f>AND(Plan1!H119,"AAAAAGNPt/I=")</f>
        <v>#VALUE!</v>
      </c>
      <c r="IJ7" t="e">
        <f>AND(Plan1!I119,"AAAAAGNPt/M=")</f>
        <v>#VALUE!</v>
      </c>
      <c r="IK7" t="e">
        <f>AND(Plan1!J119,"AAAAAGNPt/Q=")</f>
        <v>#VALUE!</v>
      </c>
      <c r="IL7" t="e">
        <f>AND(Plan1!K119,"AAAAAGNPt/U=")</f>
        <v>#VALUE!</v>
      </c>
      <c r="IM7" t="e">
        <f>AND(Plan1!L119,"AAAAAGNPt/Y=")</f>
        <v>#VALUE!</v>
      </c>
      <c r="IN7" t="e">
        <f>AND(Plan1!M119,"AAAAAGNPt/c=")</f>
        <v>#VALUE!</v>
      </c>
      <c r="IO7" t="e">
        <f>AND(Plan1!N119,"AAAAAGNPt/g=")</f>
        <v>#VALUE!</v>
      </c>
      <c r="IP7">
        <f>IF(Plan1!120:120,"AAAAAGNPt/k=",0)</f>
        <v>0</v>
      </c>
      <c r="IQ7" t="e">
        <f>AND(Plan1!A120,"AAAAAGNPt/o=")</f>
        <v>#VALUE!</v>
      </c>
      <c r="IR7" t="e">
        <f>AND(Plan1!B120,"AAAAAGNPt/s=")</f>
        <v>#VALUE!</v>
      </c>
      <c r="IS7" t="e">
        <f>AND(Plan1!C120,"AAAAAGNPt/w=")</f>
        <v>#VALUE!</v>
      </c>
      <c r="IT7" t="e">
        <f>AND(Plan1!D120,"AAAAAGNPt/0=")</f>
        <v>#VALUE!</v>
      </c>
      <c r="IU7" t="e">
        <f>AND(Plan1!E120,"AAAAAGNPt/4=")</f>
        <v>#VALUE!</v>
      </c>
      <c r="IV7" t="e">
        <f>AND(Plan1!F120,"AAAAAGNPt/8=")</f>
        <v>#VALUE!</v>
      </c>
    </row>
    <row r="8" spans="1:256">
      <c r="A8" t="e">
        <f>AND(Plan1!G120,"AAAAAD7//QA=")</f>
        <v>#VALUE!</v>
      </c>
      <c r="B8" t="e">
        <f>AND(Plan1!H120,"AAAAAD7//QE=")</f>
        <v>#VALUE!</v>
      </c>
      <c r="C8" t="e">
        <f>AND(Plan1!I120,"AAAAAD7//QI=")</f>
        <v>#VALUE!</v>
      </c>
      <c r="D8" t="e">
        <f>AND(Plan1!J120,"AAAAAD7//QM=")</f>
        <v>#VALUE!</v>
      </c>
      <c r="E8" t="e">
        <f>AND(Plan1!K120,"AAAAAD7//QQ=")</f>
        <v>#VALUE!</v>
      </c>
      <c r="F8" t="e">
        <f>AND(Plan1!L120,"AAAAAD7//QU=")</f>
        <v>#VALUE!</v>
      </c>
      <c r="G8" t="e">
        <f>AND(Plan1!M120,"AAAAAD7//QY=")</f>
        <v>#VALUE!</v>
      </c>
      <c r="H8" t="e">
        <f>AND(Plan1!N120,"AAAAAD7//Qc=")</f>
        <v>#VALUE!</v>
      </c>
      <c r="I8" t="str">
        <f>IF(Plan1!121:121,"AAAAAD7//Qg=",0)</f>
        <v>AAAAAD7//Qg=</v>
      </c>
      <c r="J8" t="e">
        <f>AND(Plan1!A121,"AAAAAD7//Qk=")</f>
        <v>#VALUE!</v>
      </c>
      <c r="K8" t="e">
        <f>AND(Plan1!B121,"AAAAAD7//Qo=")</f>
        <v>#VALUE!</v>
      </c>
      <c r="L8" t="e">
        <f>AND(Plan1!C121,"AAAAAD7//Qs=")</f>
        <v>#VALUE!</v>
      </c>
      <c r="M8" t="e">
        <f>AND(Plan1!D121,"AAAAAD7//Qw=")</f>
        <v>#VALUE!</v>
      </c>
      <c r="N8" t="e">
        <f>AND(Plan1!E121,"AAAAAD7//Q0=")</f>
        <v>#VALUE!</v>
      </c>
      <c r="O8" t="e">
        <f>AND(Plan1!F121,"AAAAAD7//Q4=")</f>
        <v>#VALUE!</v>
      </c>
      <c r="P8" t="e">
        <f>AND(Plan1!G121,"AAAAAD7//Q8=")</f>
        <v>#VALUE!</v>
      </c>
      <c r="Q8" t="e">
        <f>AND(Plan1!H121,"AAAAAD7//RA=")</f>
        <v>#VALUE!</v>
      </c>
      <c r="R8" t="e">
        <f>AND(Plan1!I121,"AAAAAD7//RE=")</f>
        <v>#VALUE!</v>
      </c>
      <c r="S8" t="e">
        <f>AND(Plan1!J121,"AAAAAD7//RI=")</f>
        <v>#VALUE!</v>
      </c>
      <c r="T8" t="e">
        <f>AND(Plan1!K121,"AAAAAD7//RM=")</f>
        <v>#VALUE!</v>
      </c>
      <c r="U8" t="e">
        <f>AND(Plan1!L121,"AAAAAD7//RQ=")</f>
        <v>#VALUE!</v>
      </c>
      <c r="V8" t="e">
        <f>AND(Plan1!M121,"AAAAAD7//RU=")</f>
        <v>#VALUE!</v>
      </c>
      <c r="W8" t="e">
        <f>AND(Plan1!N121,"AAAAAD7//RY=")</f>
        <v>#VALUE!</v>
      </c>
      <c r="X8">
        <f>IF(Plan1!122:122,"AAAAAD7//Rc=",0)</f>
        <v>0</v>
      </c>
      <c r="Y8" t="e">
        <f>AND(Plan1!A122,"AAAAAD7//Rg=")</f>
        <v>#VALUE!</v>
      </c>
      <c r="Z8" t="e">
        <f>AND(Plan1!B122,"AAAAAD7//Rk=")</f>
        <v>#VALUE!</v>
      </c>
      <c r="AA8" t="e">
        <f>AND(Plan1!C122,"AAAAAD7//Ro=")</f>
        <v>#VALUE!</v>
      </c>
      <c r="AB8" t="e">
        <f>AND(Plan1!D122,"AAAAAD7//Rs=")</f>
        <v>#VALUE!</v>
      </c>
      <c r="AC8" t="e">
        <f>AND(Plan1!E122,"AAAAAD7//Rw=")</f>
        <v>#VALUE!</v>
      </c>
      <c r="AD8" t="e">
        <f>AND(Plan1!F122,"AAAAAD7//R0=")</f>
        <v>#VALUE!</v>
      </c>
      <c r="AE8" t="e">
        <f>AND(Plan1!G122,"AAAAAD7//R4=")</f>
        <v>#VALUE!</v>
      </c>
      <c r="AF8" t="e">
        <f>AND(Plan1!H122,"AAAAAD7//R8=")</f>
        <v>#VALUE!</v>
      </c>
      <c r="AG8" t="e">
        <f>AND(Plan1!I122,"AAAAAD7//SA=")</f>
        <v>#VALUE!</v>
      </c>
      <c r="AH8" t="e">
        <f>AND(Plan1!J122,"AAAAAD7//SE=")</f>
        <v>#VALUE!</v>
      </c>
      <c r="AI8" t="e">
        <f>AND(Plan1!K122,"AAAAAD7//SI=")</f>
        <v>#VALUE!</v>
      </c>
      <c r="AJ8" t="e">
        <f>AND(Plan1!L122,"AAAAAD7//SM=")</f>
        <v>#VALUE!</v>
      </c>
      <c r="AK8" t="e">
        <f>AND(Plan1!M122,"AAAAAD7//SQ=")</f>
        <v>#VALUE!</v>
      </c>
      <c r="AL8" t="e">
        <f>AND(Plan1!N122,"AAAAAD7//SU=")</f>
        <v>#VALUE!</v>
      </c>
      <c r="AM8">
        <f>IF(Plan1!123:123,"AAAAAD7//SY=",0)</f>
        <v>0</v>
      </c>
      <c r="AN8" t="e">
        <f>AND(Plan1!A123,"AAAAAD7//Sc=")</f>
        <v>#VALUE!</v>
      </c>
      <c r="AO8" t="e">
        <f>AND(Plan1!B123,"AAAAAD7//Sg=")</f>
        <v>#VALUE!</v>
      </c>
      <c r="AP8" t="e">
        <f>AND(Plan1!C123,"AAAAAD7//Sk=")</f>
        <v>#VALUE!</v>
      </c>
      <c r="AQ8" t="e">
        <f>AND(Plan1!D123,"AAAAAD7//So=")</f>
        <v>#VALUE!</v>
      </c>
      <c r="AR8" t="e">
        <f>AND(Plan1!E123,"AAAAAD7//Ss=")</f>
        <v>#VALUE!</v>
      </c>
      <c r="AS8" t="e">
        <f>AND(Plan1!F123,"AAAAAD7//Sw=")</f>
        <v>#VALUE!</v>
      </c>
      <c r="AT8" t="e">
        <f>AND(Plan1!G123,"AAAAAD7//S0=")</f>
        <v>#VALUE!</v>
      </c>
      <c r="AU8" t="e">
        <f>AND(Plan1!H123,"AAAAAD7//S4=")</f>
        <v>#VALUE!</v>
      </c>
      <c r="AV8" t="e">
        <f>AND(Plan1!I123,"AAAAAD7//S8=")</f>
        <v>#VALUE!</v>
      </c>
      <c r="AW8" t="e">
        <f>AND(Plan1!J123,"AAAAAD7//TA=")</f>
        <v>#VALUE!</v>
      </c>
      <c r="AX8" t="e">
        <f>AND(Plan1!K123,"AAAAAD7//TE=")</f>
        <v>#VALUE!</v>
      </c>
      <c r="AY8" t="e">
        <f>AND(Plan1!L123,"AAAAAD7//TI=")</f>
        <v>#VALUE!</v>
      </c>
      <c r="AZ8" t="e">
        <f>AND(Plan1!M123,"AAAAAD7//TM=")</f>
        <v>#VALUE!</v>
      </c>
      <c r="BA8" t="e">
        <f>AND(Plan1!N123,"AAAAAD7//TQ=")</f>
        <v>#VALUE!</v>
      </c>
      <c r="BB8">
        <f>IF(Plan1!124:124,"AAAAAD7//TU=",0)</f>
        <v>0</v>
      </c>
      <c r="BC8" t="e">
        <f>AND(Plan1!A124,"AAAAAD7//TY=")</f>
        <v>#VALUE!</v>
      </c>
      <c r="BD8" t="e">
        <f>AND(Plan1!B124,"AAAAAD7//Tc=")</f>
        <v>#VALUE!</v>
      </c>
      <c r="BE8" t="e">
        <f>AND(Plan1!C124,"AAAAAD7//Tg=")</f>
        <v>#VALUE!</v>
      </c>
      <c r="BF8" t="e">
        <f>AND(Plan1!D124,"AAAAAD7//Tk=")</f>
        <v>#VALUE!</v>
      </c>
      <c r="BG8" t="e">
        <f>AND(Plan1!E124,"AAAAAD7//To=")</f>
        <v>#VALUE!</v>
      </c>
      <c r="BH8" t="e">
        <f>AND(Plan1!F124,"AAAAAD7//Ts=")</f>
        <v>#VALUE!</v>
      </c>
      <c r="BI8" t="e">
        <f>AND(Plan1!G124,"AAAAAD7//Tw=")</f>
        <v>#VALUE!</v>
      </c>
      <c r="BJ8" t="e">
        <f>AND(Plan1!H124,"AAAAAD7//T0=")</f>
        <v>#VALUE!</v>
      </c>
      <c r="BK8" t="e">
        <f>AND(Plan1!I124,"AAAAAD7//T4=")</f>
        <v>#VALUE!</v>
      </c>
      <c r="BL8" t="e">
        <f>AND(Plan1!J124,"AAAAAD7//T8=")</f>
        <v>#VALUE!</v>
      </c>
      <c r="BM8" t="e">
        <f>AND(Plan1!K124,"AAAAAD7//UA=")</f>
        <v>#VALUE!</v>
      </c>
      <c r="BN8" t="e">
        <f>AND(Plan1!L124,"AAAAAD7//UE=")</f>
        <v>#VALUE!</v>
      </c>
      <c r="BO8" t="e">
        <f>AND(Plan1!M124,"AAAAAD7//UI=")</f>
        <v>#VALUE!</v>
      </c>
      <c r="BP8" t="e">
        <f>AND(Plan1!N124,"AAAAAD7//UM=")</f>
        <v>#VALUE!</v>
      </c>
      <c r="BQ8">
        <f>IF(Plan1!125:125,"AAAAAD7//UQ=",0)</f>
        <v>0</v>
      </c>
      <c r="BR8" t="e">
        <f>AND(Plan1!A125,"AAAAAD7//UU=")</f>
        <v>#VALUE!</v>
      </c>
      <c r="BS8" t="e">
        <f>AND(Plan1!B125,"AAAAAD7//UY=")</f>
        <v>#VALUE!</v>
      </c>
      <c r="BT8" t="e">
        <f>AND(Plan1!C125,"AAAAAD7//Uc=")</f>
        <v>#VALUE!</v>
      </c>
      <c r="BU8" t="e">
        <f>AND(Plan1!D125,"AAAAAD7//Ug=")</f>
        <v>#VALUE!</v>
      </c>
      <c r="BV8" t="e">
        <f>AND(Plan1!E125,"AAAAAD7//Uk=")</f>
        <v>#VALUE!</v>
      </c>
      <c r="BW8" t="e">
        <f>AND(Plan1!F125,"AAAAAD7//Uo=")</f>
        <v>#VALUE!</v>
      </c>
      <c r="BX8" t="e">
        <f>AND(Plan1!G125,"AAAAAD7//Us=")</f>
        <v>#VALUE!</v>
      </c>
      <c r="BY8" t="e">
        <f>AND(Plan1!H125,"AAAAAD7//Uw=")</f>
        <v>#VALUE!</v>
      </c>
      <c r="BZ8" t="e">
        <f>AND(Plan1!I125,"AAAAAD7//U0=")</f>
        <v>#VALUE!</v>
      </c>
      <c r="CA8" t="e">
        <f>AND(Plan1!J125,"AAAAAD7//U4=")</f>
        <v>#VALUE!</v>
      </c>
      <c r="CB8" t="e">
        <f>AND(Plan1!K125,"AAAAAD7//U8=")</f>
        <v>#VALUE!</v>
      </c>
      <c r="CC8" t="e">
        <f>AND(Plan1!L125,"AAAAAD7//VA=")</f>
        <v>#VALUE!</v>
      </c>
      <c r="CD8" t="e">
        <f>AND(Plan1!M125,"AAAAAD7//VE=")</f>
        <v>#VALUE!</v>
      </c>
      <c r="CE8" t="e">
        <f>AND(Plan1!N125,"AAAAAD7//VI=")</f>
        <v>#VALUE!</v>
      </c>
      <c r="CF8">
        <f>IF(Plan1!126:126,"AAAAAD7//VM=",0)</f>
        <v>0</v>
      </c>
      <c r="CG8" t="e">
        <f>AND(Plan1!A126,"AAAAAD7//VQ=")</f>
        <v>#VALUE!</v>
      </c>
      <c r="CH8" t="e">
        <f>AND(Plan1!B126,"AAAAAD7//VU=")</f>
        <v>#VALUE!</v>
      </c>
      <c r="CI8" t="e">
        <f>AND(Plan1!C126,"AAAAAD7//VY=")</f>
        <v>#VALUE!</v>
      </c>
      <c r="CJ8" t="e">
        <f>AND(Plan1!D126,"AAAAAD7//Vc=")</f>
        <v>#VALUE!</v>
      </c>
      <c r="CK8" t="e">
        <f>AND(Plan1!E126,"AAAAAD7//Vg=")</f>
        <v>#VALUE!</v>
      </c>
      <c r="CL8" t="e">
        <f>AND(Plan1!F126,"AAAAAD7//Vk=")</f>
        <v>#VALUE!</v>
      </c>
      <c r="CM8" t="e">
        <f>AND(Plan1!G126,"AAAAAD7//Vo=")</f>
        <v>#VALUE!</v>
      </c>
      <c r="CN8" t="e">
        <f>AND(Plan1!H126,"AAAAAD7//Vs=")</f>
        <v>#VALUE!</v>
      </c>
      <c r="CO8" t="e">
        <f>AND(Plan1!I126,"AAAAAD7//Vw=")</f>
        <v>#VALUE!</v>
      </c>
      <c r="CP8" t="e">
        <f>AND(Plan1!J126,"AAAAAD7//V0=")</f>
        <v>#VALUE!</v>
      </c>
      <c r="CQ8" t="e">
        <f>AND(Plan1!K126,"AAAAAD7//V4=")</f>
        <v>#VALUE!</v>
      </c>
      <c r="CR8" t="e">
        <f>AND(Plan1!L126,"AAAAAD7//V8=")</f>
        <v>#VALUE!</v>
      </c>
      <c r="CS8" t="e">
        <f>AND(Plan1!M126,"AAAAAD7//WA=")</f>
        <v>#VALUE!</v>
      </c>
      <c r="CT8" t="e">
        <f>AND(Plan1!N126,"AAAAAD7//WE=")</f>
        <v>#VALUE!</v>
      </c>
      <c r="CU8">
        <f>IF(Plan1!127:127,"AAAAAD7//WI=",0)</f>
        <v>0</v>
      </c>
      <c r="CV8" t="e">
        <f>AND(Plan1!A127,"AAAAAD7//WM=")</f>
        <v>#VALUE!</v>
      </c>
      <c r="CW8" t="e">
        <f>AND(Plan1!B127,"AAAAAD7//WQ=")</f>
        <v>#VALUE!</v>
      </c>
      <c r="CX8" t="e">
        <f>AND(Plan1!C127,"AAAAAD7//WU=")</f>
        <v>#VALUE!</v>
      </c>
      <c r="CY8" t="e">
        <f>AND(Plan1!D127,"AAAAAD7//WY=")</f>
        <v>#VALUE!</v>
      </c>
      <c r="CZ8" t="e">
        <f>AND(Plan1!E127,"AAAAAD7//Wc=")</f>
        <v>#VALUE!</v>
      </c>
      <c r="DA8" t="e">
        <f>AND(Plan1!F127,"AAAAAD7//Wg=")</f>
        <v>#VALUE!</v>
      </c>
      <c r="DB8" t="e">
        <f>AND(Plan1!G127,"AAAAAD7//Wk=")</f>
        <v>#VALUE!</v>
      </c>
      <c r="DC8" t="e">
        <f>AND(Plan1!H127,"AAAAAD7//Wo=")</f>
        <v>#VALUE!</v>
      </c>
      <c r="DD8" t="e">
        <f>AND(Plan1!I127,"AAAAAD7//Ws=")</f>
        <v>#VALUE!</v>
      </c>
      <c r="DE8" t="e">
        <f>AND(Plan1!J127,"AAAAAD7//Ww=")</f>
        <v>#VALUE!</v>
      </c>
      <c r="DF8" t="e">
        <f>AND(Plan1!K127,"AAAAAD7//W0=")</f>
        <v>#VALUE!</v>
      </c>
      <c r="DG8" t="e">
        <f>AND(Plan1!L127,"AAAAAD7//W4=")</f>
        <v>#VALUE!</v>
      </c>
      <c r="DH8" t="e">
        <f>AND(Plan1!M127,"AAAAAD7//W8=")</f>
        <v>#VALUE!</v>
      </c>
      <c r="DI8" t="e">
        <f>AND(Plan1!N127,"AAAAAD7//XA=")</f>
        <v>#VALUE!</v>
      </c>
      <c r="DJ8">
        <f>IF(Plan1!128:128,"AAAAAD7//XE=",0)</f>
        <v>0</v>
      </c>
      <c r="DK8" t="e">
        <f>AND(Plan1!A128,"AAAAAD7//XI=")</f>
        <v>#VALUE!</v>
      </c>
      <c r="DL8" t="e">
        <f>AND(Plan1!B128,"AAAAAD7//XM=")</f>
        <v>#VALUE!</v>
      </c>
      <c r="DM8" t="e">
        <f>AND(Plan1!C128,"AAAAAD7//XQ=")</f>
        <v>#VALUE!</v>
      </c>
      <c r="DN8" t="e">
        <f>AND(Plan1!D128,"AAAAAD7//XU=")</f>
        <v>#VALUE!</v>
      </c>
      <c r="DO8" t="e">
        <f>AND(Plan1!E128,"AAAAAD7//XY=")</f>
        <v>#VALUE!</v>
      </c>
      <c r="DP8" t="e">
        <f>AND(Plan1!F128,"AAAAAD7//Xc=")</f>
        <v>#VALUE!</v>
      </c>
      <c r="DQ8" t="e">
        <f>AND(Plan1!G128,"AAAAAD7//Xg=")</f>
        <v>#VALUE!</v>
      </c>
      <c r="DR8" t="e">
        <f>AND(Plan1!H128,"AAAAAD7//Xk=")</f>
        <v>#VALUE!</v>
      </c>
      <c r="DS8" t="e">
        <f>AND(Plan1!I128,"AAAAAD7//Xo=")</f>
        <v>#VALUE!</v>
      </c>
      <c r="DT8" t="e">
        <f>AND(Plan1!J128,"AAAAAD7//Xs=")</f>
        <v>#VALUE!</v>
      </c>
      <c r="DU8" t="e">
        <f>AND(Plan1!K128,"AAAAAD7//Xw=")</f>
        <v>#VALUE!</v>
      </c>
      <c r="DV8" t="e">
        <f>AND(Plan1!L128,"AAAAAD7//X0=")</f>
        <v>#VALUE!</v>
      </c>
      <c r="DW8" t="e">
        <f>AND(Plan1!M128,"AAAAAD7//X4=")</f>
        <v>#VALUE!</v>
      </c>
      <c r="DX8" t="e">
        <f>AND(Plan1!N128,"AAAAAD7//X8=")</f>
        <v>#VALUE!</v>
      </c>
      <c r="DY8">
        <f>IF(Plan1!129:129,"AAAAAD7//YA=",0)</f>
        <v>0</v>
      </c>
      <c r="DZ8" t="e">
        <f>AND(Plan1!A129,"AAAAAD7//YE=")</f>
        <v>#VALUE!</v>
      </c>
      <c r="EA8" t="e">
        <f>AND(Plan1!B129,"AAAAAD7//YI=")</f>
        <v>#VALUE!</v>
      </c>
      <c r="EB8" t="e">
        <f>AND(Plan1!C129,"AAAAAD7//YM=")</f>
        <v>#VALUE!</v>
      </c>
      <c r="EC8" t="e">
        <f>AND(Plan1!D129,"AAAAAD7//YQ=")</f>
        <v>#VALUE!</v>
      </c>
      <c r="ED8" t="e">
        <f>AND(Plan1!E129,"AAAAAD7//YU=")</f>
        <v>#VALUE!</v>
      </c>
      <c r="EE8" t="e">
        <f>AND(Plan1!F129,"AAAAAD7//YY=")</f>
        <v>#VALUE!</v>
      </c>
      <c r="EF8" t="e">
        <f>AND(Plan1!G129,"AAAAAD7//Yc=")</f>
        <v>#VALUE!</v>
      </c>
      <c r="EG8" t="e">
        <f>AND(Plan1!H129,"AAAAAD7//Yg=")</f>
        <v>#VALUE!</v>
      </c>
      <c r="EH8" t="e">
        <f>AND(Plan1!I129,"AAAAAD7//Yk=")</f>
        <v>#VALUE!</v>
      </c>
      <c r="EI8" t="e">
        <f>AND(Plan1!J129,"AAAAAD7//Yo=")</f>
        <v>#VALUE!</v>
      </c>
      <c r="EJ8" t="e">
        <f>AND(Plan1!K129,"AAAAAD7//Ys=")</f>
        <v>#VALUE!</v>
      </c>
      <c r="EK8" t="e">
        <f>AND(Plan1!L129,"AAAAAD7//Yw=")</f>
        <v>#VALUE!</v>
      </c>
      <c r="EL8" t="e">
        <f>AND(Plan1!M129,"AAAAAD7//Y0=")</f>
        <v>#VALUE!</v>
      </c>
      <c r="EM8" t="e">
        <f>AND(Plan1!N129,"AAAAAD7//Y4=")</f>
        <v>#VALUE!</v>
      </c>
      <c r="EN8">
        <f>IF(Plan1!130:130,"AAAAAD7//Y8=",0)</f>
        <v>0</v>
      </c>
      <c r="EO8" t="e">
        <f>AND(Plan1!A130,"AAAAAD7//ZA=")</f>
        <v>#VALUE!</v>
      </c>
      <c r="EP8" t="e">
        <f>AND(Plan1!B130,"AAAAAD7//ZE=")</f>
        <v>#VALUE!</v>
      </c>
      <c r="EQ8" t="e">
        <f>AND(Plan1!C130,"AAAAAD7//ZI=")</f>
        <v>#VALUE!</v>
      </c>
      <c r="ER8" t="e">
        <f>AND(Plan1!D130,"AAAAAD7//ZM=")</f>
        <v>#VALUE!</v>
      </c>
      <c r="ES8" t="e">
        <f>AND(Plan1!E130,"AAAAAD7//ZQ=")</f>
        <v>#VALUE!</v>
      </c>
      <c r="ET8" t="e">
        <f>AND(Plan1!F130,"AAAAAD7//ZU=")</f>
        <v>#VALUE!</v>
      </c>
      <c r="EU8" t="e">
        <f>AND(Plan1!G130,"AAAAAD7//ZY=")</f>
        <v>#VALUE!</v>
      </c>
      <c r="EV8" t="e">
        <f>AND(Plan1!H130,"AAAAAD7//Zc=")</f>
        <v>#VALUE!</v>
      </c>
      <c r="EW8" t="e">
        <f>AND(Plan1!I130,"AAAAAD7//Zg=")</f>
        <v>#VALUE!</v>
      </c>
      <c r="EX8" t="e">
        <f>AND(Plan1!J130,"AAAAAD7//Zk=")</f>
        <v>#VALUE!</v>
      </c>
      <c r="EY8" t="e">
        <f>AND(Plan1!K130,"AAAAAD7//Zo=")</f>
        <v>#VALUE!</v>
      </c>
      <c r="EZ8" t="e">
        <f>AND(Plan1!L130,"AAAAAD7//Zs=")</f>
        <v>#VALUE!</v>
      </c>
      <c r="FA8" t="e">
        <f>AND(Plan1!M130,"AAAAAD7//Zw=")</f>
        <v>#VALUE!</v>
      </c>
      <c r="FB8" t="e">
        <f>AND(Plan1!N130,"AAAAAD7//Z0=")</f>
        <v>#VALUE!</v>
      </c>
      <c r="FC8">
        <f>IF(Plan1!131:131,"AAAAAD7//Z4=",0)</f>
        <v>0</v>
      </c>
      <c r="FD8" t="e">
        <f>AND(Plan1!A131,"AAAAAD7//Z8=")</f>
        <v>#VALUE!</v>
      </c>
      <c r="FE8" t="e">
        <f>AND(Plan1!B131,"AAAAAD7//aA=")</f>
        <v>#VALUE!</v>
      </c>
      <c r="FF8" t="e">
        <f>AND(Plan1!C131,"AAAAAD7//aE=")</f>
        <v>#VALUE!</v>
      </c>
      <c r="FG8" t="e">
        <f>AND(Plan1!D131,"AAAAAD7//aI=")</f>
        <v>#VALUE!</v>
      </c>
      <c r="FH8" t="e">
        <f>AND(Plan1!E131,"AAAAAD7//aM=")</f>
        <v>#VALUE!</v>
      </c>
      <c r="FI8" t="e">
        <f>AND(Plan1!F131,"AAAAAD7//aQ=")</f>
        <v>#VALUE!</v>
      </c>
      <c r="FJ8" t="e">
        <f>AND(Plan1!G131,"AAAAAD7//aU=")</f>
        <v>#VALUE!</v>
      </c>
      <c r="FK8" t="e">
        <f>AND(Plan1!H131,"AAAAAD7//aY=")</f>
        <v>#VALUE!</v>
      </c>
      <c r="FL8" t="e">
        <f>AND(Plan1!I131,"AAAAAD7//ac=")</f>
        <v>#VALUE!</v>
      </c>
      <c r="FM8" t="e">
        <f>AND(Plan1!J131,"AAAAAD7//ag=")</f>
        <v>#VALUE!</v>
      </c>
      <c r="FN8" t="e">
        <f>AND(Plan1!K131,"AAAAAD7//ak=")</f>
        <v>#VALUE!</v>
      </c>
      <c r="FO8" t="e">
        <f>AND(Plan1!L131,"AAAAAD7//ao=")</f>
        <v>#VALUE!</v>
      </c>
      <c r="FP8" t="e">
        <f>AND(Plan1!M131,"AAAAAD7//as=")</f>
        <v>#VALUE!</v>
      </c>
      <c r="FQ8" t="e">
        <f>AND(Plan1!N131,"AAAAAD7//aw=")</f>
        <v>#VALUE!</v>
      </c>
      <c r="FR8">
        <f>IF(Plan1!132:132,"AAAAAD7//a0=",0)</f>
        <v>0</v>
      </c>
      <c r="FS8" t="e">
        <f>AND(Plan1!A132,"AAAAAD7//a4=")</f>
        <v>#VALUE!</v>
      </c>
      <c r="FT8" t="e">
        <f>AND(Plan1!B132,"AAAAAD7//a8=")</f>
        <v>#VALUE!</v>
      </c>
      <c r="FU8" t="e">
        <f>AND(Plan1!C132,"AAAAAD7//bA=")</f>
        <v>#VALUE!</v>
      </c>
      <c r="FV8" t="e">
        <f>AND(Plan1!D132,"AAAAAD7//bE=")</f>
        <v>#VALUE!</v>
      </c>
      <c r="FW8" t="e">
        <f>AND(Plan1!E132,"AAAAAD7//bI=")</f>
        <v>#VALUE!</v>
      </c>
      <c r="FX8" t="e">
        <f>AND(Plan1!F132,"AAAAAD7//bM=")</f>
        <v>#VALUE!</v>
      </c>
      <c r="FY8" t="e">
        <f>AND(Plan1!G132,"AAAAAD7//bQ=")</f>
        <v>#VALUE!</v>
      </c>
      <c r="FZ8" t="e">
        <f>AND(Plan1!H132,"AAAAAD7//bU=")</f>
        <v>#VALUE!</v>
      </c>
      <c r="GA8" t="e">
        <f>AND(Plan1!I132,"AAAAAD7//bY=")</f>
        <v>#VALUE!</v>
      </c>
      <c r="GB8" t="e">
        <f>AND(Plan1!J132,"AAAAAD7//bc=")</f>
        <v>#VALUE!</v>
      </c>
      <c r="GC8" t="e">
        <f>AND(Plan1!K132,"AAAAAD7//bg=")</f>
        <v>#VALUE!</v>
      </c>
      <c r="GD8" t="e">
        <f>AND(Plan1!L132,"AAAAAD7//bk=")</f>
        <v>#VALUE!</v>
      </c>
      <c r="GE8" t="e">
        <f>AND(Plan1!M132,"AAAAAD7//bo=")</f>
        <v>#VALUE!</v>
      </c>
      <c r="GF8" t="e">
        <f>AND(Plan1!N132,"AAAAAD7//bs=")</f>
        <v>#VALUE!</v>
      </c>
      <c r="GG8">
        <f>IF(Plan1!133:133,"AAAAAD7//bw=",0)</f>
        <v>0</v>
      </c>
      <c r="GH8" t="e">
        <f>AND(Plan1!A133,"AAAAAD7//b0=")</f>
        <v>#VALUE!</v>
      </c>
      <c r="GI8" t="e">
        <f>AND(Plan1!B133,"AAAAAD7//b4=")</f>
        <v>#VALUE!</v>
      </c>
      <c r="GJ8" t="e">
        <f>AND(Plan1!C133,"AAAAAD7//b8=")</f>
        <v>#VALUE!</v>
      </c>
      <c r="GK8" t="e">
        <f>AND(Plan1!D133,"AAAAAD7//cA=")</f>
        <v>#VALUE!</v>
      </c>
      <c r="GL8" t="e">
        <f>AND(Plan1!E133,"AAAAAD7//cE=")</f>
        <v>#VALUE!</v>
      </c>
      <c r="GM8" t="e">
        <f>AND(Plan1!F133,"AAAAAD7//cI=")</f>
        <v>#VALUE!</v>
      </c>
      <c r="GN8" t="e">
        <f>AND(Plan1!G133,"AAAAAD7//cM=")</f>
        <v>#VALUE!</v>
      </c>
      <c r="GO8" t="e">
        <f>AND(Plan1!H133,"AAAAAD7//cQ=")</f>
        <v>#VALUE!</v>
      </c>
      <c r="GP8" t="e">
        <f>AND(Plan1!I133,"AAAAAD7//cU=")</f>
        <v>#VALUE!</v>
      </c>
      <c r="GQ8" t="e">
        <f>AND(Plan1!J133,"AAAAAD7//cY=")</f>
        <v>#VALUE!</v>
      </c>
      <c r="GR8" t="e">
        <f>AND(Plan1!K133,"AAAAAD7//cc=")</f>
        <v>#VALUE!</v>
      </c>
      <c r="GS8" t="e">
        <f>AND(Plan1!L133,"AAAAAD7//cg=")</f>
        <v>#VALUE!</v>
      </c>
      <c r="GT8" t="e">
        <f>AND(Plan1!M133,"AAAAAD7//ck=")</f>
        <v>#VALUE!</v>
      </c>
      <c r="GU8" t="e">
        <f>AND(Plan1!N133,"AAAAAD7//co=")</f>
        <v>#VALUE!</v>
      </c>
      <c r="GV8">
        <f>IF(Plan1!134:134,"AAAAAD7//cs=",0)</f>
        <v>0</v>
      </c>
      <c r="GW8" t="e">
        <f>AND(Plan1!A134,"AAAAAD7//cw=")</f>
        <v>#VALUE!</v>
      </c>
      <c r="GX8" t="e">
        <f>AND(Plan1!B134,"AAAAAD7//c0=")</f>
        <v>#VALUE!</v>
      </c>
      <c r="GY8" t="e">
        <f>AND(Plan1!C134,"AAAAAD7//c4=")</f>
        <v>#VALUE!</v>
      </c>
      <c r="GZ8" t="e">
        <f>AND(Plan1!D134,"AAAAAD7//c8=")</f>
        <v>#VALUE!</v>
      </c>
      <c r="HA8" t="e">
        <f>AND(Plan1!E134,"AAAAAD7//dA=")</f>
        <v>#VALUE!</v>
      </c>
      <c r="HB8" t="e">
        <f>AND(Plan1!F134,"AAAAAD7//dE=")</f>
        <v>#VALUE!</v>
      </c>
      <c r="HC8" t="e">
        <f>AND(Plan1!G134,"AAAAAD7//dI=")</f>
        <v>#VALUE!</v>
      </c>
      <c r="HD8" t="e">
        <f>AND(Plan1!H134,"AAAAAD7//dM=")</f>
        <v>#VALUE!</v>
      </c>
      <c r="HE8" t="e">
        <f>AND(Plan1!I134,"AAAAAD7//dQ=")</f>
        <v>#VALUE!</v>
      </c>
      <c r="HF8" t="e">
        <f>AND(Plan1!J134,"AAAAAD7//dU=")</f>
        <v>#VALUE!</v>
      </c>
      <c r="HG8" t="e">
        <f>AND(Plan1!K134,"AAAAAD7//dY=")</f>
        <v>#VALUE!</v>
      </c>
      <c r="HH8" t="e">
        <f>AND(Plan1!L134,"AAAAAD7//dc=")</f>
        <v>#VALUE!</v>
      </c>
      <c r="HI8" t="e">
        <f>AND(Plan1!M134,"AAAAAD7//dg=")</f>
        <v>#VALUE!</v>
      </c>
      <c r="HJ8" t="e">
        <f>AND(Plan1!N134,"AAAAAD7//dk=")</f>
        <v>#VALUE!</v>
      </c>
      <c r="HK8">
        <f>IF(Plan1!135:135,"AAAAAD7//do=",0)</f>
        <v>0</v>
      </c>
      <c r="HL8" t="e">
        <f>AND(Plan1!A135,"AAAAAD7//ds=")</f>
        <v>#VALUE!</v>
      </c>
      <c r="HM8" t="e">
        <f>AND(Plan1!B135,"AAAAAD7//dw=")</f>
        <v>#VALUE!</v>
      </c>
      <c r="HN8" t="e">
        <f>AND(Plan1!C135,"AAAAAD7//d0=")</f>
        <v>#VALUE!</v>
      </c>
      <c r="HO8" t="e">
        <f>AND(Plan1!D135,"AAAAAD7//d4=")</f>
        <v>#VALUE!</v>
      </c>
      <c r="HP8" t="e">
        <f>AND(Plan1!E135,"AAAAAD7//d8=")</f>
        <v>#VALUE!</v>
      </c>
      <c r="HQ8" t="e">
        <f>AND(Plan1!F135,"AAAAAD7//eA=")</f>
        <v>#VALUE!</v>
      </c>
      <c r="HR8" t="e">
        <f>AND(Plan1!G135,"AAAAAD7//eE=")</f>
        <v>#VALUE!</v>
      </c>
      <c r="HS8" t="e">
        <f>AND(Plan1!H135,"AAAAAD7//eI=")</f>
        <v>#VALUE!</v>
      </c>
      <c r="HT8" t="e">
        <f>AND(Plan1!I135,"AAAAAD7//eM=")</f>
        <v>#VALUE!</v>
      </c>
      <c r="HU8" t="e">
        <f>AND(Plan1!J135,"AAAAAD7//eQ=")</f>
        <v>#VALUE!</v>
      </c>
      <c r="HV8" t="e">
        <f>AND(Plan1!K135,"AAAAAD7//eU=")</f>
        <v>#VALUE!</v>
      </c>
      <c r="HW8" t="e">
        <f>AND(Plan1!L135,"AAAAAD7//eY=")</f>
        <v>#VALUE!</v>
      </c>
      <c r="HX8" t="e">
        <f>AND(Plan1!M135,"AAAAAD7//ec=")</f>
        <v>#VALUE!</v>
      </c>
      <c r="HY8" t="e">
        <f>AND(Plan1!N135,"AAAAAD7//eg=")</f>
        <v>#VALUE!</v>
      </c>
      <c r="HZ8">
        <f>IF(Plan1!136:136,"AAAAAD7//ek=",0)</f>
        <v>0</v>
      </c>
      <c r="IA8" t="e">
        <f>AND(Plan1!A136,"AAAAAD7//eo=")</f>
        <v>#VALUE!</v>
      </c>
      <c r="IB8" t="e">
        <f>AND(Plan1!B136,"AAAAAD7//es=")</f>
        <v>#VALUE!</v>
      </c>
      <c r="IC8" t="e">
        <f>AND(Plan1!C136,"AAAAAD7//ew=")</f>
        <v>#VALUE!</v>
      </c>
      <c r="ID8" t="e">
        <f>AND(Plan1!D136,"AAAAAD7//e0=")</f>
        <v>#VALUE!</v>
      </c>
      <c r="IE8" t="e">
        <f>AND(Plan1!E136,"AAAAAD7//e4=")</f>
        <v>#VALUE!</v>
      </c>
      <c r="IF8" t="e">
        <f>AND(Plan1!F136,"AAAAAD7//e8=")</f>
        <v>#VALUE!</v>
      </c>
      <c r="IG8" t="e">
        <f>AND(Plan1!G136,"AAAAAD7//fA=")</f>
        <v>#VALUE!</v>
      </c>
      <c r="IH8" t="e">
        <f>AND(Plan1!H136,"AAAAAD7//fE=")</f>
        <v>#VALUE!</v>
      </c>
      <c r="II8" t="e">
        <f>AND(Plan1!I136,"AAAAAD7//fI=")</f>
        <v>#VALUE!</v>
      </c>
      <c r="IJ8" t="e">
        <f>AND(Plan1!J136,"AAAAAD7//fM=")</f>
        <v>#VALUE!</v>
      </c>
      <c r="IK8" t="e">
        <f>AND(Plan1!K136,"AAAAAD7//fQ=")</f>
        <v>#VALUE!</v>
      </c>
      <c r="IL8" t="e">
        <f>AND(Plan1!L136,"AAAAAD7//fU=")</f>
        <v>#VALUE!</v>
      </c>
      <c r="IM8" t="e">
        <f>AND(Plan1!M136,"AAAAAD7//fY=")</f>
        <v>#VALUE!</v>
      </c>
      <c r="IN8" t="e">
        <f>AND(Plan1!N136,"AAAAAD7//fc=")</f>
        <v>#VALUE!</v>
      </c>
      <c r="IO8">
        <f>IF(Plan1!137:137,"AAAAAD7//fg=",0)</f>
        <v>0</v>
      </c>
      <c r="IP8" t="e">
        <f>AND(Plan1!A137,"AAAAAD7//fk=")</f>
        <v>#VALUE!</v>
      </c>
      <c r="IQ8" t="e">
        <f>AND(Plan1!B137,"AAAAAD7//fo=")</f>
        <v>#VALUE!</v>
      </c>
      <c r="IR8" t="e">
        <f>AND(Plan1!C137,"AAAAAD7//fs=")</f>
        <v>#VALUE!</v>
      </c>
      <c r="IS8" t="e">
        <f>AND(Plan1!D137,"AAAAAD7//fw=")</f>
        <v>#VALUE!</v>
      </c>
      <c r="IT8" t="e">
        <f>AND(Plan1!E137,"AAAAAD7//f0=")</f>
        <v>#VALUE!</v>
      </c>
      <c r="IU8" t="e">
        <f>AND(Plan1!F137,"AAAAAD7//f4=")</f>
        <v>#VALUE!</v>
      </c>
      <c r="IV8" t="e">
        <f>AND(Plan1!G137,"AAAAAD7//f8=")</f>
        <v>#VALUE!</v>
      </c>
    </row>
    <row r="9" spans="1:256">
      <c r="A9" t="e">
        <f>AND(Plan1!H137,"AAAAAF4veAA=")</f>
        <v>#VALUE!</v>
      </c>
      <c r="B9" t="e">
        <f>AND(Plan1!I137,"AAAAAF4veAE=")</f>
        <v>#VALUE!</v>
      </c>
      <c r="C9" t="e">
        <f>AND(Plan1!J137,"AAAAAF4veAI=")</f>
        <v>#VALUE!</v>
      </c>
      <c r="D9" t="e">
        <f>AND(Plan1!K137,"AAAAAF4veAM=")</f>
        <v>#VALUE!</v>
      </c>
      <c r="E9" t="e">
        <f>AND(Plan1!L137,"AAAAAF4veAQ=")</f>
        <v>#VALUE!</v>
      </c>
      <c r="F9" t="e">
        <f>AND(Plan1!M137,"AAAAAF4veAU=")</f>
        <v>#VALUE!</v>
      </c>
      <c r="G9" t="e">
        <f>AND(Plan1!N137,"AAAAAF4veAY=")</f>
        <v>#VALUE!</v>
      </c>
      <c r="H9" t="str">
        <f>IF(Plan1!138:138,"AAAAAF4veAc=",0)</f>
        <v>AAAAAF4veAc=</v>
      </c>
      <c r="I9" t="e">
        <f>AND(Plan1!A138,"AAAAAF4veAg=")</f>
        <v>#VALUE!</v>
      </c>
      <c r="J9" t="e">
        <f>AND(Plan1!B138,"AAAAAF4veAk=")</f>
        <v>#VALUE!</v>
      </c>
      <c r="K9" t="e">
        <f>AND(Plan1!C138,"AAAAAF4veAo=")</f>
        <v>#VALUE!</v>
      </c>
      <c r="L9" t="e">
        <f>AND(Plan1!D138,"AAAAAF4veAs=")</f>
        <v>#VALUE!</v>
      </c>
      <c r="M9" t="e">
        <f>AND(Plan1!E138,"AAAAAF4veAw=")</f>
        <v>#VALUE!</v>
      </c>
      <c r="N9" t="e">
        <f>AND(Plan1!F138,"AAAAAF4veA0=")</f>
        <v>#VALUE!</v>
      </c>
      <c r="O9" t="e">
        <f>AND(Plan1!G138,"AAAAAF4veA4=")</f>
        <v>#VALUE!</v>
      </c>
      <c r="P9" t="e">
        <f>AND(Plan1!H138,"AAAAAF4veA8=")</f>
        <v>#VALUE!</v>
      </c>
      <c r="Q9" t="e">
        <f>AND(Plan1!I138,"AAAAAF4veBA=")</f>
        <v>#VALUE!</v>
      </c>
      <c r="R9" t="e">
        <f>AND(Plan1!J138,"AAAAAF4veBE=")</f>
        <v>#VALUE!</v>
      </c>
      <c r="S9" t="e">
        <f>AND(Plan1!K138,"AAAAAF4veBI=")</f>
        <v>#VALUE!</v>
      </c>
      <c r="T9" t="e">
        <f>AND(Plan1!L138,"AAAAAF4veBM=")</f>
        <v>#VALUE!</v>
      </c>
      <c r="U9" t="e">
        <f>AND(Plan1!M138,"AAAAAF4veBQ=")</f>
        <v>#VALUE!</v>
      </c>
      <c r="V9" t="e">
        <f>AND(Plan1!N138,"AAAAAF4veBU=")</f>
        <v>#VALUE!</v>
      </c>
      <c r="W9">
        <f>IF(Plan1!139:139,"AAAAAF4veBY=",0)</f>
        <v>0</v>
      </c>
      <c r="X9" t="e">
        <f>AND(Plan1!A139,"AAAAAF4veBc=")</f>
        <v>#VALUE!</v>
      </c>
      <c r="Y9" t="e">
        <f>AND(Plan1!B139,"AAAAAF4veBg=")</f>
        <v>#VALUE!</v>
      </c>
      <c r="Z9" t="e">
        <f>AND(Plan1!C139,"AAAAAF4veBk=")</f>
        <v>#VALUE!</v>
      </c>
      <c r="AA9" t="e">
        <f>AND(Plan1!D139,"AAAAAF4veBo=")</f>
        <v>#VALUE!</v>
      </c>
      <c r="AB9" t="e">
        <f>AND(Plan1!E139,"AAAAAF4veBs=")</f>
        <v>#VALUE!</v>
      </c>
      <c r="AC9" t="e">
        <f>AND(Plan1!F139,"AAAAAF4veBw=")</f>
        <v>#VALUE!</v>
      </c>
      <c r="AD9" t="e">
        <f>AND(Plan1!G139,"AAAAAF4veB0=")</f>
        <v>#VALUE!</v>
      </c>
      <c r="AE9" t="e">
        <f>AND(Plan1!H139,"AAAAAF4veB4=")</f>
        <v>#VALUE!</v>
      </c>
      <c r="AF9" t="e">
        <f>AND(Plan1!I139,"AAAAAF4veB8=")</f>
        <v>#VALUE!</v>
      </c>
      <c r="AG9" t="e">
        <f>AND(Plan1!J139,"AAAAAF4veCA=")</f>
        <v>#VALUE!</v>
      </c>
      <c r="AH9" t="e">
        <f>AND(Plan1!K139,"AAAAAF4veCE=")</f>
        <v>#VALUE!</v>
      </c>
      <c r="AI9" t="e">
        <f>AND(Plan1!L139,"AAAAAF4veCI=")</f>
        <v>#VALUE!</v>
      </c>
      <c r="AJ9" t="e">
        <f>AND(Plan1!M139,"AAAAAF4veCM=")</f>
        <v>#VALUE!</v>
      </c>
      <c r="AK9" t="e">
        <f>AND(Plan1!N139,"AAAAAF4veCQ=")</f>
        <v>#VALUE!</v>
      </c>
      <c r="AL9">
        <f>IF(Plan1!140:140,"AAAAAF4veCU=",0)</f>
        <v>0</v>
      </c>
      <c r="AM9" t="e">
        <f>AND(Plan1!A140,"AAAAAF4veCY=")</f>
        <v>#VALUE!</v>
      </c>
      <c r="AN9" t="e">
        <f>AND(Plan1!B140,"AAAAAF4veCc=")</f>
        <v>#VALUE!</v>
      </c>
      <c r="AO9" t="e">
        <f>AND(Plan1!C140,"AAAAAF4veCg=")</f>
        <v>#VALUE!</v>
      </c>
      <c r="AP9" t="e">
        <f>AND(Plan1!D140,"AAAAAF4veCk=")</f>
        <v>#VALUE!</v>
      </c>
      <c r="AQ9" t="e">
        <f>AND(Plan1!E140,"AAAAAF4veCo=")</f>
        <v>#VALUE!</v>
      </c>
      <c r="AR9" t="e">
        <f>AND(Plan1!F140,"AAAAAF4veCs=")</f>
        <v>#VALUE!</v>
      </c>
      <c r="AS9" t="e">
        <f>AND(Plan1!G140,"AAAAAF4veCw=")</f>
        <v>#VALUE!</v>
      </c>
      <c r="AT9" t="e">
        <f>AND(Plan1!H140,"AAAAAF4veC0=")</f>
        <v>#VALUE!</v>
      </c>
      <c r="AU9" t="e">
        <f>AND(Plan1!I140,"AAAAAF4veC4=")</f>
        <v>#VALUE!</v>
      </c>
      <c r="AV9" t="e">
        <f>AND(Plan1!J140,"AAAAAF4veC8=")</f>
        <v>#VALUE!</v>
      </c>
      <c r="AW9" t="e">
        <f>AND(Plan1!K140,"AAAAAF4veDA=")</f>
        <v>#VALUE!</v>
      </c>
      <c r="AX9" t="e">
        <f>AND(Plan1!L140,"AAAAAF4veDE=")</f>
        <v>#VALUE!</v>
      </c>
      <c r="AY9" t="e">
        <f>AND(Plan1!M140,"AAAAAF4veDI=")</f>
        <v>#VALUE!</v>
      </c>
      <c r="AZ9" t="e">
        <f>AND(Plan1!N140,"AAAAAF4veDM=")</f>
        <v>#VALUE!</v>
      </c>
      <c r="BA9">
        <f>IF(Plan1!141:141,"AAAAAF4veDQ=",0)</f>
        <v>0</v>
      </c>
      <c r="BB9" t="e">
        <f>AND(Plan1!A141,"AAAAAF4veDU=")</f>
        <v>#VALUE!</v>
      </c>
      <c r="BC9" t="e">
        <f>AND(Plan1!B141,"AAAAAF4veDY=")</f>
        <v>#VALUE!</v>
      </c>
      <c r="BD9" t="e">
        <f>AND(Plan1!C141,"AAAAAF4veDc=")</f>
        <v>#VALUE!</v>
      </c>
      <c r="BE9" t="e">
        <f>AND(Plan1!D141,"AAAAAF4veDg=")</f>
        <v>#VALUE!</v>
      </c>
      <c r="BF9" t="e">
        <f>AND(Plan1!E141,"AAAAAF4veDk=")</f>
        <v>#VALUE!</v>
      </c>
      <c r="BG9" t="e">
        <f>AND(Plan1!F141,"AAAAAF4veDo=")</f>
        <v>#VALUE!</v>
      </c>
      <c r="BH9" t="e">
        <f>AND(Plan1!G141,"AAAAAF4veDs=")</f>
        <v>#VALUE!</v>
      </c>
      <c r="BI9" t="e">
        <f>AND(Plan1!H141,"AAAAAF4veDw=")</f>
        <v>#VALUE!</v>
      </c>
      <c r="BJ9" t="e">
        <f>AND(Plan1!I141,"AAAAAF4veD0=")</f>
        <v>#VALUE!</v>
      </c>
      <c r="BK9" t="e">
        <f>AND(Plan1!J141,"AAAAAF4veD4=")</f>
        <v>#VALUE!</v>
      </c>
      <c r="BL9" t="e">
        <f>AND(Plan1!K141,"AAAAAF4veD8=")</f>
        <v>#VALUE!</v>
      </c>
      <c r="BM9" t="e">
        <f>AND(Plan1!L141,"AAAAAF4veEA=")</f>
        <v>#VALUE!</v>
      </c>
      <c r="BN9" t="e">
        <f>AND(Plan1!M141,"AAAAAF4veEE=")</f>
        <v>#VALUE!</v>
      </c>
      <c r="BO9" t="e">
        <f>AND(Plan1!N141,"AAAAAF4veEI=")</f>
        <v>#VALUE!</v>
      </c>
      <c r="BP9">
        <f>IF(Plan1!142:142,"AAAAAF4veEM=",0)</f>
        <v>0</v>
      </c>
      <c r="BQ9" t="e">
        <f>AND(Plan1!A142,"AAAAAF4veEQ=")</f>
        <v>#VALUE!</v>
      </c>
      <c r="BR9" t="e">
        <f>AND(Plan1!B142,"AAAAAF4veEU=")</f>
        <v>#VALUE!</v>
      </c>
      <c r="BS9" t="e">
        <f>AND(Plan1!C142,"AAAAAF4veEY=")</f>
        <v>#VALUE!</v>
      </c>
      <c r="BT9" t="e">
        <f>AND(Plan1!D142,"AAAAAF4veEc=")</f>
        <v>#VALUE!</v>
      </c>
      <c r="BU9" t="e">
        <f>AND(Plan1!E142,"AAAAAF4veEg=")</f>
        <v>#VALUE!</v>
      </c>
      <c r="BV9" t="e">
        <f>AND(Plan1!F142,"AAAAAF4veEk=")</f>
        <v>#VALUE!</v>
      </c>
      <c r="BW9" t="e">
        <f>AND(Plan1!G142,"AAAAAF4veEo=")</f>
        <v>#VALUE!</v>
      </c>
      <c r="BX9" t="e">
        <f>AND(Plan1!H142,"AAAAAF4veEs=")</f>
        <v>#VALUE!</v>
      </c>
      <c r="BY9" t="e">
        <f>AND(Plan1!I142,"AAAAAF4veEw=")</f>
        <v>#VALUE!</v>
      </c>
      <c r="BZ9" t="e">
        <f>AND(Plan1!J142,"AAAAAF4veE0=")</f>
        <v>#VALUE!</v>
      </c>
      <c r="CA9" t="e">
        <f>AND(Plan1!K142,"AAAAAF4veE4=")</f>
        <v>#VALUE!</v>
      </c>
      <c r="CB9" t="e">
        <f>AND(Plan1!L142,"AAAAAF4veE8=")</f>
        <v>#VALUE!</v>
      </c>
      <c r="CC9" t="e">
        <f>AND(Plan1!M142,"AAAAAF4veFA=")</f>
        <v>#VALUE!</v>
      </c>
      <c r="CD9" t="e">
        <f>AND(Plan1!N142,"AAAAAF4veFE=")</f>
        <v>#VALUE!</v>
      </c>
      <c r="CE9">
        <f>IF(Plan1!143:143,"AAAAAF4veFI=",0)</f>
        <v>0</v>
      </c>
      <c r="CF9" t="e">
        <f>AND(Plan1!A143,"AAAAAF4veFM=")</f>
        <v>#VALUE!</v>
      </c>
      <c r="CG9" t="e">
        <f>AND(Plan1!B143,"AAAAAF4veFQ=")</f>
        <v>#VALUE!</v>
      </c>
      <c r="CH9" t="e">
        <f>AND(Plan1!C143,"AAAAAF4veFU=")</f>
        <v>#VALUE!</v>
      </c>
      <c r="CI9" t="e">
        <f>AND(Plan1!D143,"AAAAAF4veFY=")</f>
        <v>#VALUE!</v>
      </c>
      <c r="CJ9" t="e">
        <f>AND(Plan1!E143,"AAAAAF4veFc=")</f>
        <v>#VALUE!</v>
      </c>
      <c r="CK9" t="e">
        <f>AND(Plan1!F143,"AAAAAF4veFg=")</f>
        <v>#VALUE!</v>
      </c>
      <c r="CL9" t="e">
        <f>AND(Plan1!G143,"AAAAAF4veFk=")</f>
        <v>#VALUE!</v>
      </c>
      <c r="CM9" t="e">
        <f>AND(Plan1!H143,"AAAAAF4veFo=")</f>
        <v>#VALUE!</v>
      </c>
      <c r="CN9" t="e">
        <f>AND(Plan1!I143,"AAAAAF4veFs=")</f>
        <v>#VALUE!</v>
      </c>
      <c r="CO9" t="e">
        <f>AND(Plan1!J143,"AAAAAF4veFw=")</f>
        <v>#VALUE!</v>
      </c>
      <c r="CP9" t="e">
        <f>AND(Plan1!K143,"AAAAAF4veF0=")</f>
        <v>#VALUE!</v>
      </c>
      <c r="CQ9" t="e">
        <f>AND(Plan1!L143,"AAAAAF4veF4=")</f>
        <v>#VALUE!</v>
      </c>
      <c r="CR9" t="e">
        <f>AND(Plan1!M143,"AAAAAF4veF8=")</f>
        <v>#VALUE!</v>
      </c>
      <c r="CS9" t="e">
        <f>AND(Plan1!N143,"AAAAAF4veGA=")</f>
        <v>#VALUE!</v>
      </c>
      <c r="CT9">
        <f>IF(Plan1!144:144,"AAAAAF4veGE=",0)</f>
        <v>0</v>
      </c>
      <c r="CU9" t="e">
        <f>AND(Plan1!A144,"AAAAAF4veGI=")</f>
        <v>#VALUE!</v>
      </c>
      <c r="CV9" t="e">
        <f>AND(Plan1!B144,"AAAAAF4veGM=")</f>
        <v>#VALUE!</v>
      </c>
      <c r="CW9" t="e">
        <f>AND(Plan1!C144,"AAAAAF4veGQ=")</f>
        <v>#VALUE!</v>
      </c>
      <c r="CX9" t="e">
        <f>AND(Plan1!D144,"AAAAAF4veGU=")</f>
        <v>#VALUE!</v>
      </c>
      <c r="CY9" t="e">
        <f>AND(Plan1!E144,"AAAAAF4veGY=")</f>
        <v>#VALUE!</v>
      </c>
      <c r="CZ9" t="e">
        <f>AND(Plan1!F144,"AAAAAF4veGc=")</f>
        <v>#VALUE!</v>
      </c>
      <c r="DA9" t="e">
        <f>AND(Plan1!G144,"AAAAAF4veGg=")</f>
        <v>#VALUE!</v>
      </c>
      <c r="DB9" t="e">
        <f>AND(Plan1!H144,"AAAAAF4veGk=")</f>
        <v>#VALUE!</v>
      </c>
      <c r="DC9" t="e">
        <f>AND(Plan1!I144,"AAAAAF4veGo=")</f>
        <v>#VALUE!</v>
      </c>
      <c r="DD9" t="e">
        <f>AND(Plan1!J144,"AAAAAF4veGs=")</f>
        <v>#VALUE!</v>
      </c>
      <c r="DE9" t="e">
        <f>AND(Plan1!K144,"AAAAAF4veGw=")</f>
        <v>#VALUE!</v>
      </c>
      <c r="DF9" t="e">
        <f>AND(Plan1!L144,"AAAAAF4veG0=")</f>
        <v>#VALUE!</v>
      </c>
      <c r="DG9" t="e">
        <f>AND(Plan1!M144,"AAAAAF4veG4=")</f>
        <v>#VALUE!</v>
      </c>
      <c r="DH9" t="e">
        <f>AND(Plan1!N144,"AAAAAF4veG8=")</f>
        <v>#VALUE!</v>
      </c>
      <c r="DI9">
        <f>IF(Plan1!145:145,"AAAAAF4veHA=",0)</f>
        <v>0</v>
      </c>
      <c r="DJ9" t="e">
        <f>AND(Plan1!A145,"AAAAAF4veHE=")</f>
        <v>#VALUE!</v>
      </c>
      <c r="DK9" t="e">
        <f>AND(Plan1!B145,"AAAAAF4veHI=")</f>
        <v>#VALUE!</v>
      </c>
      <c r="DL9" t="e">
        <f>AND(Plan1!C145,"AAAAAF4veHM=")</f>
        <v>#VALUE!</v>
      </c>
      <c r="DM9" t="e">
        <f>AND(Plan1!D145,"AAAAAF4veHQ=")</f>
        <v>#VALUE!</v>
      </c>
      <c r="DN9" t="e">
        <f>AND(Plan1!E145,"AAAAAF4veHU=")</f>
        <v>#VALUE!</v>
      </c>
      <c r="DO9" t="e">
        <f>AND(Plan1!F145,"AAAAAF4veHY=")</f>
        <v>#VALUE!</v>
      </c>
      <c r="DP9" t="e">
        <f>AND(Plan1!G145,"AAAAAF4veHc=")</f>
        <v>#VALUE!</v>
      </c>
      <c r="DQ9" t="e">
        <f>AND(Plan1!H145,"AAAAAF4veHg=")</f>
        <v>#VALUE!</v>
      </c>
      <c r="DR9" t="e">
        <f>AND(Plan1!I145,"AAAAAF4veHk=")</f>
        <v>#VALUE!</v>
      </c>
      <c r="DS9" t="e">
        <f>AND(Plan1!J145,"AAAAAF4veHo=")</f>
        <v>#VALUE!</v>
      </c>
      <c r="DT9" t="e">
        <f>AND(Plan1!K145,"AAAAAF4veHs=")</f>
        <v>#VALUE!</v>
      </c>
      <c r="DU9" t="e">
        <f>AND(Plan1!L145,"AAAAAF4veHw=")</f>
        <v>#VALUE!</v>
      </c>
      <c r="DV9" t="e">
        <f>AND(Plan1!M145,"AAAAAF4veH0=")</f>
        <v>#VALUE!</v>
      </c>
      <c r="DW9" t="e">
        <f>AND(Plan1!N145,"AAAAAF4veH4=")</f>
        <v>#VALUE!</v>
      </c>
      <c r="DX9">
        <f>IF(Plan1!146:146,"AAAAAF4veH8=",0)</f>
        <v>0</v>
      </c>
      <c r="DY9" t="e">
        <f>AND(Plan1!A146,"AAAAAF4veIA=")</f>
        <v>#VALUE!</v>
      </c>
      <c r="DZ9" t="e">
        <f>AND(Plan1!B146,"AAAAAF4veIE=")</f>
        <v>#VALUE!</v>
      </c>
      <c r="EA9" t="e">
        <f>AND(Plan1!C146,"AAAAAF4veII=")</f>
        <v>#VALUE!</v>
      </c>
      <c r="EB9" t="e">
        <f>AND(Plan1!D146,"AAAAAF4veIM=")</f>
        <v>#VALUE!</v>
      </c>
      <c r="EC9" t="e">
        <f>AND(Plan1!E146,"AAAAAF4veIQ=")</f>
        <v>#VALUE!</v>
      </c>
      <c r="ED9" t="e">
        <f>AND(Plan1!F146,"AAAAAF4veIU=")</f>
        <v>#VALUE!</v>
      </c>
      <c r="EE9" t="e">
        <f>AND(Plan1!G146,"AAAAAF4veIY=")</f>
        <v>#VALUE!</v>
      </c>
      <c r="EF9" t="e">
        <f>AND(Plan1!H146,"AAAAAF4veIc=")</f>
        <v>#VALUE!</v>
      </c>
      <c r="EG9" t="e">
        <f>AND(Plan1!I146,"AAAAAF4veIg=")</f>
        <v>#VALUE!</v>
      </c>
      <c r="EH9" t="e">
        <f>AND(Plan1!J146,"AAAAAF4veIk=")</f>
        <v>#VALUE!</v>
      </c>
      <c r="EI9" t="e">
        <f>AND(Plan1!K146,"AAAAAF4veIo=")</f>
        <v>#VALUE!</v>
      </c>
      <c r="EJ9" t="e">
        <f>AND(Plan1!L146,"AAAAAF4veIs=")</f>
        <v>#VALUE!</v>
      </c>
      <c r="EK9" t="e">
        <f>AND(Plan1!M146,"AAAAAF4veIw=")</f>
        <v>#VALUE!</v>
      </c>
      <c r="EL9" t="e">
        <f>AND(Plan1!N146,"AAAAAF4veI0=")</f>
        <v>#VALUE!</v>
      </c>
      <c r="EM9">
        <f>IF(Plan1!147:147,"AAAAAF4veI4=",0)</f>
        <v>0</v>
      </c>
      <c r="EN9" t="e">
        <f>AND(Plan1!A147,"AAAAAF4veI8=")</f>
        <v>#VALUE!</v>
      </c>
      <c r="EO9" t="e">
        <f>AND(Plan1!B147,"AAAAAF4veJA=")</f>
        <v>#VALUE!</v>
      </c>
      <c r="EP9" t="e">
        <f>AND(Plan1!C147,"AAAAAF4veJE=")</f>
        <v>#VALUE!</v>
      </c>
      <c r="EQ9" t="e">
        <f>AND(Plan1!D147,"AAAAAF4veJI=")</f>
        <v>#VALUE!</v>
      </c>
      <c r="ER9" t="e">
        <f>AND(Plan1!E147,"AAAAAF4veJM=")</f>
        <v>#VALUE!</v>
      </c>
      <c r="ES9" t="e">
        <f>AND(Plan1!F147,"AAAAAF4veJQ=")</f>
        <v>#VALUE!</v>
      </c>
      <c r="ET9" t="e">
        <f>AND(Plan1!G147,"AAAAAF4veJU=")</f>
        <v>#VALUE!</v>
      </c>
      <c r="EU9" t="e">
        <f>AND(Plan1!H147,"AAAAAF4veJY=")</f>
        <v>#VALUE!</v>
      </c>
      <c r="EV9" t="e">
        <f>AND(Plan1!I147,"AAAAAF4veJc=")</f>
        <v>#VALUE!</v>
      </c>
      <c r="EW9" t="e">
        <f>AND(Plan1!J147,"AAAAAF4veJg=")</f>
        <v>#VALUE!</v>
      </c>
      <c r="EX9" t="e">
        <f>AND(Plan1!K147,"AAAAAF4veJk=")</f>
        <v>#VALUE!</v>
      </c>
      <c r="EY9" t="e">
        <f>AND(Plan1!L147,"AAAAAF4veJo=")</f>
        <v>#VALUE!</v>
      </c>
      <c r="EZ9" t="e">
        <f>AND(Plan1!M147,"AAAAAF4veJs=")</f>
        <v>#VALUE!</v>
      </c>
      <c r="FA9" t="e">
        <f>AND(Plan1!N147,"AAAAAF4veJw=")</f>
        <v>#VALUE!</v>
      </c>
      <c r="FB9">
        <f>IF(Plan1!148:148,"AAAAAF4veJ0=",0)</f>
        <v>0</v>
      </c>
      <c r="FC9" t="e">
        <f>AND(Plan1!A148,"AAAAAF4veJ4=")</f>
        <v>#VALUE!</v>
      </c>
      <c r="FD9" t="e">
        <f>AND(Plan1!B148,"AAAAAF4veJ8=")</f>
        <v>#VALUE!</v>
      </c>
      <c r="FE9" t="e">
        <f>AND(Plan1!C148,"AAAAAF4veKA=")</f>
        <v>#VALUE!</v>
      </c>
      <c r="FF9" t="e">
        <f>AND(Plan1!D148,"AAAAAF4veKE=")</f>
        <v>#VALUE!</v>
      </c>
      <c r="FG9" t="e">
        <f>AND(Plan1!E148,"AAAAAF4veKI=")</f>
        <v>#VALUE!</v>
      </c>
      <c r="FH9" t="e">
        <f>AND(Plan1!F148,"AAAAAF4veKM=")</f>
        <v>#VALUE!</v>
      </c>
      <c r="FI9" t="e">
        <f>AND(Plan1!G148,"AAAAAF4veKQ=")</f>
        <v>#VALUE!</v>
      </c>
      <c r="FJ9" t="e">
        <f>AND(Plan1!H148,"AAAAAF4veKU=")</f>
        <v>#VALUE!</v>
      </c>
      <c r="FK9" t="e">
        <f>AND(Plan1!I148,"AAAAAF4veKY=")</f>
        <v>#VALUE!</v>
      </c>
      <c r="FL9" t="e">
        <f>AND(Plan1!J148,"AAAAAF4veKc=")</f>
        <v>#VALUE!</v>
      </c>
      <c r="FM9" t="e">
        <f>AND(Plan1!K148,"AAAAAF4veKg=")</f>
        <v>#VALUE!</v>
      </c>
      <c r="FN9" t="e">
        <f>AND(Plan1!L148,"AAAAAF4veKk=")</f>
        <v>#VALUE!</v>
      </c>
      <c r="FO9" t="e">
        <f>AND(Plan1!M148,"AAAAAF4veKo=")</f>
        <v>#VALUE!</v>
      </c>
      <c r="FP9" t="e">
        <f>AND(Plan1!N148,"AAAAAF4veKs=")</f>
        <v>#VALUE!</v>
      </c>
      <c r="FQ9">
        <f>IF(Plan1!149:149,"AAAAAF4veKw=",0)</f>
        <v>0</v>
      </c>
      <c r="FR9" t="e">
        <f>AND(Plan1!A149,"AAAAAF4veK0=")</f>
        <v>#VALUE!</v>
      </c>
      <c r="FS9" t="e">
        <f>AND(Plan1!B149,"AAAAAF4veK4=")</f>
        <v>#VALUE!</v>
      </c>
      <c r="FT9" t="e">
        <f>AND(Plan1!C149,"AAAAAF4veK8=")</f>
        <v>#VALUE!</v>
      </c>
      <c r="FU9" t="e">
        <f>AND(Plan1!D149,"AAAAAF4veLA=")</f>
        <v>#VALUE!</v>
      </c>
      <c r="FV9" t="e">
        <f>AND(Plan1!E149,"AAAAAF4veLE=")</f>
        <v>#VALUE!</v>
      </c>
      <c r="FW9" t="e">
        <f>AND(Plan1!F149,"AAAAAF4veLI=")</f>
        <v>#VALUE!</v>
      </c>
      <c r="FX9" t="e">
        <f>AND(Plan1!G149,"AAAAAF4veLM=")</f>
        <v>#VALUE!</v>
      </c>
      <c r="FY9" t="e">
        <f>AND(Plan1!H149,"AAAAAF4veLQ=")</f>
        <v>#VALUE!</v>
      </c>
      <c r="FZ9" t="e">
        <f>AND(Plan1!I149,"AAAAAF4veLU=")</f>
        <v>#VALUE!</v>
      </c>
      <c r="GA9" t="e">
        <f>AND(Plan1!J149,"AAAAAF4veLY=")</f>
        <v>#VALUE!</v>
      </c>
      <c r="GB9" t="e">
        <f>AND(Plan1!K149,"AAAAAF4veLc=")</f>
        <v>#VALUE!</v>
      </c>
      <c r="GC9" t="e">
        <f>AND(Plan1!L149,"AAAAAF4veLg=")</f>
        <v>#VALUE!</v>
      </c>
      <c r="GD9" t="e">
        <f>AND(Plan1!M149,"AAAAAF4veLk=")</f>
        <v>#VALUE!</v>
      </c>
      <c r="GE9" t="e">
        <f>AND(Plan1!N149,"AAAAAF4veLo=")</f>
        <v>#VALUE!</v>
      </c>
      <c r="GF9">
        <f>IF(Plan1!150:150,"AAAAAF4veLs=",0)</f>
        <v>0</v>
      </c>
      <c r="GG9" t="e">
        <f>AND(Plan1!A150,"AAAAAF4veLw=")</f>
        <v>#VALUE!</v>
      </c>
      <c r="GH9" t="e">
        <f>AND(Plan1!B150,"AAAAAF4veL0=")</f>
        <v>#VALUE!</v>
      </c>
      <c r="GI9" t="e">
        <f>AND(Plan1!C150,"AAAAAF4veL4=")</f>
        <v>#VALUE!</v>
      </c>
      <c r="GJ9" t="e">
        <f>AND(Plan1!D150,"AAAAAF4veL8=")</f>
        <v>#VALUE!</v>
      </c>
      <c r="GK9" t="e">
        <f>AND(Plan1!E150,"AAAAAF4veMA=")</f>
        <v>#VALUE!</v>
      </c>
      <c r="GL9" t="e">
        <f>AND(Plan1!F150,"AAAAAF4veME=")</f>
        <v>#VALUE!</v>
      </c>
      <c r="GM9" t="e">
        <f>AND(Plan1!G150,"AAAAAF4veMI=")</f>
        <v>#VALUE!</v>
      </c>
      <c r="GN9" t="e">
        <f>AND(Plan1!H150,"AAAAAF4veMM=")</f>
        <v>#VALUE!</v>
      </c>
      <c r="GO9" t="e">
        <f>AND(Plan1!I150,"AAAAAF4veMQ=")</f>
        <v>#VALUE!</v>
      </c>
      <c r="GP9" t="e">
        <f>AND(Plan1!J150,"AAAAAF4veMU=")</f>
        <v>#VALUE!</v>
      </c>
      <c r="GQ9" t="e">
        <f>AND(Plan1!K150,"AAAAAF4veMY=")</f>
        <v>#VALUE!</v>
      </c>
      <c r="GR9" t="e">
        <f>AND(Plan1!L150,"AAAAAF4veMc=")</f>
        <v>#VALUE!</v>
      </c>
      <c r="GS9" t="e">
        <f>AND(Plan1!M150,"AAAAAF4veMg=")</f>
        <v>#VALUE!</v>
      </c>
      <c r="GT9" t="e">
        <f>AND(Plan1!N150,"AAAAAF4veMk=")</f>
        <v>#VALUE!</v>
      </c>
      <c r="GU9">
        <f>IF(Plan1!151:151,"AAAAAF4veMo=",0)</f>
        <v>0</v>
      </c>
      <c r="GV9" t="e">
        <f>AND(Plan1!A151,"AAAAAF4veMs=")</f>
        <v>#VALUE!</v>
      </c>
      <c r="GW9" t="e">
        <f>AND(Plan1!B151,"AAAAAF4veMw=")</f>
        <v>#VALUE!</v>
      </c>
      <c r="GX9" t="e">
        <f>AND(Plan1!C151,"AAAAAF4veM0=")</f>
        <v>#VALUE!</v>
      </c>
      <c r="GY9" t="e">
        <f>AND(Plan1!D151,"AAAAAF4veM4=")</f>
        <v>#VALUE!</v>
      </c>
      <c r="GZ9" t="e">
        <f>AND(Plan1!E151,"AAAAAF4veM8=")</f>
        <v>#VALUE!</v>
      </c>
      <c r="HA9" t="e">
        <f>AND(Plan1!F151,"AAAAAF4veNA=")</f>
        <v>#VALUE!</v>
      </c>
      <c r="HB9" t="e">
        <f>AND(Plan1!G151,"AAAAAF4veNE=")</f>
        <v>#VALUE!</v>
      </c>
      <c r="HC9" t="e">
        <f>AND(Plan1!H151,"AAAAAF4veNI=")</f>
        <v>#VALUE!</v>
      </c>
      <c r="HD9" t="e">
        <f>AND(Plan1!I151,"AAAAAF4veNM=")</f>
        <v>#VALUE!</v>
      </c>
      <c r="HE9" t="e">
        <f>AND(Plan1!J151,"AAAAAF4veNQ=")</f>
        <v>#VALUE!</v>
      </c>
      <c r="HF9" t="e">
        <f>AND(Plan1!K151,"AAAAAF4veNU=")</f>
        <v>#VALUE!</v>
      </c>
      <c r="HG9" t="e">
        <f>AND(Plan1!L151,"AAAAAF4veNY=")</f>
        <v>#VALUE!</v>
      </c>
      <c r="HH9" t="e">
        <f>AND(Plan1!M151,"AAAAAF4veNc=")</f>
        <v>#VALUE!</v>
      </c>
      <c r="HI9" t="e">
        <f>AND(Plan1!N151,"AAAAAF4veNg=")</f>
        <v>#VALUE!</v>
      </c>
      <c r="HJ9">
        <f>IF(Plan1!152:152,"AAAAAF4veNk=",0)</f>
        <v>0</v>
      </c>
      <c r="HK9" t="e">
        <f>AND(Plan1!A152,"AAAAAF4veNo=")</f>
        <v>#VALUE!</v>
      </c>
      <c r="HL9" t="e">
        <f>AND(Plan1!B152,"AAAAAF4veNs=")</f>
        <v>#VALUE!</v>
      </c>
      <c r="HM9" t="e">
        <f>AND(Plan1!C152,"AAAAAF4veNw=")</f>
        <v>#VALUE!</v>
      </c>
      <c r="HN9" t="e">
        <f>AND(Plan1!D152,"AAAAAF4veN0=")</f>
        <v>#VALUE!</v>
      </c>
      <c r="HO9" t="e">
        <f>AND(Plan1!E152,"AAAAAF4veN4=")</f>
        <v>#VALUE!</v>
      </c>
      <c r="HP9" t="e">
        <f>AND(Plan1!F152,"AAAAAF4veN8=")</f>
        <v>#VALUE!</v>
      </c>
      <c r="HQ9" t="e">
        <f>AND(Plan1!G152,"AAAAAF4veOA=")</f>
        <v>#VALUE!</v>
      </c>
      <c r="HR9" t="e">
        <f>AND(Plan1!H152,"AAAAAF4veOE=")</f>
        <v>#VALUE!</v>
      </c>
      <c r="HS9" t="e">
        <f>AND(Plan1!I152,"AAAAAF4veOI=")</f>
        <v>#VALUE!</v>
      </c>
      <c r="HT9" t="e">
        <f>AND(Plan1!J152,"AAAAAF4veOM=")</f>
        <v>#VALUE!</v>
      </c>
      <c r="HU9" t="e">
        <f>AND(Plan1!K152,"AAAAAF4veOQ=")</f>
        <v>#VALUE!</v>
      </c>
      <c r="HV9" t="e">
        <f>AND(Plan1!L152,"AAAAAF4veOU=")</f>
        <v>#VALUE!</v>
      </c>
      <c r="HW9" t="e">
        <f>AND(Plan1!M152,"AAAAAF4veOY=")</f>
        <v>#VALUE!</v>
      </c>
      <c r="HX9" t="e">
        <f>AND(Plan1!N152,"AAAAAF4veOc=")</f>
        <v>#VALUE!</v>
      </c>
      <c r="HY9">
        <f>IF(Plan1!153:153,"AAAAAF4veOg=",0)</f>
        <v>0</v>
      </c>
      <c r="HZ9" t="e">
        <f>AND(Plan1!A153,"AAAAAF4veOk=")</f>
        <v>#VALUE!</v>
      </c>
      <c r="IA9" t="e">
        <f>AND(Plan1!B153,"AAAAAF4veOo=")</f>
        <v>#VALUE!</v>
      </c>
      <c r="IB9" t="e">
        <f>AND(Plan1!C153,"AAAAAF4veOs=")</f>
        <v>#VALUE!</v>
      </c>
      <c r="IC9" t="e">
        <f>AND(Plan1!D153,"AAAAAF4veOw=")</f>
        <v>#VALUE!</v>
      </c>
      <c r="ID9" t="e">
        <f>AND(Plan1!E153,"AAAAAF4veO0=")</f>
        <v>#VALUE!</v>
      </c>
      <c r="IE9" t="e">
        <f>AND(Plan1!F153,"AAAAAF4veO4=")</f>
        <v>#VALUE!</v>
      </c>
      <c r="IF9" t="e">
        <f>AND(Plan1!G153,"AAAAAF4veO8=")</f>
        <v>#VALUE!</v>
      </c>
      <c r="IG9" t="e">
        <f>AND(Plan1!H153,"AAAAAF4vePA=")</f>
        <v>#VALUE!</v>
      </c>
      <c r="IH9" t="e">
        <f>AND(Plan1!I153,"AAAAAF4vePE=")</f>
        <v>#VALUE!</v>
      </c>
      <c r="II9" t="e">
        <f>AND(Plan1!J153,"AAAAAF4vePI=")</f>
        <v>#VALUE!</v>
      </c>
      <c r="IJ9" t="e">
        <f>AND(Plan1!K153,"AAAAAF4vePM=")</f>
        <v>#VALUE!</v>
      </c>
      <c r="IK9" t="e">
        <f>AND(Plan1!L153,"AAAAAF4vePQ=")</f>
        <v>#VALUE!</v>
      </c>
      <c r="IL9" t="e">
        <f>AND(Plan1!M153,"AAAAAF4vePU=")</f>
        <v>#VALUE!</v>
      </c>
      <c r="IM9" t="e">
        <f>AND(Plan1!N153,"AAAAAF4vePY=")</f>
        <v>#VALUE!</v>
      </c>
      <c r="IN9">
        <f>IF(Plan1!154:154,"AAAAAF4vePc=",0)</f>
        <v>0</v>
      </c>
      <c r="IO9" t="e">
        <f>AND(Plan1!A154,"AAAAAF4vePg=")</f>
        <v>#VALUE!</v>
      </c>
      <c r="IP9" t="e">
        <f>AND(Plan1!B154,"AAAAAF4vePk=")</f>
        <v>#VALUE!</v>
      </c>
      <c r="IQ9" t="e">
        <f>AND(Plan1!C154,"AAAAAF4vePo=")</f>
        <v>#VALUE!</v>
      </c>
      <c r="IR9" t="e">
        <f>AND(Plan1!D154,"AAAAAF4vePs=")</f>
        <v>#VALUE!</v>
      </c>
      <c r="IS9" t="e">
        <f>AND(Plan1!E154,"AAAAAF4vePw=")</f>
        <v>#VALUE!</v>
      </c>
      <c r="IT9" t="e">
        <f>AND(Plan1!F154,"AAAAAF4veP0=")</f>
        <v>#VALUE!</v>
      </c>
      <c r="IU9" t="e">
        <f>AND(Plan1!G154,"AAAAAF4veP4=")</f>
        <v>#VALUE!</v>
      </c>
      <c r="IV9" t="e">
        <f>AND(Plan1!H154,"AAAAAF4veP8=")</f>
        <v>#VALUE!</v>
      </c>
    </row>
    <row r="10" spans="1:256">
      <c r="A10" t="e">
        <f>AND(Plan1!I154,"AAAAAGz32QA=")</f>
        <v>#VALUE!</v>
      </c>
      <c r="B10" t="e">
        <f>AND(Plan1!J154,"AAAAAGz32QE=")</f>
        <v>#VALUE!</v>
      </c>
      <c r="C10" t="e">
        <f>AND(Plan1!K154,"AAAAAGz32QI=")</f>
        <v>#VALUE!</v>
      </c>
      <c r="D10" t="e">
        <f>AND(Plan1!L154,"AAAAAGz32QM=")</f>
        <v>#VALUE!</v>
      </c>
      <c r="E10" t="e">
        <f>AND(Plan1!M154,"AAAAAGz32QQ=")</f>
        <v>#VALUE!</v>
      </c>
      <c r="F10" t="e">
        <f>AND(Plan1!N154,"AAAAAGz32QU=")</f>
        <v>#VALUE!</v>
      </c>
      <c r="G10">
        <f>IF(Plan1!155:155,"AAAAAGz32QY=",0)</f>
        <v>0</v>
      </c>
      <c r="H10" t="e">
        <f>AND(Plan1!A155,"AAAAAGz32Qc=")</f>
        <v>#VALUE!</v>
      </c>
      <c r="I10" t="e">
        <f>AND(Plan1!B155,"AAAAAGz32Qg=")</f>
        <v>#VALUE!</v>
      </c>
      <c r="J10" t="e">
        <f>AND(Plan1!C155,"AAAAAGz32Qk=")</f>
        <v>#VALUE!</v>
      </c>
      <c r="K10" t="e">
        <f>AND(Plan1!D155,"AAAAAGz32Qo=")</f>
        <v>#VALUE!</v>
      </c>
      <c r="L10" t="e">
        <f>AND(Plan1!E155,"AAAAAGz32Qs=")</f>
        <v>#VALUE!</v>
      </c>
      <c r="M10" t="e">
        <f>AND(Plan1!F155,"AAAAAGz32Qw=")</f>
        <v>#VALUE!</v>
      </c>
      <c r="N10" t="e">
        <f>AND(Plan1!G155,"AAAAAGz32Q0=")</f>
        <v>#VALUE!</v>
      </c>
      <c r="O10" t="e">
        <f>AND(Plan1!H155,"AAAAAGz32Q4=")</f>
        <v>#VALUE!</v>
      </c>
      <c r="P10" t="e">
        <f>AND(Plan1!I155,"AAAAAGz32Q8=")</f>
        <v>#VALUE!</v>
      </c>
      <c r="Q10" t="e">
        <f>AND(Plan1!J155,"AAAAAGz32RA=")</f>
        <v>#VALUE!</v>
      </c>
      <c r="R10" t="e">
        <f>AND(Plan1!K155,"AAAAAGz32RE=")</f>
        <v>#VALUE!</v>
      </c>
      <c r="S10" t="e">
        <f>AND(Plan1!L155,"AAAAAGz32RI=")</f>
        <v>#VALUE!</v>
      </c>
      <c r="T10" t="e">
        <f>AND(Plan1!M155,"AAAAAGz32RM=")</f>
        <v>#VALUE!</v>
      </c>
      <c r="U10" t="e">
        <f>AND(Plan1!N155,"AAAAAGz32RQ=")</f>
        <v>#VALUE!</v>
      </c>
      <c r="V10">
        <f>IF(Plan1!156:156,"AAAAAGz32RU=",0)</f>
        <v>0</v>
      </c>
      <c r="W10" t="e">
        <f>AND(Plan1!A156,"AAAAAGz32RY=")</f>
        <v>#VALUE!</v>
      </c>
      <c r="X10" t="e">
        <f>AND(Plan1!B156,"AAAAAGz32Rc=")</f>
        <v>#VALUE!</v>
      </c>
      <c r="Y10" t="e">
        <f>AND(Plan1!C156,"AAAAAGz32Rg=")</f>
        <v>#VALUE!</v>
      </c>
      <c r="Z10" t="e">
        <f>AND(Plan1!D156,"AAAAAGz32Rk=")</f>
        <v>#VALUE!</v>
      </c>
      <c r="AA10" t="e">
        <f>AND(Plan1!E156,"AAAAAGz32Ro=")</f>
        <v>#VALUE!</v>
      </c>
      <c r="AB10" t="e">
        <f>AND(Plan1!F156,"AAAAAGz32Rs=")</f>
        <v>#VALUE!</v>
      </c>
      <c r="AC10" t="e">
        <f>AND(Plan1!G156,"AAAAAGz32Rw=")</f>
        <v>#VALUE!</v>
      </c>
      <c r="AD10" t="e">
        <f>AND(Plan1!H156,"AAAAAGz32R0=")</f>
        <v>#VALUE!</v>
      </c>
      <c r="AE10" t="e">
        <f>AND(Plan1!I156,"AAAAAGz32R4=")</f>
        <v>#VALUE!</v>
      </c>
      <c r="AF10" t="e">
        <f>AND(Plan1!J156,"AAAAAGz32R8=")</f>
        <v>#VALUE!</v>
      </c>
      <c r="AG10" t="e">
        <f>AND(Plan1!K156,"AAAAAGz32SA=")</f>
        <v>#VALUE!</v>
      </c>
      <c r="AH10" t="e">
        <f>AND(Plan1!L156,"AAAAAGz32SE=")</f>
        <v>#VALUE!</v>
      </c>
      <c r="AI10" t="e">
        <f>AND(Plan1!M156,"AAAAAGz32SI=")</f>
        <v>#VALUE!</v>
      </c>
      <c r="AJ10" t="e">
        <f>AND(Plan1!N156,"AAAAAGz32SM=")</f>
        <v>#VALUE!</v>
      </c>
      <c r="AK10">
        <f>IF(Plan1!157:157,"AAAAAGz32SQ=",0)</f>
        <v>0</v>
      </c>
      <c r="AL10" t="e">
        <f>AND(Plan1!A157,"AAAAAGz32SU=")</f>
        <v>#VALUE!</v>
      </c>
      <c r="AM10" t="e">
        <f>AND(Plan1!B157,"AAAAAGz32SY=")</f>
        <v>#VALUE!</v>
      </c>
      <c r="AN10" t="e">
        <f>AND(Plan1!C157,"AAAAAGz32Sc=")</f>
        <v>#VALUE!</v>
      </c>
      <c r="AO10" t="e">
        <f>AND(Plan1!D157,"AAAAAGz32Sg=")</f>
        <v>#VALUE!</v>
      </c>
      <c r="AP10" t="e">
        <f>AND(Plan1!E157,"AAAAAGz32Sk=")</f>
        <v>#VALUE!</v>
      </c>
      <c r="AQ10" t="e">
        <f>AND(Plan1!F157,"AAAAAGz32So=")</f>
        <v>#VALUE!</v>
      </c>
      <c r="AR10" t="e">
        <f>AND(Plan1!G157,"AAAAAGz32Ss=")</f>
        <v>#VALUE!</v>
      </c>
      <c r="AS10" t="e">
        <f>AND(Plan1!H157,"AAAAAGz32Sw=")</f>
        <v>#VALUE!</v>
      </c>
      <c r="AT10" t="e">
        <f>AND(Plan1!I157,"AAAAAGz32S0=")</f>
        <v>#VALUE!</v>
      </c>
      <c r="AU10" t="e">
        <f>AND(Plan1!J157,"AAAAAGz32S4=")</f>
        <v>#VALUE!</v>
      </c>
      <c r="AV10" t="e">
        <f>AND(Plan1!K157,"AAAAAGz32S8=")</f>
        <v>#VALUE!</v>
      </c>
      <c r="AW10" t="e">
        <f>AND(Plan1!L157,"AAAAAGz32TA=")</f>
        <v>#VALUE!</v>
      </c>
      <c r="AX10" t="e">
        <f>AND(Plan1!M157,"AAAAAGz32TE=")</f>
        <v>#VALUE!</v>
      </c>
      <c r="AY10" t="e">
        <f>AND(Plan1!N157,"AAAAAGz32TI=")</f>
        <v>#VALUE!</v>
      </c>
      <c r="AZ10">
        <f>IF(Plan1!158:158,"AAAAAGz32TM=",0)</f>
        <v>0</v>
      </c>
      <c r="BA10" t="e">
        <f>AND(Plan1!A158,"AAAAAGz32TQ=")</f>
        <v>#VALUE!</v>
      </c>
      <c r="BB10" t="e">
        <f>AND(Plan1!B158,"AAAAAGz32TU=")</f>
        <v>#VALUE!</v>
      </c>
      <c r="BC10" t="e">
        <f>AND(Plan1!C158,"AAAAAGz32TY=")</f>
        <v>#VALUE!</v>
      </c>
      <c r="BD10" t="e">
        <f>AND(Plan1!D158,"AAAAAGz32Tc=")</f>
        <v>#VALUE!</v>
      </c>
      <c r="BE10" t="e">
        <f>AND(Plan1!E158,"AAAAAGz32Tg=")</f>
        <v>#VALUE!</v>
      </c>
      <c r="BF10" t="e">
        <f>AND(Plan1!F158,"AAAAAGz32Tk=")</f>
        <v>#VALUE!</v>
      </c>
      <c r="BG10" t="e">
        <f>AND(Plan1!G158,"AAAAAGz32To=")</f>
        <v>#VALUE!</v>
      </c>
      <c r="BH10" t="e">
        <f>AND(Plan1!H158,"AAAAAGz32Ts=")</f>
        <v>#VALUE!</v>
      </c>
      <c r="BI10" t="e">
        <f>AND(Plan1!I158,"AAAAAGz32Tw=")</f>
        <v>#VALUE!</v>
      </c>
      <c r="BJ10" t="e">
        <f>AND(Plan1!J158,"AAAAAGz32T0=")</f>
        <v>#VALUE!</v>
      </c>
      <c r="BK10" t="e">
        <f>AND(Plan1!K158,"AAAAAGz32T4=")</f>
        <v>#VALUE!</v>
      </c>
      <c r="BL10" t="e">
        <f>AND(Plan1!L158,"AAAAAGz32T8=")</f>
        <v>#VALUE!</v>
      </c>
      <c r="BM10" t="e">
        <f>AND(Plan1!M158,"AAAAAGz32UA=")</f>
        <v>#VALUE!</v>
      </c>
      <c r="BN10" t="e">
        <f>AND(Plan1!N158,"AAAAAGz32UE=")</f>
        <v>#VALUE!</v>
      </c>
      <c r="BO10">
        <f>IF(Plan1!159:159,"AAAAAGz32UI=",0)</f>
        <v>0</v>
      </c>
      <c r="BP10" t="e">
        <f>AND(Plan1!A159,"AAAAAGz32UM=")</f>
        <v>#VALUE!</v>
      </c>
      <c r="BQ10" t="e">
        <f>AND(Plan1!B159,"AAAAAGz32UQ=")</f>
        <v>#VALUE!</v>
      </c>
      <c r="BR10" t="e">
        <f>AND(Plan1!C159,"AAAAAGz32UU=")</f>
        <v>#VALUE!</v>
      </c>
      <c r="BS10" t="e">
        <f>AND(Plan1!D159,"AAAAAGz32UY=")</f>
        <v>#VALUE!</v>
      </c>
      <c r="BT10" t="e">
        <f>AND(Plan1!E159,"AAAAAGz32Uc=")</f>
        <v>#VALUE!</v>
      </c>
      <c r="BU10" t="e">
        <f>AND(Plan1!F159,"AAAAAGz32Ug=")</f>
        <v>#VALUE!</v>
      </c>
      <c r="BV10" t="e">
        <f>AND(Plan1!G159,"AAAAAGz32Uk=")</f>
        <v>#VALUE!</v>
      </c>
      <c r="BW10" t="e">
        <f>AND(Plan1!H159,"AAAAAGz32Uo=")</f>
        <v>#VALUE!</v>
      </c>
      <c r="BX10" t="e">
        <f>AND(Plan1!I159,"AAAAAGz32Us=")</f>
        <v>#VALUE!</v>
      </c>
      <c r="BY10" t="e">
        <f>AND(Plan1!J159,"AAAAAGz32Uw=")</f>
        <v>#VALUE!</v>
      </c>
      <c r="BZ10" t="e">
        <f>AND(Plan1!K159,"AAAAAGz32U0=")</f>
        <v>#VALUE!</v>
      </c>
      <c r="CA10" t="e">
        <f>AND(Plan1!L159,"AAAAAGz32U4=")</f>
        <v>#VALUE!</v>
      </c>
      <c r="CB10" t="e">
        <f>AND(Plan1!M159,"AAAAAGz32U8=")</f>
        <v>#VALUE!</v>
      </c>
      <c r="CC10" t="e">
        <f>AND(Plan1!N159,"AAAAAGz32VA=")</f>
        <v>#VALUE!</v>
      </c>
      <c r="CD10">
        <f>IF(Plan1!160:160,"AAAAAGz32VE=",0)</f>
        <v>0</v>
      </c>
      <c r="CE10" t="e">
        <f>AND(Plan1!A160,"AAAAAGz32VI=")</f>
        <v>#VALUE!</v>
      </c>
      <c r="CF10" t="e">
        <f>AND(Plan1!B160,"AAAAAGz32VM=")</f>
        <v>#VALUE!</v>
      </c>
      <c r="CG10" t="e">
        <f>AND(Plan1!C160,"AAAAAGz32VQ=")</f>
        <v>#VALUE!</v>
      </c>
      <c r="CH10" t="e">
        <f>AND(Plan1!D160,"AAAAAGz32VU=")</f>
        <v>#VALUE!</v>
      </c>
      <c r="CI10" t="e">
        <f>AND(Plan1!E160,"AAAAAGz32VY=")</f>
        <v>#VALUE!</v>
      </c>
      <c r="CJ10" t="e">
        <f>AND(Plan1!F160,"AAAAAGz32Vc=")</f>
        <v>#VALUE!</v>
      </c>
      <c r="CK10" t="e">
        <f>AND(Plan1!G160,"AAAAAGz32Vg=")</f>
        <v>#VALUE!</v>
      </c>
      <c r="CL10" t="e">
        <f>AND(Plan1!H160,"AAAAAGz32Vk=")</f>
        <v>#VALUE!</v>
      </c>
      <c r="CM10" t="e">
        <f>AND(Plan1!I160,"AAAAAGz32Vo=")</f>
        <v>#VALUE!</v>
      </c>
      <c r="CN10" t="e">
        <f>AND(Plan1!J160,"AAAAAGz32Vs=")</f>
        <v>#VALUE!</v>
      </c>
      <c r="CO10" t="e">
        <f>AND(Plan1!K160,"AAAAAGz32Vw=")</f>
        <v>#VALUE!</v>
      </c>
      <c r="CP10" t="e">
        <f>AND(Plan1!L160,"AAAAAGz32V0=")</f>
        <v>#VALUE!</v>
      </c>
      <c r="CQ10" t="e">
        <f>AND(Plan1!M160,"AAAAAGz32V4=")</f>
        <v>#VALUE!</v>
      </c>
      <c r="CR10" t="e">
        <f>AND(Plan1!N160,"AAAAAGz32V8=")</f>
        <v>#VALUE!</v>
      </c>
      <c r="CS10">
        <f>IF(Plan1!161:161,"AAAAAGz32WA=",0)</f>
        <v>0</v>
      </c>
      <c r="CT10" t="e">
        <f>AND(Plan1!A161,"AAAAAGz32WE=")</f>
        <v>#VALUE!</v>
      </c>
      <c r="CU10" t="e">
        <f>AND(Plan1!B161,"AAAAAGz32WI=")</f>
        <v>#VALUE!</v>
      </c>
      <c r="CV10" t="e">
        <f>AND(Plan1!C161,"AAAAAGz32WM=")</f>
        <v>#VALUE!</v>
      </c>
      <c r="CW10" t="e">
        <f>AND(Plan1!D161,"AAAAAGz32WQ=")</f>
        <v>#VALUE!</v>
      </c>
      <c r="CX10" t="e">
        <f>AND(Plan1!E161,"AAAAAGz32WU=")</f>
        <v>#VALUE!</v>
      </c>
      <c r="CY10" t="e">
        <f>AND(Plan1!F161,"AAAAAGz32WY=")</f>
        <v>#VALUE!</v>
      </c>
      <c r="CZ10" t="e">
        <f>AND(Plan1!G161,"AAAAAGz32Wc=")</f>
        <v>#VALUE!</v>
      </c>
      <c r="DA10" t="e">
        <f>AND(Plan1!H161,"AAAAAGz32Wg=")</f>
        <v>#VALUE!</v>
      </c>
      <c r="DB10" t="e">
        <f>AND(Plan1!I161,"AAAAAGz32Wk=")</f>
        <v>#VALUE!</v>
      </c>
      <c r="DC10" t="e">
        <f>AND(Plan1!J161,"AAAAAGz32Wo=")</f>
        <v>#VALUE!</v>
      </c>
      <c r="DD10" t="e">
        <f>AND(Plan1!K161,"AAAAAGz32Ws=")</f>
        <v>#VALUE!</v>
      </c>
      <c r="DE10" t="e">
        <f>AND(Plan1!L161,"AAAAAGz32Ww=")</f>
        <v>#VALUE!</v>
      </c>
      <c r="DF10" t="e">
        <f>AND(Plan1!M161,"AAAAAGz32W0=")</f>
        <v>#VALUE!</v>
      </c>
      <c r="DG10" t="e">
        <f>AND(Plan1!N161,"AAAAAGz32W4=")</f>
        <v>#VALUE!</v>
      </c>
      <c r="DH10">
        <f>IF(Plan1!162:162,"AAAAAGz32W8=",0)</f>
        <v>0</v>
      </c>
      <c r="DI10" t="e">
        <f>AND(Plan1!A162,"AAAAAGz32XA=")</f>
        <v>#VALUE!</v>
      </c>
      <c r="DJ10" t="e">
        <f>AND(Plan1!B162,"AAAAAGz32XE=")</f>
        <v>#VALUE!</v>
      </c>
      <c r="DK10" t="e">
        <f>AND(Plan1!C162,"AAAAAGz32XI=")</f>
        <v>#VALUE!</v>
      </c>
      <c r="DL10" t="e">
        <f>AND(Plan1!D162,"AAAAAGz32XM=")</f>
        <v>#VALUE!</v>
      </c>
      <c r="DM10" t="e">
        <f>AND(Plan1!E162,"AAAAAGz32XQ=")</f>
        <v>#VALUE!</v>
      </c>
      <c r="DN10" t="e">
        <f>AND(Plan1!F162,"AAAAAGz32XU=")</f>
        <v>#VALUE!</v>
      </c>
      <c r="DO10" t="e">
        <f>AND(Plan1!G162,"AAAAAGz32XY=")</f>
        <v>#VALUE!</v>
      </c>
      <c r="DP10" t="e">
        <f>AND(Plan1!H162,"AAAAAGz32Xc=")</f>
        <v>#VALUE!</v>
      </c>
      <c r="DQ10" t="e">
        <f>AND(Plan1!I162,"AAAAAGz32Xg=")</f>
        <v>#VALUE!</v>
      </c>
      <c r="DR10" t="e">
        <f>AND(Plan1!J162,"AAAAAGz32Xk=")</f>
        <v>#VALUE!</v>
      </c>
      <c r="DS10" t="e">
        <f>AND(Plan1!K162,"AAAAAGz32Xo=")</f>
        <v>#VALUE!</v>
      </c>
      <c r="DT10" t="e">
        <f>AND(Plan1!L162,"AAAAAGz32Xs=")</f>
        <v>#VALUE!</v>
      </c>
      <c r="DU10" t="e">
        <f>AND(Plan1!M162,"AAAAAGz32Xw=")</f>
        <v>#VALUE!</v>
      </c>
      <c r="DV10" t="e">
        <f>AND(Plan1!N162,"AAAAAGz32X0=")</f>
        <v>#VALUE!</v>
      </c>
      <c r="DW10">
        <f>IF(Plan1!163:163,"AAAAAGz32X4=",0)</f>
        <v>0</v>
      </c>
      <c r="DX10" t="e">
        <f>AND(Plan1!A163,"AAAAAGz32X8=")</f>
        <v>#VALUE!</v>
      </c>
      <c r="DY10" t="e">
        <f>AND(Plan1!B163,"AAAAAGz32YA=")</f>
        <v>#VALUE!</v>
      </c>
      <c r="DZ10" t="e">
        <f>AND(Plan1!C163,"AAAAAGz32YE=")</f>
        <v>#VALUE!</v>
      </c>
      <c r="EA10" t="e">
        <f>AND(Plan1!D163,"AAAAAGz32YI=")</f>
        <v>#VALUE!</v>
      </c>
      <c r="EB10" t="e">
        <f>AND(Plan1!E163,"AAAAAGz32YM=")</f>
        <v>#VALUE!</v>
      </c>
      <c r="EC10" t="e">
        <f>AND(Plan1!F163,"AAAAAGz32YQ=")</f>
        <v>#VALUE!</v>
      </c>
      <c r="ED10" t="e">
        <f>AND(Plan1!G163,"AAAAAGz32YU=")</f>
        <v>#VALUE!</v>
      </c>
      <c r="EE10" t="e">
        <f>AND(Plan1!H163,"AAAAAGz32YY=")</f>
        <v>#VALUE!</v>
      </c>
      <c r="EF10" t="e">
        <f>AND(Plan1!I163,"AAAAAGz32Yc=")</f>
        <v>#VALUE!</v>
      </c>
      <c r="EG10" t="e">
        <f>AND(Plan1!J163,"AAAAAGz32Yg=")</f>
        <v>#VALUE!</v>
      </c>
      <c r="EH10" t="e">
        <f>AND(Plan1!K163,"AAAAAGz32Yk=")</f>
        <v>#VALUE!</v>
      </c>
      <c r="EI10" t="e">
        <f>AND(Plan1!L163,"AAAAAGz32Yo=")</f>
        <v>#VALUE!</v>
      </c>
      <c r="EJ10" t="e">
        <f>AND(Plan1!M163,"AAAAAGz32Ys=")</f>
        <v>#VALUE!</v>
      </c>
      <c r="EK10" t="e">
        <f>AND(Plan1!N163,"AAAAAGz32Yw=")</f>
        <v>#VALUE!</v>
      </c>
      <c r="EL10">
        <f>IF(Plan1!164:164,"AAAAAGz32Y0=",0)</f>
        <v>0</v>
      </c>
      <c r="EM10" t="e">
        <f>AND(Plan1!A164,"AAAAAGz32Y4=")</f>
        <v>#VALUE!</v>
      </c>
      <c r="EN10" t="e">
        <f>AND(Plan1!B164,"AAAAAGz32Y8=")</f>
        <v>#VALUE!</v>
      </c>
      <c r="EO10" t="e">
        <f>AND(Plan1!C164,"AAAAAGz32ZA=")</f>
        <v>#VALUE!</v>
      </c>
      <c r="EP10" t="e">
        <f>AND(Plan1!D164,"AAAAAGz32ZE=")</f>
        <v>#VALUE!</v>
      </c>
      <c r="EQ10" t="e">
        <f>AND(Plan1!E164,"AAAAAGz32ZI=")</f>
        <v>#VALUE!</v>
      </c>
      <c r="ER10" t="e">
        <f>AND(Plan1!F164,"AAAAAGz32ZM=")</f>
        <v>#VALUE!</v>
      </c>
      <c r="ES10" t="e">
        <f>AND(Plan1!G164,"AAAAAGz32ZQ=")</f>
        <v>#VALUE!</v>
      </c>
      <c r="ET10" t="e">
        <f>AND(Plan1!H164,"AAAAAGz32ZU=")</f>
        <v>#VALUE!</v>
      </c>
      <c r="EU10" t="e">
        <f>AND(Plan1!I164,"AAAAAGz32ZY=")</f>
        <v>#VALUE!</v>
      </c>
      <c r="EV10" t="e">
        <f>AND(Plan1!J164,"AAAAAGz32Zc=")</f>
        <v>#VALUE!</v>
      </c>
      <c r="EW10" t="e">
        <f>AND(Plan1!K164,"AAAAAGz32Zg=")</f>
        <v>#VALUE!</v>
      </c>
      <c r="EX10" t="e">
        <f>AND(Plan1!L164,"AAAAAGz32Zk=")</f>
        <v>#VALUE!</v>
      </c>
      <c r="EY10" t="e">
        <f>AND(Plan1!M164,"AAAAAGz32Zo=")</f>
        <v>#VALUE!</v>
      </c>
      <c r="EZ10" t="e">
        <f>AND(Plan1!N164,"AAAAAGz32Zs=")</f>
        <v>#VALUE!</v>
      </c>
      <c r="FA10">
        <f>IF(Plan1!165:165,"AAAAAGz32Zw=",0)</f>
        <v>0</v>
      </c>
      <c r="FB10" t="e">
        <f>AND(Plan1!A165,"AAAAAGz32Z0=")</f>
        <v>#VALUE!</v>
      </c>
      <c r="FC10" t="e">
        <f>AND(Plan1!B165,"AAAAAGz32Z4=")</f>
        <v>#VALUE!</v>
      </c>
      <c r="FD10" t="e">
        <f>AND(Plan1!C165,"AAAAAGz32Z8=")</f>
        <v>#VALUE!</v>
      </c>
      <c r="FE10" t="e">
        <f>AND(Plan1!D165,"AAAAAGz32aA=")</f>
        <v>#VALUE!</v>
      </c>
      <c r="FF10" t="e">
        <f>AND(Plan1!E165,"AAAAAGz32aE=")</f>
        <v>#VALUE!</v>
      </c>
      <c r="FG10" t="e">
        <f>AND(Plan1!F165,"AAAAAGz32aI=")</f>
        <v>#VALUE!</v>
      </c>
      <c r="FH10" t="e">
        <f>AND(Plan1!G165,"AAAAAGz32aM=")</f>
        <v>#VALUE!</v>
      </c>
      <c r="FI10" t="e">
        <f>AND(Plan1!H165,"AAAAAGz32aQ=")</f>
        <v>#VALUE!</v>
      </c>
      <c r="FJ10" t="e">
        <f>AND(Plan1!I165,"AAAAAGz32aU=")</f>
        <v>#VALUE!</v>
      </c>
      <c r="FK10" t="e">
        <f>AND(Plan1!J165,"AAAAAGz32aY=")</f>
        <v>#VALUE!</v>
      </c>
      <c r="FL10" t="e">
        <f>AND(Plan1!K165,"AAAAAGz32ac=")</f>
        <v>#VALUE!</v>
      </c>
      <c r="FM10" t="e">
        <f>AND(Plan1!L165,"AAAAAGz32ag=")</f>
        <v>#VALUE!</v>
      </c>
      <c r="FN10" t="e">
        <f>AND(Plan1!M165,"AAAAAGz32ak=")</f>
        <v>#VALUE!</v>
      </c>
      <c r="FO10" t="e">
        <f>AND(Plan1!N165,"AAAAAGz32ao=")</f>
        <v>#VALUE!</v>
      </c>
      <c r="FP10">
        <f>IF(Plan1!166:166,"AAAAAGz32as=",0)</f>
        <v>0</v>
      </c>
      <c r="FQ10" t="e">
        <f>AND(Plan1!A166,"AAAAAGz32aw=")</f>
        <v>#VALUE!</v>
      </c>
      <c r="FR10" t="e">
        <f>AND(Plan1!B166,"AAAAAGz32a0=")</f>
        <v>#VALUE!</v>
      </c>
      <c r="FS10" t="e">
        <f>AND(Plan1!C166,"AAAAAGz32a4=")</f>
        <v>#VALUE!</v>
      </c>
      <c r="FT10" t="e">
        <f>AND(Plan1!D166,"AAAAAGz32a8=")</f>
        <v>#VALUE!</v>
      </c>
      <c r="FU10" t="e">
        <f>AND(Plan1!E166,"AAAAAGz32bA=")</f>
        <v>#VALUE!</v>
      </c>
      <c r="FV10" t="e">
        <f>AND(Plan1!F166,"AAAAAGz32bE=")</f>
        <v>#VALUE!</v>
      </c>
      <c r="FW10" t="e">
        <f>AND(Plan1!G166,"AAAAAGz32bI=")</f>
        <v>#VALUE!</v>
      </c>
      <c r="FX10" t="e">
        <f>AND(Plan1!H166,"AAAAAGz32bM=")</f>
        <v>#VALUE!</v>
      </c>
      <c r="FY10" t="e">
        <f>AND(Plan1!I166,"AAAAAGz32bQ=")</f>
        <v>#VALUE!</v>
      </c>
      <c r="FZ10" t="e">
        <f>AND(Plan1!J166,"AAAAAGz32bU=")</f>
        <v>#VALUE!</v>
      </c>
      <c r="GA10" t="e">
        <f>AND(Plan1!K166,"AAAAAGz32bY=")</f>
        <v>#VALUE!</v>
      </c>
      <c r="GB10" t="e">
        <f>AND(Plan1!L166,"AAAAAGz32bc=")</f>
        <v>#VALUE!</v>
      </c>
      <c r="GC10" t="e">
        <f>AND(Plan1!M166,"AAAAAGz32bg=")</f>
        <v>#VALUE!</v>
      </c>
      <c r="GD10" t="e">
        <f>AND(Plan1!N166,"AAAAAGz32bk=")</f>
        <v>#VALUE!</v>
      </c>
      <c r="GE10">
        <f>IF(Plan1!167:167,"AAAAAGz32bo=",0)</f>
        <v>0</v>
      </c>
      <c r="GF10" t="e">
        <f>AND(Plan1!A167,"AAAAAGz32bs=")</f>
        <v>#VALUE!</v>
      </c>
      <c r="GG10" t="e">
        <f>AND(Plan1!B167,"AAAAAGz32bw=")</f>
        <v>#VALUE!</v>
      </c>
      <c r="GH10" t="e">
        <f>AND(Plan1!C167,"AAAAAGz32b0=")</f>
        <v>#VALUE!</v>
      </c>
      <c r="GI10" t="e">
        <f>AND(Plan1!D167,"AAAAAGz32b4=")</f>
        <v>#VALUE!</v>
      </c>
      <c r="GJ10" t="e">
        <f>AND(Plan1!E167,"AAAAAGz32b8=")</f>
        <v>#VALUE!</v>
      </c>
      <c r="GK10" t="e">
        <f>AND(Plan1!F167,"AAAAAGz32cA=")</f>
        <v>#VALUE!</v>
      </c>
      <c r="GL10" t="e">
        <f>AND(Plan1!G167,"AAAAAGz32cE=")</f>
        <v>#VALUE!</v>
      </c>
      <c r="GM10" t="e">
        <f>AND(Plan1!H167,"AAAAAGz32cI=")</f>
        <v>#VALUE!</v>
      </c>
      <c r="GN10" t="e">
        <f>AND(Plan1!I167,"AAAAAGz32cM=")</f>
        <v>#VALUE!</v>
      </c>
      <c r="GO10" t="e">
        <f>AND(Plan1!J167,"AAAAAGz32cQ=")</f>
        <v>#VALUE!</v>
      </c>
      <c r="GP10" t="e">
        <f>AND(Plan1!K167,"AAAAAGz32cU=")</f>
        <v>#VALUE!</v>
      </c>
      <c r="GQ10" t="e">
        <f>AND(Plan1!L167,"AAAAAGz32cY=")</f>
        <v>#VALUE!</v>
      </c>
      <c r="GR10" t="e">
        <f>AND(Plan1!M167,"AAAAAGz32cc=")</f>
        <v>#VALUE!</v>
      </c>
      <c r="GS10" t="e">
        <f>AND(Plan1!N167,"AAAAAGz32cg=")</f>
        <v>#VALUE!</v>
      </c>
      <c r="GT10">
        <f>IF(Plan1!168:168,"AAAAAGz32ck=",0)</f>
        <v>0</v>
      </c>
      <c r="GU10" t="e">
        <f>AND(Plan1!A168,"AAAAAGz32co=")</f>
        <v>#VALUE!</v>
      </c>
      <c r="GV10" t="e">
        <f>AND(Plan1!B168,"AAAAAGz32cs=")</f>
        <v>#VALUE!</v>
      </c>
      <c r="GW10" t="e">
        <f>AND(Plan1!C168,"AAAAAGz32cw=")</f>
        <v>#VALUE!</v>
      </c>
      <c r="GX10" t="e">
        <f>AND(Plan1!D168,"AAAAAGz32c0=")</f>
        <v>#VALUE!</v>
      </c>
      <c r="GY10" t="e">
        <f>AND(Plan1!E168,"AAAAAGz32c4=")</f>
        <v>#VALUE!</v>
      </c>
      <c r="GZ10" t="e">
        <f>AND(Plan1!F168,"AAAAAGz32c8=")</f>
        <v>#VALUE!</v>
      </c>
      <c r="HA10" t="e">
        <f>AND(Plan1!G168,"AAAAAGz32dA=")</f>
        <v>#VALUE!</v>
      </c>
      <c r="HB10" t="e">
        <f>AND(Plan1!H168,"AAAAAGz32dE=")</f>
        <v>#VALUE!</v>
      </c>
      <c r="HC10" t="e">
        <f>AND(Plan1!I168,"AAAAAGz32dI=")</f>
        <v>#VALUE!</v>
      </c>
      <c r="HD10" t="e">
        <f>AND(Plan1!J168,"AAAAAGz32dM=")</f>
        <v>#VALUE!</v>
      </c>
      <c r="HE10" t="e">
        <f>AND(Plan1!K168,"AAAAAGz32dQ=")</f>
        <v>#VALUE!</v>
      </c>
      <c r="HF10" t="e">
        <f>AND(Plan1!L168,"AAAAAGz32dU=")</f>
        <v>#VALUE!</v>
      </c>
      <c r="HG10" t="e">
        <f>AND(Plan1!M168,"AAAAAGz32dY=")</f>
        <v>#VALUE!</v>
      </c>
      <c r="HH10" t="e">
        <f>AND(Plan1!N168,"AAAAAGz32dc=")</f>
        <v>#VALUE!</v>
      </c>
      <c r="HI10">
        <f>IF(Plan1!169:169,"AAAAAGz32dg=",0)</f>
        <v>0</v>
      </c>
      <c r="HJ10" t="e">
        <f>AND(Plan1!A169,"AAAAAGz32dk=")</f>
        <v>#VALUE!</v>
      </c>
      <c r="HK10" t="e">
        <f>AND(Plan1!B169,"AAAAAGz32do=")</f>
        <v>#VALUE!</v>
      </c>
      <c r="HL10" t="e">
        <f>AND(Plan1!C169,"AAAAAGz32ds=")</f>
        <v>#VALUE!</v>
      </c>
      <c r="HM10" t="e">
        <f>AND(Plan1!D169,"AAAAAGz32dw=")</f>
        <v>#VALUE!</v>
      </c>
      <c r="HN10" t="e">
        <f>AND(Plan1!E169,"AAAAAGz32d0=")</f>
        <v>#VALUE!</v>
      </c>
      <c r="HO10" t="e">
        <f>AND(Plan1!F169,"AAAAAGz32d4=")</f>
        <v>#VALUE!</v>
      </c>
      <c r="HP10" t="e">
        <f>AND(Plan1!G169,"AAAAAGz32d8=")</f>
        <v>#VALUE!</v>
      </c>
      <c r="HQ10" t="e">
        <f>AND(Plan1!H169,"AAAAAGz32eA=")</f>
        <v>#VALUE!</v>
      </c>
      <c r="HR10" t="e">
        <f>AND(Plan1!I169,"AAAAAGz32eE=")</f>
        <v>#VALUE!</v>
      </c>
      <c r="HS10" t="e">
        <f>AND(Plan1!J169,"AAAAAGz32eI=")</f>
        <v>#VALUE!</v>
      </c>
      <c r="HT10" t="e">
        <f>AND(Plan1!K169,"AAAAAGz32eM=")</f>
        <v>#VALUE!</v>
      </c>
      <c r="HU10" t="e">
        <f>AND(Plan1!L169,"AAAAAGz32eQ=")</f>
        <v>#VALUE!</v>
      </c>
      <c r="HV10" t="e">
        <f>AND(Plan1!M169,"AAAAAGz32eU=")</f>
        <v>#VALUE!</v>
      </c>
      <c r="HW10" t="e">
        <f>AND(Plan1!N169,"AAAAAGz32eY=")</f>
        <v>#VALUE!</v>
      </c>
      <c r="HX10">
        <f>IF(Plan1!170:170,"AAAAAGz32ec=",0)</f>
        <v>0</v>
      </c>
      <c r="HY10" t="e">
        <f>AND(Plan1!A170,"AAAAAGz32eg=")</f>
        <v>#VALUE!</v>
      </c>
      <c r="HZ10" t="e">
        <f>AND(Plan1!B170,"AAAAAGz32ek=")</f>
        <v>#VALUE!</v>
      </c>
      <c r="IA10" t="e">
        <f>AND(Plan1!C170,"AAAAAGz32eo=")</f>
        <v>#VALUE!</v>
      </c>
      <c r="IB10" t="e">
        <f>AND(Plan1!D170,"AAAAAGz32es=")</f>
        <v>#VALUE!</v>
      </c>
      <c r="IC10" t="e">
        <f>AND(Plan1!E170,"AAAAAGz32ew=")</f>
        <v>#VALUE!</v>
      </c>
      <c r="ID10" t="e">
        <f>AND(Plan1!F170,"AAAAAGz32e0=")</f>
        <v>#VALUE!</v>
      </c>
      <c r="IE10" t="e">
        <f>AND(Plan1!G170,"AAAAAGz32e4=")</f>
        <v>#VALUE!</v>
      </c>
      <c r="IF10" t="e">
        <f>AND(Plan1!H170,"AAAAAGz32e8=")</f>
        <v>#VALUE!</v>
      </c>
      <c r="IG10" t="e">
        <f>AND(Plan1!I170,"AAAAAGz32fA=")</f>
        <v>#VALUE!</v>
      </c>
      <c r="IH10" t="e">
        <f>AND(Plan1!J170,"AAAAAGz32fE=")</f>
        <v>#VALUE!</v>
      </c>
      <c r="II10" t="e">
        <f>AND(Plan1!K170,"AAAAAGz32fI=")</f>
        <v>#VALUE!</v>
      </c>
      <c r="IJ10" t="e">
        <f>AND(Plan1!L170,"AAAAAGz32fM=")</f>
        <v>#VALUE!</v>
      </c>
      <c r="IK10" t="e">
        <f>AND(Plan1!M170,"AAAAAGz32fQ=")</f>
        <v>#VALUE!</v>
      </c>
      <c r="IL10" t="e">
        <f>AND(Plan1!N170,"AAAAAGz32fU=")</f>
        <v>#VALUE!</v>
      </c>
      <c r="IM10">
        <f>IF(Plan1!171:171,"AAAAAGz32fY=",0)</f>
        <v>0</v>
      </c>
      <c r="IN10" t="e">
        <f>AND(Plan1!A171,"AAAAAGz32fc=")</f>
        <v>#VALUE!</v>
      </c>
      <c r="IO10" t="e">
        <f>AND(Plan1!B171,"AAAAAGz32fg=")</f>
        <v>#VALUE!</v>
      </c>
      <c r="IP10" t="e">
        <f>AND(Plan1!C171,"AAAAAGz32fk=")</f>
        <v>#VALUE!</v>
      </c>
      <c r="IQ10" t="e">
        <f>AND(Plan1!D171,"AAAAAGz32fo=")</f>
        <v>#VALUE!</v>
      </c>
      <c r="IR10" t="e">
        <f>AND(Plan1!E171,"AAAAAGz32fs=")</f>
        <v>#VALUE!</v>
      </c>
      <c r="IS10" t="e">
        <f>AND(Plan1!F171,"AAAAAGz32fw=")</f>
        <v>#VALUE!</v>
      </c>
      <c r="IT10" t="e">
        <f>AND(Plan1!G171,"AAAAAGz32f0=")</f>
        <v>#VALUE!</v>
      </c>
      <c r="IU10" t="e">
        <f>AND(Plan1!H171,"AAAAAGz32f4=")</f>
        <v>#VALUE!</v>
      </c>
      <c r="IV10" t="e">
        <f>AND(Plan1!I171,"AAAAAGz32f8=")</f>
        <v>#VALUE!</v>
      </c>
    </row>
    <row r="11" spans="1:256">
      <c r="A11" t="e">
        <f>AND(Plan1!J171,"AAAAAHz9ewA=")</f>
        <v>#VALUE!</v>
      </c>
      <c r="B11" t="e">
        <f>AND(Plan1!K171,"AAAAAHz9ewE=")</f>
        <v>#VALUE!</v>
      </c>
      <c r="C11" t="e">
        <f>AND(Plan1!L171,"AAAAAHz9ewI=")</f>
        <v>#VALUE!</v>
      </c>
      <c r="D11" t="e">
        <f>AND(Plan1!M171,"AAAAAHz9ewM=")</f>
        <v>#VALUE!</v>
      </c>
      <c r="E11" t="e">
        <f>AND(Plan1!N171,"AAAAAHz9ewQ=")</f>
        <v>#VALUE!</v>
      </c>
      <c r="F11">
        <f>IF(Plan1!172:172,"AAAAAHz9ewU=",0)</f>
        <v>0</v>
      </c>
      <c r="G11" t="e">
        <f>AND(Plan1!A172,"AAAAAHz9ewY=")</f>
        <v>#VALUE!</v>
      </c>
      <c r="H11" t="e">
        <f>AND(Plan1!B172,"AAAAAHz9ewc=")</f>
        <v>#VALUE!</v>
      </c>
      <c r="I11" t="e">
        <f>AND(Plan1!C172,"AAAAAHz9ewg=")</f>
        <v>#VALUE!</v>
      </c>
      <c r="J11" t="e">
        <f>AND(Plan1!D172,"AAAAAHz9ewk=")</f>
        <v>#VALUE!</v>
      </c>
      <c r="K11" t="e">
        <f>AND(Plan1!E172,"AAAAAHz9ewo=")</f>
        <v>#VALUE!</v>
      </c>
      <c r="L11" t="e">
        <f>AND(Plan1!F172,"AAAAAHz9ews=")</f>
        <v>#VALUE!</v>
      </c>
      <c r="M11" t="e">
        <f>AND(Plan1!G172,"AAAAAHz9eww=")</f>
        <v>#VALUE!</v>
      </c>
      <c r="N11" t="e">
        <f>AND(Plan1!H172,"AAAAAHz9ew0=")</f>
        <v>#VALUE!</v>
      </c>
      <c r="O11" t="e">
        <f>AND(Plan1!I172,"AAAAAHz9ew4=")</f>
        <v>#VALUE!</v>
      </c>
      <c r="P11" t="e">
        <f>AND(Plan1!J172,"AAAAAHz9ew8=")</f>
        <v>#VALUE!</v>
      </c>
      <c r="Q11" t="e">
        <f>AND(Plan1!K172,"AAAAAHz9exA=")</f>
        <v>#VALUE!</v>
      </c>
      <c r="R11" t="e">
        <f>AND(Plan1!L172,"AAAAAHz9exE=")</f>
        <v>#VALUE!</v>
      </c>
      <c r="S11" t="e">
        <f>AND(Plan1!M172,"AAAAAHz9exI=")</f>
        <v>#VALUE!</v>
      </c>
      <c r="T11" t="e">
        <f>AND(Plan1!N172,"AAAAAHz9exM=")</f>
        <v>#VALUE!</v>
      </c>
      <c r="U11">
        <f>IF(Plan1!173:173,"AAAAAHz9exQ=",0)</f>
        <v>0</v>
      </c>
      <c r="V11" t="e">
        <f>AND(Plan1!A173,"AAAAAHz9exU=")</f>
        <v>#VALUE!</v>
      </c>
      <c r="W11" t="e">
        <f>AND(Plan1!B173,"AAAAAHz9exY=")</f>
        <v>#VALUE!</v>
      </c>
      <c r="X11" t="e">
        <f>AND(Plan1!C173,"AAAAAHz9exc=")</f>
        <v>#VALUE!</v>
      </c>
      <c r="Y11" t="e">
        <f>AND(Plan1!D173,"AAAAAHz9exg=")</f>
        <v>#VALUE!</v>
      </c>
      <c r="Z11" t="e">
        <f>AND(Plan1!E173,"AAAAAHz9exk=")</f>
        <v>#VALUE!</v>
      </c>
      <c r="AA11" t="e">
        <f>AND(Plan1!F173,"AAAAAHz9exo=")</f>
        <v>#VALUE!</v>
      </c>
      <c r="AB11" t="e">
        <f>AND(Plan1!G173,"AAAAAHz9exs=")</f>
        <v>#VALUE!</v>
      </c>
      <c r="AC11" t="e">
        <f>AND(Plan1!H173,"AAAAAHz9exw=")</f>
        <v>#VALUE!</v>
      </c>
      <c r="AD11" t="e">
        <f>AND(Plan1!I173,"AAAAAHz9ex0=")</f>
        <v>#VALUE!</v>
      </c>
      <c r="AE11" t="e">
        <f>AND(Plan1!J173,"AAAAAHz9ex4=")</f>
        <v>#VALUE!</v>
      </c>
      <c r="AF11" t="e">
        <f>AND(Plan1!K173,"AAAAAHz9ex8=")</f>
        <v>#VALUE!</v>
      </c>
      <c r="AG11" t="e">
        <f>AND(Plan1!L173,"AAAAAHz9eyA=")</f>
        <v>#VALUE!</v>
      </c>
      <c r="AH11" t="e">
        <f>AND(Plan1!M173,"AAAAAHz9eyE=")</f>
        <v>#VALUE!</v>
      </c>
      <c r="AI11" t="e">
        <f>AND(Plan1!N173,"AAAAAHz9eyI=")</f>
        <v>#VALUE!</v>
      </c>
      <c r="AJ11">
        <f>IF(Plan1!174:174,"AAAAAHz9eyM=",0)</f>
        <v>0</v>
      </c>
      <c r="AK11" t="e">
        <f>AND(Plan1!A174,"AAAAAHz9eyQ=")</f>
        <v>#VALUE!</v>
      </c>
      <c r="AL11" t="e">
        <f>AND(Plan1!B174,"AAAAAHz9eyU=")</f>
        <v>#VALUE!</v>
      </c>
      <c r="AM11" t="e">
        <f>AND(Plan1!C174,"AAAAAHz9eyY=")</f>
        <v>#VALUE!</v>
      </c>
      <c r="AN11" t="e">
        <f>AND(Plan1!D174,"AAAAAHz9eyc=")</f>
        <v>#VALUE!</v>
      </c>
      <c r="AO11" t="e">
        <f>AND(Plan1!E174,"AAAAAHz9eyg=")</f>
        <v>#VALUE!</v>
      </c>
      <c r="AP11" t="e">
        <f>AND(Plan1!F174,"AAAAAHz9eyk=")</f>
        <v>#VALUE!</v>
      </c>
      <c r="AQ11" t="e">
        <f>AND(Plan1!G174,"AAAAAHz9eyo=")</f>
        <v>#VALUE!</v>
      </c>
      <c r="AR11" t="e">
        <f>AND(Plan1!H174,"AAAAAHz9eys=")</f>
        <v>#VALUE!</v>
      </c>
      <c r="AS11" t="e">
        <f>AND(Plan1!I174,"AAAAAHz9eyw=")</f>
        <v>#VALUE!</v>
      </c>
      <c r="AT11" t="e">
        <f>AND(Plan1!J174,"AAAAAHz9ey0=")</f>
        <v>#VALUE!</v>
      </c>
      <c r="AU11" t="e">
        <f>AND(Plan1!K174,"AAAAAHz9ey4=")</f>
        <v>#VALUE!</v>
      </c>
      <c r="AV11" t="e">
        <f>AND(Plan1!L174,"AAAAAHz9ey8=")</f>
        <v>#VALUE!</v>
      </c>
      <c r="AW11" t="e">
        <f>AND(Plan1!M174,"AAAAAHz9ezA=")</f>
        <v>#VALUE!</v>
      </c>
      <c r="AX11" t="e">
        <f>AND(Plan1!N174,"AAAAAHz9ezE=")</f>
        <v>#VALUE!</v>
      </c>
      <c r="AY11">
        <f>IF(Plan1!175:175,"AAAAAHz9ezI=",0)</f>
        <v>0</v>
      </c>
      <c r="AZ11" t="e">
        <f>AND(Plan1!A175,"AAAAAHz9ezM=")</f>
        <v>#VALUE!</v>
      </c>
      <c r="BA11" t="e">
        <f>AND(Plan1!B175,"AAAAAHz9ezQ=")</f>
        <v>#VALUE!</v>
      </c>
      <c r="BB11" t="e">
        <f>AND(Plan1!C175,"AAAAAHz9ezU=")</f>
        <v>#VALUE!</v>
      </c>
      <c r="BC11" t="e">
        <f>AND(Plan1!D175,"AAAAAHz9ezY=")</f>
        <v>#VALUE!</v>
      </c>
      <c r="BD11" t="e">
        <f>AND(Plan1!E175,"AAAAAHz9ezc=")</f>
        <v>#VALUE!</v>
      </c>
      <c r="BE11" t="e">
        <f>AND(Plan1!F175,"AAAAAHz9ezg=")</f>
        <v>#VALUE!</v>
      </c>
      <c r="BF11" t="e">
        <f>AND(Plan1!G175,"AAAAAHz9ezk=")</f>
        <v>#VALUE!</v>
      </c>
      <c r="BG11" t="e">
        <f>AND(Plan1!H175,"AAAAAHz9ezo=")</f>
        <v>#VALUE!</v>
      </c>
      <c r="BH11" t="e">
        <f>AND(Plan1!I175,"AAAAAHz9ezs=")</f>
        <v>#VALUE!</v>
      </c>
      <c r="BI11" t="e">
        <f>AND(Plan1!J175,"AAAAAHz9ezw=")</f>
        <v>#VALUE!</v>
      </c>
      <c r="BJ11" t="e">
        <f>AND(Plan1!K175,"AAAAAHz9ez0=")</f>
        <v>#VALUE!</v>
      </c>
      <c r="BK11" t="e">
        <f>AND(Plan1!L175,"AAAAAHz9ez4=")</f>
        <v>#VALUE!</v>
      </c>
      <c r="BL11" t="e">
        <f>AND(Plan1!M175,"AAAAAHz9ez8=")</f>
        <v>#VALUE!</v>
      </c>
      <c r="BM11" t="e">
        <f>AND(Plan1!N175,"AAAAAHz9e0A=")</f>
        <v>#VALUE!</v>
      </c>
      <c r="BN11">
        <f>IF(Plan1!176:176,"AAAAAHz9e0E=",0)</f>
        <v>0</v>
      </c>
      <c r="BO11" t="e">
        <f>AND(Plan1!A176,"AAAAAHz9e0I=")</f>
        <v>#VALUE!</v>
      </c>
      <c r="BP11" t="e">
        <f>AND(Plan1!B176,"AAAAAHz9e0M=")</f>
        <v>#VALUE!</v>
      </c>
      <c r="BQ11" t="e">
        <f>AND(Plan1!C176,"AAAAAHz9e0Q=")</f>
        <v>#VALUE!</v>
      </c>
      <c r="BR11" t="e">
        <f>AND(Plan1!D176,"AAAAAHz9e0U=")</f>
        <v>#VALUE!</v>
      </c>
      <c r="BS11" t="e">
        <f>AND(Plan1!E176,"AAAAAHz9e0Y=")</f>
        <v>#VALUE!</v>
      </c>
      <c r="BT11" t="e">
        <f>AND(Plan1!F176,"AAAAAHz9e0c=")</f>
        <v>#VALUE!</v>
      </c>
      <c r="BU11" t="e">
        <f>AND(Plan1!G176,"AAAAAHz9e0g=")</f>
        <v>#VALUE!</v>
      </c>
      <c r="BV11" t="e">
        <f>AND(Plan1!H176,"AAAAAHz9e0k=")</f>
        <v>#VALUE!</v>
      </c>
      <c r="BW11" t="e">
        <f>AND(Plan1!I176,"AAAAAHz9e0o=")</f>
        <v>#VALUE!</v>
      </c>
      <c r="BX11" t="e">
        <f>AND(Plan1!J176,"AAAAAHz9e0s=")</f>
        <v>#VALUE!</v>
      </c>
      <c r="BY11" t="e">
        <f>AND(Plan1!K176,"AAAAAHz9e0w=")</f>
        <v>#VALUE!</v>
      </c>
      <c r="BZ11" t="e">
        <f>AND(Plan1!L176,"AAAAAHz9e00=")</f>
        <v>#VALUE!</v>
      </c>
      <c r="CA11" t="e">
        <f>AND(Plan1!M176,"AAAAAHz9e04=")</f>
        <v>#VALUE!</v>
      </c>
      <c r="CB11" t="e">
        <f>AND(Plan1!N176,"AAAAAHz9e08=")</f>
        <v>#VALUE!</v>
      </c>
      <c r="CC11">
        <f>IF(Plan1!177:177,"AAAAAHz9e1A=",0)</f>
        <v>0</v>
      </c>
      <c r="CD11" t="e">
        <f>AND(Plan1!A177,"AAAAAHz9e1E=")</f>
        <v>#VALUE!</v>
      </c>
      <c r="CE11" t="e">
        <f>AND(Plan1!B177,"AAAAAHz9e1I=")</f>
        <v>#VALUE!</v>
      </c>
      <c r="CF11" t="e">
        <f>AND(Plan1!C177,"AAAAAHz9e1M=")</f>
        <v>#VALUE!</v>
      </c>
      <c r="CG11" t="e">
        <f>AND(Plan1!D177,"AAAAAHz9e1Q=")</f>
        <v>#VALUE!</v>
      </c>
      <c r="CH11" t="e">
        <f>AND(Plan1!E177,"AAAAAHz9e1U=")</f>
        <v>#VALUE!</v>
      </c>
      <c r="CI11" t="e">
        <f>AND(Plan1!F177,"AAAAAHz9e1Y=")</f>
        <v>#VALUE!</v>
      </c>
      <c r="CJ11" t="e">
        <f>AND(Plan1!G177,"AAAAAHz9e1c=")</f>
        <v>#VALUE!</v>
      </c>
      <c r="CK11" t="e">
        <f>AND(Plan1!H177,"AAAAAHz9e1g=")</f>
        <v>#VALUE!</v>
      </c>
      <c r="CL11" t="e">
        <f>AND(Plan1!I177,"AAAAAHz9e1k=")</f>
        <v>#VALUE!</v>
      </c>
      <c r="CM11" t="e">
        <f>AND(Plan1!J177,"AAAAAHz9e1o=")</f>
        <v>#VALUE!</v>
      </c>
      <c r="CN11" t="e">
        <f>AND(Plan1!K177,"AAAAAHz9e1s=")</f>
        <v>#VALUE!</v>
      </c>
      <c r="CO11" t="e">
        <f>AND(Plan1!L177,"AAAAAHz9e1w=")</f>
        <v>#VALUE!</v>
      </c>
      <c r="CP11" t="e">
        <f>AND(Plan1!M177,"AAAAAHz9e10=")</f>
        <v>#VALUE!</v>
      </c>
      <c r="CQ11" t="e">
        <f>AND(Plan1!N177,"AAAAAHz9e14=")</f>
        <v>#VALUE!</v>
      </c>
      <c r="CR11">
        <f>IF(Plan1!178:178,"AAAAAHz9e18=",0)</f>
        <v>0</v>
      </c>
      <c r="CS11" t="e">
        <f>AND(Plan1!A178,"AAAAAHz9e2A=")</f>
        <v>#VALUE!</v>
      </c>
      <c r="CT11" t="e">
        <f>AND(Plan1!B178,"AAAAAHz9e2E=")</f>
        <v>#VALUE!</v>
      </c>
      <c r="CU11" t="e">
        <f>AND(Plan1!C178,"AAAAAHz9e2I=")</f>
        <v>#VALUE!</v>
      </c>
      <c r="CV11" t="e">
        <f>AND(Plan1!D178,"AAAAAHz9e2M=")</f>
        <v>#VALUE!</v>
      </c>
      <c r="CW11" t="e">
        <f>AND(Plan1!E178,"AAAAAHz9e2Q=")</f>
        <v>#VALUE!</v>
      </c>
      <c r="CX11" t="e">
        <f>AND(Plan1!F178,"AAAAAHz9e2U=")</f>
        <v>#VALUE!</v>
      </c>
      <c r="CY11" t="e">
        <f>AND(Plan1!G178,"AAAAAHz9e2Y=")</f>
        <v>#VALUE!</v>
      </c>
      <c r="CZ11" t="e">
        <f>AND(Plan1!H178,"AAAAAHz9e2c=")</f>
        <v>#VALUE!</v>
      </c>
      <c r="DA11" t="e">
        <f>AND(Plan1!I178,"AAAAAHz9e2g=")</f>
        <v>#VALUE!</v>
      </c>
      <c r="DB11" t="e">
        <f>AND(Plan1!J178,"AAAAAHz9e2k=")</f>
        <v>#VALUE!</v>
      </c>
      <c r="DC11" t="e">
        <f>AND(Plan1!K178,"AAAAAHz9e2o=")</f>
        <v>#VALUE!</v>
      </c>
      <c r="DD11" t="e">
        <f>AND(Plan1!L178,"AAAAAHz9e2s=")</f>
        <v>#VALUE!</v>
      </c>
      <c r="DE11" t="e">
        <f>AND(Plan1!M178,"AAAAAHz9e2w=")</f>
        <v>#VALUE!</v>
      </c>
      <c r="DF11" t="e">
        <f>AND(Plan1!N178,"AAAAAHz9e20=")</f>
        <v>#VALUE!</v>
      </c>
      <c r="DG11">
        <f>IF(Plan1!179:179,"AAAAAHz9e24=",0)</f>
        <v>0</v>
      </c>
      <c r="DH11" t="e">
        <f>AND(Plan1!A179,"AAAAAHz9e28=")</f>
        <v>#VALUE!</v>
      </c>
      <c r="DI11" t="e">
        <f>AND(Plan1!B179,"AAAAAHz9e3A=")</f>
        <v>#VALUE!</v>
      </c>
      <c r="DJ11" t="e">
        <f>AND(Plan1!C179,"AAAAAHz9e3E=")</f>
        <v>#VALUE!</v>
      </c>
      <c r="DK11" t="e">
        <f>AND(Plan1!D179,"AAAAAHz9e3I=")</f>
        <v>#VALUE!</v>
      </c>
      <c r="DL11" t="e">
        <f>AND(Plan1!E179,"AAAAAHz9e3M=")</f>
        <v>#VALUE!</v>
      </c>
      <c r="DM11" t="e">
        <f>AND(Plan1!F179,"AAAAAHz9e3Q=")</f>
        <v>#VALUE!</v>
      </c>
      <c r="DN11" t="e">
        <f>AND(Plan1!G179,"AAAAAHz9e3U=")</f>
        <v>#VALUE!</v>
      </c>
      <c r="DO11" t="e">
        <f>AND(Plan1!H179,"AAAAAHz9e3Y=")</f>
        <v>#VALUE!</v>
      </c>
      <c r="DP11" t="e">
        <f>AND(Plan1!I179,"AAAAAHz9e3c=")</f>
        <v>#VALUE!</v>
      </c>
      <c r="DQ11" t="e">
        <f>AND(Plan1!J179,"AAAAAHz9e3g=")</f>
        <v>#VALUE!</v>
      </c>
      <c r="DR11" t="e">
        <f>AND(Plan1!K179,"AAAAAHz9e3k=")</f>
        <v>#VALUE!</v>
      </c>
      <c r="DS11" t="e">
        <f>AND(Plan1!L179,"AAAAAHz9e3o=")</f>
        <v>#VALUE!</v>
      </c>
      <c r="DT11" t="e">
        <f>AND(Plan1!M179,"AAAAAHz9e3s=")</f>
        <v>#VALUE!</v>
      </c>
      <c r="DU11" t="e">
        <f>AND(Plan1!N179,"AAAAAHz9e3w=")</f>
        <v>#VALUE!</v>
      </c>
      <c r="DV11">
        <f>IF(Plan1!180:180,"AAAAAHz9e30=",0)</f>
        <v>0</v>
      </c>
      <c r="DW11" t="e">
        <f>AND(Plan1!A180,"AAAAAHz9e34=")</f>
        <v>#VALUE!</v>
      </c>
      <c r="DX11" t="e">
        <f>AND(Plan1!B180,"AAAAAHz9e38=")</f>
        <v>#VALUE!</v>
      </c>
      <c r="DY11" t="e">
        <f>AND(Plan1!C180,"AAAAAHz9e4A=")</f>
        <v>#VALUE!</v>
      </c>
      <c r="DZ11" t="e">
        <f>AND(Plan1!D180,"AAAAAHz9e4E=")</f>
        <v>#VALUE!</v>
      </c>
      <c r="EA11" t="e">
        <f>AND(Plan1!E180,"AAAAAHz9e4I=")</f>
        <v>#VALUE!</v>
      </c>
      <c r="EB11" t="e">
        <f>AND(Plan1!F180,"AAAAAHz9e4M=")</f>
        <v>#VALUE!</v>
      </c>
      <c r="EC11" t="e">
        <f>AND(Plan1!G180,"AAAAAHz9e4Q=")</f>
        <v>#VALUE!</v>
      </c>
      <c r="ED11" t="e">
        <f>AND(Plan1!H180,"AAAAAHz9e4U=")</f>
        <v>#VALUE!</v>
      </c>
      <c r="EE11" t="e">
        <f>AND(Plan1!I180,"AAAAAHz9e4Y=")</f>
        <v>#VALUE!</v>
      </c>
      <c r="EF11" t="e">
        <f>AND(Plan1!J180,"AAAAAHz9e4c=")</f>
        <v>#VALUE!</v>
      </c>
      <c r="EG11" t="e">
        <f>AND(Plan1!K180,"AAAAAHz9e4g=")</f>
        <v>#VALUE!</v>
      </c>
      <c r="EH11" t="e">
        <f>AND(Plan1!L180,"AAAAAHz9e4k=")</f>
        <v>#VALUE!</v>
      </c>
      <c r="EI11" t="e">
        <f>AND(Plan1!M180,"AAAAAHz9e4o=")</f>
        <v>#VALUE!</v>
      </c>
      <c r="EJ11" t="e">
        <f>AND(Plan1!N180,"AAAAAHz9e4s=")</f>
        <v>#VALUE!</v>
      </c>
      <c r="EK11">
        <f>IF(Plan1!181:181,"AAAAAHz9e4w=",0)</f>
        <v>0</v>
      </c>
      <c r="EL11" t="e">
        <f>AND(Plan1!A181,"AAAAAHz9e40=")</f>
        <v>#VALUE!</v>
      </c>
      <c r="EM11" t="e">
        <f>AND(Plan1!B181,"AAAAAHz9e44=")</f>
        <v>#VALUE!</v>
      </c>
      <c r="EN11" t="e">
        <f>AND(Plan1!C181,"AAAAAHz9e48=")</f>
        <v>#VALUE!</v>
      </c>
      <c r="EO11" t="e">
        <f>AND(Plan1!D181,"AAAAAHz9e5A=")</f>
        <v>#VALUE!</v>
      </c>
      <c r="EP11" t="e">
        <f>AND(Plan1!E181,"AAAAAHz9e5E=")</f>
        <v>#VALUE!</v>
      </c>
      <c r="EQ11" t="e">
        <f>AND(Plan1!F181,"AAAAAHz9e5I=")</f>
        <v>#VALUE!</v>
      </c>
      <c r="ER11" t="e">
        <f>AND(Plan1!G181,"AAAAAHz9e5M=")</f>
        <v>#VALUE!</v>
      </c>
      <c r="ES11" t="e">
        <f>AND(Plan1!H181,"AAAAAHz9e5Q=")</f>
        <v>#VALUE!</v>
      </c>
      <c r="ET11" t="e">
        <f>AND(Plan1!I181,"AAAAAHz9e5U=")</f>
        <v>#VALUE!</v>
      </c>
      <c r="EU11" t="e">
        <f>AND(Plan1!J181,"AAAAAHz9e5Y=")</f>
        <v>#VALUE!</v>
      </c>
      <c r="EV11" t="e">
        <f>AND(Plan1!K181,"AAAAAHz9e5c=")</f>
        <v>#VALUE!</v>
      </c>
      <c r="EW11" t="e">
        <f>AND(Plan1!L181,"AAAAAHz9e5g=")</f>
        <v>#VALUE!</v>
      </c>
      <c r="EX11" t="e">
        <f>AND(Plan1!M181,"AAAAAHz9e5k=")</f>
        <v>#VALUE!</v>
      </c>
      <c r="EY11" t="e">
        <f>AND(Plan1!N181,"AAAAAHz9e5o=")</f>
        <v>#VALUE!</v>
      </c>
      <c r="EZ11">
        <f>IF(Plan1!182:182,"AAAAAHz9e5s=",0)</f>
        <v>0</v>
      </c>
      <c r="FA11" t="e">
        <f>AND(Plan1!A182,"AAAAAHz9e5w=")</f>
        <v>#VALUE!</v>
      </c>
      <c r="FB11" t="e">
        <f>AND(Plan1!B182,"AAAAAHz9e50=")</f>
        <v>#VALUE!</v>
      </c>
      <c r="FC11" t="e">
        <f>AND(Plan1!C182,"AAAAAHz9e54=")</f>
        <v>#VALUE!</v>
      </c>
      <c r="FD11" t="e">
        <f>AND(Plan1!D182,"AAAAAHz9e58=")</f>
        <v>#VALUE!</v>
      </c>
      <c r="FE11" t="e">
        <f>AND(Plan1!E182,"AAAAAHz9e6A=")</f>
        <v>#VALUE!</v>
      </c>
      <c r="FF11" t="e">
        <f>AND(Plan1!F182,"AAAAAHz9e6E=")</f>
        <v>#VALUE!</v>
      </c>
      <c r="FG11" t="e">
        <f>AND(Plan1!G182,"AAAAAHz9e6I=")</f>
        <v>#VALUE!</v>
      </c>
      <c r="FH11" t="e">
        <f>AND(Plan1!H182,"AAAAAHz9e6M=")</f>
        <v>#VALUE!</v>
      </c>
      <c r="FI11" t="e">
        <f>AND(Plan1!I182,"AAAAAHz9e6Q=")</f>
        <v>#VALUE!</v>
      </c>
      <c r="FJ11" t="e">
        <f>AND(Plan1!J182,"AAAAAHz9e6U=")</f>
        <v>#VALUE!</v>
      </c>
      <c r="FK11" t="e">
        <f>AND(Plan1!K182,"AAAAAHz9e6Y=")</f>
        <v>#VALUE!</v>
      </c>
      <c r="FL11" t="e">
        <f>AND(Plan1!L182,"AAAAAHz9e6c=")</f>
        <v>#VALUE!</v>
      </c>
      <c r="FM11" t="e">
        <f>AND(Plan1!M182,"AAAAAHz9e6g=")</f>
        <v>#VALUE!</v>
      </c>
      <c r="FN11" t="e">
        <f>AND(Plan1!N182,"AAAAAHz9e6k=")</f>
        <v>#VALUE!</v>
      </c>
      <c r="FO11">
        <f>IF(Plan1!183:183,"AAAAAHz9e6o=",0)</f>
        <v>0</v>
      </c>
      <c r="FP11" t="e">
        <f>AND(Plan1!A183,"AAAAAHz9e6s=")</f>
        <v>#VALUE!</v>
      </c>
      <c r="FQ11" t="e">
        <f>AND(Plan1!B183,"AAAAAHz9e6w=")</f>
        <v>#VALUE!</v>
      </c>
      <c r="FR11" t="e">
        <f>AND(Plan1!C183,"AAAAAHz9e60=")</f>
        <v>#VALUE!</v>
      </c>
      <c r="FS11" t="e">
        <f>AND(Plan1!D183,"AAAAAHz9e64=")</f>
        <v>#VALUE!</v>
      </c>
      <c r="FT11" t="e">
        <f>AND(Plan1!E183,"AAAAAHz9e68=")</f>
        <v>#VALUE!</v>
      </c>
      <c r="FU11" t="e">
        <f>AND(Plan1!F183,"AAAAAHz9e7A=")</f>
        <v>#VALUE!</v>
      </c>
      <c r="FV11" t="e">
        <f>AND(Plan1!G183,"AAAAAHz9e7E=")</f>
        <v>#VALUE!</v>
      </c>
      <c r="FW11" t="e">
        <f>AND(Plan1!H183,"AAAAAHz9e7I=")</f>
        <v>#VALUE!</v>
      </c>
      <c r="FX11" t="e">
        <f>AND(Plan1!I183,"AAAAAHz9e7M=")</f>
        <v>#VALUE!</v>
      </c>
      <c r="FY11" t="e">
        <f>AND(Plan1!J183,"AAAAAHz9e7Q=")</f>
        <v>#VALUE!</v>
      </c>
      <c r="FZ11" t="e">
        <f>AND(Plan1!K183,"AAAAAHz9e7U=")</f>
        <v>#VALUE!</v>
      </c>
      <c r="GA11" t="e">
        <f>AND(Plan1!L183,"AAAAAHz9e7Y=")</f>
        <v>#VALUE!</v>
      </c>
      <c r="GB11" t="e">
        <f>AND(Plan1!M183,"AAAAAHz9e7c=")</f>
        <v>#VALUE!</v>
      </c>
      <c r="GC11" t="e">
        <f>AND(Plan1!N183,"AAAAAHz9e7g=")</f>
        <v>#VALUE!</v>
      </c>
      <c r="GD11">
        <f>IF(Plan1!184:184,"AAAAAHz9e7k=",0)</f>
        <v>0</v>
      </c>
      <c r="GE11" t="e">
        <f>AND(Plan1!A184,"AAAAAHz9e7o=")</f>
        <v>#VALUE!</v>
      </c>
      <c r="GF11" t="e">
        <f>AND(Plan1!B184,"AAAAAHz9e7s=")</f>
        <v>#VALUE!</v>
      </c>
      <c r="GG11" t="e">
        <f>AND(Plan1!C184,"AAAAAHz9e7w=")</f>
        <v>#VALUE!</v>
      </c>
      <c r="GH11" t="e">
        <f>AND(Plan1!D184,"AAAAAHz9e70=")</f>
        <v>#VALUE!</v>
      </c>
      <c r="GI11" t="e">
        <f>AND(Plan1!E184,"AAAAAHz9e74=")</f>
        <v>#VALUE!</v>
      </c>
      <c r="GJ11" t="e">
        <f>AND(Plan1!F184,"AAAAAHz9e78=")</f>
        <v>#VALUE!</v>
      </c>
      <c r="GK11" t="e">
        <f>AND(Plan1!G184,"AAAAAHz9e8A=")</f>
        <v>#VALUE!</v>
      </c>
      <c r="GL11" t="e">
        <f>AND(Plan1!H184,"AAAAAHz9e8E=")</f>
        <v>#VALUE!</v>
      </c>
      <c r="GM11" t="e">
        <f>AND(Plan1!I184,"AAAAAHz9e8I=")</f>
        <v>#VALUE!</v>
      </c>
      <c r="GN11" t="e">
        <f>AND(Plan1!J184,"AAAAAHz9e8M=")</f>
        <v>#VALUE!</v>
      </c>
      <c r="GO11" t="e">
        <f>AND(Plan1!K184,"AAAAAHz9e8Q=")</f>
        <v>#VALUE!</v>
      </c>
      <c r="GP11" t="e">
        <f>AND(Plan1!L184,"AAAAAHz9e8U=")</f>
        <v>#VALUE!</v>
      </c>
      <c r="GQ11" t="e">
        <f>AND(Plan1!M184,"AAAAAHz9e8Y=")</f>
        <v>#VALUE!</v>
      </c>
      <c r="GR11" t="e">
        <f>AND(Plan1!N184,"AAAAAHz9e8c=")</f>
        <v>#VALUE!</v>
      </c>
      <c r="GS11">
        <f>IF(Plan1!185:185,"AAAAAHz9e8g=",0)</f>
        <v>0</v>
      </c>
      <c r="GT11" t="e">
        <f>AND(Plan1!A185,"AAAAAHz9e8k=")</f>
        <v>#VALUE!</v>
      </c>
      <c r="GU11" t="e">
        <f>AND(Plan1!B185,"AAAAAHz9e8o=")</f>
        <v>#VALUE!</v>
      </c>
      <c r="GV11" t="e">
        <f>AND(Plan1!C185,"AAAAAHz9e8s=")</f>
        <v>#VALUE!</v>
      </c>
      <c r="GW11" t="e">
        <f>AND(Plan1!D185,"AAAAAHz9e8w=")</f>
        <v>#VALUE!</v>
      </c>
      <c r="GX11" t="e">
        <f>AND(Plan1!E185,"AAAAAHz9e80=")</f>
        <v>#VALUE!</v>
      </c>
      <c r="GY11" t="e">
        <f>AND(Plan1!F185,"AAAAAHz9e84=")</f>
        <v>#VALUE!</v>
      </c>
      <c r="GZ11" t="e">
        <f>AND(Plan1!G185,"AAAAAHz9e88=")</f>
        <v>#VALUE!</v>
      </c>
      <c r="HA11" t="e">
        <f>AND(Plan1!H185,"AAAAAHz9e9A=")</f>
        <v>#VALUE!</v>
      </c>
      <c r="HB11" t="e">
        <f>AND(Plan1!I185,"AAAAAHz9e9E=")</f>
        <v>#VALUE!</v>
      </c>
      <c r="HC11" t="e">
        <f>AND(Plan1!J185,"AAAAAHz9e9I=")</f>
        <v>#VALUE!</v>
      </c>
      <c r="HD11" t="e">
        <f>AND(Plan1!K185,"AAAAAHz9e9M=")</f>
        <v>#VALUE!</v>
      </c>
      <c r="HE11" t="e">
        <f>AND(Plan1!L185,"AAAAAHz9e9Q=")</f>
        <v>#VALUE!</v>
      </c>
      <c r="HF11" t="e">
        <f>AND(Plan1!M185,"AAAAAHz9e9U=")</f>
        <v>#VALUE!</v>
      </c>
      <c r="HG11" t="e">
        <f>AND(Plan1!N185,"AAAAAHz9e9Y=")</f>
        <v>#VALUE!</v>
      </c>
      <c r="HH11">
        <f>IF(Plan1!186:186,"AAAAAHz9e9c=",0)</f>
        <v>0</v>
      </c>
      <c r="HI11" t="e">
        <f>AND(Plan1!A186,"AAAAAHz9e9g=")</f>
        <v>#VALUE!</v>
      </c>
      <c r="HJ11" t="e">
        <f>AND(Plan1!B186,"AAAAAHz9e9k=")</f>
        <v>#VALUE!</v>
      </c>
      <c r="HK11" t="e">
        <f>AND(Plan1!C186,"AAAAAHz9e9o=")</f>
        <v>#VALUE!</v>
      </c>
      <c r="HL11" t="e">
        <f>AND(Plan1!D186,"AAAAAHz9e9s=")</f>
        <v>#VALUE!</v>
      </c>
      <c r="HM11" t="e">
        <f>AND(Plan1!E186,"AAAAAHz9e9w=")</f>
        <v>#VALUE!</v>
      </c>
      <c r="HN11" t="e">
        <f>AND(Plan1!F186,"AAAAAHz9e90=")</f>
        <v>#VALUE!</v>
      </c>
      <c r="HO11" t="e">
        <f>AND(Plan1!G186,"AAAAAHz9e94=")</f>
        <v>#VALUE!</v>
      </c>
      <c r="HP11" t="e">
        <f>AND(Plan1!H186,"AAAAAHz9e98=")</f>
        <v>#VALUE!</v>
      </c>
      <c r="HQ11" t="e">
        <f>AND(Plan1!I186,"AAAAAHz9e+A=")</f>
        <v>#VALUE!</v>
      </c>
      <c r="HR11" t="e">
        <f>AND(Plan1!J186,"AAAAAHz9e+E=")</f>
        <v>#VALUE!</v>
      </c>
      <c r="HS11" t="e">
        <f>AND(Plan1!K186,"AAAAAHz9e+I=")</f>
        <v>#VALUE!</v>
      </c>
      <c r="HT11" t="e">
        <f>AND(Plan1!L186,"AAAAAHz9e+M=")</f>
        <v>#VALUE!</v>
      </c>
      <c r="HU11" t="e">
        <f>AND(Plan1!M186,"AAAAAHz9e+Q=")</f>
        <v>#VALUE!</v>
      </c>
      <c r="HV11" t="e">
        <f>AND(Plan1!N186,"AAAAAHz9e+U=")</f>
        <v>#VALUE!</v>
      </c>
      <c r="HW11">
        <f>IF(Plan1!187:187,"AAAAAHz9e+Y=",0)</f>
        <v>0</v>
      </c>
      <c r="HX11" t="e">
        <f>AND(Plan1!A187,"AAAAAHz9e+c=")</f>
        <v>#VALUE!</v>
      </c>
      <c r="HY11" t="e">
        <f>AND(Plan1!B187,"AAAAAHz9e+g=")</f>
        <v>#VALUE!</v>
      </c>
      <c r="HZ11" t="e">
        <f>AND(Plan1!C187,"AAAAAHz9e+k=")</f>
        <v>#VALUE!</v>
      </c>
      <c r="IA11" t="e">
        <f>AND(Plan1!D187,"AAAAAHz9e+o=")</f>
        <v>#VALUE!</v>
      </c>
      <c r="IB11" t="e">
        <f>AND(Plan1!E187,"AAAAAHz9e+s=")</f>
        <v>#VALUE!</v>
      </c>
      <c r="IC11" t="e">
        <f>AND(Plan1!F187,"AAAAAHz9e+w=")</f>
        <v>#VALUE!</v>
      </c>
      <c r="ID11" t="e">
        <f>AND(Plan1!G187,"AAAAAHz9e+0=")</f>
        <v>#VALUE!</v>
      </c>
      <c r="IE11" t="e">
        <f>AND(Plan1!H187,"AAAAAHz9e+4=")</f>
        <v>#VALUE!</v>
      </c>
      <c r="IF11" t="e">
        <f>AND(Plan1!I187,"AAAAAHz9e+8=")</f>
        <v>#VALUE!</v>
      </c>
      <c r="IG11" t="e">
        <f>AND(Plan1!J187,"AAAAAHz9e/A=")</f>
        <v>#VALUE!</v>
      </c>
      <c r="IH11" t="e">
        <f>AND(Plan1!K187,"AAAAAHz9e/E=")</f>
        <v>#VALUE!</v>
      </c>
      <c r="II11" t="e">
        <f>AND(Plan1!L187,"AAAAAHz9e/I=")</f>
        <v>#VALUE!</v>
      </c>
      <c r="IJ11" t="e">
        <f>AND(Plan1!M187,"AAAAAHz9e/M=")</f>
        <v>#VALUE!</v>
      </c>
      <c r="IK11" t="e">
        <f>AND(Plan1!N187,"AAAAAHz9e/Q=")</f>
        <v>#VALUE!</v>
      </c>
      <c r="IL11">
        <f>IF(Plan1!188:188,"AAAAAHz9e/U=",0)</f>
        <v>0</v>
      </c>
      <c r="IM11" t="e">
        <f>AND(Plan1!A188,"AAAAAHz9e/Y=")</f>
        <v>#VALUE!</v>
      </c>
      <c r="IN11" t="e">
        <f>AND(Plan1!B188,"AAAAAHz9e/c=")</f>
        <v>#VALUE!</v>
      </c>
      <c r="IO11" t="e">
        <f>AND(Plan1!C188,"AAAAAHz9e/g=")</f>
        <v>#VALUE!</v>
      </c>
      <c r="IP11" t="e">
        <f>AND(Plan1!D188,"AAAAAHz9e/k=")</f>
        <v>#VALUE!</v>
      </c>
      <c r="IQ11" t="e">
        <f>AND(Plan1!E188,"AAAAAHz9e/o=")</f>
        <v>#VALUE!</v>
      </c>
      <c r="IR11" t="e">
        <f>AND(Plan1!F188,"AAAAAHz9e/s=")</f>
        <v>#VALUE!</v>
      </c>
      <c r="IS11" t="e">
        <f>AND(Plan1!G188,"AAAAAHz9e/w=")</f>
        <v>#VALUE!</v>
      </c>
      <c r="IT11" t="e">
        <f>AND(Plan1!H188,"AAAAAHz9e/0=")</f>
        <v>#VALUE!</v>
      </c>
      <c r="IU11" t="e">
        <f>AND(Plan1!I188,"AAAAAHz9e/4=")</f>
        <v>#VALUE!</v>
      </c>
      <c r="IV11" t="e">
        <f>AND(Plan1!J188,"AAAAAHz9e/8=")</f>
        <v>#VALUE!</v>
      </c>
    </row>
    <row r="12" spans="1:256">
      <c r="A12" t="e">
        <f>AND(Plan1!K188,"AAAAAH6vTwA=")</f>
        <v>#VALUE!</v>
      </c>
      <c r="B12" t="e">
        <f>AND(Plan1!L188,"AAAAAH6vTwE=")</f>
        <v>#VALUE!</v>
      </c>
      <c r="C12" t="e">
        <f>AND(Plan1!M188,"AAAAAH6vTwI=")</f>
        <v>#VALUE!</v>
      </c>
      <c r="D12" t="e">
        <f>AND(Plan1!N188,"AAAAAH6vTwM=")</f>
        <v>#VALUE!</v>
      </c>
      <c r="E12">
        <f>IF(Plan1!189:189,"AAAAAH6vTwQ=",0)</f>
        <v>0</v>
      </c>
      <c r="F12" t="e">
        <f>AND(Plan1!A189,"AAAAAH6vTwU=")</f>
        <v>#VALUE!</v>
      </c>
      <c r="G12" t="e">
        <f>AND(Plan1!B189,"AAAAAH6vTwY=")</f>
        <v>#VALUE!</v>
      </c>
      <c r="H12" t="e">
        <f>AND(Plan1!C189,"AAAAAH6vTwc=")</f>
        <v>#VALUE!</v>
      </c>
      <c r="I12" t="e">
        <f>AND(Plan1!D189,"AAAAAH6vTwg=")</f>
        <v>#VALUE!</v>
      </c>
      <c r="J12" t="e">
        <f>AND(Plan1!E189,"AAAAAH6vTwk=")</f>
        <v>#VALUE!</v>
      </c>
      <c r="K12" t="e">
        <f>AND(Plan1!F189,"AAAAAH6vTwo=")</f>
        <v>#VALUE!</v>
      </c>
      <c r="L12" t="e">
        <f>AND(Plan1!G189,"AAAAAH6vTws=")</f>
        <v>#VALUE!</v>
      </c>
      <c r="M12" t="e">
        <f>AND(Plan1!H189,"AAAAAH6vTww=")</f>
        <v>#VALUE!</v>
      </c>
      <c r="N12" t="e">
        <f>AND(Plan1!I189,"AAAAAH6vTw0=")</f>
        <v>#VALUE!</v>
      </c>
      <c r="O12" t="e">
        <f>AND(Plan1!J189,"AAAAAH6vTw4=")</f>
        <v>#VALUE!</v>
      </c>
      <c r="P12" t="e">
        <f>AND(Plan1!K189,"AAAAAH6vTw8=")</f>
        <v>#VALUE!</v>
      </c>
      <c r="Q12" t="e">
        <f>AND(Plan1!L189,"AAAAAH6vTxA=")</f>
        <v>#VALUE!</v>
      </c>
      <c r="R12" t="e">
        <f>AND(Plan1!M189,"AAAAAH6vTxE=")</f>
        <v>#VALUE!</v>
      </c>
      <c r="S12" t="e">
        <f>AND(Plan1!N189,"AAAAAH6vTxI=")</f>
        <v>#VALUE!</v>
      </c>
      <c r="T12">
        <f>IF(Plan1!190:190,"AAAAAH6vTxM=",0)</f>
        <v>0</v>
      </c>
      <c r="U12" t="e">
        <f>AND(Plan1!A190,"AAAAAH6vTxQ=")</f>
        <v>#VALUE!</v>
      </c>
      <c r="V12" t="e">
        <f>AND(Plan1!B190,"AAAAAH6vTxU=")</f>
        <v>#VALUE!</v>
      </c>
      <c r="W12" t="e">
        <f>AND(Plan1!C190,"AAAAAH6vTxY=")</f>
        <v>#VALUE!</v>
      </c>
      <c r="X12" t="e">
        <f>AND(Plan1!D190,"AAAAAH6vTxc=")</f>
        <v>#VALUE!</v>
      </c>
      <c r="Y12" t="e">
        <f>AND(Plan1!E190,"AAAAAH6vTxg=")</f>
        <v>#VALUE!</v>
      </c>
      <c r="Z12" t="e">
        <f>AND(Plan1!F190,"AAAAAH6vTxk=")</f>
        <v>#VALUE!</v>
      </c>
      <c r="AA12" t="e">
        <f>AND(Plan1!G190,"AAAAAH6vTxo=")</f>
        <v>#VALUE!</v>
      </c>
      <c r="AB12" t="e">
        <f>AND(Plan1!H190,"AAAAAH6vTxs=")</f>
        <v>#VALUE!</v>
      </c>
      <c r="AC12" t="e">
        <f>AND(Plan1!I190,"AAAAAH6vTxw=")</f>
        <v>#VALUE!</v>
      </c>
      <c r="AD12" t="e">
        <f>AND(Plan1!J190,"AAAAAH6vTx0=")</f>
        <v>#VALUE!</v>
      </c>
      <c r="AE12" t="e">
        <f>AND(Plan1!K190,"AAAAAH6vTx4=")</f>
        <v>#VALUE!</v>
      </c>
      <c r="AF12" t="e">
        <f>AND(Plan1!L190,"AAAAAH6vTx8=")</f>
        <v>#VALUE!</v>
      </c>
      <c r="AG12" t="e">
        <f>AND(Plan1!M190,"AAAAAH6vTyA=")</f>
        <v>#VALUE!</v>
      </c>
      <c r="AH12" t="e">
        <f>AND(Plan1!N190,"AAAAAH6vTyE=")</f>
        <v>#VALUE!</v>
      </c>
      <c r="AI12">
        <f>IF(Plan1!191:191,"AAAAAH6vTyI=",0)</f>
        <v>0</v>
      </c>
      <c r="AJ12" t="e">
        <f>AND(Plan1!A191,"AAAAAH6vTyM=")</f>
        <v>#VALUE!</v>
      </c>
      <c r="AK12" t="e">
        <f>AND(Plan1!B191,"AAAAAH6vTyQ=")</f>
        <v>#VALUE!</v>
      </c>
      <c r="AL12" t="e">
        <f>AND(Plan1!C191,"AAAAAH6vTyU=")</f>
        <v>#VALUE!</v>
      </c>
      <c r="AM12" t="e">
        <f>AND(Plan1!D191,"AAAAAH6vTyY=")</f>
        <v>#VALUE!</v>
      </c>
      <c r="AN12" t="e">
        <f>AND(Plan1!E191,"AAAAAH6vTyc=")</f>
        <v>#VALUE!</v>
      </c>
      <c r="AO12" t="e">
        <f>AND(Plan1!F191,"AAAAAH6vTyg=")</f>
        <v>#VALUE!</v>
      </c>
      <c r="AP12" t="e">
        <f>AND(Plan1!G191,"AAAAAH6vTyk=")</f>
        <v>#VALUE!</v>
      </c>
      <c r="AQ12" t="e">
        <f>AND(Plan1!H191,"AAAAAH6vTyo=")</f>
        <v>#VALUE!</v>
      </c>
      <c r="AR12" t="e">
        <f>AND(Plan1!I191,"AAAAAH6vTys=")</f>
        <v>#VALUE!</v>
      </c>
      <c r="AS12" t="e">
        <f>AND(Plan1!J191,"AAAAAH6vTyw=")</f>
        <v>#VALUE!</v>
      </c>
      <c r="AT12" t="e">
        <f>AND(Plan1!K191,"AAAAAH6vTy0=")</f>
        <v>#VALUE!</v>
      </c>
      <c r="AU12" t="e">
        <f>AND(Plan1!L191,"AAAAAH6vTy4=")</f>
        <v>#VALUE!</v>
      </c>
      <c r="AV12" t="e">
        <f>AND(Plan1!M191,"AAAAAH6vTy8=")</f>
        <v>#VALUE!</v>
      </c>
      <c r="AW12" t="e">
        <f>AND(Plan1!N191,"AAAAAH6vTzA=")</f>
        <v>#VALUE!</v>
      </c>
      <c r="AX12">
        <f>IF(Plan1!192:192,"AAAAAH6vTzE=",0)</f>
        <v>0</v>
      </c>
      <c r="AY12" t="e">
        <f>AND(Plan1!A192,"AAAAAH6vTzI=")</f>
        <v>#VALUE!</v>
      </c>
      <c r="AZ12" t="e">
        <f>AND(Plan1!B192,"AAAAAH6vTzM=")</f>
        <v>#VALUE!</v>
      </c>
      <c r="BA12" t="e">
        <f>AND(Plan1!C192,"AAAAAH6vTzQ=")</f>
        <v>#VALUE!</v>
      </c>
      <c r="BB12" t="e">
        <f>AND(Plan1!D192,"AAAAAH6vTzU=")</f>
        <v>#VALUE!</v>
      </c>
      <c r="BC12" t="e">
        <f>AND(Plan1!E192,"AAAAAH6vTzY=")</f>
        <v>#VALUE!</v>
      </c>
      <c r="BD12" t="e">
        <f>AND(Plan1!F192,"AAAAAH6vTzc=")</f>
        <v>#VALUE!</v>
      </c>
      <c r="BE12" t="e">
        <f>AND(Plan1!G192,"AAAAAH6vTzg=")</f>
        <v>#VALUE!</v>
      </c>
      <c r="BF12" t="e">
        <f>AND(Plan1!H192,"AAAAAH6vTzk=")</f>
        <v>#VALUE!</v>
      </c>
      <c r="BG12" t="e">
        <f>AND(Plan1!I192,"AAAAAH6vTzo=")</f>
        <v>#VALUE!</v>
      </c>
      <c r="BH12" t="e">
        <f>AND(Plan1!J192,"AAAAAH6vTzs=")</f>
        <v>#VALUE!</v>
      </c>
      <c r="BI12" t="e">
        <f>AND(Plan1!K192,"AAAAAH6vTzw=")</f>
        <v>#VALUE!</v>
      </c>
      <c r="BJ12" t="e">
        <f>AND(Plan1!L192,"AAAAAH6vTz0=")</f>
        <v>#VALUE!</v>
      </c>
      <c r="BK12" t="e">
        <f>AND(Plan1!M192,"AAAAAH6vTz4=")</f>
        <v>#VALUE!</v>
      </c>
      <c r="BL12" t="e">
        <f>AND(Plan1!N192,"AAAAAH6vTz8=")</f>
        <v>#VALUE!</v>
      </c>
      <c r="BM12">
        <f>IF(Plan1!193:193,"AAAAAH6vT0A=",0)</f>
        <v>0</v>
      </c>
      <c r="BN12" t="e">
        <f>AND(Plan1!A193,"AAAAAH6vT0E=")</f>
        <v>#VALUE!</v>
      </c>
      <c r="BO12" t="e">
        <f>AND(Plan1!B193,"AAAAAH6vT0I=")</f>
        <v>#VALUE!</v>
      </c>
      <c r="BP12" t="e">
        <f>AND(Plan1!C193,"AAAAAH6vT0M=")</f>
        <v>#VALUE!</v>
      </c>
      <c r="BQ12" t="e">
        <f>AND(Plan1!D193,"AAAAAH6vT0Q=")</f>
        <v>#VALUE!</v>
      </c>
      <c r="BR12" t="e">
        <f>AND(Plan1!E193,"AAAAAH6vT0U=")</f>
        <v>#VALUE!</v>
      </c>
      <c r="BS12" t="e">
        <f>AND(Plan1!F193,"AAAAAH6vT0Y=")</f>
        <v>#VALUE!</v>
      </c>
      <c r="BT12" t="e">
        <f>AND(Plan1!G193,"AAAAAH6vT0c=")</f>
        <v>#VALUE!</v>
      </c>
      <c r="BU12" t="e">
        <f>AND(Plan1!H193,"AAAAAH6vT0g=")</f>
        <v>#VALUE!</v>
      </c>
      <c r="BV12" t="e">
        <f>AND(Plan1!I193,"AAAAAH6vT0k=")</f>
        <v>#VALUE!</v>
      </c>
      <c r="BW12" t="e">
        <f>AND(Plan1!J193,"AAAAAH6vT0o=")</f>
        <v>#VALUE!</v>
      </c>
      <c r="BX12" t="e">
        <f>AND(Plan1!K193,"AAAAAH6vT0s=")</f>
        <v>#VALUE!</v>
      </c>
      <c r="BY12" t="e">
        <f>AND(Plan1!L193,"AAAAAH6vT0w=")</f>
        <v>#VALUE!</v>
      </c>
      <c r="BZ12" t="e">
        <f>AND(Plan1!M193,"AAAAAH6vT00=")</f>
        <v>#VALUE!</v>
      </c>
      <c r="CA12" t="e">
        <f>AND(Plan1!N193,"AAAAAH6vT04=")</f>
        <v>#VALUE!</v>
      </c>
      <c r="CB12">
        <f>IF(Plan1!194:194,"AAAAAH6vT08=",0)</f>
        <v>0</v>
      </c>
      <c r="CC12" t="e">
        <f>AND(Plan1!A194,"AAAAAH6vT1A=")</f>
        <v>#VALUE!</v>
      </c>
      <c r="CD12" t="e">
        <f>AND(Plan1!B194,"AAAAAH6vT1E=")</f>
        <v>#VALUE!</v>
      </c>
      <c r="CE12" t="e">
        <f>AND(Plan1!C194,"AAAAAH6vT1I=")</f>
        <v>#VALUE!</v>
      </c>
      <c r="CF12" t="e">
        <f>AND(Plan1!D194,"AAAAAH6vT1M=")</f>
        <v>#VALUE!</v>
      </c>
      <c r="CG12" t="e">
        <f>AND(Plan1!E194,"AAAAAH6vT1Q=")</f>
        <v>#VALUE!</v>
      </c>
      <c r="CH12" t="e">
        <f>AND(Plan1!F194,"AAAAAH6vT1U=")</f>
        <v>#VALUE!</v>
      </c>
      <c r="CI12" t="e">
        <f>AND(Plan1!G194,"AAAAAH6vT1Y=")</f>
        <v>#VALUE!</v>
      </c>
      <c r="CJ12" t="e">
        <f>AND(Plan1!H194,"AAAAAH6vT1c=")</f>
        <v>#VALUE!</v>
      </c>
      <c r="CK12" t="e">
        <f>AND(Plan1!I194,"AAAAAH6vT1g=")</f>
        <v>#VALUE!</v>
      </c>
      <c r="CL12" t="e">
        <f>AND(Plan1!J194,"AAAAAH6vT1k=")</f>
        <v>#VALUE!</v>
      </c>
      <c r="CM12" t="e">
        <f>AND(Plan1!K194,"AAAAAH6vT1o=")</f>
        <v>#VALUE!</v>
      </c>
      <c r="CN12" t="e">
        <f>AND(Plan1!L194,"AAAAAH6vT1s=")</f>
        <v>#VALUE!</v>
      </c>
      <c r="CO12" t="e">
        <f>AND(Plan1!M194,"AAAAAH6vT1w=")</f>
        <v>#VALUE!</v>
      </c>
      <c r="CP12" t="e">
        <f>AND(Plan1!N194,"AAAAAH6vT10=")</f>
        <v>#VALUE!</v>
      </c>
      <c r="CQ12">
        <f>IF(Plan1!195:195,"AAAAAH6vT14=",0)</f>
        <v>0</v>
      </c>
      <c r="CR12" t="e">
        <f>AND(Plan1!A195,"AAAAAH6vT18=")</f>
        <v>#VALUE!</v>
      </c>
      <c r="CS12" t="e">
        <f>AND(Plan1!B195,"AAAAAH6vT2A=")</f>
        <v>#VALUE!</v>
      </c>
      <c r="CT12" t="e">
        <f>AND(Plan1!C195,"AAAAAH6vT2E=")</f>
        <v>#VALUE!</v>
      </c>
      <c r="CU12" t="e">
        <f>AND(Plan1!D195,"AAAAAH6vT2I=")</f>
        <v>#VALUE!</v>
      </c>
      <c r="CV12" t="e">
        <f>AND(Plan1!E195,"AAAAAH6vT2M=")</f>
        <v>#VALUE!</v>
      </c>
      <c r="CW12" t="e">
        <f>AND(Plan1!F195,"AAAAAH6vT2Q=")</f>
        <v>#VALUE!</v>
      </c>
      <c r="CX12" t="e">
        <f>AND(Plan1!G195,"AAAAAH6vT2U=")</f>
        <v>#VALUE!</v>
      </c>
      <c r="CY12" t="e">
        <f>AND(Plan1!H195,"AAAAAH6vT2Y=")</f>
        <v>#VALUE!</v>
      </c>
      <c r="CZ12" t="e">
        <f>AND(Plan1!I195,"AAAAAH6vT2c=")</f>
        <v>#VALUE!</v>
      </c>
      <c r="DA12" t="e">
        <f>AND(Plan1!J195,"AAAAAH6vT2g=")</f>
        <v>#VALUE!</v>
      </c>
      <c r="DB12" t="e">
        <f>AND(Plan1!K195,"AAAAAH6vT2k=")</f>
        <v>#VALUE!</v>
      </c>
      <c r="DC12" t="e">
        <f>AND(Plan1!L195,"AAAAAH6vT2o=")</f>
        <v>#VALUE!</v>
      </c>
      <c r="DD12" t="e">
        <f>AND(Plan1!M195,"AAAAAH6vT2s=")</f>
        <v>#VALUE!</v>
      </c>
      <c r="DE12" t="e">
        <f>AND(Plan1!N195,"AAAAAH6vT2w=")</f>
        <v>#VALUE!</v>
      </c>
      <c r="DF12">
        <f>IF(Plan1!196:196,"AAAAAH6vT20=",0)</f>
        <v>0</v>
      </c>
      <c r="DG12" t="e">
        <f>AND(Plan1!A196,"AAAAAH6vT24=")</f>
        <v>#VALUE!</v>
      </c>
      <c r="DH12" t="e">
        <f>AND(Plan1!B196,"AAAAAH6vT28=")</f>
        <v>#VALUE!</v>
      </c>
      <c r="DI12" t="e">
        <f>AND(Plan1!C196,"AAAAAH6vT3A=")</f>
        <v>#VALUE!</v>
      </c>
      <c r="DJ12" t="e">
        <f>AND(Plan1!D196,"AAAAAH6vT3E=")</f>
        <v>#VALUE!</v>
      </c>
      <c r="DK12" t="e">
        <f>AND(Plan1!E196,"AAAAAH6vT3I=")</f>
        <v>#VALUE!</v>
      </c>
      <c r="DL12" t="e">
        <f>AND(Plan1!F196,"AAAAAH6vT3M=")</f>
        <v>#VALUE!</v>
      </c>
      <c r="DM12" t="e">
        <f>AND(Plan1!G196,"AAAAAH6vT3Q=")</f>
        <v>#VALUE!</v>
      </c>
      <c r="DN12" t="e">
        <f>AND(Plan1!H196,"AAAAAH6vT3U=")</f>
        <v>#VALUE!</v>
      </c>
      <c r="DO12" t="e">
        <f>AND(Plan1!I196,"AAAAAH6vT3Y=")</f>
        <v>#VALUE!</v>
      </c>
      <c r="DP12" t="e">
        <f>AND(Plan1!J196,"AAAAAH6vT3c=")</f>
        <v>#VALUE!</v>
      </c>
      <c r="DQ12" t="e">
        <f>AND(Plan1!K196,"AAAAAH6vT3g=")</f>
        <v>#VALUE!</v>
      </c>
      <c r="DR12" t="e">
        <f>AND(Plan1!L196,"AAAAAH6vT3k=")</f>
        <v>#VALUE!</v>
      </c>
      <c r="DS12" t="e">
        <f>AND(Plan1!M196,"AAAAAH6vT3o=")</f>
        <v>#VALUE!</v>
      </c>
      <c r="DT12" t="e">
        <f>AND(Plan1!N196,"AAAAAH6vT3s=")</f>
        <v>#VALUE!</v>
      </c>
      <c r="DU12">
        <f>IF(Plan1!197:197,"AAAAAH6vT3w=",0)</f>
        <v>0</v>
      </c>
      <c r="DV12" t="e">
        <f>AND(Plan1!A197,"AAAAAH6vT30=")</f>
        <v>#VALUE!</v>
      </c>
      <c r="DW12" t="e">
        <f>AND(Plan1!B197,"AAAAAH6vT34=")</f>
        <v>#VALUE!</v>
      </c>
      <c r="DX12" t="e">
        <f>AND(Plan1!C197,"AAAAAH6vT38=")</f>
        <v>#VALUE!</v>
      </c>
      <c r="DY12" t="e">
        <f>AND(Plan1!D197,"AAAAAH6vT4A=")</f>
        <v>#VALUE!</v>
      </c>
      <c r="DZ12" t="e">
        <f>AND(Plan1!E197,"AAAAAH6vT4E=")</f>
        <v>#VALUE!</v>
      </c>
      <c r="EA12" t="e">
        <f>AND(Plan1!F197,"AAAAAH6vT4I=")</f>
        <v>#VALUE!</v>
      </c>
      <c r="EB12" t="e">
        <f>AND(Plan1!G197,"AAAAAH6vT4M=")</f>
        <v>#VALUE!</v>
      </c>
      <c r="EC12" t="e">
        <f>AND(Plan1!H197,"AAAAAH6vT4Q=")</f>
        <v>#VALUE!</v>
      </c>
      <c r="ED12" t="e">
        <f>AND(Plan1!I197,"AAAAAH6vT4U=")</f>
        <v>#VALUE!</v>
      </c>
      <c r="EE12" t="e">
        <f>AND(Plan1!J197,"AAAAAH6vT4Y=")</f>
        <v>#VALUE!</v>
      </c>
      <c r="EF12" t="e">
        <f>AND(Plan1!K197,"AAAAAH6vT4c=")</f>
        <v>#VALUE!</v>
      </c>
      <c r="EG12" t="e">
        <f>AND(Plan1!L197,"AAAAAH6vT4g=")</f>
        <v>#VALUE!</v>
      </c>
      <c r="EH12" t="e">
        <f>AND(Plan1!M197,"AAAAAH6vT4k=")</f>
        <v>#VALUE!</v>
      </c>
      <c r="EI12" t="e">
        <f>AND(Plan1!N197,"AAAAAH6vT4o=")</f>
        <v>#VALUE!</v>
      </c>
      <c r="EJ12">
        <f>IF(Plan1!198:198,"AAAAAH6vT4s=",0)</f>
        <v>0</v>
      </c>
      <c r="EK12" t="e">
        <f>AND(Plan1!A198,"AAAAAH6vT4w=")</f>
        <v>#VALUE!</v>
      </c>
      <c r="EL12" t="e">
        <f>AND(Plan1!B198,"AAAAAH6vT40=")</f>
        <v>#VALUE!</v>
      </c>
      <c r="EM12" t="e">
        <f>AND(Plan1!C198,"AAAAAH6vT44=")</f>
        <v>#VALUE!</v>
      </c>
      <c r="EN12" t="e">
        <f>AND(Plan1!D198,"AAAAAH6vT48=")</f>
        <v>#VALUE!</v>
      </c>
      <c r="EO12" t="e">
        <f>AND(Plan1!E198,"AAAAAH6vT5A=")</f>
        <v>#VALUE!</v>
      </c>
      <c r="EP12" t="e">
        <f>AND(Plan1!F198,"AAAAAH6vT5E=")</f>
        <v>#VALUE!</v>
      </c>
      <c r="EQ12" t="e">
        <f>AND(Plan1!G198,"AAAAAH6vT5I=")</f>
        <v>#VALUE!</v>
      </c>
      <c r="ER12" t="e">
        <f>AND(Plan1!H198,"AAAAAH6vT5M=")</f>
        <v>#VALUE!</v>
      </c>
      <c r="ES12" t="e">
        <f>AND(Plan1!I198,"AAAAAH6vT5Q=")</f>
        <v>#VALUE!</v>
      </c>
      <c r="ET12" t="e">
        <f>AND(Plan1!J198,"AAAAAH6vT5U=")</f>
        <v>#VALUE!</v>
      </c>
      <c r="EU12" t="e">
        <f>AND(Plan1!K198,"AAAAAH6vT5Y=")</f>
        <v>#VALUE!</v>
      </c>
      <c r="EV12" t="e">
        <f>AND(Plan1!L198,"AAAAAH6vT5c=")</f>
        <v>#VALUE!</v>
      </c>
      <c r="EW12" t="e">
        <f>AND(Plan1!M198,"AAAAAH6vT5g=")</f>
        <v>#VALUE!</v>
      </c>
      <c r="EX12" t="e">
        <f>AND(Plan1!N198,"AAAAAH6vT5k=")</f>
        <v>#VALUE!</v>
      </c>
      <c r="EY12">
        <f>IF(Plan1!199:199,"AAAAAH6vT5o=",0)</f>
        <v>0</v>
      </c>
      <c r="EZ12" t="e">
        <f>AND(Plan1!A199,"AAAAAH6vT5s=")</f>
        <v>#VALUE!</v>
      </c>
      <c r="FA12" t="e">
        <f>AND(Plan1!B199,"AAAAAH6vT5w=")</f>
        <v>#VALUE!</v>
      </c>
      <c r="FB12" t="e">
        <f>AND(Plan1!C199,"AAAAAH6vT50=")</f>
        <v>#VALUE!</v>
      </c>
      <c r="FC12" t="e">
        <f>AND(Plan1!D199,"AAAAAH6vT54=")</f>
        <v>#VALUE!</v>
      </c>
      <c r="FD12" t="e">
        <f>AND(Plan1!E199,"AAAAAH6vT58=")</f>
        <v>#VALUE!</v>
      </c>
      <c r="FE12" t="e">
        <f>AND(Plan1!F199,"AAAAAH6vT6A=")</f>
        <v>#VALUE!</v>
      </c>
      <c r="FF12" t="e">
        <f>AND(Plan1!G199,"AAAAAH6vT6E=")</f>
        <v>#VALUE!</v>
      </c>
      <c r="FG12" t="e">
        <f>AND(Plan1!H199,"AAAAAH6vT6I=")</f>
        <v>#VALUE!</v>
      </c>
      <c r="FH12" t="e">
        <f>AND(Plan1!I199,"AAAAAH6vT6M=")</f>
        <v>#VALUE!</v>
      </c>
      <c r="FI12" t="e">
        <f>AND(Plan1!J199,"AAAAAH6vT6Q=")</f>
        <v>#VALUE!</v>
      </c>
      <c r="FJ12" t="e">
        <f>AND(Plan1!K199,"AAAAAH6vT6U=")</f>
        <v>#VALUE!</v>
      </c>
      <c r="FK12" t="e">
        <f>AND(Plan1!L199,"AAAAAH6vT6Y=")</f>
        <v>#VALUE!</v>
      </c>
      <c r="FL12" t="e">
        <f>AND(Plan1!M199,"AAAAAH6vT6c=")</f>
        <v>#VALUE!</v>
      </c>
      <c r="FM12" t="e">
        <f>AND(Plan1!N199,"AAAAAH6vT6g=")</f>
        <v>#VALUE!</v>
      </c>
      <c r="FN12">
        <f>IF(Plan1!200:200,"AAAAAH6vT6k=",0)</f>
        <v>0</v>
      </c>
      <c r="FO12" t="e">
        <f>AND(Plan1!A200,"AAAAAH6vT6o=")</f>
        <v>#VALUE!</v>
      </c>
      <c r="FP12" t="e">
        <f>AND(Plan1!B200,"AAAAAH6vT6s=")</f>
        <v>#VALUE!</v>
      </c>
      <c r="FQ12" t="e">
        <f>AND(Plan1!C200,"AAAAAH6vT6w=")</f>
        <v>#VALUE!</v>
      </c>
      <c r="FR12" t="e">
        <f>AND(Plan1!D200,"AAAAAH6vT60=")</f>
        <v>#VALUE!</v>
      </c>
      <c r="FS12" t="e">
        <f>AND(Plan1!E200,"AAAAAH6vT64=")</f>
        <v>#VALUE!</v>
      </c>
      <c r="FT12" t="e">
        <f>AND(Plan1!F200,"AAAAAH6vT68=")</f>
        <v>#VALUE!</v>
      </c>
      <c r="FU12" t="e">
        <f>AND(Plan1!G200,"AAAAAH6vT7A=")</f>
        <v>#VALUE!</v>
      </c>
      <c r="FV12" t="e">
        <f>AND(Plan1!H200,"AAAAAH6vT7E=")</f>
        <v>#VALUE!</v>
      </c>
      <c r="FW12" t="e">
        <f>AND(Plan1!I200,"AAAAAH6vT7I=")</f>
        <v>#VALUE!</v>
      </c>
      <c r="FX12" t="e">
        <f>AND(Plan1!J200,"AAAAAH6vT7M=")</f>
        <v>#VALUE!</v>
      </c>
      <c r="FY12" t="e">
        <f>AND(Plan1!K200,"AAAAAH6vT7Q=")</f>
        <v>#VALUE!</v>
      </c>
      <c r="FZ12" t="e">
        <f>AND(Plan1!L200,"AAAAAH6vT7U=")</f>
        <v>#VALUE!</v>
      </c>
      <c r="GA12" t="e">
        <f>AND(Plan1!M200,"AAAAAH6vT7Y=")</f>
        <v>#VALUE!</v>
      </c>
      <c r="GB12" t="e">
        <f>AND(Plan1!N200,"AAAAAH6vT7c=")</f>
        <v>#VALUE!</v>
      </c>
      <c r="GC12">
        <f>IF(Plan1!201:201,"AAAAAH6vT7g=",0)</f>
        <v>0</v>
      </c>
      <c r="GD12" t="e">
        <f>AND(Plan1!A201,"AAAAAH6vT7k=")</f>
        <v>#VALUE!</v>
      </c>
      <c r="GE12" t="e">
        <f>AND(Plan1!B201,"AAAAAH6vT7o=")</f>
        <v>#VALUE!</v>
      </c>
      <c r="GF12" t="e">
        <f>AND(Plan1!C201,"AAAAAH6vT7s=")</f>
        <v>#VALUE!</v>
      </c>
      <c r="GG12" t="e">
        <f>AND(Plan1!D201,"AAAAAH6vT7w=")</f>
        <v>#VALUE!</v>
      </c>
      <c r="GH12" t="e">
        <f>AND(Plan1!E201,"AAAAAH6vT70=")</f>
        <v>#VALUE!</v>
      </c>
      <c r="GI12" t="e">
        <f>AND(Plan1!F201,"AAAAAH6vT74=")</f>
        <v>#VALUE!</v>
      </c>
      <c r="GJ12" t="e">
        <f>AND(Plan1!G201,"AAAAAH6vT78=")</f>
        <v>#VALUE!</v>
      </c>
      <c r="GK12" t="e">
        <f>AND(Plan1!H201,"AAAAAH6vT8A=")</f>
        <v>#VALUE!</v>
      </c>
      <c r="GL12" t="e">
        <f>AND(Plan1!I201,"AAAAAH6vT8E=")</f>
        <v>#VALUE!</v>
      </c>
      <c r="GM12" t="e">
        <f>AND(Plan1!J201,"AAAAAH6vT8I=")</f>
        <v>#VALUE!</v>
      </c>
      <c r="GN12" t="e">
        <f>AND(Plan1!K201,"AAAAAH6vT8M=")</f>
        <v>#VALUE!</v>
      </c>
      <c r="GO12" t="e">
        <f>AND(Plan1!L201,"AAAAAH6vT8Q=")</f>
        <v>#VALUE!</v>
      </c>
      <c r="GP12" t="e">
        <f>AND(Plan1!M201,"AAAAAH6vT8U=")</f>
        <v>#VALUE!</v>
      </c>
      <c r="GQ12" t="e">
        <f>AND(Plan1!N201,"AAAAAH6vT8Y=")</f>
        <v>#VALUE!</v>
      </c>
      <c r="GR12">
        <f>IF(Plan1!202:202,"AAAAAH6vT8c=",0)</f>
        <v>0</v>
      </c>
      <c r="GS12" t="e">
        <f>AND(Plan1!A202,"AAAAAH6vT8g=")</f>
        <v>#VALUE!</v>
      </c>
      <c r="GT12" t="e">
        <f>AND(Plan1!B202,"AAAAAH6vT8k=")</f>
        <v>#VALUE!</v>
      </c>
      <c r="GU12" t="e">
        <f>AND(Plan1!C202,"AAAAAH6vT8o=")</f>
        <v>#VALUE!</v>
      </c>
      <c r="GV12" t="e">
        <f>AND(Plan1!D202,"AAAAAH6vT8s=")</f>
        <v>#VALUE!</v>
      </c>
      <c r="GW12" t="e">
        <f>AND(Plan1!E202,"AAAAAH6vT8w=")</f>
        <v>#VALUE!</v>
      </c>
      <c r="GX12" t="e">
        <f>AND(Plan1!F202,"AAAAAH6vT80=")</f>
        <v>#VALUE!</v>
      </c>
      <c r="GY12" t="e">
        <f>AND(Plan1!G202,"AAAAAH6vT84=")</f>
        <v>#VALUE!</v>
      </c>
      <c r="GZ12" t="e">
        <f>AND(Plan1!H202,"AAAAAH6vT88=")</f>
        <v>#VALUE!</v>
      </c>
      <c r="HA12" t="e">
        <f>AND(Plan1!I202,"AAAAAH6vT9A=")</f>
        <v>#VALUE!</v>
      </c>
      <c r="HB12" t="e">
        <f>AND(Plan1!J202,"AAAAAH6vT9E=")</f>
        <v>#VALUE!</v>
      </c>
      <c r="HC12" t="e">
        <f>AND(Plan1!K202,"AAAAAH6vT9I=")</f>
        <v>#VALUE!</v>
      </c>
      <c r="HD12" t="e">
        <f>AND(Plan1!L202,"AAAAAH6vT9M=")</f>
        <v>#VALUE!</v>
      </c>
      <c r="HE12" t="e">
        <f>AND(Plan1!M202,"AAAAAH6vT9Q=")</f>
        <v>#VALUE!</v>
      </c>
      <c r="HF12" t="e">
        <f>AND(Plan1!N202,"AAAAAH6vT9U=")</f>
        <v>#VALUE!</v>
      </c>
      <c r="HG12">
        <f>IF(Plan1!203:203,"AAAAAH6vT9Y=",0)</f>
        <v>0</v>
      </c>
      <c r="HH12" t="e">
        <f>AND(Plan1!A203,"AAAAAH6vT9c=")</f>
        <v>#VALUE!</v>
      </c>
      <c r="HI12" t="e">
        <f>AND(Plan1!B203,"AAAAAH6vT9g=")</f>
        <v>#VALUE!</v>
      </c>
      <c r="HJ12" t="e">
        <f>AND(Plan1!C203,"AAAAAH6vT9k=")</f>
        <v>#VALUE!</v>
      </c>
      <c r="HK12" t="e">
        <f>AND(Plan1!D203,"AAAAAH6vT9o=")</f>
        <v>#VALUE!</v>
      </c>
      <c r="HL12" t="e">
        <f>AND(Plan1!E203,"AAAAAH6vT9s=")</f>
        <v>#VALUE!</v>
      </c>
      <c r="HM12" t="e">
        <f>AND(Plan1!F203,"AAAAAH6vT9w=")</f>
        <v>#VALUE!</v>
      </c>
      <c r="HN12" t="e">
        <f>AND(Plan1!G203,"AAAAAH6vT90=")</f>
        <v>#VALUE!</v>
      </c>
      <c r="HO12" t="e">
        <f>AND(Plan1!H203,"AAAAAH6vT94=")</f>
        <v>#VALUE!</v>
      </c>
      <c r="HP12" t="e">
        <f>AND(Plan1!I203,"AAAAAH6vT98=")</f>
        <v>#VALUE!</v>
      </c>
      <c r="HQ12" t="e">
        <f>AND(Plan1!J203,"AAAAAH6vT+A=")</f>
        <v>#VALUE!</v>
      </c>
      <c r="HR12" t="e">
        <f>AND(Plan1!K203,"AAAAAH6vT+E=")</f>
        <v>#VALUE!</v>
      </c>
      <c r="HS12" t="e">
        <f>AND(Plan1!L203,"AAAAAH6vT+I=")</f>
        <v>#VALUE!</v>
      </c>
      <c r="HT12" t="e">
        <f>AND(Plan1!M203,"AAAAAH6vT+M=")</f>
        <v>#VALUE!</v>
      </c>
      <c r="HU12" t="e">
        <f>AND(Plan1!N203,"AAAAAH6vT+Q=")</f>
        <v>#VALUE!</v>
      </c>
      <c r="HV12">
        <f>IF(Plan1!204:204,"AAAAAH6vT+U=",0)</f>
        <v>0</v>
      </c>
      <c r="HW12" t="e">
        <f>AND(Plan1!A204,"AAAAAH6vT+Y=")</f>
        <v>#VALUE!</v>
      </c>
      <c r="HX12" t="e">
        <f>AND(Plan1!B204,"AAAAAH6vT+c=")</f>
        <v>#VALUE!</v>
      </c>
      <c r="HY12" t="e">
        <f>AND(Plan1!C204,"AAAAAH6vT+g=")</f>
        <v>#VALUE!</v>
      </c>
      <c r="HZ12" t="e">
        <f>AND(Plan1!D204,"AAAAAH6vT+k=")</f>
        <v>#VALUE!</v>
      </c>
      <c r="IA12" t="e">
        <f>AND(Plan1!E204,"AAAAAH6vT+o=")</f>
        <v>#VALUE!</v>
      </c>
      <c r="IB12" t="e">
        <f>AND(Plan1!F204,"AAAAAH6vT+s=")</f>
        <v>#VALUE!</v>
      </c>
      <c r="IC12" t="e">
        <f>AND(Plan1!G204,"AAAAAH6vT+w=")</f>
        <v>#VALUE!</v>
      </c>
      <c r="ID12" t="e">
        <f>AND(Plan1!H204,"AAAAAH6vT+0=")</f>
        <v>#VALUE!</v>
      </c>
      <c r="IE12" t="e">
        <f>AND(Plan1!I204,"AAAAAH6vT+4=")</f>
        <v>#VALUE!</v>
      </c>
      <c r="IF12" t="e">
        <f>AND(Plan1!J204,"AAAAAH6vT+8=")</f>
        <v>#VALUE!</v>
      </c>
      <c r="IG12" t="e">
        <f>AND(Plan1!K204,"AAAAAH6vT/A=")</f>
        <v>#VALUE!</v>
      </c>
      <c r="IH12" t="e">
        <f>AND(Plan1!L204,"AAAAAH6vT/E=")</f>
        <v>#VALUE!</v>
      </c>
      <c r="II12" t="e">
        <f>AND(Plan1!M204,"AAAAAH6vT/I=")</f>
        <v>#VALUE!</v>
      </c>
      <c r="IJ12" t="e">
        <f>AND(Plan1!N204,"AAAAAH6vT/M=")</f>
        <v>#VALUE!</v>
      </c>
      <c r="IK12">
        <f>IF(Plan1!205:205,"AAAAAH6vT/Q=",0)</f>
        <v>0</v>
      </c>
      <c r="IL12" t="e">
        <f>AND(Plan1!A205,"AAAAAH6vT/U=")</f>
        <v>#VALUE!</v>
      </c>
      <c r="IM12" t="e">
        <f>AND(Plan1!B205,"AAAAAH6vT/Y=")</f>
        <v>#VALUE!</v>
      </c>
      <c r="IN12" t="e">
        <f>AND(Plan1!C205,"AAAAAH6vT/c=")</f>
        <v>#VALUE!</v>
      </c>
      <c r="IO12" t="e">
        <f>AND(Plan1!D205,"AAAAAH6vT/g=")</f>
        <v>#VALUE!</v>
      </c>
      <c r="IP12" t="e">
        <f>AND(Plan1!E205,"AAAAAH6vT/k=")</f>
        <v>#VALUE!</v>
      </c>
      <c r="IQ12" t="e">
        <f>AND(Plan1!F205,"AAAAAH6vT/o=")</f>
        <v>#VALUE!</v>
      </c>
      <c r="IR12" t="e">
        <f>AND(Plan1!G205,"AAAAAH6vT/s=")</f>
        <v>#VALUE!</v>
      </c>
      <c r="IS12" t="e">
        <f>AND(Plan1!H205,"AAAAAH6vT/w=")</f>
        <v>#VALUE!</v>
      </c>
      <c r="IT12" t="e">
        <f>AND(Plan1!I205,"AAAAAH6vT/0=")</f>
        <v>#VALUE!</v>
      </c>
      <c r="IU12" t="e">
        <f>AND(Plan1!J205,"AAAAAH6vT/4=")</f>
        <v>#VALUE!</v>
      </c>
      <c r="IV12" t="e">
        <f>AND(Plan1!K205,"AAAAAH6vT/8=")</f>
        <v>#VALUE!</v>
      </c>
    </row>
    <row r="13" spans="1:256">
      <c r="A13" t="e">
        <f>AND(Plan1!L205,"AAAAAE0r7wA=")</f>
        <v>#VALUE!</v>
      </c>
      <c r="B13" t="e">
        <f>AND(Plan1!M205,"AAAAAE0r7wE=")</f>
        <v>#VALUE!</v>
      </c>
      <c r="C13" t="e">
        <f>AND(Plan1!N205,"AAAAAE0r7wI=")</f>
        <v>#VALUE!</v>
      </c>
      <c r="D13" t="e">
        <f>IF(Plan1!206:206,"AAAAAE0r7wM=",0)</f>
        <v>#VALUE!</v>
      </c>
      <c r="E13" t="e">
        <f>AND(Plan1!A206,"AAAAAE0r7wQ=")</f>
        <v>#VALUE!</v>
      </c>
      <c r="F13" t="e">
        <f>AND(Plan1!B206,"AAAAAE0r7wU=")</f>
        <v>#VALUE!</v>
      </c>
      <c r="G13" t="e">
        <f>AND(Plan1!C206,"AAAAAE0r7wY=")</f>
        <v>#VALUE!</v>
      </c>
      <c r="H13" t="e">
        <f>AND(Plan1!D206,"AAAAAE0r7wc=")</f>
        <v>#VALUE!</v>
      </c>
      <c r="I13" t="e">
        <f>AND(Plan1!E206,"AAAAAE0r7wg=")</f>
        <v>#VALUE!</v>
      </c>
      <c r="J13" t="e">
        <f>AND(Plan1!F206,"AAAAAE0r7wk=")</f>
        <v>#VALUE!</v>
      </c>
      <c r="K13" t="e">
        <f>AND(Plan1!G206,"AAAAAE0r7wo=")</f>
        <v>#VALUE!</v>
      </c>
      <c r="L13" t="e">
        <f>AND(Plan1!H206,"AAAAAE0r7ws=")</f>
        <v>#VALUE!</v>
      </c>
      <c r="M13" t="e">
        <f>AND(Plan1!I206,"AAAAAE0r7ww=")</f>
        <v>#VALUE!</v>
      </c>
      <c r="N13" t="e">
        <f>AND(Plan1!J206,"AAAAAE0r7w0=")</f>
        <v>#VALUE!</v>
      </c>
      <c r="O13" t="e">
        <f>AND(Plan1!K206,"AAAAAE0r7w4=")</f>
        <v>#VALUE!</v>
      </c>
      <c r="P13" t="e">
        <f>AND(Plan1!L206,"AAAAAE0r7w8=")</f>
        <v>#VALUE!</v>
      </c>
      <c r="Q13" t="e">
        <f>AND(Plan1!M206,"AAAAAE0r7xA=")</f>
        <v>#VALUE!</v>
      </c>
      <c r="R13" t="e">
        <f>AND(Plan1!N206,"AAAAAE0r7xE=")</f>
        <v>#VALUE!</v>
      </c>
      <c r="S13">
        <f>IF(Plan1!207:207,"AAAAAE0r7xI=",0)</f>
        <v>0</v>
      </c>
      <c r="T13" t="e">
        <f>AND(Plan1!A207,"AAAAAE0r7xM=")</f>
        <v>#VALUE!</v>
      </c>
      <c r="U13" t="e">
        <f>AND(Plan1!B207,"AAAAAE0r7xQ=")</f>
        <v>#VALUE!</v>
      </c>
      <c r="V13" t="e">
        <f>AND(Plan1!C207,"AAAAAE0r7xU=")</f>
        <v>#VALUE!</v>
      </c>
      <c r="W13" t="e">
        <f>AND(Plan1!D207,"AAAAAE0r7xY=")</f>
        <v>#VALUE!</v>
      </c>
      <c r="X13" t="e">
        <f>AND(Plan1!E207,"AAAAAE0r7xc=")</f>
        <v>#VALUE!</v>
      </c>
      <c r="Y13" t="e">
        <f>AND(Plan1!F207,"AAAAAE0r7xg=")</f>
        <v>#VALUE!</v>
      </c>
      <c r="Z13" t="e">
        <f>AND(Plan1!G207,"AAAAAE0r7xk=")</f>
        <v>#VALUE!</v>
      </c>
      <c r="AA13" t="e">
        <f>AND(Plan1!H207,"AAAAAE0r7xo=")</f>
        <v>#VALUE!</v>
      </c>
      <c r="AB13" t="e">
        <f>AND(Plan1!I207,"AAAAAE0r7xs=")</f>
        <v>#VALUE!</v>
      </c>
      <c r="AC13" t="e">
        <f>AND(Plan1!J207,"AAAAAE0r7xw=")</f>
        <v>#VALUE!</v>
      </c>
      <c r="AD13" t="e">
        <f>AND(Plan1!K207,"AAAAAE0r7x0=")</f>
        <v>#VALUE!</v>
      </c>
      <c r="AE13" t="e">
        <f>AND(Plan1!L207,"AAAAAE0r7x4=")</f>
        <v>#VALUE!</v>
      </c>
      <c r="AF13" t="e">
        <f>AND(Plan1!M207,"AAAAAE0r7x8=")</f>
        <v>#VALUE!</v>
      </c>
      <c r="AG13" t="e">
        <f>AND(Plan1!N207,"AAAAAE0r7yA=")</f>
        <v>#VALUE!</v>
      </c>
      <c r="AH13">
        <f>IF(Plan1!208:208,"AAAAAE0r7yE=",0)</f>
        <v>0</v>
      </c>
      <c r="AI13" t="e">
        <f>AND(Plan1!A208,"AAAAAE0r7yI=")</f>
        <v>#VALUE!</v>
      </c>
      <c r="AJ13" t="e">
        <f>AND(Plan1!B208,"AAAAAE0r7yM=")</f>
        <v>#VALUE!</v>
      </c>
      <c r="AK13" t="e">
        <f>AND(Plan1!C208,"AAAAAE0r7yQ=")</f>
        <v>#VALUE!</v>
      </c>
      <c r="AL13" t="e">
        <f>AND(Plan1!D208,"AAAAAE0r7yU=")</f>
        <v>#VALUE!</v>
      </c>
      <c r="AM13" t="e">
        <f>AND(Plan1!E208,"AAAAAE0r7yY=")</f>
        <v>#VALUE!</v>
      </c>
      <c r="AN13" t="e">
        <f>AND(Plan1!F208,"AAAAAE0r7yc=")</f>
        <v>#VALUE!</v>
      </c>
      <c r="AO13" t="e">
        <f>AND(Plan1!G208,"AAAAAE0r7yg=")</f>
        <v>#VALUE!</v>
      </c>
      <c r="AP13" t="e">
        <f>AND(Plan1!H208,"AAAAAE0r7yk=")</f>
        <v>#VALUE!</v>
      </c>
      <c r="AQ13" t="e">
        <f>AND(Plan1!I208,"AAAAAE0r7yo=")</f>
        <v>#VALUE!</v>
      </c>
      <c r="AR13" t="e">
        <f>AND(Plan1!J208,"AAAAAE0r7ys=")</f>
        <v>#VALUE!</v>
      </c>
      <c r="AS13" t="e">
        <f>AND(Plan1!K208,"AAAAAE0r7yw=")</f>
        <v>#VALUE!</v>
      </c>
      <c r="AT13" t="e">
        <f>AND(Plan1!L208,"AAAAAE0r7y0=")</f>
        <v>#VALUE!</v>
      </c>
      <c r="AU13" t="e">
        <f>AND(Plan1!M208,"AAAAAE0r7y4=")</f>
        <v>#VALUE!</v>
      </c>
      <c r="AV13" t="e">
        <f>AND(Plan1!N208,"AAAAAE0r7y8=")</f>
        <v>#VALUE!</v>
      </c>
      <c r="AW13">
        <f>IF(Plan1!209:209,"AAAAAE0r7zA=",0)</f>
        <v>0</v>
      </c>
      <c r="AX13" t="e">
        <f>AND(Plan1!A209,"AAAAAE0r7zE=")</f>
        <v>#VALUE!</v>
      </c>
      <c r="AY13" t="e">
        <f>AND(Plan1!B209,"AAAAAE0r7zI=")</f>
        <v>#VALUE!</v>
      </c>
      <c r="AZ13" t="e">
        <f>AND(Plan1!C209,"AAAAAE0r7zM=")</f>
        <v>#VALUE!</v>
      </c>
      <c r="BA13" t="e">
        <f>AND(Plan1!D209,"AAAAAE0r7zQ=")</f>
        <v>#VALUE!</v>
      </c>
      <c r="BB13" t="e">
        <f>AND(Plan1!E209,"AAAAAE0r7zU=")</f>
        <v>#VALUE!</v>
      </c>
      <c r="BC13" t="e">
        <f>AND(Plan1!F209,"AAAAAE0r7zY=")</f>
        <v>#VALUE!</v>
      </c>
      <c r="BD13" t="e">
        <f>AND(Plan1!G209,"AAAAAE0r7zc=")</f>
        <v>#VALUE!</v>
      </c>
      <c r="BE13" t="e">
        <f>AND(Plan1!H209,"AAAAAE0r7zg=")</f>
        <v>#VALUE!</v>
      </c>
      <c r="BF13" t="e">
        <f>AND(Plan1!I209,"AAAAAE0r7zk=")</f>
        <v>#VALUE!</v>
      </c>
      <c r="BG13" t="e">
        <f>AND(Plan1!J209,"AAAAAE0r7zo=")</f>
        <v>#VALUE!</v>
      </c>
      <c r="BH13" t="e">
        <f>AND(Plan1!K209,"AAAAAE0r7zs=")</f>
        <v>#VALUE!</v>
      </c>
      <c r="BI13" t="e">
        <f>AND(Plan1!L209,"AAAAAE0r7zw=")</f>
        <v>#VALUE!</v>
      </c>
      <c r="BJ13" t="e">
        <f>AND(Plan1!M209,"AAAAAE0r7z0=")</f>
        <v>#VALUE!</v>
      </c>
      <c r="BK13" t="e">
        <f>AND(Plan1!N209,"AAAAAE0r7z4=")</f>
        <v>#VALUE!</v>
      </c>
      <c r="BL13">
        <f>IF(Plan1!210:210,"AAAAAE0r7z8=",0)</f>
        <v>0</v>
      </c>
      <c r="BM13" t="e">
        <f>AND(Plan1!A210,"AAAAAE0r70A=")</f>
        <v>#VALUE!</v>
      </c>
      <c r="BN13" t="e">
        <f>AND(Plan1!B210,"AAAAAE0r70E=")</f>
        <v>#VALUE!</v>
      </c>
      <c r="BO13" t="e">
        <f>AND(Plan1!C210,"AAAAAE0r70I=")</f>
        <v>#VALUE!</v>
      </c>
      <c r="BP13" t="e">
        <f>AND(Plan1!D210,"AAAAAE0r70M=")</f>
        <v>#VALUE!</v>
      </c>
      <c r="BQ13" t="e">
        <f>AND(Plan1!E210,"AAAAAE0r70Q=")</f>
        <v>#VALUE!</v>
      </c>
      <c r="BR13" t="e">
        <f>AND(Plan1!F210,"AAAAAE0r70U=")</f>
        <v>#VALUE!</v>
      </c>
      <c r="BS13" t="e">
        <f>AND(Plan1!G210,"AAAAAE0r70Y=")</f>
        <v>#VALUE!</v>
      </c>
      <c r="BT13" t="e">
        <f>AND(Plan1!H210,"AAAAAE0r70c=")</f>
        <v>#VALUE!</v>
      </c>
      <c r="BU13" t="e">
        <f>AND(Plan1!I210,"AAAAAE0r70g=")</f>
        <v>#VALUE!</v>
      </c>
      <c r="BV13" t="e">
        <f>AND(Plan1!J210,"AAAAAE0r70k=")</f>
        <v>#VALUE!</v>
      </c>
      <c r="BW13" t="e">
        <f>AND(Plan1!K210,"AAAAAE0r70o=")</f>
        <v>#VALUE!</v>
      </c>
      <c r="BX13" t="e">
        <f>AND(Plan1!L210,"AAAAAE0r70s=")</f>
        <v>#VALUE!</v>
      </c>
      <c r="BY13" t="e">
        <f>AND(Plan1!M210,"AAAAAE0r70w=")</f>
        <v>#VALUE!</v>
      </c>
      <c r="BZ13" t="e">
        <f>AND(Plan1!N210,"AAAAAE0r700=")</f>
        <v>#VALUE!</v>
      </c>
      <c r="CA13">
        <f>IF(Plan1!211:211,"AAAAAE0r704=",0)</f>
        <v>0</v>
      </c>
      <c r="CB13" t="e">
        <f>AND(Plan1!A211,"AAAAAE0r708=")</f>
        <v>#VALUE!</v>
      </c>
      <c r="CC13" t="e">
        <f>AND(Plan1!B211,"AAAAAE0r71A=")</f>
        <v>#VALUE!</v>
      </c>
      <c r="CD13" t="e">
        <f>AND(Plan1!C211,"AAAAAE0r71E=")</f>
        <v>#VALUE!</v>
      </c>
      <c r="CE13" t="e">
        <f>AND(Plan1!D211,"AAAAAE0r71I=")</f>
        <v>#VALUE!</v>
      </c>
      <c r="CF13" t="e">
        <f>AND(Plan1!E211,"AAAAAE0r71M=")</f>
        <v>#VALUE!</v>
      </c>
      <c r="CG13" t="e">
        <f>AND(Plan1!F211,"AAAAAE0r71Q=")</f>
        <v>#VALUE!</v>
      </c>
      <c r="CH13" t="e">
        <f>AND(Plan1!G211,"AAAAAE0r71U=")</f>
        <v>#VALUE!</v>
      </c>
      <c r="CI13" t="e">
        <f>AND(Plan1!H211,"AAAAAE0r71Y=")</f>
        <v>#VALUE!</v>
      </c>
      <c r="CJ13" t="e">
        <f>AND(Plan1!I211,"AAAAAE0r71c=")</f>
        <v>#VALUE!</v>
      </c>
      <c r="CK13" t="e">
        <f>AND(Plan1!J211,"AAAAAE0r71g=")</f>
        <v>#VALUE!</v>
      </c>
      <c r="CL13" t="e">
        <f>AND(Plan1!K211,"AAAAAE0r71k=")</f>
        <v>#VALUE!</v>
      </c>
      <c r="CM13" t="e">
        <f>AND(Plan1!L211,"AAAAAE0r71o=")</f>
        <v>#VALUE!</v>
      </c>
      <c r="CN13" t="e">
        <f>AND(Plan1!M211,"AAAAAE0r71s=")</f>
        <v>#VALUE!</v>
      </c>
      <c r="CO13" t="e">
        <f>AND(Plan1!N211,"AAAAAE0r71w=")</f>
        <v>#VALUE!</v>
      </c>
      <c r="CP13">
        <f>IF(Plan1!212:212,"AAAAAE0r710=",0)</f>
        <v>0</v>
      </c>
      <c r="CQ13" t="e">
        <f>AND(Plan1!A212,"AAAAAE0r714=")</f>
        <v>#VALUE!</v>
      </c>
      <c r="CR13" t="e">
        <f>AND(Plan1!B212,"AAAAAE0r718=")</f>
        <v>#VALUE!</v>
      </c>
      <c r="CS13" t="e">
        <f>AND(Plan1!C212,"AAAAAE0r72A=")</f>
        <v>#VALUE!</v>
      </c>
      <c r="CT13" t="e">
        <f>AND(Plan1!D212,"AAAAAE0r72E=")</f>
        <v>#VALUE!</v>
      </c>
      <c r="CU13" t="e">
        <f>AND(Plan1!E212,"AAAAAE0r72I=")</f>
        <v>#VALUE!</v>
      </c>
      <c r="CV13" t="e">
        <f>AND(Plan1!F212,"AAAAAE0r72M=")</f>
        <v>#VALUE!</v>
      </c>
      <c r="CW13" t="e">
        <f>AND(Plan1!G212,"AAAAAE0r72Q=")</f>
        <v>#VALUE!</v>
      </c>
      <c r="CX13" t="e">
        <f>AND(Plan1!H212,"AAAAAE0r72U=")</f>
        <v>#VALUE!</v>
      </c>
      <c r="CY13" t="e">
        <f>AND(Plan1!I212,"AAAAAE0r72Y=")</f>
        <v>#VALUE!</v>
      </c>
      <c r="CZ13" t="e">
        <f>AND(Plan1!J212,"AAAAAE0r72c=")</f>
        <v>#VALUE!</v>
      </c>
      <c r="DA13" t="e">
        <f>AND(Plan1!K212,"AAAAAE0r72g=")</f>
        <v>#VALUE!</v>
      </c>
      <c r="DB13" t="e">
        <f>AND(Plan1!L212,"AAAAAE0r72k=")</f>
        <v>#VALUE!</v>
      </c>
      <c r="DC13" t="e">
        <f>AND(Plan1!M212,"AAAAAE0r72o=")</f>
        <v>#VALUE!</v>
      </c>
      <c r="DD13" t="e">
        <f>AND(Plan1!N212,"AAAAAE0r72s=")</f>
        <v>#VALUE!</v>
      </c>
      <c r="DE13">
        <f>IF(Plan1!213:213,"AAAAAE0r72w=",0)</f>
        <v>0</v>
      </c>
      <c r="DF13" t="e">
        <f>AND(Plan1!A213,"AAAAAE0r720=")</f>
        <v>#VALUE!</v>
      </c>
      <c r="DG13" t="e">
        <f>AND(Plan1!B213,"AAAAAE0r724=")</f>
        <v>#VALUE!</v>
      </c>
      <c r="DH13" t="e">
        <f>AND(Plan1!C213,"AAAAAE0r728=")</f>
        <v>#VALUE!</v>
      </c>
      <c r="DI13" t="e">
        <f>AND(Plan1!D213,"AAAAAE0r73A=")</f>
        <v>#VALUE!</v>
      </c>
      <c r="DJ13" t="e">
        <f>AND(Plan1!E213,"AAAAAE0r73E=")</f>
        <v>#VALUE!</v>
      </c>
      <c r="DK13" t="e">
        <f>AND(Plan1!F213,"AAAAAE0r73I=")</f>
        <v>#VALUE!</v>
      </c>
      <c r="DL13" t="e">
        <f>AND(Plan1!G213,"AAAAAE0r73M=")</f>
        <v>#VALUE!</v>
      </c>
      <c r="DM13" t="e">
        <f>AND(Plan1!H213,"AAAAAE0r73Q=")</f>
        <v>#VALUE!</v>
      </c>
      <c r="DN13" t="e">
        <f>AND(Plan1!I213,"AAAAAE0r73U=")</f>
        <v>#VALUE!</v>
      </c>
      <c r="DO13" t="e">
        <f>AND(Plan1!J213,"AAAAAE0r73Y=")</f>
        <v>#VALUE!</v>
      </c>
      <c r="DP13" t="e">
        <f>AND(Plan1!K213,"AAAAAE0r73c=")</f>
        <v>#VALUE!</v>
      </c>
      <c r="DQ13" t="e">
        <f>AND(Plan1!L213,"AAAAAE0r73g=")</f>
        <v>#VALUE!</v>
      </c>
      <c r="DR13" t="e">
        <f>AND(Plan1!M213,"AAAAAE0r73k=")</f>
        <v>#VALUE!</v>
      </c>
      <c r="DS13" t="e">
        <f>AND(Plan1!N213,"AAAAAE0r73o=")</f>
        <v>#VALUE!</v>
      </c>
      <c r="DT13">
        <f>IF(Plan1!214:214,"AAAAAE0r73s=",0)</f>
        <v>0</v>
      </c>
      <c r="DU13" t="e">
        <f>AND(Plan1!A214,"AAAAAE0r73w=")</f>
        <v>#VALUE!</v>
      </c>
      <c r="DV13" t="e">
        <f>AND(Plan1!B214,"AAAAAE0r730=")</f>
        <v>#VALUE!</v>
      </c>
      <c r="DW13" t="e">
        <f>AND(Plan1!C214,"AAAAAE0r734=")</f>
        <v>#VALUE!</v>
      </c>
      <c r="DX13" t="e">
        <f>AND(Plan1!D214,"AAAAAE0r738=")</f>
        <v>#VALUE!</v>
      </c>
      <c r="DY13" t="e">
        <f>AND(Plan1!E214,"AAAAAE0r74A=")</f>
        <v>#VALUE!</v>
      </c>
      <c r="DZ13" t="e">
        <f>AND(Plan1!F214,"AAAAAE0r74E=")</f>
        <v>#VALUE!</v>
      </c>
      <c r="EA13" t="e">
        <f>AND(Plan1!G214,"AAAAAE0r74I=")</f>
        <v>#VALUE!</v>
      </c>
      <c r="EB13" t="e">
        <f>AND(Plan1!H214,"AAAAAE0r74M=")</f>
        <v>#VALUE!</v>
      </c>
      <c r="EC13" t="e">
        <f>AND(Plan1!I214,"AAAAAE0r74Q=")</f>
        <v>#VALUE!</v>
      </c>
      <c r="ED13" t="e">
        <f>AND(Plan1!J214,"AAAAAE0r74U=")</f>
        <v>#VALUE!</v>
      </c>
      <c r="EE13" t="e">
        <f>AND(Plan1!K214,"AAAAAE0r74Y=")</f>
        <v>#VALUE!</v>
      </c>
      <c r="EF13" t="e">
        <f>AND(Plan1!L214,"AAAAAE0r74c=")</f>
        <v>#VALUE!</v>
      </c>
      <c r="EG13" t="e">
        <f>AND(Plan1!M214,"AAAAAE0r74g=")</f>
        <v>#VALUE!</v>
      </c>
      <c r="EH13" t="e">
        <f>AND(Plan1!N214,"AAAAAE0r74k=")</f>
        <v>#VALUE!</v>
      </c>
      <c r="EI13">
        <f>IF(Plan1!215:215,"AAAAAE0r74o=",0)</f>
        <v>0</v>
      </c>
      <c r="EJ13" t="e">
        <f>AND(Plan1!A215,"AAAAAE0r74s=")</f>
        <v>#VALUE!</v>
      </c>
      <c r="EK13" t="e">
        <f>AND(Plan1!B215,"AAAAAE0r74w=")</f>
        <v>#VALUE!</v>
      </c>
      <c r="EL13" t="e">
        <f>AND(Plan1!C215,"AAAAAE0r740=")</f>
        <v>#VALUE!</v>
      </c>
      <c r="EM13" t="e">
        <f>AND(Plan1!D215,"AAAAAE0r744=")</f>
        <v>#VALUE!</v>
      </c>
      <c r="EN13" t="e">
        <f>AND(Plan1!E215,"AAAAAE0r748=")</f>
        <v>#VALUE!</v>
      </c>
      <c r="EO13" t="e">
        <f>AND(Plan1!F215,"AAAAAE0r75A=")</f>
        <v>#VALUE!</v>
      </c>
      <c r="EP13" t="e">
        <f>AND(Plan1!G215,"AAAAAE0r75E=")</f>
        <v>#VALUE!</v>
      </c>
      <c r="EQ13" t="e">
        <f>AND(Plan1!H215,"AAAAAE0r75I=")</f>
        <v>#VALUE!</v>
      </c>
      <c r="ER13" t="e">
        <f>AND(Plan1!I215,"AAAAAE0r75M=")</f>
        <v>#VALUE!</v>
      </c>
      <c r="ES13" t="e">
        <f>AND(Plan1!J215,"AAAAAE0r75Q=")</f>
        <v>#VALUE!</v>
      </c>
      <c r="ET13" t="e">
        <f>AND(Plan1!K215,"AAAAAE0r75U=")</f>
        <v>#VALUE!</v>
      </c>
      <c r="EU13" t="e">
        <f>AND(Plan1!L215,"AAAAAE0r75Y=")</f>
        <v>#VALUE!</v>
      </c>
      <c r="EV13" t="e">
        <f>AND(Plan1!M215,"AAAAAE0r75c=")</f>
        <v>#VALUE!</v>
      </c>
      <c r="EW13" t="e">
        <f>AND(Plan1!N215,"AAAAAE0r75g=")</f>
        <v>#VALUE!</v>
      </c>
      <c r="EX13">
        <f>IF(Plan1!216:216,"AAAAAE0r75k=",0)</f>
        <v>0</v>
      </c>
      <c r="EY13" t="e">
        <f>AND(Plan1!A216,"AAAAAE0r75o=")</f>
        <v>#VALUE!</v>
      </c>
      <c r="EZ13" t="e">
        <f>AND(Plan1!B216,"AAAAAE0r75s=")</f>
        <v>#VALUE!</v>
      </c>
      <c r="FA13" t="e">
        <f>AND(Plan1!C216,"AAAAAE0r75w=")</f>
        <v>#VALUE!</v>
      </c>
      <c r="FB13" t="e">
        <f>AND(Plan1!D216,"AAAAAE0r750=")</f>
        <v>#VALUE!</v>
      </c>
      <c r="FC13" t="e">
        <f>AND(Plan1!E216,"AAAAAE0r754=")</f>
        <v>#VALUE!</v>
      </c>
      <c r="FD13" t="e">
        <f>AND(Plan1!F216,"AAAAAE0r758=")</f>
        <v>#VALUE!</v>
      </c>
      <c r="FE13" t="e">
        <f>AND(Plan1!G216,"AAAAAE0r76A=")</f>
        <v>#VALUE!</v>
      </c>
      <c r="FF13" t="e">
        <f>AND(Plan1!H216,"AAAAAE0r76E=")</f>
        <v>#VALUE!</v>
      </c>
      <c r="FG13" t="e">
        <f>AND(Plan1!I216,"AAAAAE0r76I=")</f>
        <v>#VALUE!</v>
      </c>
      <c r="FH13" t="e">
        <f>AND(Plan1!J216,"AAAAAE0r76M=")</f>
        <v>#VALUE!</v>
      </c>
      <c r="FI13" t="e">
        <f>AND(Plan1!K216,"AAAAAE0r76Q=")</f>
        <v>#VALUE!</v>
      </c>
      <c r="FJ13" t="e">
        <f>AND(Plan1!L216,"AAAAAE0r76U=")</f>
        <v>#VALUE!</v>
      </c>
      <c r="FK13" t="e">
        <f>AND(Plan1!M216,"AAAAAE0r76Y=")</f>
        <v>#VALUE!</v>
      </c>
      <c r="FL13" t="e">
        <f>AND(Plan1!N216,"AAAAAE0r76c=")</f>
        <v>#VALUE!</v>
      </c>
      <c r="FM13">
        <f>IF(Plan1!217:217,"AAAAAE0r76g=",0)</f>
        <v>0</v>
      </c>
      <c r="FN13" t="e">
        <f>AND(Plan1!A217,"AAAAAE0r76k=")</f>
        <v>#VALUE!</v>
      </c>
      <c r="FO13" t="e">
        <f>AND(Plan1!B217,"AAAAAE0r76o=")</f>
        <v>#VALUE!</v>
      </c>
      <c r="FP13" t="e">
        <f>AND(Plan1!C217,"AAAAAE0r76s=")</f>
        <v>#VALUE!</v>
      </c>
      <c r="FQ13" t="e">
        <f>AND(Plan1!D217,"AAAAAE0r76w=")</f>
        <v>#VALUE!</v>
      </c>
      <c r="FR13" t="e">
        <f>AND(Plan1!E217,"AAAAAE0r760=")</f>
        <v>#VALUE!</v>
      </c>
      <c r="FS13" t="e">
        <f>AND(Plan1!F217,"AAAAAE0r764=")</f>
        <v>#VALUE!</v>
      </c>
      <c r="FT13" t="e">
        <f>AND(Plan1!G217,"AAAAAE0r768=")</f>
        <v>#VALUE!</v>
      </c>
      <c r="FU13" t="e">
        <f>AND(Plan1!H217,"AAAAAE0r77A=")</f>
        <v>#VALUE!</v>
      </c>
      <c r="FV13" t="e">
        <f>AND(Plan1!I217,"AAAAAE0r77E=")</f>
        <v>#VALUE!</v>
      </c>
      <c r="FW13" t="e">
        <f>AND(Plan1!J217,"AAAAAE0r77I=")</f>
        <v>#VALUE!</v>
      </c>
      <c r="FX13" t="e">
        <f>AND(Plan1!K217,"AAAAAE0r77M=")</f>
        <v>#VALUE!</v>
      </c>
      <c r="FY13" t="e">
        <f>AND(Plan1!L217,"AAAAAE0r77Q=")</f>
        <v>#VALUE!</v>
      </c>
      <c r="FZ13" t="e">
        <f>AND(Plan1!M217,"AAAAAE0r77U=")</f>
        <v>#VALUE!</v>
      </c>
      <c r="GA13" t="e">
        <f>AND(Plan1!N217,"AAAAAE0r77Y=")</f>
        <v>#VALUE!</v>
      </c>
      <c r="GB13">
        <f>IF(Plan1!218:218,"AAAAAE0r77c=",0)</f>
        <v>0</v>
      </c>
      <c r="GC13" t="e">
        <f>AND(Plan1!A218,"AAAAAE0r77g=")</f>
        <v>#VALUE!</v>
      </c>
      <c r="GD13" t="e">
        <f>AND(Plan1!B218,"AAAAAE0r77k=")</f>
        <v>#VALUE!</v>
      </c>
      <c r="GE13" t="e">
        <f>AND(Plan1!C218,"AAAAAE0r77o=")</f>
        <v>#VALUE!</v>
      </c>
      <c r="GF13" t="e">
        <f>AND(Plan1!D218,"AAAAAE0r77s=")</f>
        <v>#VALUE!</v>
      </c>
      <c r="GG13" t="e">
        <f>AND(Plan1!E218,"AAAAAE0r77w=")</f>
        <v>#VALUE!</v>
      </c>
      <c r="GH13" t="e">
        <f>AND(Plan1!F218,"AAAAAE0r770=")</f>
        <v>#VALUE!</v>
      </c>
      <c r="GI13" t="e">
        <f>AND(Plan1!G218,"AAAAAE0r774=")</f>
        <v>#VALUE!</v>
      </c>
      <c r="GJ13" t="e">
        <f>AND(Plan1!H218,"AAAAAE0r778=")</f>
        <v>#VALUE!</v>
      </c>
      <c r="GK13" t="e">
        <f>AND(Plan1!I218,"AAAAAE0r78A=")</f>
        <v>#VALUE!</v>
      </c>
      <c r="GL13" t="e">
        <f>AND(Plan1!J218,"AAAAAE0r78E=")</f>
        <v>#VALUE!</v>
      </c>
      <c r="GM13" t="e">
        <f>AND(Plan1!K218,"AAAAAE0r78I=")</f>
        <v>#VALUE!</v>
      </c>
      <c r="GN13" t="e">
        <f>AND(Plan1!L218,"AAAAAE0r78M=")</f>
        <v>#VALUE!</v>
      </c>
      <c r="GO13" t="e">
        <f>AND(Plan1!M218,"AAAAAE0r78Q=")</f>
        <v>#VALUE!</v>
      </c>
      <c r="GP13" t="e">
        <f>AND(Plan1!N218,"AAAAAE0r78U=")</f>
        <v>#VALUE!</v>
      </c>
      <c r="GQ13">
        <f>IF(Plan1!219:219,"AAAAAE0r78Y=",0)</f>
        <v>0</v>
      </c>
      <c r="GR13" t="e">
        <f>AND(Plan1!A219,"AAAAAE0r78c=")</f>
        <v>#VALUE!</v>
      </c>
      <c r="GS13" t="e">
        <f>AND(Plan1!B219,"AAAAAE0r78g=")</f>
        <v>#VALUE!</v>
      </c>
      <c r="GT13" t="e">
        <f>AND(Plan1!C219,"AAAAAE0r78k=")</f>
        <v>#VALUE!</v>
      </c>
      <c r="GU13" t="e">
        <f>AND(Plan1!D219,"AAAAAE0r78o=")</f>
        <v>#VALUE!</v>
      </c>
      <c r="GV13" t="e">
        <f>AND(Plan1!E219,"AAAAAE0r78s=")</f>
        <v>#VALUE!</v>
      </c>
      <c r="GW13" t="e">
        <f>AND(Plan1!F219,"AAAAAE0r78w=")</f>
        <v>#VALUE!</v>
      </c>
      <c r="GX13" t="e">
        <f>AND(Plan1!G219,"AAAAAE0r780=")</f>
        <v>#VALUE!</v>
      </c>
      <c r="GY13" t="e">
        <f>AND(Plan1!H219,"AAAAAE0r784=")</f>
        <v>#VALUE!</v>
      </c>
      <c r="GZ13" t="e">
        <f>AND(Plan1!I219,"AAAAAE0r788=")</f>
        <v>#VALUE!</v>
      </c>
      <c r="HA13" t="e">
        <f>AND(Plan1!J219,"AAAAAE0r79A=")</f>
        <v>#VALUE!</v>
      </c>
      <c r="HB13" t="e">
        <f>AND(Plan1!K219,"AAAAAE0r79E=")</f>
        <v>#VALUE!</v>
      </c>
      <c r="HC13" t="e">
        <f>AND(Plan1!L219,"AAAAAE0r79I=")</f>
        <v>#VALUE!</v>
      </c>
      <c r="HD13" t="e">
        <f>AND(Plan1!M219,"AAAAAE0r79M=")</f>
        <v>#VALUE!</v>
      </c>
      <c r="HE13" t="e">
        <f>AND(Plan1!N219,"AAAAAE0r79Q=")</f>
        <v>#VALUE!</v>
      </c>
      <c r="HF13">
        <f>IF(Plan1!220:220,"AAAAAE0r79U=",0)</f>
        <v>0</v>
      </c>
      <c r="HG13" t="e">
        <f>AND(Plan1!A220,"AAAAAE0r79Y=")</f>
        <v>#VALUE!</v>
      </c>
      <c r="HH13" t="e">
        <f>AND(Plan1!B220,"AAAAAE0r79c=")</f>
        <v>#VALUE!</v>
      </c>
      <c r="HI13" t="e">
        <f>AND(Plan1!C220,"AAAAAE0r79g=")</f>
        <v>#VALUE!</v>
      </c>
      <c r="HJ13" t="e">
        <f>AND(Plan1!D220,"AAAAAE0r79k=")</f>
        <v>#VALUE!</v>
      </c>
      <c r="HK13" t="e">
        <f>AND(Plan1!E220,"AAAAAE0r79o=")</f>
        <v>#VALUE!</v>
      </c>
      <c r="HL13" t="e">
        <f>AND(Plan1!F220,"AAAAAE0r79s=")</f>
        <v>#VALUE!</v>
      </c>
      <c r="HM13" t="e">
        <f>AND(Plan1!G220,"AAAAAE0r79w=")</f>
        <v>#VALUE!</v>
      </c>
      <c r="HN13" t="e">
        <f>AND(Plan1!H220,"AAAAAE0r790=")</f>
        <v>#VALUE!</v>
      </c>
      <c r="HO13" t="e">
        <f>AND(Plan1!I220,"AAAAAE0r794=")</f>
        <v>#VALUE!</v>
      </c>
      <c r="HP13" t="e">
        <f>AND(Plan1!J220,"AAAAAE0r798=")</f>
        <v>#VALUE!</v>
      </c>
      <c r="HQ13" t="e">
        <f>AND(Plan1!K220,"AAAAAE0r7+A=")</f>
        <v>#VALUE!</v>
      </c>
      <c r="HR13" t="e">
        <f>AND(Plan1!L220,"AAAAAE0r7+E=")</f>
        <v>#VALUE!</v>
      </c>
      <c r="HS13" t="e">
        <f>AND(Plan1!M220,"AAAAAE0r7+I=")</f>
        <v>#VALUE!</v>
      </c>
      <c r="HT13" t="e">
        <f>AND(Plan1!N220,"AAAAAE0r7+M=")</f>
        <v>#VALUE!</v>
      </c>
      <c r="HU13">
        <f>IF(Plan1!221:221,"AAAAAE0r7+Q=",0)</f>
        <v>0</v>
      </c>
      <c r="HV13" t="e">
        <f>AND(Plan1!A221,"AAAAAE0r7+U=")</f>
        <v>#VALUE!</v>
      </c>
      <c r="HW13" t="e">
        <f>AND(Plan1!B221,"AAAAAE0r7+Y=")</f>
        <v>#VALUE!</v>
      </c>
      <c r="HX13" t="e">
        <f>AND(Plan1!C221,"AAAAAE0r7+c=")</f>
        <v>#VALUE!</v>
      </c>
      <c r="HY13" t="e">
        <f>AND(Plan1!D221,"AAAAAE0r7+g=")</f>
        <v>#VALUE!</v>
      </c>
      <c r="HZ13" t="e">
        <f>AND(Plan1!E221,"AAAAAE0r7+k=")</f>
        <v>#VALUE!</v>
      </c>
      <c r="IA13" t="e">
        <f>AND(Plan1!F221,"AAAAAE0r7+o=")</f>
        <v>#VALUE!</v>
      </c>
      <c r="IB13" t="e">
        <f>AND(Plan1!G221,"AAAAAE0r7+s=")</f>
        <v>#VALUE!</v>
      </c>
      <c r="IC13" t="e">
        <f>AND(Plan1!H221,"AAAAAE0r7+w=")</f>
        <v>#VALUE!</v>
      </c>
      <c r="ID13" t="e">
        <f>AND(Plan1!I221,"AAAAAE0r7+0=")</f>
        <v>#VALUE!</v>
      </c>
      <c r="IE13" t="e">
        <f>AND(Plan1!J221,"AAAAAE0r7+4=")</f>
        <v>#VALUE!</v>
      </c>
      <c r="IF13" t="e">
        <f>AND(Plan1!K221,"AAAAAE0r7+8=")</f>
        <v>#VALUE!</v>
      </c>
      <c r="IG13" t="e">
        <f>AND(Plan1!L221,"AAAAAE0r7/A=")</f>
        <v>#VALUE!</v>
      </c>
      <c r="IH13" t="e">
        <f>AND(Plan1!M221,"AAAAAE0r7/E=")</f>
        <v>#VALUE!</v>
      </c>
      <c r="II13" t="e">
        <f>AND(Plan1!N221,"AAAAAE0r7/I=")</f>
        <v>#VALUE!</v>
      </c>
      <c r="IJ13">
        <f>IF(Plan1!222:222,"AAAAAE0r7/M=",0)</f>
        <v>0</v>
      </c>
      <c r="IK13" t="e">
        <f>AND(Plan1!A222,"AAAAAE0r7/Q=")</f>
        <v>#VALUE!</v>
      </c>
      <c r="IL13" t="e">
        <f>AND(Plan1!B222,"AAAAAE0r7/U=")</f>
        <v>#VALUE!</v>
      </c>
      <c r="IM13" t="e">
        <f>AND(Plan1!C222,"AAAAAE0r7/Y=")</f>
        <v>#VALUE!</v>
      </c>
      <c r="IN13" t="e">
        <f>AND(Plan1!D222,"AAAAAE0r7/c=")</f>
        <v>#VALUE!</v>
      </c>
      <c r="IO13" t="e">
        <f>AND(Plan1!E222,"AAAAAE0r7/g=")</f>
        <v>#VALUE!</v>
      </c>
      <c r="IP13" t="e">
        <f>AND(Plan1!F222,"AAAAAE0r7/k=")</f>
        <v>#VALUE!</v>
      </c>
      <c r="IQ13" t="e">
        <f>AND(Plan1!G222,"AAAAAE0r7/o=")</f>
        <v>#VALUE!</v>
      </c>
      <c r="IR13" t="e">
        <f>AND(Plan1!H222,"AAAAAE0r7/s=")</f>
        <v>#VALUE!</v>
      </c>
      <c r="IS13" t="e">
        <f>AND(Plan1!I222,"AAAAAE0r7/w=")</f>
        <v>#VALUE!</v>
      </c>
      <c r="IT13" t="e">
        <f>AND(Plan1!J222,"AAAAAE0r7/0=")</f>
        <v>#VALUE!</v>
      </c>
      <c r="IU13" t="e">
        <f>AND(Plan1!K222,"AAAAAE0r7/4=")</f>
        <v>#VALUE!</v>
      </c>
      <c r="IV13" t="e">
        <f>AND(Plan1!L222,"AAAAAE0r7/8=")</f>
        <v>#VALUE!</v>
      </c>
    </row>
    <row r="14" spans="1:256">
      <c r="A14" t="e">
        <f>AND(Plan1!M222,"AAAAAC98WQA=")</f>
        <v>#VALUE!</v>
      </c>
      <c r="B14" t="e">
        <f>AND(Plan1!N222,"AAAAAC98WQE=")</f>
        <v>#VALUE!</v>
      </c>
      <c r="C14" t="str">
        <f>IF(Plan1!223:223,"AAAAAC98WQI=",0)</f>
        <v>AAAAAC98WQI=</v>
      </c>
      <c r="D14" t="e">
        <f>AND(Plan1!A223,"AAAAAC98WQM=")</f>
        <v>#VALUE!</v>
      </c>
      <c r="E14" t="e">
        <f>AND(Plan1!B223,"AAAAAC98WQQ=")</f>
        <v>#VALUE!</v>
      </c>
      <c r="F14" t="e">
        <f>AND(Plan1!C223,"AAAAAC98WQU=")</f>
        <v>#VALUE!</v>
      </c>
      <c r="G14" t="e">
        <f>AND(Plan1!D223,"AAAAAC98WQY=")</f>
        <v>#VALUE!</v>
      </c>
      <c r="H14" t="e">
        <f>AND(Plan1!E223,"AAAAAC98WQc=")</f>
        <v>#VALUE!</v>
      </c>
      <c r="I14" t="e">
        <f>AND(Plan1!F223,"AAAAAC98WQg=")</f>
        <v>#VALUE!</v>
      </c>
      <c r="J14" t="e">
        <f>AND(Plan1!G223,"AAAAAC98WQk=")</f>
        <v>#VALUE!</v>
      </c>
      <c r="K14" t="e">
        <f>AND(Plan1!H223,"AAAAAC98WQo=")</f>
        <v>#VALUE!</v>
      </c>
      <c r="L14" t="e">
        <f>AND(Plan1!I223,"AAAAAC98WQs=")</f>
        <v>#VALUE!</v>
      </c>
      <c r="M14" t="e">
        <f>AND(Plan1!J223,"AAAAAC98WQw=")</f>
        <v>#VALUE!</v>
      </c>
      <c r="N14" t="e">
        <f>AND(Plan1!K223,"AAAAAC98WQ0=")</f>
        <v>#VALUE!</v>
      </c>
      <c r="O14" t="e">
        <f>AND(Plan1!L223,"AAAAAC98WQ4=")</f>
        <v>#VALUE!</v>
      </c>
      <c r="P14" t="e">
        <f>AND(Plan1!M223,"AAAAAC98WQ8=")</f>
        <v>#VALUE!</v>
      </c>
      <c r="Q14" t="e">
        <f>AND(Plan1!N223,"AAAAAC98WRA=")</f>
        <v>#VALUE!</v>
      </c>
      <c r="R14">
        <f>IF(Plan1!224:224,"AAAAAC98WRE=",0)</f>
        <v>0</v>
      </c>
      <c r="S14" t="e">
        <f>AND(Plan1!A224,"AAAAAC98WRI=")</f>
        <v>#VALUE!</v>
      </c>
      <c r="T14" t="e">
        <f>AND(Plan1!B224,"AAAAAC98WRM=")</f>
        <v>#VALUE!</v>
      </c>
      <c r="U14" t="e">
        <f>AND(Plan1!C224,"AAAAAC98WRQ=")</f>
        <v>#VALUE!</v>
      </c>
      <c r="V14" t="e">
        <f>AND(Plan1!D224,"AAAAAC98WRU=")</f>
        <v>#VALUE!</v>
      </c>
      <c r="W14" t="e">
        <f>AND(Plan1!E224,"AAAAAC98WRY=")</f>
        <v>#VALUE!</v>
      </c>
      <c r="X14" t="e">
        <f>AND(Plan1!F224,"AAAAAC98WRc=")</f>
        <v>#VALUE!</v>
      </c>
      <c r="Y14" t="e">
        <f>AND(Plan1!G224,"AAAAAC98WRg=")</f>
        <v>#VALUE!</v>
      </c>
      <c r="Z14" t="e">
        <f>AND(Plan1!H224,"AAAAAC98WRk=")</f>
        <v>#VALUE!</v>
      </c>
      <c r="AA14" t="e">
        <f>AND(Plan1!I224,"AAAAAC98WRo=")</f>
        <v>#VALUE!</v>
      </c>
      <c r="AB14" t="e">
        <f>AND(Plan1!J224,"AAAAAC98WRs=")</f>
        <v>#VALUE!</v>
      </c>
      <c r="AC14" t="e">
        <f>AND(Plan1!K224,"AAAAAC98WRw=")</f>
        <v>#VALUE!</v>
      </c>
      <c r="AD14" t="e">
        <f>AND(Plan1!L224,"AAAAAC98WR0=")</f>
        <v>#VALUE!</v>
      </c>
      <c r="AE14" t="e">
        <f>AND(Plan1!M224,"AAAAAC98WR4=")</f>
        <v>#VALUE!</v>
      </c>
      <c r="AF14" t="e">
        <f>AND(Plan1!N224,"AAAAAC98WR8=")</f>
        <v>#VALUE!</v>
      </c>
      <c r="AG14">
        <f>IF(Plan1!225:225,"AAAAAC98WSA=",0)</f>
        <v>0</v>
      </c>
      <c r="AH14" t="e">
        <f>AND(Plan1!A225,"AAAAAC98WSE=")</f>
        <v>#VALUE!</v>
      </c>
      <c r="AI14" t="e">
        <f>AND(Plan1!B225,"AAAAAC98WSI=")</f>
        <v>#VALUE!</v>
      </c>
      <c r="AJ14" t="e">
        <f>AND(Plan1!C225,"AAAAAC98WSM=")</f>
        <v>#VALUE!</v>
      </c>
      <c r="AK14" t="e">
        <f>AND(Plan1!D225,"AAAAAC98WSQ=")</f>
        <v>#VALUE!</v>
      </c>
      <c r="AL14" t="e">
        <f>AND(Plan1!E225,"AAAAAC98WSU=")</f>
        <v>#VALUE!</v>
      </c>
      <c r="AM14" t="e">
        <f>AND(Plan1!F225,"AAAAAC98WSY=")</f>
        <v>#VALUE!</v>
      </c>
      <c r="AN14" t="e">
        <f>AND(Plan1!G225,"AAAAAC98WSc=")</f>
        <v>#VALUE!</v>
      </c>
      <c r="AO14" t="e">
        <f>AND(Plan1!H225,"AAAAAC98WSg=")</f>
        <v>#VALUE!</v>
      </c>
      <c r="AP14" t="e">
        <f>AND(Plan1!I225,"AAAAAC98WSk=")</f>
        <v>#VALUE!</v>
      </c>
      <c r="AQ14" t="e">
        <f>AND(Plan1!J225,"AAAAAC98WSo=")</f>
        <v>#VALUE!</v>
      </c>
      <c r="AR14" t="e">
        <f>AND(Plan1!K225,"AAAAAC98WSs=")</f>
        <v>#VALUE!</v>
      </c>
      <c r="AS14" t="e">
        <f>AND(Plan1!L225,"AAAAAC98WSw=")</f>
        <v>#VALUE!</v>
      </c>
      <c r="AT14" t="e">
        <f>AND(Plan1!M225,"AAAAAC98WS0=")</f>
        <v>#VALUE!</v>
      </c>
      <c r="AU14" t="e">
        <f>AND(Plan1!N225,"AAAAAC98WS4=")</f>
        <v>#VALUE!</v>
      </c>
      <c r="AV14">
        <f>IF(Plan1!226:226,"AAAAAC98WS8=",0)</f>
        <v>0</v>
      </c>
      <c r="AW14" t="e">
        <f>AND(Plan1!A226,"AAAAAC98WTA=")</f>
        <v>#VALUE!</v>
      </c>
      <c r="AX14" t="e">
        <f>AND(Plan1!B226,"AAAAAC98WTE=")</f>
        <v>#VALUE!</v>
      </c>
      <c r="AY14" t="e">
        <f>AND(Plan1!C226,"AAAAAC98WTI=")</f>
        <v>#VALUE!</v>
      </c>
      <c r="AZ14" t="e">
        <f>AND(Plan1!D226,"AAAAAC98WTM=")</f>
        <v>#VALUE!</v>
      </c>
      <c r="BA14" t="e">
        <f>AND(Plan1!E226,"AAAAAC98WTQ=")</f>
        <v>#VALUE!</v>
      </c>
      <c r="BB14" t="e">
        <f>AND(Plan1!F226,"AAAAAC98WTU=")</f>
        <v>#VALUE!</v>
      </c>
      <c r="BC14" t="e">
        <f>AND(Plan1!G226,"AAAAAC98WTY=")</f>
        <v>#VALUE!</v>
      </c>
      <c r="BD14" t="e">
        <f>AND(Plan1!H226,"AAAAAC98WTc=")</f>
        <v>#VALUE!</v>
      </c>
      <c r="BE14" t="e">
        <f>AND(Plan1!I226,"AAAAAC98WTg=")</f>
        <v>#VALUE!</v>
      </c>
      <c r="BF14" t="e">
        <f>AND(Plan1!J226,"AAAAAC98WTk=")</f>
        <v>#VALUE!</v>
      </c>
      <c r="BG14" t="e">
        <f>AND(Plan1!K226,"AAAAAC98WTo=")</f>
        <v>#VALUE!</v>
      </c>
      <c r="BH14" t="e">
        <f>AND(Plan1!L226,"AAAAAC98WTs=")</f>
        <v>#VALUE!</v>
      </c>
      <c r="BI14" t="e">
        <f>AND(Plan1!M226,"AAAAAC98WTw=")</f>
        <v>#VALUE!</v>
      </c>
      <c r="BJ14" t="e">
        <f>AND(Plan1!N226,"AAAAAC98WT0=")</f>
        <v>#VALUE!</v>
      </c>
      <c r="BK14">
        <f>IF(Plan1!227:227,"AAAAAC98WT4=",0)</f>
        <v>0</v>
      </c>
      <c r="BL14" t="e">
        <f>AND(Plan1!A227,"AAAAAC98WT8=")</f>
        <v>#VALUE!</v>
      </c>
      <c r="BM14" t="e">
        <f>AND(Plan1!B227,"AAAAAC98WUA=")</f>
        <v>#VALUE!</v>
      </c>
      <c r="BN14" t="e">
        <f>AND(Plan1!C227,"AAAAAC98WUE=")</f>
        <v>#VALUE!</v>
      </c>
      <c r="BO14" t="e">
        <f>AND(Plan1!D227,"AAAAAC98WUI=")</f>
        <v>#VALUE!</v>
      </c>
      <c r="BP14" t="e">
        <f>AND(Plan1!E227,"AAAAAC98WUM=")</f>
        <v>#VALUE!</v>
      </c>
      <c r="BQ14" t="e">
        <f>AND(Plan1!F227,"AAAAAC98WUQ=")</f>
        <v>#VALUE!</v>
      </c>
      <c r="BR14" t="e">
        <f>AND(Plan1!G227,"AAAAAC98WUU=")</f>
        <v>#VALUE!</v>
      </c>
      <c r="BS14" t="e">
        <f>AND(Plan1!H227,"AAAAAC98WUY=")</f>
        <v>#VALUE!</v>
      </c>
      <c r="BT14" t="e">
        <f>AND(Plan1!I227,"AAAAAC98WUc=")</f>
        <v>#VALUE!</v>
      </c>
      <c r="BU14" t="e">
        <f>AND(Plan1!J227,"AAAAAC98WUg=")</f>
        <v>#VALUE!</v>
      </c>
      <c r="BV14" t="e">
        <f>AND(Plan1!K227,"AAAAAC98WUk=")</f>
        <v>#VALUE!</v>
      </c>
      <c r="BW14" t="e">
        <f>AND(Plan1!L227,"AAAAAC98WUo=")</f>
        <v>#VALUE!</v>
      </c>
      <c r="BX14" t="e">
        <f>AND(Plan1!M227,"AAAAAC98WUs=")</f>
        <v>#VALUE!</v>
      </c>
      <c r="BY14" t="e">
        <f>AND(Plan1!N227,"AAAAAC98WUw=")</f>
        <v>#VALUE!</v>
      </c>
      <c r="BZ14">
        <f>IF(Plan1!228:228,"AAAAAC98WU0=",0)</f>
        <v>0</v>
      </c>
      <c r="CA14" t="e">
        <f>AND(Plan1!A228,"AAAAAC98WU4=")</f>
        <v>#VALUE!</v>
      </c>
      <c r="CB14" t="e">
        <f>AND(Plan1!B228,"AAAAAC98WU8=")</f>
        <v>#VALUE!</v>
      </c>
      <c r="CC14" t="e">
        <f>AND(Plan1!C228,"AAAAAC98WVA=")</f>
        <v>#VALUE!</v>
      </c>
      <c r="CD14" t="e">
        <f>AND(Plan1!D228,"AAAAAC98WVE=")</f>
        <v>#VALUE!</v>
      </c>
      <c r="CE14" t="e">
        <f>AND(Plan1!E228,"AAAAAC98WVI=")</f>
        <v>#VALUE!</v>
      </c>
      <c r="CF14" t="e">
        <f>AND(Plan1!F228,"AAAAAC98WVM=")</f>
        <v>#VALUE!</v>
      </c>
      <c r="CG14" t="e">
        <f>AND(Plan1!G228,"AAAAAC98WVQ=")</f>
        <v>#VALUE!</v>
      </c>
      <c r="CH14" t="e">
        <f>AND(Plan1!H228,"AAAAAC98WVU=")</f>
        <v>#VALUE!</v>
      </c>
      <c r="CI14" t="e">
        <f>AND(Plan1!I228,"AAAAAC98WVY=")</f>
        <v>#VALUE!</v>
      </c>
      <c r="CJ14" t="e">
        <f>AND(Plan1!J228,"AAAAAC98WVc=")</f>
        <v>#VALUE!</v>
      </c>
      <c r="CK14" t="e">
        <f>AND(Plan1!K228,"AAAAAC98WVg=")</f>
        <v>#VALUE!</v>
      </c>
      <c r="CL14" t="e">
        <f>AND(Plan1!L228,"AAAAAC98WVk=")</f>
        <v>#VALUE!</v>
      </c>
      <c r="CM14" t="e">
        <f>AND(Plan1!M228,"AAAAAC98WVo=")</f>
        <v>#VALUE!</v>
      </c>
      <c r="CN14" t="e">
        <f>AND(Plan1!N228,"AAAAAC98WVs=")</f>
        <v>#VALUE!</v>
      </c>
      <c r="CO14">
        <f>IF(Plan1!229:229,"AAAAAC98WVw=",0)</f>
        <v>0</v>
      </c>
      <c r="CP14" t="e">
        <f>AND(Plan1!A229,"AAAAAC98WV0=")</f>
        <v>#VALUE!</v>
      </c>
      <c r="CQ14" t="e">
        <f>AND(Plan1!B229,"AAAAAC98WV4=")</f>
        <v>#VALUE!</v>
      </c>
      <c r="CR14" t="e">
        <f>AND(Plan1!C229,"AAAAAC98WV8=")</f>
        <v>#VALUE!</v>
      </c>
      <c r="CS14" t="e">
        <f>AND(Plan1!D229,"AAAAAC98WWA=")</f>
        <v>#VALUE!</v>
      </c>
      <c r="CT14" t="e">
        <f>AND(Plan1!E229,"AAAAAC98WWE=")</f>
        <v>#VALUE!</v>
      </c>
      <c r="CU14" t="e">
        <f>AND(Plan1!F229,"AAAAAC98WWI=")</f>
        <v>#VALUE!</v>
      </c>
      <c r="CV14" t="e">
        <f>AND(Plan1!G229,"AAAAAC98WWM=")</f>
        <v>#VALUE!</v>
      </c>
      <c r="CW14" t="e">
        <f>AND(Plan1!H229,"AAAAAC98WWQ=")</f>
        <v>#VALUE!</v>
      </c>
      <c r="CX14" t="e">
        <f>AND(Plan1!I229,"AAAAAC98WWU=")</f>
        <v>#VALUE!</v>
      </c>
      <c r="CY14" t="e">
        <f>AND(Plan1!J229,"AAAAAC98WWY=")</f>
        <v>#VALUE!</v>
      </c>
      <c r="CZ14" t="e">
        <f>AND(Plan1!K229,"AAAAAC98WWc=")</f>
        <v>#VALUE!</v>
      </c>
      <c r="DA14" t="e">
        <f>AND(Plan1!L229,"AAAAAC98WWg=")</f>
        <v>#VALUE!</v>
      </c>
      <c r="DB14" t="e">
        <f>AND(Plan1!M229,"AAAAAC98WWk=")</f>
        <v>#VALUE!</v>
      </c>
      <c r="DC14" t="e">
        <f>AND(Plan1!N229,"AAAAAC98WWo=")</f>
        <v>#VALUE!</v>
      </c>
      <c r="DD14">
        <f>IF(Plan1!230:230,"AAAAAC98WWs=",0)</f>
        <v>0</v>
      </c>
      <c r="DE14" t="e">
        <f>AND(Plan1!A230,"AAAAAC98WWw=")</f>
        <v>#VALUE!</v>
      </c>
      <c r="DF14" t="e">
        <f>AND(Plan1!B230,"AAAAAC98WW0=")</f>
        <v>#VALUE!</v>
      </c>
      <c r="DG14" t="e">
        <f>AND(Plan1!C230,"AAAAAC98WW4=")</f>
        <v>#VALUE!</v>
      </c>
      <c r="DH14" t="e">
        <f>AND(Plan1!D230,"AAAAAC98WW8=")</f>
        <v>#VALUE!</v>
      </c>
      <c r="DI14" t="e">
        <f>AND(Plan1!E230,"AAAAAC98WXA=")</f>
        <v>#VALUE!</v>
      </c>
      <c r="DJ14" t="e">
        <f>AND(Plan1!F230,"AAAAAC98WXE=")</f>
        <v>#VALUE!</v>
      </c>
      <c r="DK14" t="e">
        <f>AND(Plan1!G230,"AAAAAC98WXI=")</f>
        <v>#VALUE!</v>
      </c>
      <c r="DL14" t="e">
        <f>AND(Plan1!H230,"AAAAAC98WXM=")</f>
        <v>#VALUE!</v>
      </c>
      <c r="DM14" t="e">
        <f>AND(Plan1!I230,"AAAAAC98WXQ=")</f>
        <v>#VALUE!</v>
      </c>
      <c r="DN14" t="e">
        <f>AND(Plan1!J230,"AAAAAC98WXU=")</f>
        <v>#VALUE!</v>
      </c>
      <c r="DO14" t="e">
        <f>AND(Plan1!K230,"AAAAAC98WXY=")</f>
        <v>#VALUE!</v>
      </c>
      <c r="DP14" t="e">
        <f>AND(Plan1!L230,"AAAAAC98WXc=")</f>
        <v>#VALUE!</v>
      </c>
      <c r="DQ14" t="e">
        <f>AND(Plan1!M230,"AAAAAC98WXg=")</f>
        <v>#VALUE!</v>
      </c>
      <c r="DR14" t="e">
        <f>AND(Plan1!N230,"AAAAAC98WXk=")</f>
        <v>#VALUE!</v>
      </c>
      <c r="DS14">
        <f>IF(Plan1!231:231,"AAAAAC98WXo=",0)</f>
        <v>0</v>
      </c>
      <c r="DT14" t="e">
        <f>AND(Plan1!A231,"AAAAAC98WXs=")</f>
        <v>#VALUE!</v>
      </c>
      <c r="DU14" t="e">
        <f>AND(Plan1!B231,"AAAAAC98WXw=")</f>
        <v>#VALUE!</v>
      </c>
      <c r="DV14" t="e">
        <f>AND(Plan1!C231,"AAAAAC98WX0=")</f>
        <v>#VALUE!</v>
      </c>
      <c r="DW14" t="e">
        <f>AND(Plan1!D231,"AAAAAC98WX4=")</f>
        <v>#VALUE!</v>
      </c>
      <c r="DX14" t="e">
        <f>AND(Plan1!E231,"AAAAAC98WX8=")</f>
        <v>#VALUE!</v>
      </c>
      <c r="DY14" t="e">
        <f>AND(Plan1!F231,"AAAAAC98WYA=")</f>
        <v>#VALUE!</v>
      </c>
      <c r="DZ14" t="e">
        <f>AND(Plan1!G231,"AAAAAC98WYE=")</f>
        <v>#VALUE!</v>
      </c>
      <c r="EA14" t="e">
        <f>AND(Plan1!H231,"AAAAAC98WYI=")</f>
        <v>#VALUE!</v>
      </c>
      <c r="EB14" t="e">
        <f>AND(Plan1!I231,"AAAAAC98WYM=")</f>
        <v>#VALUE!</v>
      </c>
      <c r="EC14" t="e">
        <f>AND(Plan1!J231,"AAAAAC98WYQ=")</f>
        <v>#VALUE!</v>
      </c>
      <c r="ED14" t="e">
        <f>AND(Plan1!K231,"AAAAAC98WYU=")</f>
        <v>#VALUE!</v>
      </c>
      <c r="EE14" t="e">
        <f>AND(Plan1!L231,"AAAAAC98WYY=")</f>
        <v>#VALUE!</v>
      </c>
      <c r="EF14" t="e">
        <f>AND(Plan1!M231,"AAAAAC98WYc=")</f>
        <v>#VALUE!</v>
      </c>
      <c r="EG14" t="e">
        <f>AND(Plan1!N231,"AAAAAC98WYg=")</f>
        <v>#VALUE!</v>
      </c>
      <c r="EH14">
        <f>IF(Plan1!232:232,"AAAAAC98WYk=",0)</f>
        <v>0</v>
      </c>
      <c r="EI14" t="e">
        <f>AND(Plan1!A232,"AAAAAC98WYo=")</f>
        <v>#VALUE!</v>
      </c>
      <c r="EJ14" t="e">
        <f>AND(Plan1!B232,"AAAAAC98WYs=")</f>
        <v>#VALUE!</v>
      </c>
      <c r="EK14" t="e">
        <f>AND(Plan1!C232,"AAAAAC98WYw=")</f>
        <v>#VALUE!</v>
      </c>
      <c r="EL14" t="e">
        <f>AND(Plan1!D232,"AAAAAC98WY0=")</f>
        <v>#VALUE!</v>
      </c>
      <c r="EM14" t="e">
        <f>AND(Plan1!E232,"AAAAAC98WY4=")</f>
        <v>#VALUE!</v>
      </c>
      <c r="EN14" t="e">
        <f>AND(Plan1!F232,"AAAAAC98WY8=")</f>
        <v>#VALUE!</v>
      </c>
      <c r="EO14" t="e">
        <f>AND(Plan1!G232,"AAAAAC98WZA=")</f>
        <v>#VALUE!</v>
      </c>
      <c r="EP14" t="e">
        <f>AND(Plan1!H232,"AAAAAC98WZE=")</f>
        <v>#VALUE!</v>
      </c>
      <c r="EQ14" t="e">
        <f>AND(Plan1!I232,"AAAAAC98WZI=")</f>
        <v>#VALUE!</v>
      </c>
      <c r="ER14" t="e">
        <f>AND(Plan1!J232,"AAAAAC98WZM=")</f>
        <v>#VALUE!</v>
      </c>
      <c r="ES14" t="e">
        <f>AND(Plan1!K232,"AAAAAC98WZQ=")</f>
        <v>#VALUE!</v>
      </c>
      <c r="ET14" t="e">
        <f>AND(Plan1!L232,"AAAAAC98WZU=")</f>
        <v>#VALUE!</v>
      </c>
      <c r="EU14" t="e">
        <f>AND(Plan1!M232,"AAAAAC98WZY=")</f>
        <v>#VALUE!</v>
      </c>
      <c r="EV14" t="e">
        <f>AND(Plan1!N232,"AAAAAC98WZc=")</f>
        <v>#VALUE!</v>
      </c>
      <c r="EW14">
        <f>IF(Plan1!233:233,"AAAAAC98WZg=",0)</f>
        <v>0</v>
      </c>
      <c r="EX14" t="e">
        <f>AND(Plan1!A233,"AAAAAC98WZk=")</f>
        <v>#VALUE!</v>
      </c>
      <c r="EY14" t="e">
        <f>AND(Plan1!B233,"AAAAAC98WZo=")</f>
        <v>#VALUE!</v>
      </c>
      <c r="EZ14" t="e">
        <f>AND(Plan1!C233,"AAAAAC98WZs=")</f>
        <v>#VALUE!</v>
      </c>
      <c r="FA14" t="e">
        <f>AND(Plan1!D233,"AAAAAC98WZw=")</f>
        <v>#VALUE!</v>
      </c>
      <c r="FB14" t="e">
        <f>AND(Plan1!E233,"AAAAAC98WZ0=")</f>
        <v>#VALUE!</v>
      </c>
      <c r="FC14" t="e">
        <f>AND(Plan1!F233,"AAAAAC98WZ4=")</f>
        <v>#VALUE!</v>
      </c>
      <c r="FD14" t="e">
        <f>AND(Plan1!G233,"AAAAAC98WZ8=")</f>
        <v>#VALUE!</v>
      </c>
      <c r="FE14" t="e">
        <f>AND(Plan1!H233,"AAAAAC98WaA=")</f>
        <v>#VALUE!</v>
      </c>
      <c r="FF14" t="e">
        <f>AND(Plan1!I233,"AAAAAC98WaE=")</f>
        <v>#VALUE!</v>
      </c>
      <c r="FG14" t="e">
        <f>AND(Plan1!J233,"AAAAAC98WaI=")</f>
        <v>#VALUE!</v>
      </c>
      <c r="FH14" t="e">
        <f>AND(Plan1!K233,"AAAAAC98WaM=")</f>
        <v>#VALUE!</v>
      </c>
      <c r="FI14" t="e">
        <f>AND(Plan1!L233,"AAAAAC98WaQ=")</f>
        <v>#VALUE!</v>
      </c>
      <c r="FJ14" t="e">
        <f>AND(Plan1!M233,"AAAAAC98WaU=")</f>
        <v>#VALUE!</v>
      </c>
      <c r="FK14" t="e">
        <f>AND(Plan1!N233,"AAAAAC98WaY=")</f>
        <v>#VALUE!</v>
      </c>
      <c r="FL14">
        <f>IF(Plan1!234:234,"AAAAAC98Wac=",0)</f>
        <v>0</v>
      </c>
      <c r="FM14" t="e">
        <f>AND(Plan1!A234,"AAAAAC98Wag=")</f>
        <v>#VALUE!</v>
      </c>
      <c r="FN14" t="e">
        <f>AND(Plan1!B234,"AAAAAC98Wak=")</f>
        <v>#VALUE!</v>
      </c>
      <c r="FO14" t="e">
        <f>AND(Plan1!C234,"AAAAAC98Wao=")</f>
        <v>#VALUE!</v>
      </c>
      <c r="FP14" t="e">
        <f>AND(Plan1!D234,"AAAAAC98Was=")</f>
        <v>#VALUE!</v>
      </c>
      <c r="FQ14" t="e">
        <f>AND(Plan1!E234,"AAAAAC98Waw=")</f>
        <v>#VALUE!</v>
      </c>
      <c r="FR14" t="e">
        <f>AND(Plan1!F234,"AAAAAC98Wa0=")</f>
        <v>#VALUE!</v>
      </c>
      <c r="FS14" t="e">
        <f>AND(Plan1!G234,"AAAAAC98Wa4=")</f>
        <v>#VALUE!</v>
      </c>
      <c r="FT14" t="e">
        <f>AND(Plan1!H234,"AAAAAC98Wa8=")</f>
        <v>#VALUE!</v>
      </c>
      <c r="FU14" t="e">
        <f>AND(Plan1!I234,"AAAAAC98WbA=")</f>
        <v>#VALUE!</v>
      </c>
      <c r="FV14" t="e">
        <f>AND(Plan1!J234,"AAAAAC98WbE=")</f>
        <v>#VALUE!</v>
      </c>
      <c r="FW14" t="e">
        <f>AND(Plan1!K234,"AAAAAC98WbI=")</f>
        <v>#VALUE!</v>
      </c>
      <c r="FX14" t="e">
        <f>AND(Plan1!L234,"AAAAAC98WbM=")</f>
        <v>#VALUE!</v>
      </c>
      <c r="FY14" t="e">
        <f>AND(Plan1!M234,"AAAAAC98WbQ=")</f>
        <v>#VALUE!</v>
      </c>
      <c r="FZ14" t="e">
        <f>AND(Plan1!N234,"AAAAAC98WbU=")</f>
        <v>#VALUE!</v>
      </c>
      <c r="GA14">
        <f>IF(Plan1!235:235,"AAAAAC98WbY=",0)</f>
        <v>0</v>
      </c>
      <c r="GB14" t="e">
        <f>AND(Plan1!A235,"AAAAAC98Wbc=")</f>
        <v>#VALUE!</v>
      </c>
      <c r="GC14" t="e">
        <f>AND(Plan1!B235,"AAAAAC98Wbg=")</f>
        <v>#VALUE!</v>
      </c>
      <c r="GD14" t="e">
        <f>AND(Plan1!C235,"AAAAAC98Wbk=")</f>
        <v>#VALUE!</v>
      </c>
      <c r="GE14" t="e">
        <f>AND(Plan1!D235,"AAAAAC98Wbo=")</f>
        <v>#VALUE!</v>
      </c>
      <c r="GF14" t="e">
        <f>AND(Plan1!E235,"AAAAAC98Wbs=")</f>
        <v>#VALUE!</v>
      </c>
      <c r="GG14" t="e">
        <f>AND(Plan1!F235,"AAAAAC98Wbw=")</f>
        <v>#VALUE!</v>
      </c>
      <c r="GH14" t="e">
        <f>AND(Plan1!G235,"AAAAAC98Wb0=")</f>
        <v>#VALUE!</v>
      </c>
      <c r="GI14" t="e">
        <f>AND(Plan1!H235,"AAAAAC98Wb4=")</f>
        <v>#VALUE!</v>
      </c>
      <c r="GJ14" t="e">
        <f>AND(Plan1!I235,"AAAAAC98Wb8=")</f>
        <v>#VALUE!</v>
      </c>
      <c r="GK14" t="e">
        <f>AND(Plan1!J235,"AAAAAC98WcA=")</f>
        <v>#VALUE!</v>
      </c>
      <c r="GL14" t="e">
        <f>AND(Plan1!K235,"AAAAAC98WcE=")</f>
        <v>#VALUE!</v>
      </c>
      <c r="GM14" t="e">
        <f>AND(Plan1!L235,"AAAAAC98WcI=")</f>
        <v>#VALUE!</v>
      </c>
      <c r="GN14" t="e">
        <f>AND(Plan1!M235,"AAAAAC98WcM=")</f>
        <v>#VALUE!</v>
      </c>
      <c r="GO14" t="e">
        <f>AND(Plan1!N235,"AAAAAC98WcQ=")</f>
        <v>#VALUE!</v>
      </c>
      <c r="GP14">
        <f>IF(Plan1!236:236,"AAAAAC98WcU=",0)</f>
        <v>0</v>
      </c>
      <c r="GQ14" t="e">
        <f>AND(Plan1!A236,"AAAAAC98WcY=")</f>
        <v>#VALUE!</v>
      </c>
      <c r="GR14" t="e">
        <f>AND(Plan1!B236,"AAAAAC98Wcc=")</f>
        <v>#VALUE!</v>
      </c>
      <c r="GS14" t="e">
        <f>AND(Plan1!C236,"AAAAAC98Wcg=")</f>
        <v>#VALUE!</v>
      </c>
      <c r="GT14" t="e">
        <f>AND(Plan1!D236,"AAAAAC98Wck=")</f>
        <v>#VALUE!</v>
      </c>
      <c r="GU14" t="e">
        <f>AND(Plan1!E236,"AAAAAC98Wco=")</f>
        <v>#VALUE!</v>
      </c>
      <c r="GV14" t="e">
        <f>AND(Plan1!F236,"AAAAAC98Wcs=")</f>
        <v>#VALUE!</v>
      </c>
      <c r="GW14" t="e">
        <f>AND(Plan1!G236,"AAAAAC98Wcw=")</f>
        <v>#VALUE!</v>
      </c>
      <c r="GX14" t="e">
        <f>AND(Plan1!H236,"AAAAAC98Wc0=")</f>
        <v>#VALUE!</v>
      </c>
      <c r="GY14" t="e">
        <f>AND(Plan1!I236,"AAAAAC98Wc4=")</f>
        <v>#VALUE!</v>
      </c>
      <c r="GZ14" t="e">
        <f>AND(Plan1!J236,"AAAAAC98Wc8=")</f>
        <v>#VALUE!</v>
      </c>
      <c r="HA14" t="e">
        <f>AND(Plan1!K236,"AAAAAC98WdA=")</f>
        <v>#VALUE!</v>
      </c>
      <c r="HB14" t="e">
        <f>AND(Plan1!L236,"AAAAAC98WdE=")</f>
        <v>#VALUE!</v>
      </c>
      <c r="HC14" t="e">
        <f>AND(Plan1!M236,"AAAAAC98WdI=")</f>
        <v>#VALUE!</v>
      </c>
      <c r="HD14" t="e">
        <f>AND(Plan1!N236,"AAAAAC98WdM=")</f>
        <v>#VALUE!</v>
      </c>
      <c r="HE14">
        <f>IF(Plan1!237:237,"AAAAAC98WdQ=",0)</f>
        <v>0</v>
      </c>
      <c r="HF14" t="e">
        <f>AND(Plan1!A237,"AAAAAC98WdU=")</f>
        <v>#VALUE!</v>
      </c>
      <c r="HG14" t="e">
        <f>AND(Plan1!B237,"AAAAAC98WdY=")</f>
        <v>#VALUE!</v>
      </c>
      <c r="HH14" t="e">
        <f>AND(Plan1!C237,"AAAAAC98Wdc=")</f>
        <v>#VALUE!</v>
      </c>
      <c r="HI14" t="e">
        <f>AND(Plan1!D237,"AAAAAC98Wdg=")</f>
        <v>#VALUE!</v>
      </c>
      <c r="HJ14" t="e">
        <f>AND(Plan1!E237,"AAAAAC98Wdk=")</f>
        <v>#VALUE!</v>
      </c>
      <c r="HK14" t="e">
        <f>AND(Plan1!F237,"AAAAAC98Wdo=")</f>
        <v>#VALUE!</v>
      </c>
      <c r="HL14" t="e">
        <f>AND(Plan1!G237,"AAAAAC98Wds=")</f>
        <v>#VALUE!</v>
      </c>
      <c r="HM14" t="e">
        <f>AND(Plan1!H237,"AAAAAC98Wdw=")</f>
        <v>#VALUE!</v>
      </c>
      <c r="HN14" t="e">
        <f>AND(Plan1!I237,"AAAAAC98Wd0=")</f>
        <v>#VALUE!</v>
      </c>
      <c r="HO14" t="e">
        <f>AND(Plan1!J237,"AAAAAC98Wd4=")</f>
        <v>#VALUE!</v>
      </c>
      <c r="HP14" t="e">
        <f>AND(Plan1!K237,"AAAAAC98Wd8=")</f>
        <v>#VALUE!</v>
      </c>
      <c r="HQ14" t="e">
        <f>AND(Plan1!L237,"AAAAAC98WeA=")</f>
        <v>#VALUE!</v>
      </c>
      <c r="HR14" t="e">
        <f>AND(Plan1!M237,"AAAAAC98WeE=")</f>
        <v>#VALUE!</v>
      </c>
      <c r="HS14" t="e">
        <f>AND(Plan1!N237,"AAAAAC98WeI=")</f>
        <v>#VALUE!</v>
      </c>
      <c r="HT14">
        <f>IF(Plan1!238:238,"AAAAAC98WeM=",0)</f>
        <v>0</v>
      </c>
      <c r="HU14" t="e">
        <f>AND(Plan1!A238,"AAAAAC98WeQ=")</f>
        <v>#VALUE!</v>
      </c>
      <c r="HV14" t="e">
        <f>AND(Plan1!B238,"AAAAAC98WeU=")</f>
        <v>#VALUE!</v>
      </c>
      <c r="HW14" t="e">
        <f>AND(Plan1!C238,"AAAAAC98WeY=")</f>
        <v>#VALUE!</v>
      </c>
      <c r="HX14" t="e">
        <f>AND(Plan1!D238,"AAAAAC98Wec=")</f>
        <v>#VALUE!</v>
      </c>
      <c r="HY14" t="e">
        <f>AND(Plan1!E238,"AAAAAC98Weg=")</f>
        <v>#VALUE!</v>
      </c>
      <c r="HZ14" t="e">
        <f>AND(Plan1!F238,"AAAAAC98Wek=")</f>
        <v>#VALUE!</v>
      </c>
      <c r="IA14" t="e">
        <f>AND(Plan1!G238,"AAAAAC98Weo=")</f>
        <v>#VALUE!</v>
      </c>
      <c r="IB14" t="e">
        <f>AND(Plan1!H238,"AAAAAC98Wes=")</f>
        <v>#VALUE!</v>
      </c>
      <c r="IC14" t="e">
        <f>AND(Plan1!I238,"AAAAAC98Wew=")</f>
        <v>#VALUE!</v>
      </c>
      <c r="ID14" t="e">
        <f>AND(Plan1!J238,"AAAAAC98We0=")</f>
        <v>#VALUE!</v>
      </c>
      <c r="IE14" t="e">
        <f>AND(Plan1!K238,"AAAAAC98We4=")</f>
        <v>#VALUE!</v>
      </c>
      <c r="IF14" t="e">
        <f>AND(Plan1!L238,"AAAAAC98We8=")</f>
        <v>#VALUE!</v>
      </c>
      <c r="IG14" t="e">
        <f>AND(Plan1!M238,"AAAAAC98WfA=")</f>
        <v>#VALUE!</v>
      </c>
      <c r="IH14" t="e">
        <f>AND(Plan1!N238,"AAAAAC98WfE=")</f>
        <v>#VALUE!</v>
      </c>
      <c r="II14">
        <f>IF(Plan1!239:239,"AAAAAC98WfI=",0)</f>
        <v>0</v>
      </c>
      <c r="IJ14" t="e">
        <f>AND(Plan1!A239,"AAAAAC98WfM=")</f>
        <v>#VALUE!</v>
      </c>
      <c r="IK14" t="e">
        <f>AND(Plan1!B239,"AAAAAC98WfQ=")</f>
        <v>#VALUE!</v>
      </c>
      <c r="IL14" t="e">
        <f>AND(Plan1!C239,"AAAAAC98WfU=")</f>
        <v>#VALUE!</v>
      </c>
      <c r="IM14" t="e">
        <f>AND(Plan1!D239,"AAAAAC98WfY=")</f>
        <v>#VALUE!</v>
      </c>
      <c r="IN14" t="e">
        <f>AND(Plan1!E239,"AAAAAC98Wfc=")</f>
        <v>#VALUE!</v>
      </c>
      <c r="IO14" t="e">
        <f>AND(Plan1!F239,"AAAAAC98Wfg=")</f>
        <v>#VALUE!</v>
      </c>
      <c r="IP14" t="e">
        <f>AND(Plan1!G239,"AAAAAC98Wfk=")</f>
        <v>#VALUE!</v>
      </c>
      <c r="IQ14" t="e">
        <f>AND(Plan1!H239,"AAAAAC98Wfo=")</f>
        <v>#VALUE!</v>
      </c>
      <c r="IR14" t="e">
        <f>AND(Plan1!I239,"AAAAAC98Wfs=")</f>
        <v>#VALUE!</v>
      </c>
      <c r="IS14" t="e">
        <f>AND(Plan1!J239,"AAAAAC98Wfw=")</f>
        <v>#VALUE!</v>
      </c>
      <c r="IT14" t="e">
        <f>AND(Plan1!K239,"AAAAAC98Wf0=")</f>
        <v>#VALUE!</v>
      </c>
      <c r="IU14" t="e">
        <f>AND(Plan1!L239,"AAAAAC98Wf4=")</f>
        <v>#VALUE!</v>
      </c>
      <c r="IV14" t="e">
        <f>AND(Plan1!M239,"AAAAAC98Wf8=")</f>
        <v>#VALUE!</v>
      </c>
    </row>
    <row r="15" spans="1:256">
      <c r="A15" t="e">
        <f>AND(Plan1!N239,"AAAAAH+/rgA=")</f>
        <v>#VALUE!</v>
      </c>
      <c r="B15" t="e">
        <f>IF(Plan1!240:240,"AAAAAH+/rgE=",0)</f>
        <v>#VALUE!</v>
      </c>
      <c r="C15" t="e">
        <f>AND(Plan1!A240,"AAAAAH+/rgI=")</f>
        <v>#VALUE!</v>
      </c>
      <c r="D15" t="e">
        <f>AND(Plan1!B240,"AAAAAH+/rgM=")</f>
        <v>#VALUE!</v>
      </c>
      <c r="E15" t="e">
        <f>AND(Plan1!C240,"AAAAAH+/rgQ=")</f>
        <v>#VALUE!</v>
      </c>
      <c r="F15" t="e">
        <f>AND(Plan1!D240,"AAAAAH+/rgU=")</f>
        <v>#VALUE!</v>
      </c>
      <c r="G15" t="e">
        <f>AND(Plan1!E240,"AAAAAH+/rgY=")</f>
        <v>#VALUE!</v>
      </c>
      <c r="H15" t="e">
        <f>AND(Plan1!F240,"AAAAAH+/rgc=")</f>
        <v>#VALUE!</v>
      </c>
      <c r="I15" t="e">
        <f>AND(Plan1!G240,"AAAAAH+/rgg=")</f>
        <v>#VALUE!</v>
      </c>
      <c r="J15" t="e">
        <f>AND(Plan1!H240,"AAAAAH+/rgk=")</f>
        <v>#VALUE!</v>
      </c>
      <c r="K15" t="e">
        <f>AND(Plan1!I240,"AAAAAH+/rgo=")</f>
        <v>#VALUE!</v>
      </c>
      <c r="L15" t="e">
        <f>AND(Plan1!J240,"AAAAAH+/rgs=")</f>
        <v>#VALUE!</v>
      </c>
      <c r="M15" t="e">
        <f>AND(Plan1!K240,"AAAAAH+/rgw=")</f>
        <v>#VALUE!</v>
      </c>
      <c r="N15" t="e">
        <f>AND(Plan1!L240,"AAAAAH+/rg0=")</f>
        <v>#VALUE!</v>
      </c>
      <c r="O15" t="e">
        <f>AND(Plan1!M240,"AAAAAH+/rg4=")</f>
        <v>#VALUE!</v>
      </c>
      <c r="P15" t="e">
        <f>AND(Plan1!N240,"AAAAAH+/rg8=")</f>
        <v>#VALUE!</v>
      </c>
      <c r="Q15">
        <f>IF(Plan1!241:241,"AAAAAH+/rhA=",0)</f>
        <v>0</v>
      </c>
      <c r="R15" t="e">
        <f>AND(Plan1!A241,"AAAAAH+/rhE=")</f>
        <v>#VALUE!</v>
      </c>
      <c r="S15" t="e">
        <f>AND(Plan1!B241,"AAAAAH+/rhI=")</f>
        <v>#VALUE!</v>
      </c>
      <c r="T15" t="e">
        <f>AND(Plan1!C241,"AAAAAH+/rhM=")</f>
        <v>#VALUE!</v>
      </c>
      <c r="U15" t="e">
        <f>AND(Plan1!D241,"AAAAAH+/rhQ=")</f>
        <v>#VALUE!</v>
      </c>
      <c r="V15" t="e">
        <f>AND(Plan1!E241,"AAAAAH+/rhU=")</f>
        <v>#VALUE!</v>
      </c>
      <c r="W15" t="e">
        <f>AND(Plan1!F241,"AAAAAH+/rhY=")</f>
        <v>#VALUE!</v>
      </c>
      <c r="X15" t="e">
        <f>AND(Plan1!G241,"AAAAAH+/rhc=")</f>
        <v>#VALUE!</v>
      </c>
      <c r="Y15" t="e">
        <f>AND(Plan1!H241,"AAAAAH+/rhg=")</f>
        <v>#VALUE!</v>
      </c>
      <c r="Z15" t="e">
        <f>AND(Plan1!I241,"AAAAAH+/rhk=")</f>
        <v>#VALUE!</v>
      </c>
      <c r="AA15" t="e">
        <f>AND(Plan1!J241,"AAAAAH+/rho=")</f>
        <v>#VALUE!</v>
      </c>
      <c r="AB15" t="e">
        <f>AND(Plan1!K241,"AAAAAH+/rhs=")</f>
        <v>#VALUE!</v>
      </c>
      <c r="AC15" t="e">
        <f>AND(Plan1!L241,"AAAAAH+/rhw=")</f>
        <v>#VALUE!</v>
      </c>
      <c r="AD15" t="e">
        <f>AND(Plan1!M241,"AAAAAH+/rh0=")</f>
        <v>#VALUE!</v>
      </c>
      <c r="AE15" t="e">
        <f>AND(Plan1!N241,"AAAAAH+/rh4=")</f>
        <v>#VALUE!</v>
      </c>
      <c r="AF15">
        <f>IF(Plan1!242:242,"AAAAAH+/rh8=",0)</f>
        <v>0</v>
      </c>
      <c r="AG15" t="e">
        <f>AND(Plan1!A242,"AAAAAH+/riA=")</f>
        <v>#VALUE!</v>
      </c>
      <c r="AH15" t="e">
        <f>AND(Plan1!B242,"AAAAAH+/riE=")</f>
        <v>#VALUE!</v>
      </c>
      <c r="AI15" t="e">
        <f>AND(Plan1!C242,"AAAAAH+/riI=")</f>
        <v>#VALUE!</v>
      </c>
      <c r="AJ15" t="e">
        <f>AND(Plan1!D242,"AAAAAH+/riM=")</f>
        <v>#VALUE!</v>
      </c>
      <c r="AK15" t="e">
        <f>AND(Plan1!E242,"AAAAAH+/riQ=")</f>
        <v>#VALUE!</v>
      </c>
      <c r="AL15" t="e">
        <f>AND(Plan1!F242,"AAAAAH+/riU=")</f>
        <v>#VALUE!</v>
      </c>
      <c r="AM15" t="e">
        <f>AND(Plan1!G242,"AAAAAH+/riY=")</f>
        <v>#VALUE!</v>
      </c>
      <c r="AN15" t="e">
        <f>AND(Plan1!H242,"AAAAAH+/ric=")</f>
        <v>#VALUE!</v>
      </c>
      <c r="AO15" t="e">
        <f>AND(Plan1!I242,"AAAAAH+/rig=")</f>
        <v>#VALUE!</v>
      </c>
      <c r="AP15" t="e">
        <f>AND(Plan1!J242,"AAAAAH+/rik=")</f>
        <v>#VALUE!</v>
      </c>
      <c r="AQ15" t="e">
        <f>AND(Plan1!K242,"AAAAAH+/rio=")</f>
        <v>#VALUE!</v>
      </c>
      <c r="AR15" t="e">
        <f>AND(Plan1!L242,"AAAAAH+/ris=")</f>
        <v>#VALUE!</v>
      </c>
      <c r="AS15" t="e">
        <f>AND(Plan1!M242,"AAAAAH+/riw=")</f>
        <v>#VALUE!</v>
      </c>
      <c r="AT15" t="e">
        <f>AND(Plan1!N242,"AAAAAH+/ri0=")</f>
        <v>#VALUE!</v>
      </c>
      <c r="AU15">
        <f>IF(Plan1!243:243,"AAAAAH+/ri4=",0)</f>
        <v>0</v>
      </c>
      <c r="AV15" t="e">
        <f>AND(Plan1!A243,"AAAAAH+/ri8=")</f>
        <v>#VALUE!</v>
      </c>
      <c r="AW15" t="e">
        <f>AND(Plan1!B243,"AAAAAH+/rjA=")</f>
        <v>#VALUE!</v>
      </c>
      <c r="AX15" t="e">
        <f>AND(Plan1!C243,"AAAAAH+/rjE=")</f>
        <v>#VALUE!</v>
      </c>
      <c r="AY15" t="e">
        <f>AND(Plan1!D243,"AAAAAH+/rjI=")</f>
        <v>#VALUE!</v>
      </c>
      <c r="AZ15" t="e">
        <f>AND(Plan1!E243,"AAAAAH+/rjM=")</f>
        <v>#VALUE!</v>
      </c>
      <c r="BA15" t="e">
        <f>AND(Plan1!F243,"AAAAAH+/rjQ=")</f>
        <v>#VALUE!</v>
      </c>
      <c r="BB15" t="e">
        <f>AND(Plan1!G243,"AAAAAH+/rjU=")</f>
        <v>#VALUE!</v>
      </c>
      <c r="BC15" t="e">
        <f>AND(Plan1!H243,"AAAAAH+/rjY=")</f>
        <v>#VALUE!</v>
      </c>
      <c r="BD15" t="e">
        <f>AND(Plan1!I243,"AAAAAH+/rjc=")</f>
        <v>#VALUE!</v>
      </c>
      <c r="BE15" t="e">
        <f>AND(Plan1!J243,"AAAAAH+/rjg=")</f>
        <v>#VALUE!</v>
      </c>
      <c r="BF15" t="e">
        <f>AND(Plan1!K243,"AAAAAH+/rjk=")</f>
        <v>#VALUE!</v>
      </c>
      <c r="BG15" t="e">
        <f>AND(Plan1!L243,"AAAAAH+/rjo=")</f>
        <v>#VALUE!</v>
      </c>
      <c r="BH15" t="e">
        <f>AND(Plan1!M243,"AAAAAH+/rjs=")</f>
        <v>#VALUE!</v>
      </c>
      <c r="BI15" t="e">
        <f>AND(Plan1!N243,"AAAAAH+/rjw=")</f>
        <v>#VALUE!</v>
      </c>
      <c r="BJ15">
        <f>IF(Plan1!244:244,"AAAAAH+/rj0=",0)</f>
        <v>0</v>
      </c>
      <c r="BK15" t="e">
        <f>AND(Plan1!A244,"AAAAAH+/rj4=")</f>
        <v>#VALUE!</v>
      </c>
      <c r="BL15" t="e">
        <f>AND(Plan1!B244,"AAAAAH+/rj8=")</f>
        <v>#VALUE!</v>
      </c>
      <c r="BM15" t="e">
        <f>AND(Plan1!C244,"AAAAAH+/rkA=")</f>
        <v>#VALUE!</v>
      </c>
      <c r="BN15" t="e">
        <f>AND(Plan1!D244,"AAAAAH+/rkE=")</f>
        <v>#VALUE!</v>
      </c>
      <c r="BO15" t="e">
        <f>AND(Plan1!E244,"AAAAAH+/rkI=")</f>
        <v>#VALUE!</v>
      </c>
      <c r="BP15" t="e">
        <f>AND(Plan1!F244,"AAAAAH+/rkM=")</f>
        <v>#VALUE!</v>
      </c>
      <c r="BQ15" t="e">
        <f>AND(Plan1!G244,"AAAAAH+/rkQ=")</f>
        <v>#VALUE!</v>
      </c>
      <c r="BR15" t="e">
        <f>AND(Plan1!H244,"AAAAAH+/rkU=")</f>
        <v>#VALUE!</v>
      </c>
      <c r="BS15" t="e">
        <f>AND(Plan1!I244,"AAAAAH+/rkY=")</f>
        <v>#VALUE!</v>
      </c>
      <c r="BT15" t="e">
        <f>AND(Plan1!J244,"AAAAAH+/rkc=")</f>
        <v>#VALUE!</v>
      </c>
      <c r="BU15" t="e">
        <f>AND(Plan1!K244,"AAAAAH+/rkg=")</f>
        <v>#VALUE!</v>
      </c>
      <c r="BV15" t="e">
        <f>AND(Plan1!L244,"AAAAAH+/rkk=")</f>
        <v>#VALUE!</v>
      </c>
      <c r="BW15" t="e">
        <f>AND(Plan1!M244,"AAAAAH+/rko=")</f>
        <v>#VALUE!</v>
      </c>
      <c r="BX15" t="e">
        <f>AND(Plan1!N244,"AAAAAH+/rks=")</f>
        <v>#VALUE!</v>
      </c>
      <c r="BY15">
        <f>IF(Plan1!245:245,"AAAAAH+/rkw=",0)</f>
        <v>0</v>
      </c>
      <c r="BZ15" t="e">
        <f>AND(Plan1!A245,"AAAAAH+/rk0=")</f>
        <v>#VALUE!</v>
      </c>
      <c r="CA15" t="e">
        <f>AND(Plan1!B245,"AAAAAH+/rk4=")</f>
        <v>#VALUE!</v>
      </c>
      <c r="CB15" t="e">
        <f>AND(Plan1!C245,"AAAAAH+/rk8=")</f>
        <v>#VALUE!</v>
      </c>
      <c r="CC15" t="e">
        <f>AND(Plan1!D245,"AAAAAH+/rlA=")</f>
        <v>#VALUE!</v>
      </c>
      <c r="CD15" t="e">
        <f>AND(Plan1!E245,"AAAAAH+/rlE=")</f>
        <v>#VALUE!</v>
      </c>
      <c r="CE15" t="e">
        <f>AND(Plan1!F245,"AAAAAH+/rlI=")</f>
        <v>#VALUE!</v>
      </c>
      <c r="CF15" t="e">
        <f>AND(Plan1!G245,"AAAAAH+/rlM=")</f>
        <v>#VALUE!</v>
      </c>
      <c r="CG15" t="e">
        <f>AND(Plan1!H245,"AAAAAH+/rlQ=")</f>
        <v>#VALUE!</v>
      </c>
      <c r="CH15" t="e">
        <f>AND(Plan1!I245,"AAAAAH+/rlU=")</f>
        <v>#VALUE!</v>
      </c>
      <c r="CI15" t="e">
        <f>AND(Plan1!J245,"AAAAAH+/rlY=")</f>
        <v>#VALUE!</v>
      </c>
      <c r="CJ15" t="e">
        <f>AND(Plan1!K245,"AAAAAH+/rlc=")</f>
        <v>#VALUE!</v>
      </c>
      <c r="CK15" t="e">
        <f>AND(Plan1!L245,"AAAAAH+/rlg=")</f>
        <v>#VALUE!</v>
      </c>
      <c r="CL15" t="e">
        <f>AND(Plan1!M245,"AAAAAH+/rlk=")</f>
        <v>#VALUE!</v>
      </c>
      <c r="CM15" t="e">
        <f>AND(Plan1!N245,"AAAAAH+/rlo=")</f>
        <v>#VALUE!</v>
      </c>
      <c r="CN15">
        <f>IF(Plan1!246:246,"AAAAAH+/rls=",0)</f>
        <v>0</v>
      </c>
      <c r="CO15" t="e">
        <f>AND(Plan1!A246,"AAAAAH+/rlw=")</f>
        <v>#VALUE!</v>
      </c>
      <c r="CP15" t="e">
        <f>AND(Plan1!B246,"AAAAAH+/rl0=")</f>
        <v>#VALUE!</v>
      </c>
      <c r="CQ15" t="e">
        <f>AND(Plan1!C246,"AAAAAH+/rl4=")</f>
        <v>#VALUE!</v>
      </c>
      <c r="CR15" t="e">
        <f>AND(Plan1!D246,"AAAAAH+/rl8=")</f>
        <v>#VALUE!</v>
      </c>
      <c r="CS15" t="e">
        <f>AND(Plan1!E246,"AAAAAH+/rmA=")</f>
        <v>#VALUE!</v>
      </c>
      <c r="CT15" t="e">
        <f>AND(Plan1!F246,"AAAAAH+/rmE=")</f>
        <v>#VALUE!</v>
      </c>
      <c r="CU15" t="e">
        <f>AND(Plan1!G246,"AAAAAH+/rmI=")</f>
        <v>#VALUE!</v>
      </c>
      <c r="CV15" t="e">
        <f>AND(Plan1!H246,"AAAAAH+/rmM=")</f>
        <v>#VALUE!</v>
      </c>
      <c r="CW15" t="e">
        <f>AND(Plan1!I246,"AAAAAH+/rmQ=")</f>
        <v>#VALUE!</v>
      </c>
      <c r="CX15" t="e">
        <f>AND(Plan1!J246,"AAAAAH+/rmU=")</f>
        <v>#VALUE!</v>
      </c>
      <c r="CY15" t="e">
        <f>AND(Plan1!K246,"AAAAAH+/rmY=")</f>
        <v>#VALUE!</v>
      </c>
      <c r="CZ15" t="e">
        <f>AND(Plan1!L246,"AAAAAH+/rmc=")</f>
        <v>#VALUE!</v>
      </c>
      <c r="DA15" t="e">
        <f>AND(Plan1!M246,"AAAAAH+/rmg=")</f>
        <v>#VALUE!</v>
      </c>
      <c r="DB15" t="e">
        <f>AND(Plan1!N246,"AAAAAH+/rmk=")</f>
        <v>#VALUE!</v>
      </c>
      <c r="DC15">
        <f>IF(Plan1!247:247,"AAAAAH+/rmo=",0)</f>
        <v>0</v>
      </c>
      <c r="DD15" t="e">
        <f>AND(Plan1!A247,"AAAAAH+/rms=")</f>
        <v>#VALUE!</v>
      </c>
      <c r="DE15" t="e">
        <f>AND(Plan1!B247,"AAAAAH+/rmw=")</f>
        <v>#VALUE!</v>
      </c>
      <c r="DF15" t="e">
        <f>AND(Plan1!C247,"AAAAAH+/rm0=")</f>
        <v>#VALUE!</v>
      </c>
      <c r="DG15" t="e">
        <f>AND(Plan1!D247,"AAAAAH+/rm4=")</f>
        <v>#VALUE!</v>
      </c>
      <c r="DH15" t="e">
        <f>AND(Plan1!E247,"AAAAAH+/rm8=")</f>
        <v>#VALUE!</v>
      </c>
      <c r="DI15" t="e">
        <f>AND(Plan1!F247,"AAAAAH+/rnA=")</f>
        <v>#VALUE!</v>
      </c>
      <c r="DJ15" t="e">
        <f>AND(Plan1!G247,"AAAAAH+/rnE=")</f>
        <v>#VALUE!</v>
      </c>
      <c r="DK15" t="e">
        <f>AND(Plan1!H247,"AAAAAH+/rnI=")</f>
        <v>#VALUE!</v>
      </c>
      <c r="DL15" t="e">
        <f>AND(Plan1!I247,"AAAAAH+/rnM=")</f>
        <v>#VALUE!</v>
      </c>
      <c r="DM15" t="e">
        <f>AND(Plan1!J247,"AAAAAH+/rnQ=")</f>
        <v>#VALUE!</v>
      </c>
      <c r="DN15" t="e">
        <f>AND(Plan1!K247,"AAAAAH+/rnU=")</f>
        <v>#VALUE!</v>
      </c>
      <c r="DO15" t="e">
        <f>AND(Plan1!L247,"AAAAAH+/rnY=")</f>
        <v>#VALUE!</v>
      </c>
      <c r="DP15" t="e">
        <f>AND(Plan1!M247,"AAAAAH+/rnc=")</f>
        <v>#VALUE!</v>
      </c>
      <c r="DQ15" t="e">
        <f>AND(Plan1!N247,"AAAAAH+/rng=")</f>
        <v>#VALUE!</v>
      </c>
      <c r="DR15">
        <f>IF(Plan1!248:248,"AAAAAH+/rnk=",0)</f>
        <v>0</v>
      </c>
      <c r="DS15" t="e">
        <f>AND(Plan1!A248,"AAAAAH+/rno=")</f>
        <v>#VALUE!</v>
      </c>
      <c r="DT15" t="e">
        <f>AND(Plan1!B248,"AAAAAH+/rns=")</f>
        <v>#VALUE!</v>
      </c>
      <c r="DU15" t="e">
        <f>AND(Plan1!C248,"AAAAAH+/rnw=")</f>
        <v>#VALUE!</v>
      </c>
      <c r="DV15" t="e">
        <f>AND(Plan1!D248,"AAAAAH+/rn0=")</f>
        <v>#VALUE!</v>
      </c>
      <c r="DW15" t="e">
        <f>AND(Plan1!E248,"AAAAAH+/rn4=")</f>
        <v>#VALUE!</v>
      </c>
      <c r="DX15" t="e">
        <f>AND(Plan1!F248,"AAAAAH+/rn8=")</f>
        <v>#VALUE!</v>
      </c>
      <c r="DY15" t="e">
        <f>AND(Plan1!G248,"AAAAAH+/roA=")</f>
        <v>#VALUE!</v>
      </c>
      <c r="DZ15" t="e">
        <f>AND(Plan1!H248,"AAAAAH+/roE=")</f>
        <v>#VALUE!</v>
      </c>
      <c r="EA15" t="e">
        <f>AND(Plan1!I248,"AAAAAH+/roI=")</f>
        <v>#VALUE!</v>
      </c>
      <c r="EB15" t="e">
        <f>AND(Plan1!J248,"AAAAAH+/roM=")</f>
        <v>#VALUE!</v>
      </c>
      <c r="EC15" t="e">
        <f>AND(Plan1!K248,"AAAAAH+/roQ=")</f>
        <v>#VALUE!</v>
      </c>
      <c r="ED15" t="e">
        <f>AND(Plan1!L248,"AAAAAH+/roU=")</f>
        <v>#VALUE!</v>
      </c>
      <c r="EE15" t="e">
        <f>AND(Plan1!M248,"AAAAAH+/roY=")</f>
        <v>#VALUE!</v>
      </c>
      <c r="EF15" t="e">
        <f>AND(Plan1!N248,"AAAAAH+/roc=")</f>
        <v>#VALUE!</v>
      </c>
      <c r="EG15">
        <f>IF(Plan1!249:249,"AAAAAH+/rog=",0)</f>
        <v>0</v>
      </c>
      <c r="EH15" t="e">
        <f>AND(Plan1!A249,"AAAAAH+/rok=")</f>
        <v>#VALUE!</v>
      </c>
      <c r="EI15" t="e">
        <f>AND(Plan1!B249,"AAAAAH+/roo=")</f>
        <v>#VALUE!</v>
      </c>
      <c r="EJ15" t="e">
        <f>AND(Plan1!C249,"AAAAAH+/ros=")</f>
        <v>#VALUE!</v>
      </c>
      <c r="EK15" t="e">
        <f>AND(Plan1!D249,"AAAAAH+/row=")</f>
        <v>#VALUE!</v>
      </c>
      <c r="EL15" t="e">
        <f>AND(Plan1!E249,"AAAAAH+/ro0=")</f>
        <v>#VALUE!</v>
      </c>
      <c r="EM15" t="e">
        <f>AND(Plan1!F249,"AAAAAH+/ro4=")</f>
        <v>#VALUE!</v>
      </c>
      <c r="EN15" t="e">
        <f>AND(Plan1!G249,"AAAAAH+/ro8=")</f>
        <v>#VALUE!</v>
      </c>
      <c r="EO15" t="e">
        <f>AND(Plan1!H249,"AAAAAH+/rpA=")</f>
        <v>#VALUE!</v>
      </c>
      <c r="EP15" t="e">
        <f>AND(Plan1!I249,"AAAAAH+/rpE=")</f>
        <v>#VALUE!</v>
      </c>
      <c r="EQ15" t="e">
        <f>AND(Plan1!J249,"AAAAAH+/rpI=")</f>
        <v>#VALUE!</v>
      </c>
      <c r="ER15" t="e">
        <f>AND(Plan1!K249,"AAAAAH+/rpM=")</f>
        <v>#VALUE!</v>
      </c>
      <c r="ES15" t="e">
        <f>AND(Plan1!L249,"AAAAAH+/rpQ=")</f>
        <v>#VALUE!</v>
      </c>
      <c r="ET15" t="e">
        <f>AND(Plan1!M249,"AAAAAH+/rpU=")</f>
        <v>#VALUE!</v>
      </c>
      <c r="EU15" t="e">
        <f>AND(Plan1!N249,"AAAAAH+/rpY=")</f>
        <v>#VALUE!</v>
      </c>
      <c r="EV15">
        <f>IF(Plan1!250:250,"AAAAAH+/rpc=",0)</f>
        <v>0</v>
      </c>
      <c r="EW15" t="e">
        <f>AND(Plan1!A250,"AAAAAH+/rpg=")</f>
        <v>#VALUE!</v>
      </c>
      <c r="EX15" t="e">
        <f>AND(Plan1!B250,"AAAAAH+/rpk=")</f>
        <v>#VALUE!</v>
      </c>
      <c r="EY15" t="e">
        <f>AND(Plan1!C250,"AAAAAH+/rpo=")</f>
        <v>#VALUE!</v>
      </c>
      <c r="EZ15" t="e">
        <f>AND(Plan1!D250,"AAAAAH+/rps=")</f>
        <v>#VALUE!</v>
      </c>
      <c r="FA15" t="e">
        <f>AND(Plan1!E250,"AAAAAH+/rpw=")</f>
        <v>#VALUE!</v>
      </c>
      <c r="FB15" t="e">
        <f>AND(Plan1!F250,"AAAAAH+/rp0=")</f>
        <v>#VALUE!</v>
      </c>
      <c r="FC15" t="e">
        <f>AND(Plan1!G250,"AAAAAH+/rp4=")</f>
        <v>#VALUE!</v>
      </c>
      <c r="FD15" t="e">
        <f>AND(Plan1!H250,"AAAAAH+/rp8=")</f>
        <v>#VALUE!</v>
      </c>
      <c r="FE15" t="e">
        <f>AND(Plan1!I250,"AAAAAH+/rqA=")</f>
        <v>#VALUE!</v>
      </c>
      <c r="FF15" t="e">
        <f>AND(Plan1!J250,"AAAAAH+/rqE=")</f>
        <v>#VALUE!</v>
      </c>
      <c r="FG15" t="e">
        <f>AND(Plan1!K250,"AAAAAH+/rqI=")</f>
        <v>#VALUE!</v>
      </c>
      <c r="FH15" t="e">
        <f>AND(Plan1!L250,"AAAAAH+/rqM=")</f>
        <v>#VALUE!</v>
      </c>
      <c r="FI15" t="e">
        <f>AND(Plan1!M250,"AAAAAH+/rqQ=")</f>
        <v>#VALUE!</v>
      </c>
      <c r="FJ15" t="e">
        <f>AND(Plan1!N250,"AAAAAH+/rqU=")</f>
        <v>#VALUE!</v>
      </c>
      <c r="FK15">
        <f>IF(Plan1!251:251,"AAAAAH+/rqY=",0)</f>
        <v>0</v>
      </c>
      <c r="FL15" t="e">
        <f>AND(Plan1!A251,"AAAAAH+/rqc=")</f>
        <v>#VALUE!</v>
      </c>
      <c r="FM15" t="e">
        <f>AND(Plan1!B251,"AAAAAH+/rqg=")</f>
        <v>#VALUE!</v>
      </c>
      <c r="FN15" t="e">
        <f>AND(Plan1!C251,"AAAAAH+/rqk=")</f>
        <v>#VALUE!</v>
      </c>
      <c r="FO15" t="e">
        <f>AND(Plan1!D251,"AAAAAH+/rqo=")</f>
        <v>#VALUE!</v>
      </c>
      <c r="FP15" t="e">
        <f>AND(Plan1!E251,"AAAAAH+/rqs=")</f>
        <v>#VALUE!</v>
      </c>
      <c r="FQ15" t="e">
        <f>AND(Plan1!F251,"AAAAAH+/rqw=")</f>
        <v>#VALUE!</v>
      </c>
      <c r="FR15" t="e">
        <f>AND(Plan1!G251,"AAAAAH+/rq0=")</f>
        <v>#VALUE!</v>
      </c>
      <c r="FS15" t="e">
        <f>AND(Plan1!H251,"AAAAAH+/rq4=")</f>
        <v>#VALUE!</v>
      </c>
      <c r="FT15" t="e">
        <f>AND(Plan1!I251,"AAAAAH+/rq8=")</f>
        <v>#VALUE!</v>
      </c>
      <c r="FU15" t="e">
        <f>AND(Plan1!J251,"AAAAAH+/rrA=")</f>
        <v>#VALUE!</v>
      </c>
      <c r="FV15" t="e">
        <f>AND(Plan1!K251,"AAAAAH+/rrE=")</f>
        <v>#VALUE!</v>
      </c>
      <c r="FW15" t="e">
        <f>AND(Plan1!L251,"AAAAAH+/rrI=")</f>
        <v>#VALUE!</v>
      </c>
      <c r="FX15" t="e">
        <f>AND(Plan1!M251,"AAAAAH+/rrM=")</f>
        <v>#VALUE!</v>
      </c>
      <c r="FY15" t="e">
        <f>AND(Plan1!N251,"AAAAAH+/rrQ=")</f>
        <v>#VALUE!</v>
      </c>
      <c r="FZ15">
        <f>IF(Plan1!252:252,"AAAAAH+/rrU=",0)</f>
        <v>0</v>
      </c>
      <c r="GA15" t="e">
        <f>AND(Plan1!A252,"AAAAAH+/rrY=")</f>
        <v>#VALUE!</v>
      </c>
      <c r="GB15" t="e">
        <f>AND(Plan1!B252,"AAAAAH+/rrc=")</f>
        <v>#VALUE!</v>
      </c>
      <c r="GC15" t="e">
        <f>AND(Plan1!C252,"AAAAAH+/rrg=")</f>
        <v>#VALUE!</v>
      </c>
      <c r="GD15" t="e">
        <f>AND(Plan1!D252,"AAAAAH+/rrk=")</f>
        <v>#VALUE!</v>
      </c>
      <c r="GE15" t="e">
        <f>AND(Plan1!E252,"AAAAAH+/rro=")</f>
        <v>#VALUE!</v>
      </c>
      <c r="GF15" t="e">
        <f>AND(Plan1!F252,"AAAAAH+/rrs=")</f>
        <v>#VALUE!</v>
      </c>
      <c r="GG15" t="e">
        <f>AND(Plan1!G252,"AAAAAH+/rrw=")</f>
        <v>#VALUE!</v>
      </c>
      <c r="GH15" t="e">
        <f>AND(Plan1!H252,"AAAAAH+/rr0=")</f>
        <v>#VALUE!</v>
      </c>
      <c r="GI15" t="e">
        <f>AND(Plan1!I252,"AAAAAH+/rr4=")</f>
        <v>#VALUE!</v>
      </c>
      <c r="GJ15" t="e">
        <f>AND(Plan1!J252,"AAAAAH+/rr8=")</f>
        <v>#VALUE!</v>
      </c>
      <c r="GK15" t="e">
        <f>AND(Plan1!K252,"AAAAAH+/rsA=")</f>
        <v>#VALUE!</v>
      </c>
      <c r="GL15" t="e">
        <f>AND(Plan1!L252,"AAAAAH+/rsE=")</f>
        <v>#VALUE!</v>
      </c>
      <c r="GM15" t="e">
        <f>AND(Plan1!M252,"AAAAAH+/rsI=")</f>
        <v>#VALUE!</v>
      </c>
      <c r="GN15" t="e">
        <f>AND(Plan1!N252,"AAAAAH+/rsM=")</f>
        <v>#VALUE!</v>
      </c>
      <c r="GO15">
        <f>IF(Plan1!253:253,"AAAAAH+/rsQ=",0)</f>
        <v>0</v>
      </c>
      <c r="GP15" t="e">
        <f>AND(Plan1!A253,"AAAAAH+/rsU=")</f>
        <v>#VALUE!</v>
      </c>
      <c r="GQ15" t="e">
        <f>AND(Plan1!B253,"AAAAAH+/rsY=")</f>
        <v>#VALUE!</v>
      </c>
      <c r="GR15" t="e">
        <f>AND(Plan1!C253,"AAAAAH+/rsc=")</f>
        <v>#VALUE!</v>
      </c>
      <c r="GS15" t="e">
        <f>AND(Plan1!D253,"AAAAAH+/rsg=")</f>
        <v>#VALUE!</v>
      </c>
      <c r="GT15" t="e">
        <f>AND(Plan1!E253,"AAAAAH+/rsk=")</f>
        <v>#VALUE!</v>
      </c>
      <c r="GU15" t="e">
        <f>AND(Plan1!F253,"AAAAAH+/rso=")</f>
        <v>#VALUE!</v>
      </c>
      <c r="GV15" t="e">
        <f>AND(Plan1!G253,"AAAAAH+/rss=")</f>
        <v>#VALUE!</v>
      </c>
      <c r="GW15" t="e">
        <f>AND(Plan1!H253,"AAAAAH+/rsw=")</f>
        <v>#VALUE!</v>
      </c>
      <c r="GX15" t="e">
        <f>AND(Plan1!I253,"AAAAAH+/rs0=")</f>
        <v>#VALUE!</v>
      </c>
      <c r="GY15" t="e">
        <f>AND(Plan1!J253,"AAAAAH+/rs4=")</f>
        <v>#VALUE!</v>
      </c>
      <c r="GZ15" t="e">
        <f>AND(Plan1!K253,"AAAAAH+/rs8=")</f>
        <v>#VALUE!</v>
      </c>
      <c r="HA15" t="e">
        <f>AND(Plan1!L253,"AAAAAH+/rtA=")</f>
        <v>#VALUE!</v>
      </c>
      <c r="HB15" t="e">
        <f>AND(Plan1!M253,"AAAAAH+/rtE=")</f>
        <v>#VALUE!</v>
      </c>
      <c r="HC15" t="e">
        <f>AND(Plan1!N253,"AAAAAH+/rtI=")</f>
        <v>#VALUE!</v>
      </c>
      <c r="HD15">
        <f>IF(Plan1!254:254,"AAAAAH+/rtM=",0)</f>
        <v>0</v>
      </c>
      <c r="HE15" t="e">
        <f>AND(Plan1!A254,"AAAAAH+/rtQ=")</f>
        <v>#VALUE!</v>
      </c>
      <c r="HF15" t="e">
        <f>AND(Plan1!B254,"AAAAAH+/rtU=")</f>
        <v>#VALUE!</v>
      </c>
      <c r="HG15" t="e">
        <f>AND(Plan1!C254,"AAAAAH+/rtY=")</f>
        <v>#VALUE!</v>
      </c>
      <c r="HH15" t="e">
        <f>AND(Plan1!D254,"AAAAAH+/rtc=")</f>
        <v>#VALUE!</v>
      </c>
      <c r="HI15" t="e">
        <f>AND(Plan1!E254,"AAAAAH+/rtg=")</f>
        <v>#VALUE!</v>
      </c>
      <c r="HJ15" t="e">
        <f>AND(Plan1!F254,"AAAAAH+/rtk=")</f>
        <v>#VALUE!</v>
      </c>
      <c r="HK15" t="e">
        <f>AND(Plan1!G254,"AAAAAH+/rto=")</f>
        <v>#VALUE!</v>
      </c>
      <c r="HL15" t="e">
        <f>AND(Plan1!H254,"AAAAAH+/rts=")</f>
        <v>#VALUE!</v>
      </c>
      <c r="HM15" t="e">
        <f>AND(Plan1!I254,"AAAAAH+/rtw=")</f>
        <v>#VALUE!</v>
      </c>
      <c r="HN15" t="e">
        <f>AND(Plan1!J254,"AAAAAH+/rt0=")</f>
        <v>#VALUE!</v>
      </c>
      <c r="HO15" t="e">
        <f>AND(Plan1!K254,"AAAAAH+/rt4=")</f>
        <v>#VALUE!</v>
      </c>
      <c r="HP15" t="e">
        <f>AND(Plan1!L254,"AAAAAH+/rt8=")</f>
        <v>#VALUE!</v>
      </c>
      <c r="HQ15" t="e">
        <f>AND(Plan1!M254,"AAAAAH+/ruA=")</f>
        <v>#VALUE!</v>
      </c>
      <c r="HR15" t="e">
        <f>AND(Plan1!N254,"AAAAAH+/ruE=")</f>
        <v>#VALUE!</v>
      </c>
      <c r="HS15">
        <f>IF(Plan1!255:255,"AAAAAH+/ruI=",0)</f>
        <v>0</v>
      </c>
      <c r="HT15" t="e">
        <f>AND(Plan1!A255,"AAAAAH+/ruM=")</f>
        <v>#VALUE!</v>
      </c>
      <c r="HU15" t="e">
        <f>AND(Plan1!B255,"AAAAAH+/ruQ=")</f>
        <v>#VALUE!</v>
      </c>
      <c r="HV15" t="e">
        <f>AND(Plan1!C255,"AAAAAH+/ruU=")</f>
        <v>#VALUE!</v>
      </c>
      <c r="HW15" t="e">
        <f>AND(Plan1!D255,"AAAAAH+/ruY=")</f>
        <v>#VALUE!</v>
      </c>
      <c r="HX15" t="e">
        <f>AND(Plan1!E255,"AAAAAH+/ruc=")</f>
        <v>#VALUE!</v>
      </c>
      <c r="HY15" t="e">
        <f>AND(Plan1!F255,"AAAAAH+/rug=")</f>
        <v>#VALUE!</v>
      </c>
      <c r="HZ15" t="e">
        <f>AND(Plan1!G255,"AAAAAH+/ruk=")</f>
        <v>#VALUE!</v>
      </c>
      <c r="IA15" t="e">
        <f>AND(Plan1!H255,"AAAAAH+/ruo=")</f>
        <v>#VALUE!</v>
      </c>
      <c r="IB15" t="e">
        <f>AND(Plan1!I255,"AAAAAH+/rus=")</f>
        <v>#VALUE!</v>
      </c>
      <c r="IC15" t="e">
        <f>AND(Plan1!J255,"AAAAAH+/ruw=")</f>
        <v>#VALUE!</v>
      </c>
      <c r="ID15" t="e">
        <f>AND(Plan1!K255,"AAAAAH+/ru0=")</f>
        <v>#VALUE!</v>
      </c>
      <c r="IE15" t="e">
        <f>AND(Plan1!L255,"AAAAAH+/ru4=")</f>
        <v>#VALUE!</v>
      </c>
      <c r="IF15" t="e">
        <f>AND(Plan1!M255,"AAAAAH+/ru8=")</f>
        <v>#VALUE!</v>
      </c>
      <c r="IG15" t="e">
        <f>AND(Plan1!N255,"AAAAAH+/rvA=")</f>
        <v>#VALUE!</v>
      </c>
      <c r="IH15">
        <f>IF(Plan1!256:256,"AAAAAH+/rvE=",0)</f>
        <v>0</v>
      </c>
      <c r="II15" t="e">
        <f>AND(Plan1!A256,"AAAAAH+/rvI=")</f>
        <v>#VALUE!</v>
      </c>
      <c r="IJ15" t="e">
        <f>AND(Plan1!B256,"AAAAAH+/rvM=")</f>
        <v>#VALUE!</v>
      </c>
      <c r="IK15" t="e">
        <f>AND(Plan1!C256,"AAAAAH+/rvQ=")</f>
        <v>#VALUE!</v>
      </c>
      <c r="IL15" t="e">
        <f>AND(Plan1!D256,"AAAAAH+/rvU=")</f>
        <v>#VALUE!</v>
      </c>
      <c r="IM15" t="e">
        <f>AND(Plan1!E256,"AAAAAH+/rvY=")</f>
        <v>#VALUE!</v>
      </c>
      <c r="IN15" t="e">
        <f>AND(Plan1!F256,"AAAAAH+/rvc=")</f>
        <v>#VALUE!</v>
      </c>
      <c r="IO15" t="e">
        <f>AND(Plan1!G256,"AAAAAH+/rvg=")</f>
        <v>#VALUE!</v>
      </c>
      <c r="IP15" t="e">
        <f>AND(Plan1!H256,"AAAAAH+/rvk=")</f>
        <v>#VALUE!</v>
      </c>
      <c r="IQ15" t="e">
        <f>AND(Plan1!I256,"AAAAAH+/rvo=")</f>
        <v>#VALUE!</v>
      </c>
      <c r="IR15" t="e">
        <f>AND(Plan1!J256,"AAAAAH+/rvs=")</f>
        <v>#VALUE!</v>
      </c>
      <c r="IS15" t="e">
        <f>AND(Plan1!K256,"AAAAAH+/rvw=")</f>
        <v>#VALUE!</v>
      </c>
      <c r="IT15" t="e">
        <f>AND(Plan1!L256,"AAAAAH+/rv0=")</f>
        <v>#VALUE!</v>
      </c>
      <c r="IU15" t="e">
        <f>AND(Plan1!M256,"AAAAAH+/rv4=")</f>
        <v>#VALUE!</v>
      </c>
      <c r="IV15" t="e">
        <f>AND(Plan1!N256,"AAAAAH+/rv8=")</f>
        <v>#VALUE!</v>
      </c>
    </row>
    <row r="16" spans="1:256">
      <c r="A16" t="e">
        <f>IF(Plan1!257:257,"AAAAAFt32QA=",0)</f>
        <v>#VALUE!</v>
      </c>
      <c r="B16" t="e">
        <f>AND(Plan1!A257,"AAAAAFt32QE=")</f>
        <v>#VALUE!</v>
      </c>
      <c r="C16" t="e">
        <f>AND(Plan1!B257,"AAAAAFt32QI=")</f>
        <v>#VALUE!</v>
      </c>
      <c r="D16" t="e">
        <f>AND(Plan1!C257,"AAAAAFt32QM=")</f>
        <v>#VALUE!</v>
      </c>
      <c r="E16" t="e">
        <f>AND(Plan1!D257,"AAAAAFt32QQ=")</f>
        <v>#VALUE!</v>
      </c>
      <c r="F16" t="e">
        <f>AND(Plan1!E257,"AAAAAFt32QU=")</f>
        <v>#VALUE!</v>
      </c>
      <c r="G16" t="e">
        <f>AND(Plan1!F257,"AAAAAFt32QY=")</f>
        <v>#VALUE!</v>
      </c>
      <c r="H16" t="e">
        <f>AND(Plan1!G257,"AAAAAFt32Qc=")</f>
        <v>#VALUE!</v>
      </c>
      <c r="I16" t="e">
        <f>AND(Plan1!H257,"AAAAAFt32Qg=")</f>
        <v>#VALUE!</v>
      </c>
      <c r="J16" t="e">
        <f>AND(Plan1!I257,"AAAAAFt32Qk=")</f>
        <v>#VALUE!</v>
      </c>
      <c r="K16" t="e">
        <f>AND(Plan1!J257,"AAAAAFt32Qo=")</f>
        <v>#VALUE!</v>
      </c>
      <c r="L16" t="e">
        <f>AND(Plan1!K257,"AAAAAFt32Qs=")</f>
        <v>#VALUE!</v>
      </c>
      <c r="M16" t="e">
        <f>AND(Plan1!L257,"AAAAAFt32Qw=")</f>
        <v>#VALUE!</v>
      </c>
      <c r="N16" t="e">
        <f>AND(Plan1!M257,"AAAAAFt32Q0=")</f>
        <v>#VALUE!</v>
      </c>
      <c r="O16" t="e">
        <f>AND(Plan1!N257,"AAAAAFt32Q4=")</f>
        <v>#VALUE!</v>
      </c>
      <c r="P16">
        <f>IF(Plan1!258:258,"AAAAAFt32Q8=",0)</f>
        <v>0</v>
      </c>
      <c r="Q16" t="e">
        <f>AND(Plan1!A258,"AAAAAFt32RA=")</f>
        <v>#VALUE!</v>
      </c>
      <c r="R16" t="e">
        <f>AND(Plan1!B258,"AAAAAFt32RE=")</f>
        <v>#VALUE!</v>
      </c>
      <c r="S16" t="e">
        <f>AND(Plan1!C258,"AAAAAFt32RI=")</f>
        <v>#VALUE!</v>
      </c>
      <c r="T16" t="e">
        <f>AND(Plan1!D258,"AAAAAFt32RM=")</f>
        <v>#VALUE!</v>
      </c>
      <c r="U16" t="e">
        <f>AND(Plan1!E258,"AAAAAFt32RQ=")</f>
        <v>#VALUE!</v>
      </c>
      <c r="V16" t="e">
        <f>AND(Plan1!F258,"AAAAAFt32RU=")</f>
        <v>#VALUE!</v>
      </c>
      <c r="W16" t="e">
        <f>AND(Plan1!G258,"AAAAAFt32RY=")</f>
        <v>#VALUE!</v>
      </c>
      <c r="X16" t="e">
        <f>AND(Plan1!H258,"AAAAAFt32Rc=")</f>
        <v>#VALUE!</v>
      </c>
      <c r="Y16" t="e">
        <f>AND(Plan1!I258,"AAAAAFt32Rg=")</f>
        <v>#VALUE!</v>
      </c>
      <c r="Z16" t="e">
        <f>AND(Plan1!J258,"AAAAAFt32Rk=")</f>
        <v>#VALUE!</v>
      </c>
      <c r="AA16" t="e">
        <f>AND(Plan1!K258,"AAAAAFt32Ro=")</f>
        <v>#VALUE!</v>
      </c>
      <c r="AB16" t="e">
        <f>AND(Plan1!L258,"AAAAAFt32Rs=")</f>
        <v>#VALUE!</v>
      </c>
      <c r="AC16" t="e">
        <f>AND(Plan1!M258,"AAAAAFt32Rw=")</f>
        <v>#VALUE!</v>
      </c>
      <c r="AD16" t="e">
        <f>AND(Plan1!N258,"AAAAAFt32R0=")</f>
        <v>#VALUE!</v>
      </c>
      <c r="AE16">
        <f>IF(Plan1!259:259,"AAAAAFt32R4=",0)</f>
        <v>0</v>
      </c>
      <c r="AF16" t="e">
        <f>AND(Plan1!A259,"AAAAAFt32R8=")</f>
        <v>#VALUE!</v>
      </c>
      <c r="AG16" t="e">
        <f>AND(Plan1!B259,"AAAAAFt32SA=")</f>
        <v>#VALUE!</v>
      </c>
      <c r="AH16" t="e">
        <f>AND(Plan1!C259,"AAAAAFt32SE=")</f>
        <v>#VALUE!</v>
      </c>
      <c r="AI16" t="e">
        <f>AND(Plan1!D259,"AAAAAFt32SI=")</f>
        <v>#VALUE!</v>
      </c>
      <c r="AJ16" t="e">
        <f>AND(Plan1!E259,"AAAAAFt32SM=")</f>
        <v>#VALUE!</v>
      </c>
      <c r="AK16" t="e">
        <f>AND(Plan1!F259,"AAAAAFt32SQ=")</f>
        <v>#VALUE!</v>
      </c>
      <c r="AL16" t="e">
        <f>AND(Plan1!G259,"AAAAAFt32SU=")</f>
        <v>#VALUE!</v>
      </c>
      <c r="AM16" t="e">
        <f>AND(Plan1!H259,"AAAAAFt32SY=")</f>
        <v>#VALUE!</v>
      </c>
      <c r="AN16" t="e">
        <f>AND(Plan1!I259,"AAAAAFt32Sc=")</f>
        <v>#VALUE!</v>
      </c>
      <c r="AO16" t="e">
        <f>AND(Plan1!J259,"AAAAAFt32Sg=")</f>
        <v>#VALUE!</v>
      </c>
      <c r="AP16" t="e">
        <f>AND(Plan1!K259,"AAAAAFt32Sk=")</f>
        <v>#VALUE!</v>
      </c>
      <c r="AQ16" t="e">
        <f>AND(Plan1!L259,"AAAAAFt32So=")</f>
        <v>#VALUE!</v>
      </c>
      <c r="AR16" t="e">
        <f>AND(Plan1!M259,"AAAAAFt32Ss=")</f>
        <v>#VALUE!</v>
      </c>
      <c r="AS16" t="e">
        <f>AND(Plan1!N259,"AAAAAFt32Sw=")</f>
        <v>#VALUE!</v>
      </c>
      <c r="AT16">
        <f>IF(Plan1!260:260,"AAAAAFt32S0=",0)</f>
        <v>0</v>
      </c>
      <c r="AU16" t="e">
        <f>AND(Plan1!A260,"AAAAAFt32S4=")</f>
        <v>#VALUE!</v>
      </c>
      <c r="AV16" t="e">
        <f>AND(Plan1!B260,"AAAAAFt32S8=")</f>
        <v>#VALUE!</v>
      </c>
      <c r="AW16" t="e">
        <f>AND(Plan1!C260,"AAAAAFt32TA=")</f>
        <v>#VALUE!</v>
      </c>
      <c r="AX16" t="e">
        <f>AND(Plan1!D260,"AAAAAFt32TE=")</f>
        <v>#VALUE!</v>
      </c>
      <c r="AY16" t="e">
        <f>AND(Plan1!E260,"AAAAAFt32TI=")</f>
        <v>#VALUE!</v>
      </c>
      <c r="AZ16" t="e">
        <f>AND(Plan1!F260,"AAAAAFt32TM=")</f>
        <v>#VALUE!</v>
      </c>
      <c r="BA16" t="e">
        <f>AND(Plan1!G260,"AAAAAFt32TQ=")</f>
        <v>#VALUE!</v>
      </c>
      <c r="BB16" t="e">
        <f>AND(Plan1!H260,"AAAAAFt32TU=")</f>
        <v>#VALUE!</v>
      </c>
      <c r="BC16" t="e">
        <f>AND(Plan1!I260,"AAAAAFt32TY=")</f>
        <v>#VALUE!</v>
      </c>
      <c r="BD16" t="e">
        <f>AND(Plan1!J260,"AAAAAFt32Tc=")</f>
        <v>#VALUE!</v>
      </c>
      <c r="BE16" t="e">
        <f>AND(Plan1!K260,"AAAAAFt32Tg=")</f>
        <v>#VALUE!</v>
      </c>
      <c r="BF16" t="e">
        <f>AND(Plan1!L260,"AAAAAFt32Tk=")</f>
        <v>#VALUE!</v>
      </c>
      <c r="BG16" t="e">
        <f>AND(Plan1!M260,"AAAAAFt32To=")</f>
        <v>#VALUE!</v>
      </c>
      <c r="BH16" t="e">
        <f>AND(Plan1!N260,"AAAAAFt32Ts=")</f>
        <v>#VALUE!</v>
      </c>
      <c r="BI16">
        <f>IF(Plan1!261:261,"AAAAAFt32Tw=",0)</f>
        <v>0</v>
      </c>
      <c r="BJ16" t="e">
        <f>AND(Plan1!A261,"AAAAAFt32T0=")</f>
        <v>#VALUE!</v>
      </c>
      <c r="BK16" t="e">
        <f>AND(Plan1!B261,"AAAAAFt32T4=")</f>
        <v>#VALUE!</v>
      </c>
      <c r="BL16" t="e">
        <f>AND(Plan1!C261,"AAAAAFt32T8=")</f>
        <v>#VALUE!</v>
      </c>
      <c r="BM16" t="e">
        <f>AND(Plan1!D261,"AAAAAFt32UA=")</f>
        <v>#VALUE!</v>
      </c>
      <c r="BN16" t="e">
        <f>AND(Plan1!E261,"AAAAAFt32UE=")</f>
        <v>#VALUE!</v>
      </c>
      <c r="BO16" t="e">
        <f>AND(Plan1!F261,"AAAAAFt32UI=")</f>
        <v>#VALUE!</v>
      </c>
      <c r="BP16" t="e">
        <f>AND(Plan1!G261,"AAAAAFt32UM=")</f>
        <v>#VALUE!</v>
      </c>
      <c r="BQ16" t="e">
        <f>AND(Plan1!H261,"AAAAAFt32UQ=")</f>
        <v>#VALUE!</v>
      </c>
      <c r="BR16" t="e">
        <f>AND(Plan1!I261,"AAAAAFt32UU=")</f>
        <v>#VALUE!</v>
      </c>
      <c r="BS16" t="e">
        <f>AND(Plan1!J261,"AAAAAFt32UY=")</f>
        <v>#VALUE!</v>
      </c>
      <c r="BT16" t="e">
        <f>AND(Plan1!K261,"AAAAAFt32Uc=")</f>
        <v>#VALUE!</v>
      </c>
      <c r="BU16" t="e">
        <f>AND(Plan1!L261,"AAAAAFt32Ug=")</f>
        <v>#VALUE!</v>
      </c>
      <c r="BV16" t="e">
        <f>AND(Plan1!M261,"AAAAAFt32Uk=")</f>
        <v>#VALUE!</v>
      </c>
      <c r="BW16" t="e">
        <f>AND(Plan1!N261,"AAAAAFt32Uo=")</f>
        <v>#VALUE!</v>
      </c>
      <c r="BX16">
        <f>IF(Plan1!262:262,"AAAAAFt32Us=",0)</f>
        <v>0</v>
      </c>
      <c r="BY16" t="e">
        <f>AND(Plan1!A262,"AAAAAFt32Uw=")</f>
        <v>#VALUE!</v>
      </c>
      <c r="BZ16" t="e">
        <f>AND(Plan1!B262,"AAAAAFt32U0=")</f>
        <v>#VALUE!</v>
      </c>
      <c r="CA16" t="e">
        <f>AND(Plan1!C262,"AAAAAFt32U4=")</f>
        <v>#VALUE!</v>
      </c>
      <c r="CB16" t="e">
        <f>AND(Plan1!D262,"AAAAAFt32U8=")</f>
        <v>#VALUE!</v>
      </c>
      <c r="CC16" t="e">
        <f>AND(Plan1!E262,"AAAAAFt32VA=")</f>
        <v>#VALUE!</v>
      </c>
      <c r="CD16" t="e">
        <f>AND(Plan1!F262,"AAAAAFt32VE=")</f>
        <v>#VALUE!</v>
      </c>
      <c r="CE16" t="e">
        <f>AND(Plan1!G262,"AAAAAFt32VI=")</f>
        <v>#VALUE!</v>
      </c>
      <c r="CF16" t="e">
        <f>AND(Plan1!H262,"AAAAAFt32VM=")</f>
        <v>#VALUE!</v>
      </c>
      <c r="CG16" t="e">
        <f>AND(Plan1!I262,"AAAAAFt32VQ=")</f>
        <v>#VALUE!</v>
      </c>
      <c r="CH16" t="e">
        <f>AND(Plan1!J262,"AAAAAFt32VU=")</f>
        <v>#VALUE!</v>
      </c>
      <c r="CI16" t="e">
        <f>AND(Plan1!K262,"AAAAAFt32VY=")</f>
        <v>#VALUE!</v>
      </c>
      <c r="CJ16" t="e">
        <f>AND(Plan1!L262,"AAAAAFt32Vc=")</f>
        <v>#VALUE!</v>
      </c>
      <c r="CK16" t="e">
        <f>AND(Plan1!M262,"AAAAAFt32Vg=")</f>
        <v>#VALUE!</v>
      </c>
      <c r="CL16" t="e">
        <f>AND(Plan1!N262,"AAAAAFt32Vk=")</f>
        <v>#VALUE!</v>
      </c>
      <c r="CM16">
        <f>IF(Plan1!263:263,"AAAAAFt32Vo=",0)</f>
        <v>0</v>
      </c>
      <c r="CN16" t="e">
        <f>AND(Plan1!A263,"AAAAAFt32Vs=")</f>
        <v>#VALUE!</v>
      </c>
      <c r="CO16" t="e">
        <f>AND(Plan1!B263,"AAAAAFt32Vw=")</f>
        <v>#VALUE!</v>
      </c>
      <c r="CP16" t="e">
        <f>AND(Plan1!C263,"AAAAAFt32V0=")</f>
        <v>#VALUE!</v>
      </c>
      <c r="CQ16" t="e">
        <f>AND(Plan1!D263,"AAAAAFt32V4=")</f>
        <v>#VALUE!</v>
      </c>
      <c r="CR16" t="e">
        <f>AND(Plan1!E263,"AAAAAFt32V8=")</f>
        <v>#VALUE!</v>
      </c>
      <c r="CS16" t="e">
        <f>AND(Plan1!F263,"AAAAAFt32WA=")</f>
        <v>#VALUE!</v>
      </c>
      <c r="CT16" t="e">
        <f>AND(Plan1!G263,"AAAAAFt32WE=")</f>
        <v>#VALUE!</v>
      </c>
      <c r="CU16" t="e">
        <f>AND(Plan1!H263,"AAAAAFt32WI=")</f>
        <v>#VALUE!</v>
      </c>
      <c r="CV16" t="e">
        <f>AND(Plan1!I263,"AAAAAFt32WM=")</f>
        <v>#VALUE!</v>
      </c>
      <c r="CW16" t="e">
        <f>AND(Plan1!J263,"AAAAAFt32WQ=")</f>
        <v>#VALUE!</v>
      </c>
      <c r="CX16" t="e">
        <f>AND(Plan1!K263,"AAAAAFt32WU=")</f>
        <v>#VALUE!</v>
      </c>
      <c r="CY16" t="e">
        <f>AND(Plan1!L263,"AAAAAFt32WY=")</f>
        <v>#VALUE!</v>
      </c>
      <c r="CZ16" t="e">
        <f>AND(Plan1!M263,"AAAAAFt32Wc=")</f>
        <v>#VALUE!</v>
      </c>
      <c r="DA16" t="e">
        <f>AND(Plan1!N263,"AAAAAFt32Wg=")</f>
        <v>#VALUE!</v>
      </c>
      <c r="DB16">
        <f>IF(Plan1!264:264,"AAAAAFt32Wk=",0)</f>
        <v>0</v>
      </c>
      <c r="DC16" t="e">
        <f>AND(Plan1!A264,"AAAAAFt32Wo=")</f>
        <v>#VALUE!</v>
      </c>
      <c r="DD16" t="e">
        <f>AND(Plan1!B264,"AAAAAFt32Ws=")</f>
        <v>#VALUE!</v>
      </c>
      <c r="DE16" t="e">
        <f>AND(Plan1!C264,"AAAAAFt32Ww=")</f>
        <v>#VALUE!</v>
      </c>
      <c r="DF16" t="e">
        <f>AND(Plan1!D264,"AAAAAFt32W0=")</f>
        <v>#VALUE!</v>
      </c>
      <c r="DG16" t="e">
        <f>AND(Plan1!E264,"AAAAAFt32W4=")</f>
        <v>#VALUE!</v>
      </c>
      <c r="DH16" t="e">
        <f>AND(Plan1!F264,"AAAAAFt32W8=")</f>
        <v>#VALUE!</v>
      </c>
      <c r="DI16" t="e">
        <f>AND(Plan1!G264,"AAAAAFt32XA=")</f>
        <v>#VALUE!</v>
      </c>
      <c r="DJ16" t="e">
        <f>AND(Plan1!H264,"AAAAAFt32XE=")</f>
        <v>#VALUE!</v>
      </c>
      <c r="DK16" t="e">
        <f>AND(Plan1!I264,"AAAAAFt32XI=")</f>
        <v>#VALUE!</v>
      </c>
      <c r="DL16" t="e">
        <f>AND(Plan1!J264,"AAAAAFt32XM=")</f>
        <v>#VALUE!</v>
      </c>
      <c r="DM16" t="e">
        <f>AND(Plan1!K264,"AAAAAFt32XQ=")</f>
        <v>#VALUE!</v>
      </c>
      <c r="DN16" t="e">
        <f>AND(Plan1!L264,"AAAAAFt32XU=")</f>
        <v>#VALUE!</v>
      </c>
      <c r="DO16" t="e">
        <f>AND(Plan1!M264,"AAAAAFt32XY=")</f>
        <v>#VALUE!</v>
      </c>
      <c r="DP16" t="e">
        <f>AND(Plan1!N264,"AAAAAFt32Xc=")</f>
        <v>#VALUE!</v>
      </c>
      <c r="DQ16">
        <f>IF(Plan1!265:265,"AAAAAFt32Xg=",0)</f>
        <v>0</v>
      </c>
      <c r="DR16" t="e">
        <f>AND(Plan1!A265,"AAAAAFt32Xk=")</f>
        <v>#VALUE!</v>
      </c>
      <c r="DS16" t="e">
        <f>AND(Plan1!B265,"AAAAAFt32Xo=")</f>
        <v>#VALUE!</v>
      </c>
      <c r="DT16" t="e">
        <f>AND(Plan1!C265,"AAAAAFt32Xs=")</f>
        <v>#VALUE!</v>
      </c>
      <c r="DU16" t="e">
        <f>AND(Plan1!D265,"AAAAAFt32Xw=")</f>
        <v>#VALUE!</v>
      </c>
      <c r="DV16" t="e">
        <f>AND(Plan1!E265,"AAAAAFt32X0=")</f>
        <v>#VALUE!</v>
      </c>
      <c r="DW16" t="e">
        <f>AND(Plan1!F265,"AAAAAFt32X4=")</f>
        <v>#VALUE!</v>
      </c>
      <c r="DX16" t="e">
        <f>AND(Plan1!G265,"AAAAAFt32X8=")</f>
        <v>#VALUE!</v>
      </c>
      <c r="DY16" t="e">
        <f>AND(Plan1!H265,"AAAAAFt32YA=")</f>
        <v>#VALUE!</v>
      </c>
      <c r="DZ16" t="e">
        <f>AND(Plan1!I265,"AAAAAFt32YE=")</f>
        <v>#VALUE!</v>
      </c>
      <c r="EA16" t="e">
        <f>AND(Plan1!J265,"AAAAAFt32YI=")</f>
        <v>#VALUE!</v>
      </c>
      <c r="EB16" t="e">
        <f>AND(Plan1!K265,"AAAAAFt32YM=")</f>
        <v>#VALUE!</v>
      </c>
      <c r="EC16" t="e">
        <f>AND(Plan1!L265,"AAAAAFt32YQ=")</f>
        <v>#VALUE!</v>
      </c>
      <c r="ED16" t="e">
        <f>AND(Plan1!M265,"AAAAAFt32YU=")</f>
        <v>#VALUE!</v>
      </c>
      <c r="EE16" t="e">
        <f>AND(Plan1!N265,"AAAAAFt32YY=")</f>
        <v>#VALUE!</v>
      </c>
      <c r="EF16">
        <f>IF(Plan1!266:266,"AAAAAFt32Yc=",0)</f>
        <v>0</v>
      </c>
      <c r="EG16" t="e">
        <f>AND(Plan1!A266,"AAAAAFt32Yg=")</f>
        <v>#VALUE!</v>
      </c>
      <c r="EH16" t="e">
        <f>AND(Plan1!B266,"AAAAAFt32Yk=")</f>
        <v>#VALUE!</v>
      </c>
      <c r="EI16" t="e">
        <f>AND(Plan1!C266,"AAAAAFt32Yo=")</f>
        <v>#VALUE!</v>
      </c>
      <c r="EJ16" t="e">
        <f>AND(Plan1!D266,"AAAAAFt32Ys=")</f>
        <v>#VALUE!</v>
      </c>
      <c r="EK16" t="e">
        <f>AND(Plan1!E266,"AAAAAFt32Yw=")</f>
        <v>#VALUE!</v>
      </c>
      <c r="EL16" t="e">
        <f>AND(Plan1!F266,"AAAAAFt32Y0=")</f>
        <v>#VALUE!</v>
      </c>
      <c r="EM16" t="e">
        <f>AND(Plan1!G266,"AAAAAFt32Y4=")</f>
        <v>#VALUE!</v>
      </c>
      <c r="EN16" t="e">
        <f>AND(Plan1!H266,"AAAAAFt32Y8=")</f>
        <v>#VALUE!</v>
      </c>
      <c r="EO16" t="e">
        <f>AND(Plan1!I266,"AAAAAFt32ZA=")</f>
        <v>#VALUE!</v>
      </c>
      <c r="EP16" t="e">
        <f>AND(Plan1!J266,"AAAAAFt32ZE=")</f>
        <v>#VALUE!</v>
      </c>
      <c r="EQ16" t="e">
        <f>AND(Plan1!K266,"AAAAAFt32ZI=")</f>
        <v>#VALUE!</v>
      </c>
      <c r="ER16" t="e">
        <f>AND(Plan1!L266,"AAAAAFt32ZM=")</f>
        <v>#VALUE!</v>
      </c>
      <c r="ES16" t="e">
        <f>AND(Plan1!M266,"AAAAAFt32ZQ=")</f>
        <v>#VALUE!</v>
      </c>
      <c r="ET16" t="e">
        <f>AND(Plan1!N266,"AAAAAFt32ZU=")</f>
        <v>#VALUE!</v>
      </c>
      <c r="EU16">
        <f>IF(Plan1!267:267,"AAAAAFt32ZY=",0)</f>
        <v>0</v>
      </c>
      <c r="EV16" t="e">
        <f>AND(Plan1!A267,"AAAAAFt32Zc=")</f>
        <v>#VALUE!</v>
      </c>
      <c r="EW16" t="e">
        <f>AND(Plan1!B267,"AAAAAFt32Zg=")</f>
        <v>#VALUE!</v>
      </c>
      <c r="EX16" t="e">
        <f>AND(Plan1!C267,"AAAAAFt32Zk=")</f>
        <v>#VALUE!</v>
      </c>
      <c r="EY16" t="e">
        <f>AND(Plan1!D267,"AAAAAFt32Zo=")</f>
        <v>#VALUE!</v>
      </c>
      <c r="EZ16" t="e">
        <f>AND(Plan1!E267,"AAAAAFt32Zs=")</f>
        <v>#VALUE!</v>
      </c>
      <c r="FA16" t="e">
        <f>AND(Plan1!F267,"AAAAAFt32Zw=")</f>
        <v>#VALUE!</v>
      </c>
      <c r="FB16" t="e">
        <f>AND(Plan1!G267,"AAAAAFt32Z0=")</f>
        <v>#VALUE!</v>
      </c>
      <c r="FC16" t="e">
        <f>AND(Plan1!H267,"AAAAAFt32Z4=")</f>
        <v>#VALUE!</v>
      </c>
      <c r="FD16" t="e">
        <f>AND(Plan1!I267,"AAAAAFt32Z8=")</f>
        <v>#VALUE!</v>
      </c>
      <c r="FE16" t="e">
        <f>AND(Plan1!J267,"AAAAAFt32aA=")</f>
        <v>#VALUE!</v>
      </c>
      <c r="FF16" t="e">
        <f>AND(Plan1!K267,"AAAAAFt32aE=")</f>
        <v>#VALUE!</v>
      </c>
      <c r="FG16" t="e">
        <f>AND(Plan1!L267,"AAAAAFt32aI=")</f>
        <v>#VALUE!</v>
      </c>
      <c r="FH16" t="e">
        <f>AND(Plan1!M267,"AAAAAFt32aM=")</f>
        <v>#VALUE!</v>
      </c>
      <c r="FI16" t="e">
        <f>AND(Plan1!N267,"AAAAAFt32aQ=")</f>
        <v>#VALUE!</v>
      </c>
      <c r="FJ16">
        <f>IF(Plan1!268:268,"AAAAAFt32aU=",0)</f>
        <v>0</v>
      </c>
      <c r="FK16" t="e">
        <f>AND(Plan1!A268,"AAAAAFt32aY=")</f>
        <v>#VALUE!</v>
      </c>
      <c r="FL16" t="e">
        <f>AND(Plan1!B268,"AAAAAFt32ac=")</f>
        <v>#VALUE!</v>
      </c>
      <c r="FM16" t="e">
        <f>AND(Plan1!C268,"AAAAAFt32ag=")</f>
        <v>#VALUE!</v>
      </c>
      <c r="FN16" t="e">
        <f>AND(Plan1!D268,"AAAAAFt32ak=")</f>
        <v>#VALUE!</v>
      </c>
      <c r="FO16" t="e">
        <f>AND(Plan1!E268,"AAAAAFt32ao=")</f>
        <v>#VALUE!</v>
      </c>
      <c r="FP16" t="e">
        <f>AND(Plan1!F268,"AAAAAFt32as=")</f>
        <v>#VALUE!</v>
      </c>
      <c r="FQ16" t="e">
        <f>AND(Plan1!G268,"AAAAAFt32aw=")</f>
        <v>#VALUE!</v>
      </c>
      <c r="FR16" t="e">
        <f>AND(Plan1!H268,"AAAAAFt32a0=")</f>
        <v>#VALUE!</v>
      </c>
      <c r="FS16" t="e">
        <f>AND(Plan1!I268,"AAAAAFt32a4=")</f>
        <v>#VALUE!</v>
      </c>
      <c r="FT16" t="e">
        <f>AND(Plan1!J268,"AAAAAFt32a8=")</f>
        <v>#VALUE!</v>
      </c>
      <c r="FU16" t="e">
        <f>AND(Plan1!K268,"AAAAAFt32bA=")</f>
        <v>#VALUE!</v>
      </c>
      <c r="FV16" t="e">
        <f>AND(Plan1!L268,"AAAAAFt32bE=")</f>
        <v>#VALUE!</v>
      </c>
      <c r="FW16" t="e">
        <f>AND(Plan1!M268,"AAAAAFt32bI=")</f>
        <v>#VALUE!</v>
      </c>
      <c r="FX16" t="e">
        <f>AND(Plan1!N268,"AAAAAFt32bM=")</f>
        <v>#VALUE!</v>
      </c>
      <c r="FY16">
        <f>IF(Plan1!269:269,"AAAAAFt32bQ=",0)</f>
        <v>0</v>
      </c>
      <c r="FZ16" t="e">
        <f>AND(Plan1!A269,"AAAAAFt32bU=")</f>
        <v>#VALUE!</v>
      </c>
      <c r="GA16" t="e">
        <f>AND(Plan1!B269,"AAAAAFt32bY=")</f>
        <v>#VALUE!</v>
      </c>
      <c r="GB16" t="e">
        <f>AND(Plan1!C269,"AAAAAFt32bc=")</f>
        <v>#VALUE!</v>
      </c>
      <c r="GC16" t="e">
        <f>AND(Plan1!D269,"AAAAAFt32bg=")</f>
        <v>#VALUE!</v>
      </c>
      <c r="GD16" t="e">
        <f>AND(Plan1!E269,"AAAAAFt32bk=")</f>
        <v>#VALUE!</v>
      </c>
      <c r="GE16" t="e">
        <f>AND(Plan1!F269,"AAAAAFt32bo=")</f>
        <v>#VALUE!</v>
      </c>
      <c r="GF16" t="e">
        <f>AND(Plan1!G269,"AAAAAFt32bs=")</f>
        <v>#VALUE!</v>
      </c>
      <c r="GG16" t="e">
        <f>AND(Plan1!H269,"AAAAAFt32bw=")</f>
        <v>#VALUE!</v>
      </c>
      <c r="GH16" t="e">
        <f>AND(Plan1!I269,"AAAAAFt32b0=")</f>
        <v>#VALUE!</v>
      </c>
      <c r="GI16" t="e">
        <f>AND(Plan1!J269,"AAAAAFt32b4=")</f>
        <v>#VALUE!</v>
      </c>
      <c r="GJ16" t="e">
        <f>AND(Plan1!K269,"AAAAAFt32b8=")</f>
        <v>#VALUE!</v>
      </c>
      <c r="GK16" t="e">
        <f>AND(Plan1!L269,"AAAAAFt32cA=")</f>
        <v>#VALUE!</v>
      </c>
      <c r="GL16" t="e">
        <f>AND(Plan1!M269,"AAAAAFt32cE=")</f>
        <v>#VALUE!</v>
      </c>
      <c r="GM16" t="e">
        <f>AND(Plan1!N269,"AAAAAFt32cI=")</f>
        <v>#VALUE!</v>
      </c>
      <c r="GN16">
        <f>IF(Plan1!270:270,"AAAAAFt32cM=",0)</f>
        <v>0</v>
      </c>
      <c r="GO16" t="e">
        <f>AND(Plan1!A270,"AAAAAFt32cQ=")</f>
        <v>#VALUE!</v>
      </c>
      <c r="GP16" t="e">
        <f>AND(Plan1!B270,"AAAAAFt32cU=")</f>
        <v>#VALUE!</v>
      </c>
      <c r="GQ16" t="e">
        <f>AND(Plan1!C270,"AAAAAFt32cY=")</f>
        <v>#VALUE!</v>
      </c>
      <c r="GR16" t="e">
        <f>AND(Plan1!D270,"AAAAAFt32cc=")</f>
        <v>#VALUE!</v>
      </c>
      <c r="GS16" t="e">
        <f>AND(Plan1!E270,"AAAAAFt32cg=")</f>
        <v>#VALUE!</v>
      </c>
      <c r="GT16" t="e">
        <f>AND(Plan1!F270,"AAAAAFt32ck=")</f>
        <v>#VALUE!</v>
      </c>
      <c r="GU16" t="e">
        <f>AND(Plan1!G270,"AAAAAFt32co=")</f>
        <v>#VALUE!</v>
      </c>
      <c r="GV16" t="e">
        <f>AND(Plan1!H270,"AAAAAFt32cs=")</f>
        <v>#VALUE!</v>
      </c>
      <c r="GW16" t="e">
        <f>AND(Plan1!I270,"AAAAAFt32cw=")</f>
        <v>#VALUE!</v>
      </c>
      <c r="GX16" t="e">
        <f>AND(Plan1!J270,"AAAAAFt32c0=")</f>
        <v>#VALUE!</v>
      </c>
      <c r="GY16" t="e">
        <f>AND(Plan1!K270,"AAAAAFt32c4=")</f>
        <v>#VALUE!</v>
      </c>
      <c r="GZ16" t="e">
        <f>AND(Plan1!L270,"AAAAAFt32c8=")</f>
        <v>#VALUE!</v>
      </c>
      <c r="HA16" t="e">
        <f>AND(Plan1!M270,"AAAAAFt32dA=")</f>
        <v>#VALUE!</v>
      </c>
      <c r="HB16" t="e">
        <f>AND(Plan1!N270,"AAAAAFt32dE=")</f>
        <v>#VALUE!</v>
      </c>
      <c r="HC16">
        <f>IF(Plan1!271:271,"AAAAAFt32dI=",0)</f>
        <v>0</v>
      </c>
      <c r="HD16" t="e">
        <f>AND(Plan1!A271,"AAAAAFt32dM=")</f>
        <v>#VALUE!</v>
      </c>
      <c r="HE16" t="e">
        <f>AND(Plan1!B271,"AAAAAFt32dQ=")</f>
        <v>#VALUE!</v>
      </c>
      <c r="HF16" t="e">
        <f>AND(Plan1!C271,"AAAAAFt32dU=")</f>
        <v>#VALUE!</v>
      </c>
      <c r="HG16" t="e">
        <f>AND(Plan1!D271,"AAAAAFt32dY=")</f>
        <v>#VALUE!</v>
      </c>
      <c r="HH16" t="e">
        <f>AND(Plan1!E271,"AAAAAFt32dc=")</f>
        <v>#VALUE!</v>
      </c>
      <c r="HI16" t="e">
        <f>AND(Plan1!F271,"AAAAAFt32dg=")</f>
        <v>#VALUE!</v>
      </c>
      <c r="HJ16" t="e">
        <f>AND(Plan1!G271,"AAAAAFt32dk=")</f>
        <v>#VALUE!</v>
      </c>
      <c r="HK16" t="e">
        <f>AND(Plan1!H271,"AAAAAFt32do=")</f>
        <v>#VALUE!</v>
      </c>
      <c r="HL16" t="e">
        <f>AND(Plan1!I271,"AAAAAFt32ds=")</f>
        <v>#VALUE!</v>
      </c>
      <c r="HM16" t="e">
        <f>AND(Plan1!J271,"AAAAAFt32dw=")</f>
        <v>#VALUE!</v>
      </c>
      <c r="HN16" t="e">
        <f>AND(Plan1!K271,"AAAAAFt32d0=")</f>
        <v>#VALUE!</v>
      </c>
      <c r="HO16" t="e">
        <f>AND(Plan1!L271,"AAAAAFt32d4=")</f>
        <v>#VALUE!</v>
      </c>
      <c r="HP16" t="e">
        <f>AND(Plan1!M271,"AAAAAFt32d8=")</f>
        <v>#VALUE!</v>
      </c>
      <c r="HQ16" t="e">
        <f>AND(Plan1!N271,"AAAAAFt32eA=")</f>
        <v>#VALUE!</v>
      </c>
      <c r="HR16">
        <f>IF(Plan1!272:272,"AAAAAFt32eE=",0)</f>
        <v>0</v>
      </c>
      <c r="HS16" t="e">
        <f>AND(Plan1!A272,"AAAAAFt32eI=")</f>
        <v>#VALUE!</v>
      </c>
      <c r="HT16" t="e">
        <f>AND(Plan1!B272,"AAAAAFt32eM=")</f>
        <v>#VALUE!</v>
      </c>
      <c r="HU16" t="e">
        <f>AND(Plan1!C272,"AAAAAFt32eQ=")</f>
        <v>#VALUE!</v>
      </c>
      <c r="HV16" t="e">
        <f>AND(Plan1!D272,"AAAAAFt32eU=")</f>
        <v>#VALUE!</v>
      </c>
      <c r="HW16" t="e">
        <f>AND(Plan1!E272,"AAAAAFt32eY=")</f>
        <v>#VALUE!</v>
      </c>
      <c r="HX16" t="e">
        <f>AND(Plan1!F272,"AAAAAFt32ec=")</f>
        <v>#VALUE!</v>
      </c>
      <c r="HY16" t="e">
        <f>AND(Plan1!G272,"AAAAAFt32eg=")</f>
        <v>#VALUE!</v>
      </c>
      <c r="HZ16" t="e">
        <f>AND(Plan1!H272,"AAAAAFt32ek=")</f>
        <v>#VALUE!</v>
      </c>
      <c r="IA16" t="e">
        <f>AND(Plan1!I272,"AAAAAFt32eo=")</f>
        <v>#VALUE!</v>
      </c>
      <c r="IB16" t="e">
        <f>AND(Plan1!J272,"AAAAAFt32es=")</f>
        <v>#VALUE!</v>
      </c>
      <c r="IC16" t="e">
        <f>AND(Plan1!K272,"AAAAAFt32ew=")</f>
        <v>#VALUE!</v>
      </c>
      <c r="ID16" t="e">
        <f>AND(Plan1!L272,"AAAAAFt32e0=")</f>
        <v>#VALUE!</v>
      </c>
      <c r="IE16" t="e">
        <f>AND(Plan1!M272,"AAAAAFt32e4=")</f>
        <v>#VALUE!</v>
      </c>
      <c r="IF16" t="e">
        <f>AND(Plan1!N272,"AAAAAFt32e8=")</f>
        <v>#VALUE!</v>
      </c>
      <c r="IG16">
        <f>IF(Plan1!273:273,"AAAAAFt32fA=",0)</f>
        <v>0</v>
      </c>
      <c r="IH16" t="e">
        <f>AND(Plan1!A273,"AAAAAFt32fE=")</f>
        <v>#VALUE!</v>
      </c>
      <c r="II16" t="e">
        <f>AND(Plan1!B273,"AAAAAFt32fI=")</f>
        <v>#VALUE!</v>
      </c>
      <c r="IJ16" t="e">
        <f>AND(Plan1!C273,"AAAAAFt32fM=")</f>
        <v>#VALUE!</v>
      </c>
      <c r="IK16" t="e">
        <f>AND(Plan1!D273,"AAAAAFt32fQ=")</f>
        <v>#VALUE!</v>
      </c>
      <c r="IL16" t="e">
        <f>AND(Plan1!E273,"AAAAAFt32fU=")</f>
        <v>#VALUE!</v>
      </c>
      <c r="IM16" t="e">
        <f>AND(Plan1!F273,"AAAAAFt32fY=")</f>
        <v>#VALUE!</v>
      </c>
      <c r="IN16" t="e">
        <f>AND(Plan1!G273,"AAAAAFt32fc=")</f>
        <v>#VALUE!</v>
      </c>
      <c r="IO16" t="e">
        <f>AND(Plan1!H273,"AAAAAFt32fg=")</f>
        <v>#VALUE!</v>
      </c>
      <c r="IP16" t="e">
        <f>AND(Plan1!I273,"AAAAAFt32fk=")</f>
        <v>#VALUE!</v>
      </c>
      <c r="IQ16" t="e">
        <f>AND(Plan1!J273,"AAAAAFt32fo=")</f>
        <v>#VALUE!</v>
      </c>
      <c r="IR16" t="e">
        <f>AND(Plan1!K273,"AAAAAFt32fs=")</f>
        <v>#VALUE!</v>
      </c>
      <c r="IS16" t="e">
        <f>AND(Plan1!L273,"AAAAAFt32fw=")</f>
        <v>#VALUE!</v>
      </c>
      <c r="IT16" t="e">
        <f>AND(Plan1!M273,"AAAAAFt32f0=")</f>
        <v>#VALUE!</v>
      </c>
      <c r="IU16" t="e">
        <f>AND(Plan1!N273,"AAAAAFt32f4=")</f>
        <v>#VALUE!</v>
      </c>
      <c r="IV16">
        <f>IF(Plan1!274:274,"AAAAAFt32f8=",0)</f>
        <v>0</v>
      </c>
    </row>
    <row r="17" spans="1:256">
      <c r="A17" t="e">
        <f>AND(Plan1!A274,"AAAAADfsewA=")</f>
        <v>#VALUE!</v>
      </c>
      <c r="B17" t="e">
        <f>AND(Plan1!B274,"AAAAADfsewE=")</f>
        <v>#VALUE!</v>
      </c>
      <c r="C17" t="e">
        <f>AND(Plan1!C274,"AAAAADfsewI=")</f>
        <v>#VALUE!</v>
      </c>
      <c r="D17" t="e">
        <f>AND(Plan1!D274,"AAAAADfsewM=")</f>
        <v>#VALUE!</v>
      </c>
      <c r="E17" t="e">
        <f>AND(Plan1!E274,"AAAAADfsewQ=")</f>
        <v>#VALUE!</v>
      </c>
      <c r="F17" t="e">
        <f>AND(Plan1!F274,"AAAAADfsewU=")</f>
        <v>#VALUE!</v>
      </c>
      <c r="G17" t="e">
        <f>AND(Plan1!G274,"AAAAADfsewY=")</f>
        <v>#VALUE!</v>
      </c>
      <c r="H17" t="e">
        <f>AND(Plan1!H274,"AAAAADfsewc=")</f>
        <v>#VALUE!</v>
      </c>
      <c r="I17" t="e">
        <f>AND(Plan1!I274,"AAAAADfsewg=")</f>
        <v>#VALUE!</v>
      </c>
      <c r="J17" t="e">
        <f>AND(Plan1!J274,"AAAAADfsewk=")</f>
        <v>#VALUE!</v>
      </c>
      <c r="K17" t="e">
        <f>AND(Plan1!K274,"AAAAADfsewo=")</f>
        <v>#VALUE!</v>
      </c>
      <c r="L17" t="e">
        <f>AND(Plan1!L274,"AAAAADfsews=")</f>
        <v>#VALUE!</v>
      </c>
      <c r="M17" t="e">
        <f>AND(Plan1!M274,"AAAAADfseww=")</f>
        <v>#VALUE!</v>
      </c>
      <c r="N17" t="e">
        <f>AND(Plan1!N274,"AAAAADfsew0=")</f>
        <v>#VALUE!</v>
      </c>
      <c r="O17">
        <f>IF(Plan1!275:275,"AAAAADfsew4=",0)</f>
        <v>0</v>
      </c>
      <c r="P17" t="e">
        <f>AND(Plan1!A275,"AAAAADfsew8=")</f>
        <v>#VALUE!</v>
      </c>
      <c r="Q17" t="e">
        <f>AND(Plan1!B275,"AAAAADfsexA=")</f>
        <v>#VALUE!</v>
      </c>
      <c r="R17" t="e">
        <f>AND(Plan1!C275,"AAAAADfsexE=")</f>
        <v>#VALUE!</v>
      </c>
      <c r="S17" t="e">
        <f>AND(Plan1!D275,"AAAAADfsexI=")</f>
        <v>#VALUE!</v>
      </c>
      <c r="T17" t="e">
        <f>AND(Plan1!E275,"AAAAADfsexM=")</f>
        <v>#VALUE!</v>
      </c>
      <c r="U17" t="e">
        <f>AND(Plan1!F275,"AAAAADfsexQ=")</f>
        <v>#VALUE!</v>
      </c>
      <c r="V17" t="e">
        <f>AND(Plan1!G275,"AAAAADfsexU=")</f>
        <v>#VALUE!</v>
      </c>
      <c r="W17" t="e">
        <f>AND(Plan1!H275,"AAAAADfsexY=")</f>
        <v>#VALUE!</v>
      </c>
      <c r="X17" t="e">
        <f>AND(Plan1!I275,"AAAAADfsexc=")</f>
        <v>#VALUE!</v>
      </c>
      <c r="Y17" t="e">
        <f>AND(Plan1!J275,"AAAAADfsexg=")</f>
        <v>#VALUE!</v>
      </c>
      <c r="Z17" t="e">
        <f>AND(Plan1!K275,"AAAAADfsexk=")</f>
        <v>#VALUE!</v>
      </c>
      <c r="AA17" t="e">
        <f>AND(Plan1!L275,"AAAAADfsexo=")</f>
        <v>#VALUE!</v>
      </c>
      <c r="AB17" t="e">
        <f>AND(Plan1!M275,"AAAAADfsexs=")</f>
        <v>#VALUE!</v>
      </c>
      <c r="AC17" t="e">
        <f>AND(Plan1!N275,"AAAAADfsexw=")</f>
        <v>#VALUE!</v>
      </c>
      <c r="AD17">
        <f>IF(Plan1!276:276,"AAAAADfsex0=",0)</f>
        <v>0</v>
      </c>
      <c r="AE17" t="e">
        <f>AND(Plan1!A276,"AAAAADfsex4=")</f>
        <v>#VALUE!</v>
      </c>
      <c r="AF17" t="e">
        <f>AND(Plan1!B276,"AAAAADfsex8=")</f>
        <v>#VALUE!</v>
      </c>
      <c r="AG17" t="e">
        <f>AND(Plan1!C276,"AAAAADfseyA=")</f>
        <v>#VALUE!</v>
      </c>
      <c r="AH17" t="e">
        <f>AND(Plan1!D276,"AAAAADfseyE=")</f>
        <v>#VALUE!</v>
      </c>
      <c r="AI17" t="e">
        <f>AND(Plan1!E276,"AAAAADfseyI=")</f>
        <v>#VALUE!</v>
      </c>
      <c r="AJ17" t="e">
        <f>AND(Plan1!F276,"AAAAADfseyM=")</f>
        <v>#VALUE!</v>
      </c>
      <c r="AK17" t="e">
        <f>AND(Plan1!G276,"AAAAADfseyQ=")</f>
        <v>#VALUE!</v>
      </c>
      <c r="AL17" t="e">
        <f>AND(Plan1!H276,"AAAAADfseyU=")</f>
        <v>#VALUE!</v>
      </c>
      <c r="AM17" t="e">
        <f>AND(Plan1!I276,"AAAAADfseyY=")</f>
        <v>#VALUE!</v>
      </c>
      <c r="AN17" t="e">
        <f>AND(Plan1!J276,"AAAAADfseyc=")</f>
        <v>#VALUE!</v>
      </c>
      <c r="AO17" t="e">
        <f>AND(Plan1!K276,"AAAAADfseyg=")</f>
        <v>#VALUE!</v>
      </c>
      <c r="AP17" t="e">
        <f>AND(Plan1!L276,"AAAAADfseyk=")</f>
        <v>#VALUE!</v>
      </c>
      <c r="AQ17" t="e">
        <f>AND(Plan1!M276,"AAAAADfseyo=")</f>
        <v>#VALUE!</v>
      </c>
      <c r="AR17" t="e">
        <f>AND(Plan1!N276,"AAAAADfseys=")</f>
        <v>#VALUE!</v>
      </c>
      <c r="AS17">
        <f>IF(Plan1!277:277,"AAAAADfseyw=",0)</f>
        <v>0</v>
      </c>
      <c r="AT17" t="e">
        <f>AND(Plan1!A277,"AAAAADfsey0=")</f>
        <v>#VALUE!</v>
      </c>
      <c r="AU17" t="e">
        <f>AND(Plan1!B277,"AAAAADfsey4=")</f>
        <v>#VALUE!</v>
      </c>
      <c r="AV17" t="e">
        <f>AND(Plan1!C277,"AAAAADfsey8=")</f>
        <v>#VALUE!</v>
      </c>
      <c r="AW17" t="e">
        <f>AND(Plan1!D277,"AAAAADfsezA=")</f>
        <v>#VALUE!</v>
      </c>
      <c r="AX17" t="e">
        <f>AND(Plan1!E277,"AAAAADfsezE=")</f>
        <v>#VALUE!</v>
      </c>
      <c r="AY17" t="e">
        <f>AND(Plan1!F277,"AAAAADfsezI=")</f>
        <v>#VALUE!</v>
      </c>
      <c r="AZ17" t="e">
        <f>AND(Plan1!G277,"AAAAADfsezM=")</f>
        <v>#VALUE!</v>
      </c>
      <c r="BA17" t="e">
        <f>AND(Plan1!H277,"AAAAADfsezQ=")</f>
        <v>#VALUE!</v>
      </c>
      <c r="BB17" t="e">
        <f>AND(Plan1!I277,"AAAAADfsezU=")</f>
        <v>#VALUE!</v>
      </c>
      <c r="BC17" t="e">
        <f>AND(Plan1!J277,"AAAAADfsezY=")</f>
        <v>#VALUE!</v>
      </c>
      <c r="BD17" t="e">
        <f>AND(Plan1!K277,"AAAAADfsezc=")</f>
        <v>#VALUE!</v>
      </c>
      <c r="BE17" t="e">
        <f>AND(Plan1!L277,"AAAAADfsezg=")</f>
        <v>#VALUE!</v>
      </c>
      <c r="BF17" t="e">
        <f>AND(Plan1!M277,"AAAAADfsezk=")</f>
        <v>#VALUE!</v>
      </c>
      <c r="BG17" t="e">
        <f>AND(Plan1!N277,"AAAAADfsezo=")</f>
        <v>#VALUE!</v>
      </c>
      <c r="BH17">
        <f>IF(Plan1!278:278,"AAAAADfsezs=",0)</f>
        <v>0</v>
      </c>
      <c r="BI17" t="e">
        <f>AND(Plan1!A278,"AAAAADfsezw=")</f>
        <v>#VALUE!</v>
      </c>
      <c r="BJ17" t="e">
        <f>AND(Plan1!B278,"AAAAADfsez0=")</f>
        <v>#VALUE!</v>
      </c>
      <c r="BK17" t="e">
        <f>AND(Plan1!C278,"AAAAADfsez4=")</f>
        <v>#VALUE!</v>
      </c>
      <c r="BL17" t="e">
        <f>AND(Plan1!D278,"AAAAADfsez8=")</f>
        <v>#VALUE!</v>
      </c>
      <c r="BM17" t="e">
        <f>AND(Plan1!E278,"AAAAADfse0A=")</f>
        <v>#VALUE!</v>
      </c>
      <c r="BN17" t="e">
        <f>AND(Plan1!F278,"AAAAADfse0E=")</f>
        <v>#VALUE!</v>
      </c>
      <c r="BO17" t="e">
        <f>AND(Plan1!G278,"AAAAADfse0I=")</f>
        <v>#VALUE!</v>
      </c>
      <c r="BP17" t="e">
        <f>AND(Plan1!H278,"AAAAADfse0M=")</f>
        <v>#VALUE!</v>
      </c>
      <c r="BQ17" t="e">
        <f>AND(Plan1!I278,"AAAAADfse0Q=")</f>
        <v>#VALUE!</v>
      </c>
      <c r="BR17" t="e">
        <f>AND(Plan1!J278,"AAAAADfse0U=")</f>
        <v>#VALUE!</v>
      </c>
      <c r="BS17" t="e">
        <f>AND(Plan1!K278,"AAAAADfse0Y=")</f>
        <v>#VALUE!</v>
      </c>
      <c r="BT17" t="e">
        <f>AND(Plan1!L278,"AAAAADfse0c=")</f>
        <v>#VALUE!</v>
      </c>
      <c r="BU17" t="e">
        <f>AND(Plan1!M278,"AAAAADfse0g=")</f>
        <v>#VALUE!</v>
      </c>
      <c r="BV17" t="e">
        <f>AND(Plan1!N278,"AAAAADfse0k=")</f>
        <v>#VALUE!</v>
      </c>
      <c r="BW17">
        <f>IF(Plan1!279:279,"AAAAADfse0o=",0)</f>
        <v>0</v>
      </c>
      <c r="BX17" t="e">
        <f>AND(Plan1!A279,"AAAAADfse0s=")</f>
        <v>#VALUE!</v>
      </c>
      <c r="BY17" t="e">
        <f>AND(Plan1!B279,"AAAAADfse0w=")</f>
        <v>#VALUE!</v>
      </c>
      <c r="BZ17" t="e">
        <f>AND(Plan1!C279,"AAAAADfse00=")</f>
        <v>#VALUE!</v>
      </c>
      <c r="CA17" t="e">
        <f>AND(Plan1!D279,"AAAAADfse04=")</f>
        <v>#VALUE!</v>
      </c>
      <c r="CB17" t="e">
        <f>AND(Plan1!E279,"AAAAADfse08=")</f>
        <v>#VALUE!</v>
      </c>
      <c r="CC17" t="e">
        <f>AND(Plan1!F279,"AAAAADfse1A=")</f>
        <v>#VALUE!</v>
      </c>
      <c r="CD17" t="e">
        <f>AND(Plan1!G279,"AAAAADfse1E=")</f>
        <v>#VALUE!</v>
      </c>
      <c r="CE17" t="e">
        <f>AND(Plan1!H279,"AAAAADfse1I=")</f>
        <v>#VALUE!</v>
      </c>
      <c r="CF17" t="e">
        <f>AND(Plan1!I279,"AAAAADfse1M=")</f>
        <v>#VALUE!</v>
      </c>
      <c r="CG17" t="e">
        <f>AND(Plan1!J279,"AAAAADfse1Q=")</f>
        <v>#VALUE!</v>
      </c>
      <c r="CH17" t="e">
        <f>AND(Plan1!K279,"AAAAADfse1U=")</f>
        <v>#VALUE!</v>
      </c>
      <c r="CI17" t="e">
        <f>AND(Plan1!L279,"AAAAADfse1Y=")</f>
        <v>#VALUE!</v>
      </c>
      <c r="CJ17" t="e">
        <f>AND(Plan1!M279,"AAAAADfse1c=")</f>
        <v>#VALUE!</v>
      </c>
      <c r="CK17" t="e">
        <f>AND(Plan1!N279,"AAAAADfse1g=")</f>
        <v>#VALUE!</v>
      </c>
      <c r="CL17">
        <f>IF(Plan1!280:280,"AAAAADfse1k=",0)</f>
        <v>0</v>
      </c>
      <c r="CM17" t="e">
        <f>AND(Plan1!A280,"AAAAADfse1o=")</f>
        <v>#VALUE!</v>
      </c>
      <c r="CN17" t="e">
        <f>AND(Plan1!B280,"AAAAADfse1s=")</f>
        <v>#VALUE!</v>
      </c>
      <c r="CO17" t="e">
        <f>AND(Plan1!C280,"AAAAADfse1w=")</f>
        <v>#VALUE!</v>
      </c>
      <c r="CP17" t="e">
        <f>AND(Plan1!D280,"AAAAADfse10=")</f>
        <v>#VALUE!</v>
      </c>
      <c r="CQ17" t="e">
        <f>AND(Plan1!E280,"AAAAADfse14=")</f>
        <v>#VALUE!</v>
      </c>
      <c r="CR17" t="e">
        <f>AND(Plan1!F280,"AAAAADfse18=")</f>
        <v>#VALUE!</v>
      </c>
      <c r="CS17" t="e">
        <f>AND(Plan1!G280,"AAAAADfse2A=")</f>
        <v>#VALUE!</v>
      </c>
      <c r="CT17" t="e">
        <f>AND(Plan1!H280,"AAAAADfse2E=")</f>
        <v>#VALUE!</v>
      </c>
      <c r="CU17" t="e">
        <f>AND(Plan1!I280,"AAAAADfse2I=")</f>
        <v>#VALUE!</v>
      </c>
      <c r="CV17" t="e">
        <f>AND(Plan1!J280,"AAAAADfse2M=")</f>
        <v>#VALUE!</v>
      </c>
      <c r="CW17" t="e">
        <f>AND(Plan1!K280,"AAAAADfse2Q=")</f>
        <v>#VALUE!</v>
      </c>
      <c r="CX17" t="e">
        <f>AND(Plan1!L280,"AAAAADfse2U=")</f>
        <v>#VALUE!</v>
      </c>
      <c r="CY17" t="e">
        <f>AND(Plan1!M280,"AAAAADfse2Y=")</f>
        <v>#VALUE!</v>
      </c>
      <c r="CZ17" t="e">
        <f>AND(Plan1!N280,"AAAAADfse2c=")</f>
        <v>#VALUE!</v>
      </c>
      <c r="DA17">
        <f>IF(Plan1!281:281,"AAAAADfse2g=",0)</f>
        <v>0</v>
      </c>
      <c r="DB17" t="e">
        <f>AND(Plan1!A281,"AAAAADfse2k=")</f>
        <v>#VALUE!</v>
      </c>
      <c r="DC17" t="e">
        <f>AND(Plan1!B281,"AAAAADfse2o=")</f>
        <v>#VALUE!</v>
      </c>
      <c r="DD17" t="e">
        <f>AND(Plan1!C281,"AAAAADfse2s=")</f>
        <v>#VALUE!</v>
      </c>
      <c r="DE17" t="e">
        <f>AND(Plan1!D281,"AAAAADfse2w=")</f>
        <v>#VALUE!</v>
      </c>
      <c r="DF17" t="e">
        <f>AND(Plan1!E281,"AAAAADfse20=")</f>
        <v>#VALUE!</v>
      </c>
      <c r="DG17" t="e">
        <f>AND(Plan1!F281,"AAAAADfse24=")</f>
        <v>#VALUE!</v>
      </c>
      <c r="DH17" t="e">
        <f>AND(Plan1!G281,"AAAAADfse28=")</f>
        <v>#VALUE!</v>
      </c>
      <c r="DI17" t="e">
        <f>AND(Plan1!H281,"AAAAADfse3A=")</f>
        <v>#VALUE!</v>
      </c>
      <c r="DJ17" t="e">
        <f>AND(Plan1!I281,"AAAAADfse3E=")</f>
        <v>#VALUE!</v>
      </c>
      <c r="DK17" t="e">
        <f>AND(Plan1!J281,"AAAAADfse3I=")</f>
        <v>#VALUE!</v>
      </c>
      <c r="DL17" t="e">
        <f>AND(Plan1!K281,"AAAAADfse3M=")</f>
        <v>#VALUE!</v>
      </c>
      <c r="DM17" t="e">
        <f>AND(Plan1!L281,"AAAAADfse3Q=")</f>
        <v>#VALUE!</v>
      </c>
      <c r="DN17" t="e">
        <f>AND(Plan1!M281,"AAAAADfse3U=")</f>
        <v>#VALUE!</v>
      </c>
      <c r="DO17" t="e">
        <f>AND(Plan1!N281,"AAAAADfse3Y=")</f>
        <v>#VALUE!</v>
      </c>
      <c r="DP17">
        <f>IF(Plan1!282:282,"AAAAADfse3c=",0)</f>
        <v>0</v>
      </c>
      <c r="DQ17" t="e">
        <f>AND(Plan1!A282,"AAAAADfse3g=")</f>
        <v>#VALUE!</v>
      </c>
      <c r="DR17" t="e">
        <f>AND(Plan1!B282,"AAAAADfse3k=")</f>
        <v>#VALUE!</v>
      </c>
      <c r="DS17" t="e">
        <f>AND(Plan1!C282,"AAAAADfse3o=")</f>
        <v>#VALUE!</v>
      </c>
      <c r="DT17" t="e">
        <f>AND(Plan1!D282,"AAAAADfse3s=")</f>
        <v>#VALUE!</v>
      </c>
      <c r="DU17" t="e">
        <f>AND(Plan1!E282,"AAAAADfse3w=")</f>
        <v>#VALUE!</v>
      </c>
      <c r="DV17" t="e">
        <f>AND(Plan1!F282,"AAAAADfse30=")</f>
        <v>#VALUE!</v>
      </c>
      <c r="DW17" t="e">
        <f>AND(Plan1!G282,"AAAAADfse34=")</f>
        <v>#VALUE!</v>
      </c>
      <c r="DX17" t="e">
        <f>AND(Plan1!H282,"AAAAADfse38=")</f>
        <v>#VALUE!</v>
      </c>
      <c r="DY17" t="e">
        <f>AND(Plan1!I282,"AAAAADfse4A=")</f>
        <v>#VALUE!</v>
      </c>
      <c r="DZ17" t="e">
        <f>AND(Plan1!J282,"AAAAADfse4E=")</f>
        <v>#VALUE!</v>
      </c>
      <c r="EA17" t="e">
        <f>AND(Plan1!K282,"AAAAADfse4I=")</f>
        <v>#VALUE!</v>
      </c>
      <c r="EB17" t="e">
        <f>AND(Plan1!L282,"AAAAADfse4M=")</f>
        <v>#VALUE!</v>
      </c>
      <c r="EC17" t="e">
        <f>AND(Plan1!M282,"AAAAADfse4Q=")</f>
        <v>#VALUE!</v>
      </c>
      <c r="ED17" t="e">
        <f>AND(Plan1!N282,"AAAAADfse4U=")</f>
        <v>#VALUE!</v>
      </c>
      <c r="EE17">
        <f>IF(Plan1!283:283,"AAAAADfse4Y=",0)</f>
        <v>0</v>
      </c>
      <c r="EF17" t="e">
        <f>AND(Plan1!A283,"AAAAADfse4c=")</f>
        <v>#VALUE!</v>
      </c>
      <c r="EG17" t="e">
        <f>AND(Plan1!B283,"AAAAADfse4g=")</f>
        <v>#VALUE!</v>
      </c>
      <c r="EH17" t="e">
        <f>AND(Plan1!C283,"AAAAADfse4k=")</f>
        <v>#VALUE!</v>
      </c>
      <c r="EI17" t="e">
        <f>AND(Plan1!D283,"AAAAADfse4o=")</f>
        <v>#VALUE!</v>
      </c>
      <c r="EJ17" t="e">
        <f>AND(Plan1!E283,"AAAAADfse4s=")</f>
        <v>#VALUE!</v>
      </c>
      <c r="EK17" t="e">
        <f>AND(Plan1!F283,"AAAAADfse4w=")</f>
        <v>#VALUE!</v>
      </c>
      <c r="EL17" t="e">
        <f>AND(Plan1!G283,"AAAAADfse40=")</f>
        <v>#VALUE!</v>
      </c>
      <c r="EM17" t="e">
        <f>AND(Plan1!H283,"AAAAADfse44=")</f>
        <v>#VALUE!</v>
      </c>
      <c r="EN17" t="e">
        <f>AND(Plan1!I283,"AAAAADfse48=")</f>
        <v>#VALUE!</v>
      </c>
      <c r="EO17" t="e">
        <f>AND(Plan1!J283,"AAAAADfse5A=")</f>
        <v>#VALUE!</v>
      </c>
      <c r="EP17" t="e">
        <f>AND(Plan1!K283,"AAAAADfse5E=")</f>
        <v>#VALUE!</v>
      </c>
      <c r="EQ17" t="e">
        <f>AND(Plan1!L283,"AAAAADfse5I=")</f>
        <v>#VALUE!</v>
      </c>
      <c r="ER17" t="e">
        <f>AND(Plan1!M283,"AAAAADfse5M=")</f>
        <v>#VALUE!</v>
      </c>
      <c r="ES17" t="e">
        <f>AND(Plan1!N283,"AAAAADfse5Q=")</f>
        <v>#VALUE!</v>
      </c>
      <c r="ET17">
        <f>IF(Plan1!284:284,"AAAAADfse5U=",0)</f>
        <v>0</v>
      </c>
      <c r="EU17" t="e">
        <f>AND(Plan1!A284,"AAAAADfse5Y=")</f>
        <v>#VALUE!</v>
      </c>
      <c r="EV17" t="e">
        <f>AND(Plan1!B284,"AAAAADfse5c=")</f>
        <v>#VALUE!</v>
      </c>
      <c r="EW17" t="e">
        <f>AND(Plan1!C284,"AAAAADfse5g=")</f>
        <v>#VALUE!</v>
      </c>
      <c r="EX17" t="e">
        <f>AND(Plan1!D284,"AAAAADfse5k=")</f>
        <v>#VALUE!</v>
      </c>
      <c r="EY17" t="e">
        <f>AND(Plan1!E284,"AAAAADfse5o=")</f>
        <v>#VALUE!</v>
      </c>
      <c r="EZ17" t="e">
        <f>AND(Plan1!F284,"AAAAADfse5s=")</f>
        <v>#VALUE!</v>
      </c>
      <c r="FA17" t="e">
        <f>AND(Plan1!G284,"AAAAADfse5w=")</f>
        <v>#VALUE!</v>
      </c>
      <c r="FB17" t="e">
        <f>AND(Plan1!H284,"AAAAADfse50=")</f>
        <v>#VALUE!</v>
      </c>
      <c r="FC17" t="e">
        <f>AND(Plan1!I284,"AAAAADfse54=")</f>
        <v>#VALUE!</v>
      </c>
      <c r="FD17" t="e">
        <f>AND(Plan1!J284,"AAAAADfse58=")</f>
        <v>#VALUE!</v>
      </c>
      <c r="FE17" t="e">
        <f>AND(Plan1!K284,"AAAAADfse6A=")</f>
        <v>#VALUE!</v>
      </c>
      <c r="FF17" t="e">
        <f>AND(Plan1!L284,"AAAAADfse6E=")</f>
        <v>#VALUE!</v>
      </c>
      <c r="FG17" t="e">
        <f>AND(Plan1!M284,"AAAAADfse6I=")</f>
        <v>#VALUE!</v>
      </c>
      <c r="FH17" t="e">
        <f>AND(Plan1!N284,"AAAAADfse6M=")</f>
        <v>#VALUE!</v>
      </c>
      <c r="FI17">
        <f>IF(Plan1!285:285,"AAAAADfse6Q=",0)</f>
        <v>0</v>
      </c>
      <c r="FJ17" t="e">
        <f>AND(Plan1!A285,"AAAAADfse6U=")</f>
        <v>#VALUE!</v>
      </c>
      <c r="FK17" t="e">
        <f>AND(Plan1!B285,"AAAAADfse6Y=")</f>
        <v>#VALUE!</v>
      </c>
      <c r="FL17" t="e">
        <f>AND(Plan1!C285,"AAAAADfse6c=")</f>
        <v>#VALUE!</v>
      </c>
      <c r="FM17" t="e">
        <f>AND(Plan1!D285,"AAAAADfse6g=")</f>
        <v>#VALUE!</v>
      </c>
      <c r="FN17" t="e">
        <f>AND(Plan1!E285,"AAAAADfse6k=")</f>
        <v>#VALUE!</v>
      </c>
      <c r="FO17" t="e">
        <f>AND(Plan1!F285,"AAAAADfse6o=")</f>
        <v>#VALUE!</v>
      </c>
      <c r="FP17" t="e">
        <f>AND(Plan1!G285,"AAAAADfse6s=")</f>
        <v>#VALUE!</v>
      </c>
      <c r="FQ17" t="e">
        <f>AND(Plan1!H285,"AAAAADfse6w=")</f>
        <v>#VALUE!</v>
      </c>
      <c r="FR17" t="e">
        <f>AND(Plan1!I285,"AAAAADfse60=")</f>
        <v>#VALUE!</v>
      </c>
      <c r="FS17" t="e">
        <f>AND(Plan1!J285,"AAAAADfse64=")</f>
        <v>#VALUE!</v>
      </c>
      <c r="FT17" t="e">
        <f>AND(Plan1!K285,"AAAAADfse68=")</f>
        <v>#VALUE!</v>
      </c>
      <c r="FU17" t="e">
        <f>AND(Plan1!L285,"AAAAADfse7A=")</f>
        <v>#VALUE!</v>
      </c>
      <c r="FV17" t="e">
        <f>AND(Plan1!M285,"AAAAADfse7E=")</f>
        <v>#VALUE!</v>
      </c>
      <c r="FW17" t="e">
        <f>AND(Plan1!N285,"AAAAADfse7I=")</f>
        <v>#VALUE!</v>
      </c>
      <c r="FX17">
        <f>IF(Plan1!286:286,"AAAAADfse7M=",0)</f>
        <v>0</v>
      </c>
      <c r="FY17" t="e">
        <f>AND(Plan1!A286,"AAAAADfse7Q=")</f>
        <v>#VALUE!</v>
      </c>
      <c r="FZ17" t="e">
        <f>AND(Plan1!B286,"AAAAADfse7U=")</f>
        <v>#VALUE!</v>
      </c>
      <c r="GA17" t="e">
        <f>AND(Plan1!C286,"AAAAADfse7Y=")</f>
        <v>#VALUE!</v>
      </c>
      <c r="GB17" t="e">
        <f>AND(Plan1!D286,"AAAAADfse7c=")</f>
        <v>#VALUE!</v>
      </c>
      <c r="GC17" t="e">
        <f>AND(Plan1!E286,"AAAAADfse7g=")</f>
        <v>#VALUE!</v>
      </c>
      <c r="GD17" t="e">
        <f>AND(Plan1!F286,"AAAAADfse7k=")</f>
        <v>#VALUE!</v>
      </c>
      <c r="GE17" t="e">
        <f>AND(Plan1!G286,"AAAAADfse7o=")</f>
        <v>#VALUE!</v>
      </c>
      <c r="GF17" t="e">
        <f>AND(Plan1!H286,"AAAAADfse7s=")</f>
        <v>#VALUE!</v>
      </c>
      <c r="GG17" t="e">
        <f>AND(Plan1!I286,"AAAAADfse7w=")</f>
        <v>#VALUE!</v>
      </c>
      <c r="GH17" t="e">
        <f>AND(Plan1!J286,"AAAAADfse70=")</f>
        <v>#VALUE!</v>
      </c>
      <c r="GI17" t="e">
        <f>AND(Plan1!K286,"AAAAADfse74=")</f>
        <v>#VALUE!</v>
      </c>
      <c r="GJ17" t="e">
        <f>AND(Plan1!L286,"AAAAADfse78=")</f>
        <v>#VALUE!</v>
      </c>
      <c r="GK17" t="e">
        <f>AND(Plan1!M286,"AAAAADfse8A=")</f>
        <v>#VALUE!</v>
      </c>
      <c r="GL17" t="e">
        <f>AND(Plan1!N286,"AAAAADfse8E=")</f>
        <v>#VALUE!</v>
      </c>
      <c r="GM17">
        <f>IF(Plan1!287:287,"AAAAADfse8I=",0)</f>
        <v>0</v>
      </c>
      <c r="GN17" t="e">
        <f>AND(Plan1!A287,"AAAAADfse8M=")</f>
        <v>#VALUE!</v>
      </c>
      <c r="GO17" t="e">
        <f>AND(Plan1!B287,"AAAAADfse8Q=")</f>
        <v>#VALUE!</v>
      </c>
      <c r="GP17" t="e">
        <f>AND(Plan1!C287,"AAAAADfse8U=")</f>
        <v>#VALUE!</v>
      </c>
      <c r="GQ17" t="e">
        <f>AND(Plan1!D287,"AAAAADfse8Y=")</f>
        <v>#VALUE!</v>
      </c>
      <c r="GR17" t="e">
        <f>AND(Plan1!E287,"AAAAADfse8c=")</f>
        <v>#VALUE!</v>
      </c>
      <c r="GS17" t="e">
        <f>AND(Plan1!F287,"AAAAADfse8g=")</f>
        <v>#VALUE!</v>
      </c>
      <c r="GT17" t="e">
        <f>AND(Plan1!G287,"AAAAADfse8k=")</f>
        <v>#VALUE!</v>
      </c>
      <c r="GU17" t="e">
        <f>AND(Plan1!H287,"AAAAADfse8o=")</f>
        <v>#VALUE!</v>
      </c>
      <c r="GV17" t="e">
        <f>AND(Plan1!I287,"AAAAADfse8s=")</f>
        <v>#VALUE!</v>
      </c>
      <c r="GW17" t="e">
        <f>AND(Plan1!J287,"AAAAADfse8w=")</f>
        <v>#VALUE!</v>
      </c>
      <c r="GX17" t="e">
        <f>AND(Plan1!K287,"AAAAADfse80=")</f>
        <v>#VALUE!</v>
      </c>
      <c r="GY17" t="e">
        <f>AND(Plan1!L287,"AAAAADfse84=")</f>
        <v>#VALUE!</v>
      </c>
      <c r="GZ17" t="e">
        <f>AND(Plan1!M287,"AAAAADfse88=")</f>
        <v>#VALUE!</v>
      </c>
      <c r="HA17" t="e">
        <f>AND(Plan1!N287,"AAAAADfse9A=")</f>
        <v>#VALUE!</v>
      </c>
      <c r="HB17">
        <f>IF(Plan1!288:288,"AAAAADfse9E=",0)</f>
        <v>0</v>
      </c>
      <c r="HC17" t="e">
        <f>AND(Plan1!A288,"AAAAADfse9I=")</f>
        <v>#VALUE!</v>
      </c>
      <c r="HD17" t="e">
        <f>AND(Plan1!B288,"AAAAADfse9M=")</f>
        <v>#VALUE!</v>
      </c>
      <c r="HE17" t="e">
        <f>AND(Plan1!C288,"AAAAADfse9Q=")</f>
        <v>#VALUE!</v>
      </c>
      <c r="HF17" t="e">
        <f>AND(Plan1!D288,"AAAAADfse9U=")</f>
        <v>#VALUE!</v>
      </c>
      <c r="HG17" t="e">
        <f>AND(Plan1!E288,"AAAAADfse9Y=")</f>
        <v>#VALUE!</v>
      </c>
      <c r="HH17" t="e">
        <f>AND(Plan1!F288,"AAAAADfse9c=")</f>
        <v>#VALUE!</v>
      </c>
      <c r="HI17" t="e">
        <f>AND(Plan1!G288,"AAAAADfse9g=")</f>
        <v>#VALUE!</v>
      </c>
      <c r="HJ17" t="e">
        <f>AND(Plan1!H288,"AAAAADfse9k=")</f>
        <v>#VALUE!</v>
      </c>
      <c r="HK17" t="e">
        <f>AND(Plan1!I288,"AAAAADfse9o=")</f>
        <v>#VALUE!</v>
      </c>
      <c r="HL17" t="e">
        <f>AND(Plan1!J288,"AAAAADfse9s=")</f>
        <v>#VALUE!</v>
      </c>
      <c r="HM17" t="e">
        <f>AND(Plan1!K288,"AAAAADfse9w=")</f>
        <v>#VALUE!</v>
      </c>
      <c r="HN17" t="e">
        <f>AND(Plan1!L288,"AAAAADfse90=")</f>
        <v>#VALUE!</v>
      </c>
      <c r="HO17" t="e">
        <f>AND(Plan1!M288,"AAAAADfse94=")</f>
        <v>#VALUE!</v>
      </c>
      <c r="HP17" t="e">
        <f>AND(Plan1!N288,"AAAAADfse98=")</f>
        <v>#VALUE!</v>
      </c>
      <c r="HQ17">
        <f>IF(Plan1!289:289,"AAAAADfse+A=",0)</f>
        <v>0</v>
      </c>
      <c r="HR17" t="e">
        <f>AND(Plan1!A289,"AAAAADfse+E=")</f>
        <v>#VALUE!</v>
      </c>
      <c r="HS17" t="e">
        <f>AND(Plan1!B289,"AAAAADfse+I=")</f>
        <v>#VALUE!</v>
      </c>
      <c r="HT17" t="e">
        <f>AND(Plan1!C289,"AAAAADfse+M=")</f>
        <v>#VALUE!</v>
      </c>
      <c r="HU17" t="e">
        <f>AND(Plan1!D289,"AAAAADfse+Q=")</f>
        <v>#VALUE!</v>
      </c>
      <c r="HV17" t="e">
        <f>AND(Plan1!E289,"AAAAADfse+U=")</f>
        <v>#VALUE!</v>
      </c>
      <c r="HW17" t="e">
        <f>AND(Plan1!F289,"AAAAADfse+Y=")</f>
        <v>#VALUE!</v>
      </c>
      <c r="HX17" t="e">
        <f>AND(Plan1!G289,"AAAAADfse+c=")</f>
        <v>#VALUE!</v>
      </c>
      <c r="HY17" t="e">
        <f>AND(Plan1!H289,"AAAAADfse+g=")</f>
        <v>#VALUE!</v>
      </c>
      <c r="HZ17" t="e">
        <f>AND(Plan1!I289,"AAAAADfse+k=")</f>
        <v>#VALUE!</v>
      </c>
      <c r="IA17" t="e">
        <f>AND(Plan1!J289,"AAAAADfse+o=")</f>
        <v>#VALUE!</v>
      </c>
      <c r="IB17" t="e">
        <f>AND(Plan1!K289,"AAAAADfse+s=")</f>
        <v>#VALUE!</v>
      </c>
      <c r="IC17" t="e">
        <f>AND(Plan1!L289,"AAAAADfse+w=")</f>
        <v>#VALUE!</v>
      </c>
      <c r="ID17" t="e">
        <f>AND(Plan1!M289,"AAAAADfse+0=")</f>
        <v>#VALUE!</v>
      </c>
      <c r="IE17" t="e">
        <f>AND(Plan1!N289,"AAAAADfse+4=")</f>
        <v>#VALUE!</v>
      </c>
      <c r="IF17">
        <f>IF(Plan1!290:290,"AAAAADfse+8=",0)</f>
        <v>0</v>
      </c>
      <c r="IG17" t="e">
        <f>AND(Plan1!A290,"AAAAADfse/A=")</f>
        <v>#VALUE!</v>
      </c>
      <c r="IH17" t="e">
        <f>AND(Plan1!B290,"AAAAADfse/E=")</f>
        <v>#VALUE!</v>
      </c>
      <c r="II17" t="e">
        <f>AND(Plan1!C290,"AAAAADfse/I=")</f>
        <v>#VALUE!</v>
      </c>
      <c r="IJ17" t="e">
        <f>AND(Plan1!D290,"AAAAADfse/M=")</f>
        <v>#VALUE!</v>
      </c>
      <c r="IK17" t="e">
        <f>AND(Plan1!E290,"AAAAADfse/Q=")</f>
        <v>#VALUE!</v>
      </c>
      <c r="IL17" t="e">
        <f>AND(Plan1!F290,"AAAAADfse/U=")</f>
        <v>#VALUE!</v>
      </c>
      <c r="IM17" t="e">
        <f>AND(Plan1!G290,"AAAAADfse/Y=")</f>
        <v>#VALUE!</v>
      </c>
      <c r="IN17" t="e">
        <f>AND(Plan1!H290,"AAAAADfse/c=")</f>
        <v>#VALUE!</v>
      </c>
      <c r="IO17" t="e">
        <f>AND(Plan1!I290,"AAAAADfse/g=")</f>
        <v>#VALUE!</v>
      </c>
      <c r="IP17" t="e">
        <f>AND(Plan1!J290,"AAAAADfse/k=")</f>
        <v>#VALUE!</v>
      </c>
      <c r="IQ17" t="e">
        <f>AND(Plan1!K290,"AAAAADfse/o=")</f>
        <v>#VALUE!</v>
      </c>
      <c r="IR17" t="e">
        <f>AND(Plan1!L290,"AAAAADfse/s=")</f>
        <v>#VALUE!</v>
      </c>
      <c r="IS17" t="e">
        <f>AND(Plan1!M290,"AAAAADfse/w=")</f>
        <v>#VALUE!</v>
      </c>
      <c r="IT17" t="e">
        <f>AND(Plan1!N290,"AAAAADfse/0=")</f>
        <v>#VALUE!</v>
      </c>
      <c r="IU17">
        <f>IF(Plan1!291:291,"AAAAADfse/4=",0)</f>
        <v>0</v>
      </c>
      <c r="IV17" t="e">
        <f>AND(Plan1!A291,"AAAAADfse/8=")</f>
        <v>#VALUE!</v>
      </c>
    </row>
    <row r="18" spans="1:256">
      <c r="A18" t="e">
        <f>AND(Plan1!B291,"AAAAAFZ/8QA=")</f>
        <v>#VALUE!</v>
      </c>
      <c r="B18" t="e">
        <f>AND(Plan1!C291,"AAAAAFZ/8QE=")</f>
        <v>#VALUE!</v>
      </c>
      <c r="C18" t="e">
        <f>AND(Plan1!D291,"AAAAAFZ/8QI=")</f>
        <v>#VALUE!</v>
      </c>
      <c r="D18" t="e">
        <f>AND(Plan1!E291,"AAAAAFZ/8QM=")</f>
        <v>#VALUE!</v>
      </c>
      <c r="E18" t="e">
        <f>AND(Plan1!F291,"AAAAAFZ/8QQ=")</f>
        <v>#VALUE!</v>
      </c>
      <c r="F18" t="e">
        <f>AND(Plan1!G291,"AAAAAFZ/8QU=")</f>
        <v>#VALUE!</v>
      </c>
      <c r="G18" t="e">
        <f>AND(Plan1!H291,"AAAAAFZ/8QY=")</f>
        <v>#VALUE!</v>
      </c>
      <c r="H18" t="e">
        <f>AND(Plan1!I291,"AAAAAFZ/8Qc=")</f>
        <v>#VALUE!</v>
      </c>
      <c r="I18" t="e">
        <f>AND(Plan1!J291,"AAAAAFZ/8Qg=")</f>
        <v>#VALUE!</v>
      </c>
      <c r="J18" t="e">
        <f>AND(Plan1!K291,"AAAAAFZ/8Qk=")</f>
        <v>#VALUE!</v>
      </c>
      <c r="K18" t="e">
        <f>AND(Plan1!L291,"AAAAAFZ/8Qo=")</f>
        <v>#VALUE!</v>
      </c>
      <c r="L18" t="e">
        <f>AND(Plan1!M291,"AAAAAFZ/8Qs=")</f>
        <v>#VALUE!</v>
      </c>
      <c r="M18" t="e">
        <f>AND(Plan1!N291,"AAAAAFZ/8Qw=")</f>
        <v>#VALUE!</v>
      </c>
      <c r="N18" t="e">
        <f>IF(Plan1!292:292,"AAAAAFZ/8Q0=",0)</f>
        <v>#VALUE!</v>
      </c>
      <c r="O18" t="e">
        <f>AND(Plan1!A292,"AAAAAFZ/8Q4=")</f>
        <v>#VALUE!</v>
      </c>
      <c r="P18" t="e">
        <f>AND(Plan1!B292,"AAAAAFZ/8Q8=")</f>
        <v>#VALUE!</v>
      </c>
      <c r="Q18" t="e">
        <f>AND(Plan1!C292,"AAAAAFZ/8RA=")</f>
        <v>#VALUE!</v>
      </c>
      <c r="R18" t="e">
        <f>AND(Plan1!D292,"AAAAAFZ/8RE=")</f>
        <v>#VALUE!</v>
      </c>
      <c r="S18" t="e">
        <f>AND(Plan1!E292,"AAAAAFZ/8RI=")</f>
        <v>#VALUE!</v>
      </c>
      <c r="T18" t="e">
        <f>AND(Plan1!F292,"AAAAAFZ/8RM=")</f>
        <v>#VALUE!</v>
      </c>
      <c r="U18" t="e">
        <f>AND(Plan1!G292,"AAAAAFZ/8RQ=")</f>
        <v>#VALUE!</v>
      </c>
      <c r="V18" t="e">
        <f>AND(Plan1!H292,"AAAAAFZ/8RU=")</f>
        <v>#VALUE!</v>
      </c>
      <c r="W18" t="e">
        <f>AND(Plan1!I292,"AAAAAFZ/8RY=")</f>
        <v>#VALUE!</v>
      </c>
      <c r="X18" t="e">
        <f>AND(Plan1!J292,"AAAAAFZ/8Rc=")</f>
        <v>#VALUE!</v>
      </c>
      <c r="Y18" t="e">
        <f>AND(Plan1!K292,"AAAAAFZ/8Rg=")</f>
        <v>#VALUE!</v>
      </c>
      <c r="Z18" t="e">
        <f>AND(Plan1!L292,"AAAAAFZ/8Rk=")</f>
        <v>#VALUE!</v>
      </c>
      <c r="AA18" t="e">
        <f>AND(Plan1!M292,"AAAAAFZ/8Ro=")</f>
        <v>#VALUE!</v>
      </c>
      <c r="AB18" t="e">
        <f>AND(Plan1!N292,"AAAAAFZ/8Rs=")</f>
        <v>#VALUE!</v>
      </c>
      <c r="AC18">
        <f>IF(Plan1!293:293,"AAAAAFZ/8Rw=",0)</f>
        <v>0</v>
      </c>
      <c r="AD18" t="e">
        <f>AND(Plan1!A293,"AAAAAFZ/8R0=")</f>
        <v>#VALUE!</v>
      </c>
      <c r="AE18" t="e">
        <f>AND(Plan1!B293,"AAAAAFZ/8R4=")</f>
        <v>#VALUE!</v>
      </c>
      <c r="AF18" t="e">
        <f>AND(Plan1!C293,"AAAAAFZ/8R8=")</f>
        <v>#VALUE!</v>
      </c>
      <c r="AG18" t="e">
        <f>AND(Plan1!D293,"AAAAAFZ/8SA=")</f>
        <v>#VALUE!</v>
      </c>
      <c r="AH18" t="e">
        <f>AND(Plan1!E293,"AAAAAFZ/8SE=")</f>
        <v>#VALUE!</v>
      </c>
      <c r="AI18" t="e">
        <f>AND(Plan1!F293,"AAAAAFZ/8SI=")</f>
        <v>#VALUE!</v>
      </c>
      <c r="AJ18" t="e">
        <f>AND(Plan1!G293,"AAAAAFZ/8SM=")</f>
        <v>#VALUE!</v>
      </c>
      <c r="AK18" t="e">
        <f>AND(Plan1!H293,"AAAAAFZ/8SQ=")</f>
        <v>#VALUE!</v>
      </c>
      <c r="AL18" t="e">
        <f>AND(Plan1!I293,"AAAAAFZ/8SU=")</f>
        <v>#VALUE!</v>
      </c>
      <c r="AM18" t="e">
        <f>AND(Plan1!J293,"AAAAAFZ/8SY=")</f>
        <v>#VALUE!</v>
      </c>
      <c r="AN18" t="e">
        <f>AND(Plan1!K293,"AAAAAFZ/8Sc=")</f>
        <v>#VALUE!</v>
      </c>
      <c r="AO18" t="e">
        <f>AND(Plan1!L293,"AAAAAFZ/8Sg=")</f>
        <v>#VALUE!</v>
      </c>
      <c r="AP18" t="e">
        <f>AND(Plan1!M293,"AAAAAFZ/8Sk=")</f>
        <v>#VALUE!</v>
      </c>
      <c r="AQ18" t="e">
        <f>AND(Plan1!N293,"AAAAAFZ/8So=")</f>
        <v>#VALUE!</v>
      </c>
      <c r="AR18">
        <f>IF(Plan1!294:294,"AAAAAFZ/8Ss=",0)</f>
        <v>0</v>
      </c>
      <c r="AS18" t="e">
        <f>AND(Plan1!A294,"AAAAAFZ/8Sw=")</f>
        <v>#VALUE!</v>
      </c>
      <c r="AT18" t="e">
        <f>AND(Plan1!B294,"AAAAAFZ/8S0=")</f>
        <v>#VALUE!</v>
      </c>
      <c r="AU18" t="e">
        <f>AND(Plan1!C294,"AAAAAFZ/8S4=")</f>
        <v>#VALUE!</v>
      </c>
      <c r="AV18" t="e">
        <f>AND(Plan1!D294,"AAAAAFZ/8S8=")</f>
        <v>#VALUE!</v>
      </c>
      <c r="AW18" t="e">
        <f>AND(Plan1!E294,"AAAAAFZ/8TA=")</f>
        <v>#VALUE!</v>
      </c>
      <c r="AX18" t="e">
        <f>AND(Plan1!F294,"AAAAAFZ/8TE=")</f>
        <v>#VALUE!</v>
      </c>
      <c r="AY18" t="e">
        <f>AND(Plan1!G294,"AAAAAFZ/8TI=")</f>
        <v>#VALUE!</v>
      </c>
      <c r="AZ18" t="e">
        <f>AND(Plan1!H294,"AAAAAFZ/8TM=")</f>
        <v>#VALUE!</v>
      </c>
      <c r="BA18" t="e">
        <f>AND(Plan1!I294,"AAAAAFZ/8TQ=")</f>
        <v>#VALUE!</v>
      </c>
      <c r="BB18" t="e">
        <f>AND(Plan1!J294,"AAAAAFZ/8TU=")</f>
        <v>#VALUE!</v>
      </c>
      <c r="BC18" t="e">
        <f>AND(Plan1!K294,"AAAAAFZ/8TY=")</f>
        <v>#VALUE!</v>
      </c>
      <c r="BD18" t="e">
        <f>AND(Plan1!L294,"AAAAAFZ/8Tc=")</f>
        <v>#VALUE!</v>
      </c>
      <c r="BE18" t="e">
        <f>AND(Plan1!M294,"AAAAAFZ/8Tg=")</f>
        <v>#VALUE!</v>
      </c>
      <c r="BF18" t="e">
        <f>AND(Plan1!N294,"AAAAAFZ/8Tk=")</f>
        <v>#VALUE!</v>
      </c>
      <c r="BG18">
        <f>IF(Plan1!295:295,"AAAAAFZ/8To=",0)</f>
        <v>0</v>
      </c>
      <c r="BH18" t="e">
        <f>AND(Plan1!A295,"AAAAAFZ/8Ts=")</f>
        <v>#VALUE!</v>
      </c>
      <c r="BI18" t="e">
        <f>AND(Plan1!B295,"AAAAAFZ/8Tw=")</f>
        <v>#VALUE!</v>
      </c>
      <c r="BJ18" t="e">
        <f>AND(Plan1!C295,"AAAAAFZ/8T0=")</f>
        <v>#VALUE!</v>
      </c>
      <c r="BK18" t="e">
        <f>AND(Plan1!D295,"AAAAAFZ/8T4=")</f>
        <v>#VALUE!</v>
      </c>
      <c r="BL18" t="e">
        <f>AND(Plan1!E295,"AAAAAFZ/8T8=")</f>
        <v>#VALUE!</v>
      </c>
      <c r="BM18" t="e">
        <f>AND(Plan1!F295,"AAAAAFZ/8UA=")</f>
        <v>#VALUE!</v>
      </c>
      <c r="BN18" t="e">
        <f>AND(Plan1!G295,"AAAAAFZ/8UE=")</f>
        <v>#VALUE!</v>
      </c>
      <c r="BO18" t="e">
        <f>AND(Plan1!H295,"AAAAAFZ/8UI=")</f>
        <v>#VALUE!</v>
      </c>
      <c r="BP18" t="e">
        <f>AND(Plan1!I295,"AAAAAFZ/8UM=")</f>
        <v>#VALUE!</v>
      </c>
      <c r="BQ18" t="e">
        <f>AND(Plan1!J295,"AAAAAFZ/8UQ=")</f>
        <v>#VALUE!</v>
      </c>
      <c r="BR18" t="e">
        <f>AND(Plan1!K295,"AAAAAFZ/8UU=")</f>
        <v>#VALUE!</v>
      </c>
      <c r="BS18" t="e">
        <f>AND(Plan1!L295,"AAAAAFZ/8UY=")</f>
        <v>#VALUE!</v>
      </c>
      <c r="BT18" t="e">
        <f>AND(Plan1!M295,"AAAAAFZ/8Uc=")</f>
        <v>#VALUE!</v>
      </c>
      <c r="BU18" t="e">
        <f>AND(Plan1!N295,"AAAAAFZ/8Ug=")</f>
        <v>#VALUE!</v>
      </c>
      <c r="BV18">
        <f>IF(Plan1!296:296,"AAAAAFZ/8Uk=",0)</f>
        <v>0</v>
      </c>
      <c r="BW18" t="e">
        <f>AND(Plan1!A296,"AAAAAFZ/8Uo=")</f>
        <v>#VALUE!</v>
      </c>
      <c r="BX18" t="e">
        <f>AND(Plan1!B296,"AAAAAFZ/8Us=")</f>
        <v>#VALUE!</v>
      </c>
      <c r="BY18" t="e">
        <f>AND(Plan1!C296,"AAAAAFZ/8Uw=")</f>
        <v>#VALUE!</v>
      </c>
      <c r="BZ18" t="e">
        <f>AND(Plan1!D296,"AAAAAFZ/8U0=")</f>
        <v>#VALUE!</v>
      </c>
      <c r="CA18" t="e">
        <f>AND(Plan1!E296,"AAAAAFZ/8U4=")</f>
        <v>#VALUE!</v>
      </c>
      <c r="CB18" t="e">
        <f>AND(Plan1!F296,"AAAAAFZ/8U8=")</f>
        <v>#VALUE!</v>
      </c>
      <c r="CC18" t="e">
        <f>AND(Plan1!G296,"AAAAAFZ/8VA=")</f>
        <v>#VALUE!</v>
      </c>
      <c r="CD18" t="e">
        <f>AND(Plan1!H296,"AAAAAFZ/8VE=")</f>
        <v>#VALUE!</v>
      </c>
      <c r="CE18" t="e">
        <f>AND(Plan1!I296,"AAAAAFZ/8VI=")</f>
        <v>#VALUE!</v>
      </c>
      <c r="CF18" t="e">
        <f>AND(Plan1!J296,"AAAAAFZ/8VM=")</f>
        <v>#VALUE!</v>
      </c>
      <c r="CG18" t="e">
        <f>AND(Plan1!K296,"AAAAAFZ/8VQ=")</f>
        <v>#VALUE!</v>
      </c>
      <c r="CH18" t="e">
        <f>AND(Plan1!L296,"AAAAAFZ/8VU=")</f>
        <v>#VALUE!</v>
      </c>
      <c r="CI18" t="e">
        <f>AND(Plan1!M296,"AAAAAFZ/8VY=")</f>
        <v>#VALUE!</v>
      </c>
      <c r="CJ18" t="e">
        <f>AND(Plan1!N296,"AAAAAFZ/8Vc=")</f>
        <v>#VALUE!</v>
      </c>
      <c r="CK18">
        <f>IF(Plan1!297:297,"AAAAAFZ/8Vg=",0)</f>
        <v>0</v>
      </c>
      <c r="CL18" t="e">
        <f>AND(Plan1!A297,"AAAAAFZ/8Vk=")</f>
        <v>#VALUE!</v>
      </c>
      <c r="CM18" t="e">
        <f>AND(Plan1!B297,"AAAAAFZ/8Vo=")</f>
        <v>#VALUE!</v>
      </c>
      <c r="CN18" t="e">
        <f>AND(Plan1!C297,"AAAAAFZ/8Vs=")</f>
        <v>#VALUE!</v>
      </c>
      <c r="CO18" t="e">
        <f>AND(Plan1!D297,"AAAAAFZ/8Vw=")</f>
        <v>#VALUE!</v>
      </c>
      <c r="CP18" t="e">
        <f>AND(Plan1!E297,"AAAAAFZ/8V0=")</f>
        <v>#VALUE!</v>
      </c>
      <c r="CQ18" t="e">
        <f>AND(Plan1!F297,"AAAAAFZ/8V4=")</f>
        <v>#VALUE!</v>
      </c>
      <c r="CR18" t="e">
        <f>AND(Plan1!G297,"AAAAAFZ/8V8=")</f>
        <v>#VALUE!</v>
      </c>
      <c r="CS18" t="e">
        <f>AND(Plan1!H297,"AAAAAFZ/8WA=")</f>
        <v>#VALUE!</v>
      </c>
      <c r="CT18" t="e">
        <f>AND(Plan1!I297,"AAAAAFZ/8WE=")</f>
        <v>#VALUE!</v>
      </c>
      <c r="CU18" t="e">
        <f>AND(Plan1!J297,"AAAAAFZ/8WI=")</f>
        <v>#VALUE!</v>
      </c>
      <c r="CV18" t="e">
        <f>AND(Plan1!K297,"AAAAAFZ/8WM=")</f>
        <v>#VALUE!</v>
      </c>
      <c r="CW18" t="e">
        <f>AND(Plan1!L297,"AAAAAFZ/8WQ=")</f>
        <v>#VALUE!</v>
      </c>
      <c r="CX18" t="e">
        <f>AND(Plan1!M297,"AAAAAFZ/8WU=")</f>
        <v>#VALUE!</v>
      </c>
      <c r="CY18" t="e">
        <f>AND(Plan1!N297,"AAAAAFZ/8WY=")</f>
        <v>#VALUE!</v>
      </c>
      <c r="CZ18">
        <f>IF(Plan1!298:298,"AAAAAFZ/8Wc=",0)</f>
        <v>0</v>
      </c>
      <c r="DA18" t="e">
        <f>AND(Plan1!A298,"AAAAAFZ/8Wg=")</f>
        <v>#VALUE!</v>
      </c>
      <c r="DB18" t="e">
        <f>AND(Plan1!B298,"AAAAAFZ/8Wk=")</f>
        <v>#VALUE!</v>
      </c>
      <c r="DC18" t="e">
        <f>AND(Plan1!C298,"AAAAAFZ/8Wo=")</f>
        <v>#VALUE!</v>
      </c>
      <c r="DD18" t="e">
        <f>AND(Plan1!D298,"AAAAAFZ/8Ws=")</f>
        <v>#VALUE!</v>
      </c>
      <c r="DE18" t="e">
        <f>AND(Plan1!E298,"AAAAAFZ/8Ww=")</f>
        <v>#VALUE!</v>
      </c>
      <c r="DF18" t="e">
        <f>AND(Plan1!F298,"AAAAAFZ/8W0=")</f>
        <v>#VALUE!</v>
      </c>
      <c r="DG18" t="e">
        <f>AND(Plan1!G298,"AAAAAFZ/8W4=")</f>
        <v>#VALUE!</v>
      </c>
      <c r="DH18" t="e">
        <f>AND(Plan1!H298,"AAAAAFZ/8W8=")</f>
        <v>#VALUE!</v>
      </c>
      <c r="DI18" t="e">
        <f>AND(Plan1!I298,"AAAAAFZ/8XA=")</f>
        <v>#VALUE!</v>
      </c>
      <c r="DJ18" t="e">
        <f>AND(Plan1!J298,"AAAAAFZ/8XE=")</f>
        <v>#VALUE!</v>
      </c>
      <c r="DK18" t="e">
        <f>AND(Plan1!K298,"AAAAAFZ/8XI=")</f>
        <v>#VALUE!</v>
      </c>
      <c r="DL18" t="e">
        <f>AND(Plan1!L298,"AAAAAFZ/8XM=")</f>
        <v>#VALUE!</v>
      </c>
      <c r="DM18" t="e">
        <f>AND(Plan1!M298,"AAAAAFZ/8XQ=")</f>
        <v>#VALUE!</v>
      </c>
      <c r="DN18" t="e">
        <f>AND(Plan1!N298,"AAAAAFZ/8XU=")</f>
        <v>#VALUE!</v>
      </c>
      <c r="DO18">
        <f>IF(Plan1!299:299,"AAAAAFZ/8XY=",0)</f>
        <v>0</v>
      </c>
      <c r="DP18" t="e">
        <f>AND(Plan1!A299,"AAAAAFZ/8Xc=")</f>
        <v>#VALUE!</v>
      </c>
      <c r="DQ18" t="e">
        <f>AND(Plan1!B299,"AAAAAFZ/8Xg=")</f>
        <v>#VALUE!</v>
      </c>
      <c r="DR18" t="e">
        <f>AND(Plan1!C299,"AAAAAFZ/8Xk=")</f>
        <v>#VALUE!</v>
      </c>
      <c r="DS18" t="e">
        <f>AND(Plan1!D299,"AAAAAFZ/8Xo=")</f>
        <v>#VALUE!</v>
      </c>
      <c r="DT18" t="e">
        <f>AND(Plan1!E299,"AAAAAFZ/8Xs=")</f>
        <v>#VALUE!</v>
      </c>
      <c r="DU18" t="e">
        <f>AND(Plan1!F299,"AAAAAFZ/8Xw=")</f>
        <v>#VALUE!</v>
      </c>
      <c r="DV18" t="e">
        <f>AND(Plan1!G299,"AAAAAFZ/8X0=")</f>
        <v>#VALUE!</v>
      </c>
      <c r="DW18" t="e">
        <f>AND(Plan1!H299,"AAAAAFZ/8X4=")</f>
        <v>#VALUE!</v>
      </c>
      <c r="DX18" t="e">
        <f>AND(Plan1!I299,"AAAAAFZ/8X8=")</f>
        <v>#VALUE!</v>
      </c>
      <c r="DY18" t="e">
        <f>AND(Plan1!J299,"AAAAAFZ/8YA=")</f>
        <v>#VALUE!</v>
      </c>
      <c r="DZ18" t="e">
        <f>AND(Plan1!K299,"AAAAAFZ/8YE=")</f>
        <v>#VALUE!</v>
      </c>
      <c r="EA18" t="e">
        <f>AND(Plan1!L299,"AAAAAFZ/8YI=")</f>
        <v>#VALUE!</v>
      </c>
      <c r="EB18" t="e">
        <f>AND(Plan1!M299,"AAAAAFZ/8YM=")</f>
        <v>#VALUE!</v>
      </c>
      <c r="EC18" t="e">
        <f>AND(Plan1!N299,"AAAAAFZ/8YQ=")</f>
        <v>#VALUE!</v>
      </c>
      <c r="ED18">
        <f>IF(Plan1!300:300,"AAAAAFZ/8YU=",0)</f>
        <v>0</v>
      </c>
      <c r="EE18" t="e">
        <f>AND(Plan1!A300,"AAAAAFZ/8YY=")</f>
        <v>#VALUE!</v>
      </c>
      <c r="EF18" t="e">
        <f>AND(Plan1!B300,"AAAAAFZ/8Yc=")</f>
        <v>#VALUE!</v>
      </c>
      <c r="EG18" t="e">
        <f>AND(Plan1!C300,"AAAAAFZ/8Yg=")</f>
        <v>#VALUE!</v>
      </c>
      <c r="EH18" t="e">
        <f>AND(Plan1!D300,"AAAAAFZ/8Yk=")</f>
        <v>#VALUE!</v>
      </c>
      <c r="EI18" t="e">
        <f>AND(Plan1!E300,"AAAAAFZ/8Yo=")</f>
        <v>#VALUE!</v>
      </c>
      <c r="EJ18" t="e">
        <f>AND(Plan1!F300,"AAAAAFZ/8Ys=")</f>
        <v>#VALUE!</v>
      </c>
      <c r="EK18" t="e">
        <f>AND(Plan1!G300,"AAAAAFZ/8Yw=")</f>
        <v>#VALUE!</v>
      </c>
      <c r="EL18" t="e">
        <f>AND(Plan1!H300,"AAAAAFZ/8Y0=")</f>
        <v>#VALUE!</v>
      </c>
      <c r="EM18" t="e">
        <f>AND(Plan1!I300,"AAAAAFZ/8Y4=")</f>
        <v>#VALUE!</v>
      </c>
      <c r="EN18" t="e">
        <f>AND(Plan1!J300,"AAAAAFZ/8Y8=")</f>
        <v>#VALUE!</v>
      </c>
      <c r="EO18" t="e">
        <f>AND(Plan1!K300,"AAAAAFZ/8ZA=")</f>
        <v>#VALUE!</v>
      </c>
      <c r="EP18" t="e">
        <f>AND(Plan1!L300,"AAAAAFZ/8ZE=")</f>
        <v>#VALUE!</v>
      </c>
      <c r="EQ18" t="e">
        <f>AND(Plan1!M300,"AAAAAFZ/8ZI=")</f>
        <v>#VALUE!</v>
      </c>
      <c r="ER18" t="e">
        <f>AND(Plan1!N300,"AAAAAFZ/8ZM=")</f>
        <v>#VALUE!</v>
      </c>
      <c r="ES18">
        <f>IF(Plan1!301:301,"AAAAAFZ/8ZQ=",0)</f>
        <v>0</v>
      </c>
      <c r="ET18" t="e">
        <f>AND(Plan1!A301,"AAAAAFZ/8ZU=")</f>
        <v>#VALUE!</v>
      </c>
      <c r="EU18" t="e">
        <f>AND(Plan1!B301,"AAAAAFZ/8ZY=")</f>
        <v>#VALUE!</v>
      </c>
      <c r="EV18" t="e">
        <f>AND(Plan1!C301,"AAAAAFZ/8Zc=")</f>
        <v>#VALUE!</v>
      </c>
      <c r="EW18" t="e">
        <f>AND(Plan1!D301,"AAAAAFZ/8Zg=")</f>
        <v>#VALUE!</v>
      </c>
      <c r="EX18" t="e">
        <f>AND(Plan1!E301,"AAAAAFZ/8Zk=")</f>
        <v>#VALUE!</v>
      </c>
      <c r="EY18" t="e">
        <f>AND(Plan1!F301,"AAAAAFZ/8Zo=")</f>
        <v>#VALUE!</v>
      </c>
      <c r="EZ18" t="e">
        <f>AND(Plan1!G301,"AAAAAFZ/8Zs=")</f>
        <v>#VALUE!</v>
      </c>
      <c r="FA18" t="e">
        <f>AND(Plan1!H301,"AAAAAFZ/8Zw=")</f>
        <v>#VALUE!</v>
      </c>
      <c r="FB18" t="e">
        <f>AND(Plan1!I301,"AAAAAFZ/8Z0=")</f>
        <v>#VALUE!</v>
      </c>
      <c r="FC18" t="e">
        <f>AND(Plan1!J301,"AAAAAFZ/8Z4=")</f>
        <v>#VALUE!</v>
      </c>
      <c r="FD18" t="e">
        <f>AND(Plan1!K301,"AAAAAFZ/8Z8=")</f>
        <v>#VALUE!</v>
      </c>
      <c r="FE18" t="e">
        <f>AND(Plan1!L301,"AAAAAFZ/8aA=")</f>
        <v>#VALUE!</v>
      </c>
      <c r="FF18" t="e">
        <f>AND(Plan1!M301,"AAAAAFZ/8aE=")</f>
        <v>#VALUE!</v>
      </c>
      <c r="FG18" t="e">
        <f>AND(Plan1!N301,"AAAAAFZ/8aI=")</f>
        <v>#VALUE!</v>
      </c>
      <c r="FH18">
        <f>IF(Plan1!302:302,"AAAAAFZ/8aM=",0)</f>
        <v>0</v>
      </c>
      <c r="FI18" t="e">
        <f>AND(Plan1!A302,"AAAAAFZ/8aQ=")</f>
        <v>#VALUE!</v>
      </c>
      <c r="FJ18" t="e">
        <f>AND(Plan1!B302,"AAAAAFZ/8aU=")</f>
        <v>#VALUE!</v>
      </c>
      <c r="FK18" t="e">
        <f>AND(Plan1!C302,"AAAAAFZ/8aY=")</f>
        <v>#VALUE!</v>
      </c>
      <c r="FL18" t="e">
        <f>AND(Plan1!D302,"AAAAAFZ/8ac=")</f>
        <v>#VALUE!</v>
      </c>
      <c r="FM18" t="e">
        <f>AND(Plan1!E302,"AAAAAFZ/8ag=")</f>
        <v>#VALUE!</v>
      </c>
      <c r="FN18" t="e">
        <f>AND(Plan1!F302,"AAAAAFZ/8ak=")</f>
        <v>#VALUE!</v>
      </c>
      <c r="FO18" t="e">
        <f>AND(Plan1!G302,"AAAAAFZ/8ao=")</f>
        <v>#VALUE!</v>
      </c>
      <c r="FP18" t="e">
        <f>AND(Plan1!H302,"AAAAAFZ/8as=")</f>
        <v>#VALUE!</v>
      </c>
      <c r="FQ18" t="e">
        <f>AND(Plan1!I302,"AAAAAFZ/8aw=")</f>
        <v>#VALUE!</v>
      </c>
      <c r="FR18" t="e">
        <f>AND(Plan1!J302,"AAAAAFZ/8a0=")</f>
        <v>#VALUE!</v>
      </c>
      <c r="FS18" t="e">
        <f>AND(Plan1!K302,"AAAAAFZ/8a4=")</f>
        <v>#VALUE!</v>
      </c>
      <c r="FT18" t="e">
        <f>AND(Plan1!L302,"AAAAAFZ/8a8=")</f>
        <v>#VALUE!</v>
      </c>
      <c r="FU18" t="e">
        <f>AND(Plan1!M302,"AAAAAFZ/8bA=")</f>
        <v>#VALUE!</v>
      </c>
      <c r="FV18" t="e">
        <f>AND(Plan1!N302,"AAAAAFZ/8bE=")</f>
        <v>#VALUE!</v>
      </c>
      <c r="FW18">
        <f>IF(Plan1!303:303,"AAAAAFZ/8bI=",0)</f>
        <v>0</v>
      </c>
      <c r="FX18" t="e">
        <f>AND(Plan1!A303,"AAAAAFZ/8bM=")</f>
        <v>#VALUE!</v>
      </c>
      <c r="FY18" t="e">
        <f>AND(Plan1!B303,"AAAAAFZ/8bQ=")</f>
        <v>#VALUE!</v>
      </c>
      <c r="FZ18" t="e">
        <f>AND(Plan1!C303,"AAAAAFZ/8bU=")</f>
        <v>#VALUE!</v>
      </c>
      <c r="GA18" t="e">
        <f>AND(Plan1!D303,"AAAAAFZ/8bY=")</f>
        <v>#VALUE!</v>
      </c>
      <c r="GB18" t="e">
        <f>AND(Plan1!E303,"AAAAAFZ/8bc=")</f>
        <v>#VALUE!</v>
      </c>
      <c r="GC18" t="e">
        <f>AND(Plan1!F303,"AAAAAFZ/8bg=")</f>
        <v>#VALUE!</v>
      </c>
      <c r="GD18" t="e">
        <f>AND(Plan1!G303,"AAAAAFZ/8bk=")</f>
        <v>#VALUE!</v>
      </c>
      <c r="GE18" t="e">
        <f>AND(Plan1!H303,"AAAAAFZ/8bo=")</f>
        <v>#VALUE!</v>
      </c>
      <c r="GF18" t="e">
        <f>AND(Plan1!I303,"AAAAAFZ/8bs=")</f>
        <v>#VALUE!</v>
      </c>
      <c r="GG18" t="e">
        <f>AND(Plan1!J303,"AAAAAFZ/8bw=")</f>
        <v>#VALUE!</v>
      </c>
      <c r="GH18" t="e">
        <f>AND(Plan1!K303,"AAAAAFZ/8b0=")</f>
        <v>#VALUE!</v>
      </c>
      <c r="GI18" t="e">
        <f>AND(Plan1!L303,"AAAAAFZ/8b4=")</f>
        <v>#VALUE!</v>
      </c>
      <c r="GJ18" t="e">
        <f>AND(Plan1!M303,"AAAAAFZ/8b8=")</f>
        <v>#VALUE!</v>
      </c>
      <c r="GK18" t="e">
        <f>AND(Plan1!N303,"AAAAAFZ/8cA=")</f>
        <v>#VALUE!</v>
      </c>
      <c r="GL18">
        <f>IF(Plan1!304:304,"AAAAAFZ/8cE=",0)</f>
        <v>0</v>
      </c>
      <c r="GM18" t="e">
        <f>AND(Plan1!A304,"AAAAAFZ/8cI=")</f>
        <v>#VALUE!</v>
      </c>
      <c r="GN18" t="e">
        <f>AND(Plan1!B304,"AAAAAFZ/8cM=")</f>
        <v>#VALUE!</v>
      </c>
      <c r="GO18" t="e">
        <f>AND(Plan1!C304,"AAAAAFZ/8cQ=")</f>
        <v>#VALUE!</v>
      </c>
      <c r="GP18" t="e">
        <f>AND(Plan1!D304,"AAAAAFZ/8cU=")</f>
        <v>#VALUE!</v>
      </c>
      <c r="GQ18" t="e">
        <f>AND(Plan1!E304,"AAAAAFZ/8cY=")</f>
        <v>#VALUE!</v>
      </c>
      <c r="GR18" t="e">
        <f>AND(Plan1!F304,"AAAAAFZ/8cc=")</f>
        <v>#VALUE!</v>
      </c>
      <c r="GS18" t="e">
        <f>AND(Plan1!G304,"AAAAAFZ/8cg=")</f>
        <v>#VALUE!</v>
      </c>
      <c r="GT18" t="e">
        <f>AND(Plan1!H304,"AAAAAFZ/8ck=")</f>
        <v>#VALUE!</v>
      </c>
      <c r="GU18" t="e">
        <f>AND(Plan1!I304,"AAAAAFZ/8co=")</f>
        <v>#VALUE!</v>
      </c>
      <c r="GV18" t="e">
        <f>AND(Plan1!J304,"AAAAAFZ/8cs=")</f>
        <v>#VALUE!</v>
      </c>
      <c r="GW18" t="e">
        <f>AND(Plan1!K304,"AAAAAFZ/8cw=")</f>
        <v>#VALUE!</v>
      </c>
      <c r="GX18" t="e">
        <f>AND(Plan1!L304,"AAAAAFZ/8c0=")</f>
        <v>#VALUE!</v>
      </c>
      <c r="GY18" t="e">
        <f>AND(Plan1!M304,"AAAAAFZ/8c4=")</f>
        <v>#VALUE!</v>
      </c>
      <c r="GZ18" t="e">
        <f>AND(Plan1!N304,"AAAAAFZ/8c8=")</f>
        <v>#VALUE!</v>
      </c>
      <c r="HA18">
        <f>IF(Plan1!305:305,"AAAAAFZ/8dA=",0)</f>
        <v>0</v>
      </c>
      <c r="HB18" t="e">
        <f>AND(Plan1!A305,"AAAAAFZ/8dE=")</f>
        <v>#VALUE!</v>
      </c>
      <c r="HC18" t="e">
        <f>AND(Plan1!B305,"AAAAAFZ/8dI=")</f>
        <v>#VALUE!</v>
      </c>
      <c r="HD18" t="e">
        <f>AND(Plan1!C305,"AAAAAFZ/8dM=")</f>
        <v>#VALUE!</v>
      </c>
      <c r="HE18" t="e">
        <f>AND(Plan1!D305,"AAAAAFZ/8dQ=")</f>
        <v>#VALUE!</v>
      </c>
      <c r="HF18" t="e">
        <f>AND(Plan1!E305,"AAAAAFZ/8dU=")</f>
        <v>#VALUE!</v>
      </c>
      <c r="HG18" t="e">
        <f>AND(Plan1!F305,"AAAAAFZ/8dY=")</f>
        <v>#VALUE!</v>
      </c>
      <c r="HH18" t="e">
        <f>AND(Plan1!G305,"AAAAAFZ/8dc=")</f>
        <v>#VALUE!</v>
      </c>
      <c r="HI18" t="e">
        <f>AND(Plan1!H305,"AAAAAFZ/8dg=")</f>
        <v>#VALUE!</v>
      </c>
      <c r="HJ18" t="e">
        <f>AND(Plan1!I305,"AAAAAFZ/8dk=")</f>
        <v>#VALUE!</v>
      </c>
      <c r="HK18" t="e">
        <f>AND(Plan1!J305,"AAAAAFZ/8do=")</f>
        <v>#VALUE!</v>
      </c>
      <c r="HL18" t="e">
        <f>AND(Plan1!K305,"AAAAAFZ/8ds=")</f>
        <v>#VALUE!</v>
      </c>
      <c r="HM18" t="e">
        <f>AND(Plan1!L305,"AAAAAFZ/8dw=")</f>
        <v>#VALUE!</v>
      </c>
      <c r="HN18" t="e">
        <f>AND(Plan1!M305,"AAAAAFZ/8d0=")</f>
        <v>#VALUE!</v>
      </c>
      <c r="HO18" t="e">
        <f>AND(Plan1!N305,"AAAAAFZ/8d4=")</f>
        <v>#VALUE!</v>
      </c>
      <c r="HP18">
        <f>IF(Plan1!306:306,"AAAAAFZ/8d8=",0)</f>
        <v>0</v>
      </c>
      <c r="HQ18" t="e">
        <f>AND(Plan1!A306,"AAAAAFZ/8eA=")</f>
        <v>#VALUE!</v>
      </c>
      <c r="HR18" t="e">
        <f>AND(Plan1!B306,"AAAAAFZ/8eE=")</f>
        <v>#VALUE!</v>
      </c>
      <c r="HS18" t="e">
        <f>AND(Plan1!C306,"AAAAAFZ/8eI=")</f>
        <v>#VALUE!</v>
      </c>
      <c r="HT18" t="e">
        <f>AND(Plan1!D306,"AAAAAFZ/8eM=")</f>
        <v>#VALUE!</v>
      </c>
      <c r="HU18" t="e">
        <f>AND(Plan1!E306,"AAAAAFZ/8eQ=")</f>
        <v>#VALUE!</v>
      </c>
      <c r="HV18" t="e">
        <f>AND(Plan1!F306,"AAAAAFZ/8eU=")</f>
        <v>#VALUE!</v>
      </c>
      <c r="HW18" t="e">
        <f>AND(Plan1!G306,"AAAAAFZ/8eY=")</f>
        <v>#VALUE!</v>
      </c>
      <c r="HX18" t="e">
        <f>AND(Plan1!H306,"AAAAAFZ/8ec=")</f>
        <v>#VALUE!</v>
      </c>
      <c r="HY18" t="e">
        <f>AND(Plan1!I306,"AAAAAFZ/8eg=")</f>
        <v>#VALUE!</v>
      </c>
      <c r="HZ18" t="e">
        <f>AND(Plan1!J306,"AAAAAFZ/8ek=")</f>
        <v>#VALUE!</v>
      </c>
      <c r="IA18" t="e">
        <f>AND(Plan1!K306,"AAAAAFZ/8eo=")</f>
        <v>#VALUE!</v>
      </c>
      <c r="IB18" t="e">
        <f>AND(Plan1!L306,"AAAAAFZ/8es=")</f>
        <v>#VALUE!</v>
      </c>
      <c r="IC18" t="e">
        <f>AND(Plan1!M306,"AAAAAFZ/8ew=")</f>
        <v>#VALUE!</v>
      </c>
      <c r="ID18" t="e">
        <f>AND(Plan1!N306,"AAAAAFZ/8e0=")</f>
        <v>#VALUE!</v>
      </c>
      <c r="IE18">
        <f>IF(Plan1!307:307,"AAAAAFZ/8e4=",0)</f>
        <v>0</v>
      </c>
      <c r="IF18" t="e">
        <f>AND(Plan1!A307,"AAAAAFZ/8e8=")</f>
        <v>#VALUE!</v>
      </c>
      <c r="IG18" t="e">
        <f>AND(Plan1!B307,"AAAAAFZ/8fA=")</f>
        <v>#VALUE!</v>
      </c>
      <c r="IH18" t="e">
        <f>AND(Plan1!C307,"AAAAAFZ/8fE=")</f>
        <v>#VALUE!</v>
      </c>
      <c r="II18" t="e">
        <f>AND(Plan1!D307,"AAAAAFZ/8fI=")</f>
        <v>#VALUE!</v>
      </c>
      <c r="IJ18" t="e">
        <f>AND(Plan1!E307,"AAAAAFZ/8fM=")</f>
        <v>#VALUE!</v>
      </c>
      <c r="IK18" t="e">
        <f>AND(Plan1!F307,"AAAAAFZ/8fQ=")</f>
        <v>#VALUE!</v>
      </c>
      <c r="IL18" t="e">
        <f>AND(Plan1!G307,"AAAAAFZ/8fU=")</f>
        <v>#VALUE!</v>
      </c>
      <c r="IM18" t="e">
        <f>AND(Plan1!H307,"AAAAAFZ/8fY=")</f>
        <v>#VALUE!</v>
      </c>
      <c r="IN18" t="e">
        <f>AND(Plan1!I307,"AAAAAFZ/8fc=")</f>
        <v>#VALUE!</v>
      </c>
      <c r="IO18" t="e">
        <f>AND(Plan1!J307,"AAAAAFZ/8fg=")</f>
        <v>#VALUE!</v>
      </c>
      <c r="IP18" t="e">
        <f>AND(Plan1!K307,"AAAAAFZ/8fk=")</f>
        <v>#VALUE!</v>
      </c>
      <c r="IQ18" t="e">
        <f>AND(Plan1!L307,"AAAAAFZ/8fo=")</f>
        <v>#VALUE!</v>
      </c>
      <c r="IR18" t="e">
        <f>AND(Plan1!M307,"AAAAAFZ/8fs=")</f>
        <v>#VALUE!</v>
      </c>
      <c r="IS18" t="e">
        <f>AND(Plan1!N307,"AAAAAFZ/8fw=")</f>
        <v>#VALUE!</v>
      </c>
      <c r="IT18">
        <f>IF(Plan1!308:308,"AAAAAFZ/8f0=",0)</f>
        <v>0</v>
      </c>
      <c r="IU18" t="e">
        <f>AND(Plan1!A308,"AAAAAFZ/8f4=")</f>
        <v>#VALUE!</v>
      </c>
      <c r="IV18" t="e">
        <f>AND(Plan1!B308,"AAAAAFZ/8f8=")</f>
        <v>#VALUE!</v>
      </c>
    </row>
    <row r="19" spans="1:256">
      <c r="A19" t="e">
        <f>AND(Plan1!C308,"AAAAAGyF7gA=")</f>
        <v>#VALUE!</v>
      </c>
      <c r="B19" t="e">
        <f>AND(Plan1!D308,"AAAAAGyF7gE=")</f>
        <v>#VALUE!</v>
      </c>
      <c r="C19" t="e">
        <f>AND(Plan1!E308,"AAAAAGyF7gI=")</f>
        <v>#VALUE!</v>
      </c>
      <c r="D19" t="e">
        <f>AND(Plan1!F308,"AAAAAGyF7gM=")</f>
        <v>#VALUE!</v>
      </c>
      <c r="E19" t="e">
        <f>AND(Plan1!G308,"AAAAAGyF7gQ=")</f>
        <v>#VALUE!</v>
      </c>
      <c r="F19" t="e">
        <f>AND(Plan1!H308,"AAAAAGyF7gU=")</f>
        <v>#VALUE!</v>
      </c>
      <c r="G19" t="e">
        <f>AND(Plan1!I308,"AAAAAGyF7gY=")</f>
        <v>#VALUE!</v>
      </c>
      <c r="H19" t="e">
        <f>AND(Plan1!J308,"AAAAAGyF7gc=")</f>
        <v>#VALUE!</v>
      </c>
      <c r="I19" t="e">
        <f>AND(Plan1!K308,"AAAAAGyF7gg=")</f>
        <v>#VALUE!</v>
      </c>
      <c r="J19" t="e">
        <f>AND(Plan1!L308,"AAAAAGyF7gk=")</f>
        <v>#VALUE!</v>
      </c>
      <c r="K19" t="e">
        <f>AND(Plan1!M308,"AAAAAGyF7go=")</f>
        <v>#VALUE!</v>
      </c>
      <c r="L19" t="e">
        <f>AND(Plan1!N308,"AAAAAGyF7gs=")</f>
        <v>#VALUE!</v>
      </c>
      <c r="M19" t="e">
        <f>IF(Plan1!309:309,"AAAAAGyF7gw=",0)</f>
        <v>#VALUE!</v>
      </c>
      <c r="N19" t="e">
        <f>AND(Plan1!A309,"AAAAAGyF7g0=")</f>
        <v>#VALUE!</v>
      </c>
      <c r="O19" t="e">
        <f>AND(Plan1!B309,"AAAAAGyF7g4=")</f>
        <v>#VALUE!</v>
      </c>
      <c r="P19" t="e">
        <f>AND(Plan1!C309,"AAAAAGyF7g8=")</f>
        <v>#VALUE!</v>
      </c>
      <c r="Q19" t="e">
        <f>AND(Plan1!D309,"AAAAAGyF7hA=")</f>
        <v>#VALUE!</v>
      </c>
      <c r="R19" t="e">
        <f>AND(Plan1!E309,"AAAAAGyF7hE=")</f>
        <v>#VALUE!</v>
      </c>
      <c r="S19" t="e">
        <f>AND(Plan1!F309,"AAAAAGyF7hI=")</f>
        <v>#VALUE!</v>
      </c>
      <c r="T19" t="e">
        <f>AND(Plan1!G309,"AAAAAGyF7hM=")</f>
        <v>#VALUE!</v>
      </c>
      <c r="U19" t="e">
        <f>AND(Plan1!H309,"AAAAAGyF7hQ=")</f>
        <v>#VALUE!</v>
      </c>
      <c r="V19" t="e">
        <f>AND(Plan1!I309,"AAAAAGyF7hU=")</f>
        <v>#VALUE!</v>
      </c>
      <c r="W19" t="e">
        <f>AND(Plan1!J309,"AAAAAGyF7hY=")</f>
        <v>#VALUE!</v>
      </c>
      <c r="X19" t="e">
        <f>AND(Plan1!K309,"AAAAAGyF7hc=")</f>
        <v>#VALUE!</v>
      </c>
      <c r="Y19" t="e">
        <f>AND(Plan1!L309,"AAAAAGyF7hg=")</f>
        <v>#VALUE!</v>
      </c>
      <c r="Z19" t="e">
        <f>AND(Plan1!M309,"AAAAAGyF7hk=")</f>
        <v>#VALUE!</v>
      </c>
      <c r="AA19" t="e">
        <f>AND(Plan1!N309,"AAAAAGyF7ho=")</f>
        <v>#VALUE!</v>
      </c>
      <c r="AB19">
        <f>IF(Plan1!310:310,"AAAAAGyF7hs=",0)</f>
        <v>0</v>
      </c>
      <c r="AC19" t="e">
        <f>AND(Plan1!A310,"AAAAAGyF7hw=")</f>
        <v>#VALUE!</v>
      </c>
      <c r="AD19" t="e">
        <f>AND(Plan1!B310,"AAAAAGyF7h0=")</f>
        <v>#VALUE!</v>
      </c>
      <c r="AE19" t="e">
        <f>AND(Plan1!C310,"AAAAAGyF7h4=")</f>
        <v>#VALUE!</v>
      </c>
      <c r="AF19" t="e">
        <f>AND(Plan1!D310,"AAAAAGyF7h8=")</f>
        <v>#VALUE!</v>
      </c>
      <c r="AG19" t="e">
        <f>AND(Plan1!E310,"AAAAAGyF7iA=")</f>
        <v>#VALUE!</v>
      </c>
      <c r="AH19" t="e">
        <f>AND(Plan1!F310,"AAAAAGyF7iE=")</f>
        <v>#VALUE!</v>
      </c>
      <c r="AI19" t="e">
        <f>AND(Plan1!G310,"AAAAAGyF7iI=")</f>
        <v>#VALUE!</v>
      </c>
      <c r="AJ19" t="e">
        <f>AND(Plan1!H310,"AAAAAGyF7iM=")</f>
        <v>#VALUE!</v>
      </c>
      <c r="AK19" t="e">
        <f>AND(Plan1!I310,"AAAAAGyF7iQ=")</f>
        <v>#VALUE!</v>
      </c>
      <c r="AL19" t="e">
        <f>AND(Plan1!J310,"AAAAAGyF7iU=")</f>
        <v>#VALUE!</v>
      </c>
      <c r="AM19" t="e">
        <f>AND(Plan1!K310,"AAAAAGyF7iY=")</f>
        <v>#VALUE!</v>
      </c>
      <c r="AN19" t="e">
        <f>AND(Plan1!L310,"AAAAAGyF7ic=")</f>
        <v>#VALUE!</v>
      </c>
      <c r="AO19" t="e">
        <f>AND(Plan1!M310,"AAAAAGyF7ig=")</f>
        <v>#VALUE!</v>
      </c>
      <c r="AP19" t="e">
        <f>AND(Plan1!N310,"AAAAAGyF7ik=")</f>
        <v>#VALUE!</v>
      </c>
      <c r="AQ19">
        <f>IF(Plan1!311:311,"AAAAAGyF7io=",0)</f>
        <v>0</v>
      </c>
      <c r="AR19" t="e">
        <f>AND(Plan1!A311,"AAAAAGyF7is=")</f>
        <v>#VALUE!</v>
      </c>
      <c r="AS19" t="e">
        <f>AND(Plan1!B311,"AAAAAGyF7iw=")</f>
        <v>#VALUE!</v>
      </c>
      <c r="AT19" t="e">
        <f>AND(Plan1!C311,"AAAAAGyF7i0=")</f>
        <v>#VALUE!</v>
      </c>
      <c r="AU19" t="e">
        <f>AND(Plan1!D311,"AAAAAGyF7i4=")</f>
        <v>#VALUE!</v>
      </c>
      <c r="AV19" t="e">
        <f>AND(Plan1!E311,"AAAAAGyF7i8=")</f>
        <v>#VALUE!</v>
      </c>
      <c r="AW19" t="e">
        <f>AND(Plan1!F311,"AAAAAGyF7jA=")</f>
        <v>#VALUE!</v>
      </c>
      <c r="AX19" t="e">
        <f>AND(Plan1!G311,"AAAAAGyF7jE=")</f>
        <v>#VALUE!</v>
      </c>
      <c r="AY19" t="e">
        <f>AND(Plan1!H311,"AAAAAGyF7jI=")</f>
        <v>#VALUE!</v>
      </c>
      <c r="AZ19" t="e">
        <f>AND(Plan1!I311,"AAAAAGyF7jM=")</f>
        <v>#VALUE!</v>
      </c>
      <c r="BA19" t="e">
        <f>AND(Plan1!J311,"AAAAAGyF7jQ=")</f>
        <v>#VALUE!</v>
      </c>
      <c r="BB19" t="e">
        <f>AND(Plan1!K311,"AAAAAGyF7jU=")</f>
        <v>#VALUE!</v>
      </c>
      <c r="BC19" t="e">
        <f>AND(Plan1!L311,"AAAAAGyF7jY=")</f>
        <v>#VALUE!</v>
      </c>
      <c r="BD19" t="e">
        <f>AND(Plan1!M311,"AAAAAGyF7jc=")</f>
        <v>#VALUE!</v>
      </c>
      <c r="BE19" t="e">
        <f>AND(Plan1!N311,"AAAAAGyF7jg=")</f>
        <v>#VALUE!</v>
      </c>
      <c r="BF19">
        <f>IF(Plan1!312:312,"AAAAAGyF7jk=",0)</f>
        <v>0</v>
      </c>
      <c r="BG19" t="e">
        <f>AND(Plan1!A312,"AAAAAGyF7jo=")</f>
        <v>#VALUE!</v>
      </c>
      <c r="BH19" t="e">
        <f>AND(Plan1!B312,"AAAAAGyF7js=")</f>
        <v>#VALUE!</v>
      </c>
      <c r="BI19" t="e">
        <f>AND(Plan1!C312,"AAAAAGyF7jw=")</f>
        <v>#VALUE!</v>
      </c>
      <c r="BJ19" t="e">
        <f>AND(Plan1!D312,"AAAAAGyF7j0=")</f>
        <v>#VALUE!</v>
      </c>
      <c r="BK19" t="e">
        <f>AND(Plan1!E312,"AAAAAGyF7j4=")</f>
        <v>#VALUE!</v>
      </c>
      <c r="BL19" t="e">
        <f>AND(Plan1!F312,"AAAAAGyF7j8=")</f>
        <v>#VALUE!</v>
      </c>
      <c r="BM19" t="e">
        <f>AND(Plan1!G312,"AAAAAGyF7kA=")</f>
        <v>#VALUE!</v>
      </c>
      <c r="BN19" t="e">
        <f>AND(Plan1!H312,"AAAAAGyF7kE=")</f>
        <v>#VALUE!</v>
      </c>
      <c r="BO19" t="e">
        <f>AND(Plan1!I312,"AAAAAGyF7kI=")</f>
        <v>#VALUE!</v>
      </c>
      <c r="BP19" t="e">
        <f>AND(Plan1!J312,"AAAAAGyF7kM=")</f>
        <v>#VALUE!</v>
      </c>
      <c r="BQ19" t="e">
        <f>AND(Plan1!K312,"AAAAAGyF7kQ=")</f>
        <v>#VALUE!</v>
      </c>
      <c r="BR19" t="e">
        <f>AND(Plan1!L312,"AAAAAGyF7kU=")</f>
        <v>#VALUE!</v>
      </c>
      <c r="BS19" t="e">
        <f>AND(Plan1!M312,"AAAAAGyF7kY=")</f>
        <v>#VALUE!</v>
      </c>
      <c r="BT19" t="e">
        <f>AND(Plan1!N312,"AAAAAGyF7kc=")</f>
        <v>#VALUE!</v>
      </c>
      <c r="BU19">
        <f>IF(Plan1!313:313,"AAAAAGyF7kg=",0)</f>
        <v>0</v>
      </c>
      <c r="BV19" t="e">
        <f>AND(Plan1!A313,"AAAAAGyF7kk=")</f>
        <v>#VALUE!</v>
      </c>
      <c r="BW19" t="e">
        <f>AND(Plan1!B313,"AAAAAGyF7ko=")</f>
        <v>#VALUE!</v>
      </c>
      <c r="BX19" t="e">
        <f>AND(Plan1!C313,"AAAAAGyF7ks=")</f>
        <v>#VALUE!</v>
      </c>
      <c r="BY19" t="e">
        <f>AND(Plan1!D313,"AAAAAGyF7kw=")</f>
        <v>#VALUE!</v>
      </c>
      <c r="BZ19" t="e">
        <f>AND(Plan1!E313,"AAAAAGyF7k0=")</f>
        <v>#VALUE!</v>
      </c>
      <c r="CA19" t="e">
        <f>AND(Plan1!F313,"AAAAAGyF7k4=")</f>
        <v>#VALUE!</v>
      </c>
      <c r="CB19" t="e">
        <f>AND(Plan1!G313,"AAAAAGyF7k8=")</f>
        <v>#VALUE!</v>
      </c>
      <c r="CC19" t="e">
        <f>AND(Plan1!H313,"AAAAAGyF7lA=")</f>
        <v>#VALUE!</v>
      </c>
      <c r="CD19" t="e">
        <f>AND(Plan1!I313,"AAAAAGyF7lE=")</f>
        <v>#VALUE!</v>
      </c>
      <c r="CE19" t="e">
        <f>AND(Plan1!J313,"AAAAAGyF7lI=")</f>
        <v>#VALUE!</v>
      </c>
      <c r="CF19" t="e">
        <f>AND(Plan1!K313,"AAAAAGyF7lM=")</f>
        <v>#VALUE!</v>
      </c>
      <c r="CG19" t="e">
        <f>AND(Plan1!L313,"AAAAAGyF7lQ=")</f>
        <v>#VALUE!</v>
      </c>
      <c r="CH19" t="e">
        <f>AND(Plan1!M313,"AAAAAGyF7lU=")</f>
        <v>#VALUE!</v>
      </c>
      <c r="CI19" t="e">
        <f>AND(Plan1!N313,"AAAAAGyF7lY=")</f>
        <v>#VALUE!</v>
      </c>
      <c r="CJ19">
        <f>IF(Plan1!314:314,"AAAAAGyF7lc=",0)</f>
        <v>0</v>
      </c>
      <c r="CK19" t="e">
        <f>AND(Plan1!A314,"AAAAAGyF7lg=")</f>
        <v>#VALUE!</v>
      </c>
      <c r="CL19" t="e">
        <f>AND(Plan1!B314,"AAAAAGyF7lk=")</f>
        <v>#VALUE!</v>
      </c>
      <c r="CM19" t="e">
        <f>AND(Plan1!C314,"AAAAAGyF7lo=")</f>
        <v>#VALUE!</v>
      </c>
      <c r="CN19" t="e">
        <f>AND(Plan1!D314,"AAAAAGyF7ls=")</f>
        <v>#VALUE!</v>
      </c>
      <c r="CO19" t="e">
        <f>AND(Plan1!E314,"AAAAAGyF7lw=")</f>
        <v>#VALUE!</v>
      </c>
      <c r="CP19" t="e">
        <f>AND(Plan1!F314,"AAAAAGyF7l0=")</f>
        <v>#VALUE!</v>
      </c>
      <c r="CQ19" t="e">
        <f>AND(Plan1!G314,"AAAAAGyF7l4=")</f>
        <v>#VALUE!</v>
      </c>
      <c r="CR19" t="e">
        <f>AND(Plan1!H314,"AAAAAGyF7l8=")</f>
        <v>#VALUE!</v>
      </c>
      <c r="CS19" t="e">
        <f>AND(Plan1!I314,"AAAAAGyF7mA=")</f>
        <v>#VALUE!</v>
      </c>
      <c r="CT19" t="e">
        <f>AND(Plan1!J314,"AAAAAGyF7mE=")</f>
        <v>#VALUE!</v>
      </c>
      <c r="CU19" t="e">
        <f>AND(Plan1!K314,"AAAAAGyF7mI=")</f>
        <v>#VALUE!</v>
      </c>
      <c r="CV19" t="e">
        <f>AND(Plan1!L314,"AAAAAGyF7mM=")</f>
        <v>#VALUE!</v>
      </c>
      <c r="CW19" t="e">
        <f>AND(Plan1!M314,"AAAAAGyF7mQ=")</f>
        <v>#VALUE!</v>
      </c>
      <c r="CX19" t="e">
        <f>AND(Plan1!N314,"AAAAAGyF7mU=")</f>
        <v>#VALUE!</v>
      </c>
      <c r="CY19">
        <f>IF(Plan1!315:315,"AAAAAGyF7mY=",0)</f>
        <v>0</v>
      </c>
      <c r="CZ19" t="e">
        <f>AND(Plan1!A315,"AAAAAGyF7mc=")</f>
        <v>#VALUE!</v>
      </c>
      <c r="DA19" t="e">
        <f>AND(Plan1!B315,"AAAAAGyF7mg=")</f>
        <v>#VALUE!</v>
      </c>
      <c r="DB19" t="e">
        <f>AND(Plan1!C315,"AAAAAGyF7mk=")</f>
        <v>#VALUE!</v>
      </c>
      <c r="DC19" t="e">
        <f>AND(Plan1!D315,"AAAAAGyF7mo=")</f>
        <v>#VALUE!</v>
      </c>
      <c r="DD19" t="e">
        <f>AND(Plan1!E315,"AAAAAGyF7ms=")</f>
        <v>#VALUE!</v>
      </c>
      <c r="DE19" t="e">
        <f>AND(Plan1!F315,"AAAAAGyF7mw=")</f>
        <v>#VALUE!</v>
      </c>
      <c r="DF19" t="e">
        <f>AND(Plan1!G315,"AAAAAGyF7m0=")</f>
        <v>#VALUE!</v>
      </c>
      <c r="DG19" t="e">
        <f>AND(Plan1!H315,"AAAAAGyF7m4=")</f>
        <v>#VALUE!</v>
      </c>
      <c r="DH19" t="e">
        <f>AND(Plan1!I315,"AAAAAGyF7m8=")</f>
        <v>#VALUE!</v>
      </c>
      <c r="DI19" t="e">
        <f>AND(Plan1!J315,"AAAAAGyF7nA=")</f>
        <v>#VALUE!</v>
      </c>
      <c r="DJ19" t="e">
        <f>AND(Plan1!K315,"AAAAAGyF7nE=")</f>
        <v>#VALUE!</v>
      </c>
      <c r="DK19" t="e">
        <f>AND(Plan1!L315,"AAAAAGyF7nI=")</f>
        <v>#VALUE!</v>
      </c>
      <c r="DL19" t="e">
        <f>AND(Plan1!M315,"AAAAAGyF7nM=")</f>
        <v>#VALUE!</v>
      </c>
      <c r="DM19" t="e">
        <f>AND(Plan1!N315,"AAAAAGyF7nQ=")</f>
        <v>#VALUE!</v>
      </c>
      <c r="DN19">
        <f>IF(Plan1!316:316,"AAAAAGyF7nU=",0)</f>
        <v>0</v>
      </c>
      <c r="DO19" t="e">
        <f>AND(Plan1!A316,"AAAAAGyF7nY=")</f>
        <v>#VALUE!</v>
      </c>
      <c r="DP19" t="e">
        <f>AND(Plan1!B316,"AAAAAGyF7nc=")</f>
        <v>#VALUE!</v>
      </c>
      <c r="DQ19" t="e">
        <f>AND(Plan1!C316,"AAAAAGyF7ng=")</f>
        <v>#VALUE!</v>
      </c>
      <c r="DR19" t="e">
        <f>AND(Plan1!D316,"AAAAAGyF7nk=")</f>
        <v>#VALUE!</v>
      </c>
      <c r="DS19" t="e">
        <f>AND(Plan1!E316,"AAAAAGyF7no=")</f>
        <v>#VALUE!</v>
      </c>
      <c r="DT19" t="e">
        <f>AND(Plan1!F316,"AAAAAGyF7ns=")</f>
        <v>#VALUE!</v>
      </c>
      <c r="DU19" t="e">
        <f>AND(Plan1!G316,"AAAAAGyF7nw=")</f>
        <v>#VALUE!</v>
      </c>
      <c r="DV19" t="e">
        <f>AND(Plan1!H316,"AAAAAGyF7n0=")</f>
        <v>#VALUE!</v>
      </c>
      <c r="DW19" t="e">
        <f>AND(Plan1!I316,"AAAAAGyF7n4=")</f>
        <v>#VALUE!</v>
      </c>
      <c r="DX19" t="e">
        <f>AND(Plan1!J316,"AAAAAGyF7n8=")</f>
        <v>#VALUE!</v>
      </c>
      <c r="DY19" t="e">
        <f>AND(Plan1!K316,"AAAAAGyF7oA=")</f>
        <v>#VALUE!</v>
      </c>
      <c r="DZ19" t="e">
        <f>AND(Plan1!L316,"AAAAAGyF7oE=")</f>
        <v>#VALUE!</v>
      </c>
      <c r="EA19" t="e">
        <f>AND(Plan1!M316,"AAAAAGyF7oI=")</f>
        <v>#VALUE!</v>
      </c>
      <c r="EB19" t="e">
        <f>AND(Plan1!N316,"AAAAAGyF7oM=")</f>
        <v>#VALUE!</v>
      </c>
      <c r="EC19">
        <f>IF(Plan1!317:317,"AAAAAGyF7oQ=",0)</f>
        <v>0</v>
      </c>
      <c r="ED19" t="e">
        <f>AND(Plan1!A317,"AAAAAGyF7oU=")</f>
        <v>#VALUE!</v>
      </c>
      <c r="EE19" t="e">
        <f>AND(Plan1!B317,"AAAAAGyF7oY=")</f>
        <v>#VALUE!</v>
      </c>
      <c r="EF19" t="e">
        <f>AND(Plan1!C317,"AAAAAGyF7oc=")</f>
        <v>#VALUE!</v>
      </c>
      <c r="EG19" t="e">
        <f>AND(Plan1!D317,"AAAAAGyF7og=")</f>
        <v>#VALUE!</v>
      </c>
      <c r="EH19" t="e">
        <f>AND(Plan1!E317,"AAAAAGyF7ok=")</f>
        <v>#VALUE!</v>
      </c>
      <c r="EI19" t="e">
        <f>AND(Plan1!F317,"AAAAAGyF7oo=")</f>
        <v>#VALUE!</v>
      </c>
      <c r="EJ19" t="e">
        <f>AND(Plan1!G317,"AAAAAGyF7os=")</f>
        <v>#VALUE!</v>
      </c>
      <c r="EK19" t="e">
        <f>AND(Plan1!H317,"AAAAAGyF7ow=")</f>
        <v>#VALUE!</v>
      </c>
      <c r="EL19" t="e">
        <f>AND(Plan1!I317,"AAAAAGyF7o0=")</f>
        <v>#VALUE!</v>
      </c>
      <c r="EM19" t="e">
        <f>AND(Plan1!J317,"AAAAAGyF7o4=")</f>
        <v>#VALUE!</v>
      </c>
      <c r="EN19" t="e">
        <f>AND(Plan1!K317,"AAAAAGyF7o8=")</f>
        <v>#VALUE!</v>
      </c>
      <c r="EO19" t="e">
        <f>AND(Plan1!L317,"AAAAAGyF7pA=")</f>
        <v>#VALUE!</v>
      </c>
      <c r="EP19" t="e">
        <f>AND(Plan1!M317,"AAAAAGyF7pE=")</f>
        <v>#VALUE!</v>
      </c>
      <c r="EQ19" t="e">
        <f>AND(Plan1!N317,"AAAAAGyF7pI=")</f>
        <v>#VALUE!</v>
      </c>
      <c r="ER19">
        <f>IF(Plan1!318:318,"AAAAAGyF7pM=",0)</f>
        <v>0</v>
      </c>
      <c r="ES19" t="e">
        <f>AND(Plan1!A318,"AAAAAGyF7pQ=")</f>
        <v>#VALUE!</v>
      </c>
      <c r="ET19" t="e">
        <f>AND(Plan1!B318,"AAAAAGyF7pU=")</f>
        <v>#VALUE!</v>
      </c>
      <c r="EU19" t="e">
        <f>AND(Plan1!C318,"AAAAAGyF7pY=")</f>
        <v>#VALUE!</v>
      </c>
      <c r="EV19" t="e">
        <f>AND(Plan1!D318,"AAAAAGyF7pc=")</f>
        <v>#VALUE!</v>
      </c>
      <c r="EW19" t="e">
        <f>AND(Plan1!E318,"AAAAAGyF7pg=")</f>
        <v>#VALUE!</v>
      </c>
      <c r="EX19" t="e">
        <f>AND(Plan1!F318,"AAAAAGyF7pk=")</f>
        <v>#VALUE!</v>
      </c>
      <c r="EY19" t="e">
        <f>AND(Plan1!G318,"AAAAAGyF7po=")</f>
        <v>#VALUE!</v>
      </c>
      <c r="EZ19" t="e">
        <f>AND(Plan1!H318,"AAAAAGyF7ps=")</f>
        <v>#VALUE!</v>
      </c>
      <c r="FA19" t="e">
        <f>AND(Plan1!I318,"AAAAAGyF7pw=")</f>
        <v>#VALUE!</v>
      </c>
      <c r="FB19" t="e">
        <f>AND(Plan1!J318,"AAAAAGyF7p0=")</f>
        <v>#VALUE!</v>
      </c>
      <c r="FC19" t="e">
        <f>AND(Plan1!K318,"AAAAAGyF7p4=")</f>
        <v>#VALUE!</v>
      </c>
      <c r="FD19" t="e">
        <f>AND(Plan1!L318,"AAAAAGyF7p8=")</f>
        <v>#VALUE!</v>
      </c>
      <c r="FE19" t="e">
        <f>AND(Plan1!M318,"AAAAAGyF7qA=")</f>
        <v>#VALUE!</v>
      </c>
      <c r="FF19" t="e">
        <f>AND(Plan1!N318,"AAAAAGyF7qE=")</f>
        <v>#VALUE!</v>
      </c>
      <c r="FG19">
        <f>IF(Plan1!319:319,"AAAAAGyF7qI=",0)</f>
        <v>0</v>
      </c>
      <c r="FH19" t="e">
        <f>AND(Plan1!A319,"AAAAAGyF7qM=")</f>
        <v>#VALUE!</v>
      </c>
      <c r="FI19" t="e">
        <f>AND(Plan1!B319,"AAAAAGyF7qQ=")</f>
        <v>#VALUE!</v>
      </c>
      <c r="FJ19" t="e">
        <f>AND(Plan1!C319,"AAAAAGyF7qU=")</f>
        <v>#VALUE!</v>
      </c>
      <c r="FK19" t="e">
        <f>AND(Plan1!D319,"AAAAAGyF7qY=")</f>
        <v>#VALUE!</v>
      </c>
      <c r="FL19" t="e">
        <f>AND(Plan1!E319,"AAAAAGyF7qc=")</f>
        <v>#VALUE!</v>
      </c>
      <c r="FM19" t="e">
        <f>AND(Plan1!F319,"AAAAAGyF7qg=")</f>
        <v>#VALUE!</v>
      </c>
      <c r="FN19" t="e">
        <f>AND(Plan1!G319,"AAAAAGyF7qk=")</f>
        <v>#VALUE!</v>
      </c>
      <c r="FO19" t="e">
        <f>AND(Plan1!H319,"AAAAAGyF7qo=")</f>
        <v>#VALUE!</v>
      </c>
      <c r="FP19" t="e">
        <f>AND(Plan1!I319,"AAAAAGyF7qs=")</f>
        <v>#VALUE!</v>
      </c>
      <c r="FQ19" t="e">
        <f>AND(Plan1!J319,"AAAAAGyF7qw=")</f>
        <v>#VALUE!</v>
      </c>
      <c r="FR19" t="e">
        <f>AND(Plan1!K319,"AAAAAGyF7q0=")</f>
        <v>#VALUE!</v>
      </c>
      <c r="FS19" t="e">
        <f>AND(Plan1!L319,"AAAAAGyF7q4=")</f>
        <v>#VALUE!</v>
      </c>
      <c r="FT19" t="e">
        <f>AND(Plan1!M319,"AAAAAGyF7q8=")</f>
        <v>#VALUE!</v>
      </c>
      <c r="FU19" t="e">
        <f>AND(Plan1!N319,"AAAAAGyF7rA=")</f>
        <v>#VALUE!</v>
      </c>
      <c r="FV19">
        <f>IF(Plan1!320:320,"AAAAAGyF7rE=",0)</f>
        <v>0</v>
      </c>
      <c r="FW19" t="e">
        <f>AND(Plan1!A320,"AAAAAGyF7rI=")</f>
        <v>#VALUE!</v>
      </c>
      <c r="FX19" t="e">
        <f>AND(Plan1!B320,"AAAAAGyF7rM=")</f>
        <v>#VALUE!</v>
      </c>
      <c r="FY19" t="e">
        <f>AND(Plan1!C320,"AAAAAGyF7rQ=")</f>
        <v>#VALUE!</v>
      </c>
      <c r="FZ19" t="e">
        <f>AND(Plan1!D320,"AAAAAGyF7rU=")</f>
        <v>#VALUE!</v>
      </c>
      <c r="GA19" t="e">
        <f>AND(Plan1!E320,"AAAAAGyF7rY=")</f>
        <v>#VALUE!</v>
      </c>
      <c r="GB19" t="e">
        <f>AND(Plan1!F320,"AAAAAGyF7rc=")</f>
        <v>#VALUE!</v>
      </c>
      <c r="GC19" t="e">
        <f>AND(Plan1!G320,"AAAAAGyF7rg=")</f>
        <v>#VALUE!</v>
      </c>
      <c r="GD19" t="e">
        <f>AND(Plan1!H320,"AAAAAGyF7rk=")</f>
        <v>#VALUE!</v>
      </c>
      <c r="GE19" t="e">
        <f>AND(Plan1!I320,"AAAAAGyF7ro=")</f>
        <v>#VALUE!</v>
      </c>
      <c r="GF19" t="e">
        <f>AND(Plan1!J320,"AAAAAGyF7rs=")</f>
        <v>#VALUE!</v>
      </c>
      <c r="GG19" t="e">
        <f>AND(Plan1!K320,"AAAAAGyF7rw=")</f>
        <v>#VALUE!</v>
      </c>
      <c r="GH19" t="e">
        <f>AND(Plan1!L320,"AAAAAGyF7r0=")</f>
        <v>#VALUE!</v>
      </c>
      <c r="GI19" t="e">
        <f>AND(Plan1!M320,"AAAAAGyF7r4=")</f>
        <v>#VALUE!</v>
      </c>
      <c r="GJ19" t="e">
        <f>AND(Plan1!N320,"AAAAAGyF7r8=")</f>
        <v>#VALUE!</v>
      </c>
      <c r="GK19">
        <f>IF(Plan1!321:321,"AAAAAGyF7sA=",0)</f>
        <v>0</v>
      </c>
      <c r="GL19" t="e">
        <f>AND(Plan1!A321,"AAAAAGyF7sE=")</f>
        <v>#VALUE!</v>
      </c>
      <c r="GM19" t="e">
        <f>AND(Plan1!B321,"AAAAAGyF7sI=")</f>
        <v>#VALUE!</v>
      </c>
      <c r="GN19" t="e">
        <f>AND(Plan1!C321,"AAAAAGyF7sM=")</f>
        <v>#VALUE!</v>
      </c>
      <c r="GO19" t="e">
        <f>AND(Plan1!D321,"AAAAAGyF7sQ=")</f>
        <v>#VALUE!</v>
      </c>
      <c r="GP19" t="e">
        <f>AND(Plan1!E321,"AAAAAGyF7sU=")</f>
        <v>#VALUE!</v>
      </c>
      <c r="GQ19" t="e">
        <f>AND(Plan1!F321,"AAAAAGyF7sY=")</f>
        <v>#VALUE!</v>
      </c>
      <c r="GR19" t="e">
        <f>AND(Plan1!G321,"AAAAAGyF7sc=")</f>
        <v>#VALUE!</v>
      </c>
      <c r="GS19" t="e">
        <f>AND(Plan1!H321,"AAAAAGyF7sg=")</f>
        <v>#VALUE!</v>
      </c>
      <c r="GT19" t="e">
        <f>AND(Plan1!I321,"AAAAAGyF7sk=")</f>
        <v>#VALUE!</v>
      </c>
      <c r="GU19" t="e">
        <f>AND(Plan1!J321,"AAAAAGyF7so=")</f>
        <v>#VALUE!</v>
      </c>
      <c r="GV19" t="e">
        <f>AND(Plan1!K321,"AAAAAGyF7ss=")</f>
        <v>#VALUE!</v>
      </c>
      <c r="GW19" t="e">
        <f>AND(Plan1!L321,"AAAAAGyF7sw=")</f>
        <v>#VALUE!</v>
      </c>
      <c r="GX19" t="e">
        <f>AND(Plan1!M321,"AAAAAGyF7s0=")</f>
        <v>#VALUE!</v>
      </c>
      <c r="GY19" t="e">
        <f>AND(Plan1!N321,"AAAAAGyF7s4=")</f>
        <v>#VALUE!</v>
      </c>
      <c r="GZ19">
        <f>IF(Plan1!322:322,"AAAAAGyF7s8=",0)</f>
        <v>0</v>
      </c>
      <c r="HA19" t="e">
        <f>AND(Plan1!A322,"AAAAAGyF7tA=")</f>
        <v>#VALUE!</v>
      </c>
      <c r="HB19" t="e">
        <f>AND(Plan1!B322,"AAAAAGyF7tE=")</f>
        <v>#VALUE!</v>
      </c>
      <c r="HC19" t="e">
        <f>AND(Plan1!C322,"AAAAAGyF7tI=")</f>
        <v>#VALUE!</v>
      </c>
      <c r="HD19" t="e">
        <f>AND(Plan1!D322,"AAAAAGyF7tM=")</f>
        <v>#VALUE!</v>
      </c>
      <c r="HE19" t="e">
        <f>AND(Plan1!E322,"AAAAAGyF7tQ=")</f>
        <v>#VALUE!</v>
      </c>
      <c r="HF19" t="e">
        <f>AND(Plan1!F322,"AAAAAGyF7tU=")</f>
        <v>#VALUE!</v>
      </c>
      <c r="HG19" t="e">
        <f>AND(Plan1!G322,"AAAAAGyF7tY=")</f>
        <v>#VALUE!</v>
      </c>
      <c r="HH19" t="e">
        <f>AND(Plan1!H322,"AAAAAGyF7tc=")</f>
        <v>#VALUE!</v>
      </c>
      <c r="HI19" t="e">
        <f>AND(Plan1!I322,"AAAAAGyF7tg=")</f>
        <v>#VALUE!</v>
      </c>
      <c r="HJ19" t="e">
        <f>AND(Plan1!J322,"AAAAAGyF7tk=")</f>
        <v>#VALUE!</v>
      </c>
      <c r="HK19" t="e">
        <f>AND(Plan1!K322,"AAAAAGyF7to=")</f>
        <v>#VALUE!</v>
      </c>
      <c r="HL19" t="e">
        <f>AND(Plan1!L322,"AAAAAGyF7ts=")</f>
        <v>#VALUE!</v>
      </c>
      <c r="HM19" t="e">
        <f>AND(Plan1!M322,"AAAAAGyF7tw=")</f>
        <v>#VALUE!</v>
      </c>
      <c r="HN19" t="e">
        <f>AND(Plan1!N322,"AAAAAGyF7t0=")</f>
        <v>#VALUE!</v>
      </c>
      <c r="HO19">
        <f>IF(Plan1!323:323,"AAAAAGyF7t4=",0)</f>
        <v>0</v>
      </c>
      <c r="HP19" t="e">
        <f>AND(Plan1!A323,"AAAAAGyF7t8=")</f>
        <v>#VALUE!</v>
      </c>
      <c r="HQ19" t="e">
        <f>AND(Plan1!B323,"AAAAAGyF7uA=")</f>
        <v>#VALUE!</v>
      </c>
      <c r="HR19" t="e">
        <f>AND(Plan1!C323,"AAAAAGyF7uE=")</f>
        <v>#VALUE!</v>
      </c>
      <c r="HS19" t="e">
        <f>AND(Plan1!D323,"AAAAAGyF7uI=")</f>
        <v>#VALUE!</v>
      </c>
      <c r="HT19" t="e">
        <f>AND(Plan1!E323,"AAAAAGyF7uM=")</f>
        <v>#VALUE!</v>
      </c>
      <c r="HU19" t="e">
        <f>AND(Plan1!F323,"AAAAAGyF7uQ=")</f>
        <v>#VALUE!</v>
      </c>
      <c r="HV19" t="e">
        <f>AND(Plan1!G323,"AAAAAGyF7uU=")</f>
        <v>#VALUE!</v>
      </c>
      <c r="HW19" t="e">
        <f>AND(Plan1!H323,"AAAAAGyF7uY=")</f>
        <v>#VALUE!</v>
      </c>
      <c r="HX19" t="e">
        <f>AND(Plan1!I323,"AAAAAGyF7uc=")</f>
        <v>#VALUE!</v>
      </c>
      <c r="HY19" t="e">
        <f>AND(Plan1!J323,"AAAAAGyF7ug=")</f>
        <v>#VALUE!</v>
      </c>
      <c r="HZ19" t="e">
        <f>AND(Plan1!K323,"AAAAAGyF7uk=")</f>
        <v>#VALUE!</v>
      </c>
      <c r="IA19" t="e">
        <f>AND(Plan1!L323,"AAAAAGyF7uo=")</f>
        <v>#VALUE!</v>
      </c>
      <c r="IB19" t="e">
        <f>AND(Plan1!M323,"AAAAAGyF7us=")</f>
        <v>#VALUE!</v>
      </c>
      <c r="IC19" t="e">
        <f>AND(Plan1!N323,"AAAAAGyF7uw=")</f>
        <v>#VALUE!</v>
      </c>
      <c r="ID19">
        <f>IF(Plan1!324:324,"AAAAAGyF7u0=",0)</f>
        <v>0</v>
      </c>
      <c r="IE19" t="e">
        <f>AND(Plan1!A324,"AAAAAGyF7u4=")</f>
        <v>#VALUE!</v>
      </c>
      <c r="IF19" t="e">
        <f>AND(Plan1!B324,"AAAAAGyF7u8=")</f>
        <v>#VALUE!</v>
      </c>
      <c r="IG19" t="e">
        <f>AND(Plan1!C324,"AAAAAGyF7vA=")</f>
        <v>#VALUE!</v>
      </c>
      <c r="IH19" t="e">
        <f>AND(Plan1!D324,"AAAAAGyF7vE=")</f>
        <v>#VALUE!</v>
      </c>
      <c r="II19" t="e">
        <f>AND(Plan1!E324,"AAAAAGyF7vI=")</f>
        <v>#VALUE!</v>
      </c>
      <c r="IJ19" t="e">
        <f>AND(Plan1!F324,"AAAAAGyF7vM=")</f>
        <v>#VALUE!</v>
      </c>
      <c r="IK19" t="e">
        <f>AND(Plan1!G324,"AAAAAGyF7vQ=")</f>
        <v>#VALUE!</v>
      </c>
      <c r="IL19" t="e">
        <f>AND(Plan1!H324,"AAAAAGyF7vU=")</f>
        <v>#VALUE!</v>
      </c>
      <c r="IM19" t="e">
        <f>AND(Plan1!I324,"AAAAAGyF7vY=")</f>
        <v>#VALUE!</v>
      </c>
      <c r="IN19" t="e">
        <f>AND(Plan1!J324,"AAAAAGyF7vc=")</f>
        <v>#VALUE!</v>
      </c>
      <c r="IO19" t="e">
        <f>AND(Plan1!K324,"AAAAAGyF7vg=")</f>
        <v>#VALUE!</v>
      </c>
      <c r="IP19" t="e">
        <f>AND(Plan1!L324,"AAAAAGyF7vk=")</f>
        <v>#VALUE!</v>
      </c>
      <c r="IQ19" t="e">
        <f>AND(Plan1!M324,"AAAAAGyF7vo=")</f>
        <v>#VALUE!</v>
      </c>
      <c r="IR19" t="e">
        <f>AND(Plan1!N324,"AAAAAGyF7vs=")</f>
        <v>#VALUE!</v>
      </c>
      <c r="IS19">
        <f>IF(Plan1!325:325,"AAAAAGyF7vw=",0)</f>
        <v>0</v>
      </c>
      <c r="IT19" t="e">
        <f>AND(Plan1!A325,"AAAAAGyF7v0=")</f>
        <v>#VALUE!</v>
      </c>
      <c r="IU19" t="e">
        <f>AND(Plan1!B325,"AAAAAGyF7v4=")</f>
        <v>#VALUE!</v>
      </c>
      <c r="IV19" t="e">
        <f>AND(Plan1!C325,"AAAAAGyF7v8=")</f>
        <v>#VALUE!</v>
      </c>
    </row>
    <row r="20" spans="1:256">
      <c r="A20" t="e">
        <f>AND(Plan1!D325,"AAAAAFd/7gA=")</f>
        <v>#VALUE!</v>
      </c>
      <c r="B20" t="e">
        <f>AND(Plan1!E325,"AAAAAFd/7gE=")</f>
        <v>#VALUE!</v>
      </c>
      <c r="C20" t="e">
        <f>AND(Plan1!F325,"AAAAAFd/7gI=")</f>
        <v>#VALUE!</v>
      </c>
      <c r="D20" t="e">
        <f>AND(Plan1!G325,"AAAAAFd/7gM=")</f>
        <v>#VALUE!</v>
      </c>
      <c r="E20" t="e">
        <f>AND(Plan1!H325,"AAAAAFd/7gQ=")</f>
        <v>#VALUE!</v>
      </c>
      <c r="F20" t="e">
        <f>AND(Plan1!I325,"AAAAAFd/7gU=")</f>
        <v>#VALUE!</v>
      </c>
      <c r="G20" t="e">
        <f>AND(Plan1!J325,"AAAAAFd/7gY=")</f>
        <v>#VALUE!</v>
      </c>
      <c r="H20" t="e">
        <f>AND(Plan1!K325,"AAAAAFd/7gc=")</f>
        <v>#VALUE!</v>
      </c>
      <c r="I20" t="e">
        <f>AND(Plan1!L325,"AAAAAFd/7gg=")</f>
        <v>#VALUE!</v>
      </c>
      <c r="J20" t="e">
        <f>AND(Plan1!M325,"AAAAAFd/7gk=")</f>
        <v>#VALUE!</v>
      </c>
      <c r="K20" t="e">
        <f>AND(Plan1!N325,"AAAAAFd/7go=")</f>
        <v>#VALUE!</v>
      </c>
      <c r="L20" t="e">
        <f>IF(Plan1!326:326,"AAAAAFd/7gs=",0)</f>
        <v>#VALUE!</v>
      </c>
      <c r="M20" t="e">
        <f>AND(Plan1!A326,"AAAAAFd/7gw=")</f>
        <v>#VALUE!</v>
      </c>
      <c r="N20" t="e">
        <f>AND(Plan1!B326,"AAAAAFd/7g0=")</f>
        <v>#VALUE!</v>
      </c>
      <c r="O20" t="e">
        <f>AND(Plan1!C326,"AAAAAFd/7g4=")</f>
        <v>#VALUE!</v>
      </c>
      <c r="P20" t="e">
        <f>AND(Plan1!D326,"AAAAAFd/7g8=")</f>
        <v>#VALUE!</v>
      </c>
      <c r="Q20" t="e">
        <f>AND(Plan1!E326,"AAAAAFd/7hA=")</f>
        <v>#VALUE!</v>
      </c>
      <c r="R20" t="e">
        <f>AND(Plan1!F326,"AAAAAFd/7hE=")</f>
        <v>#VALUE!</v>
      </c>
      <c r="S20" t="e">
        <f>AND(Plan1!G326,"AAAAAFd/7hI=")</f>
        <v>#VALUE!</v>
      </c>
      <c r="T20" t="e">
        <f>AND(Plan1!H326,"AAAAAFd/7hM=")</f>
        <v>#VALUE!</v>
      </c>
      <c r="U20" t="e">
        <f>AND(Plan1!I326,"AAAAAFd/7hQ=")</f>
        <v>#VALUE!</v>
      </c>
      <c r="V20" t="e">
        <f>AND(Plan1!J326,"AAAAAFd/7hU=")</f>
        <v>#VALUE!</v>
      </c>
      <c r="W20" t="e">
        <f>AND(Plan1!K326,"AAAAAFd/7hY=")</f>
        <v>#VALUE!</v>
      </c>
      <c r="X20" t="e">
        <f>AND(Plan1!L326,"AAAAAFd/7hc=")</f>
        <v>#VALUE!</v>
      </c>
      <c r="Y20" t="e">
        <f>AND(Plan1!M326,"AAAAAFd/7hg=")</f>
        <v>#VALUE!</v>
      </c>
      <c r="Z20" t="e">
        <f>AND(Plan1!N326,"AAAAAFd/7hk=")</f>
        <v>#VALUE!</v>
      </c>
      <c r="AA20">
        <f>IF(Plan1!327:327,"AAAAAFd/7ho=",0)</f>
        <v>0</v>
      </c>
      <c r="AB20" t="e">
        <f>AND(Plan1!A327,"AAAAAFd/7hs=")</f>
        <v>#VALUE!</v>
      </c>
      <c r="AC20" t="e">
        <f>AND(Plan1!B327,"AAAAAFd/7hw=")</f>
        <v>#VALUE!</v>
      </c>
      <c r="AD20" t="e">
        <f>AND(Plan1!C327,"AAAAAFd/7h0=")</f>
        <v>#VALUE!</v>
      </c>
      <c r="AE20" t="e">
        <f>AND(Plan1!D327,"AAAAAFd/7h4=")</f>
        <v>#VALUE!</v>
      </c>
      <c r="AF20" t="e">
        <f>AND(Plan1!E327,"AAAAAFd/7h8=")</f>
        <v>#VALUE!</v>
      </c>
      <c r="AG20" t="e">
        <f>AND(Plan1!F327,"AAAAAFd/7iA=")</f>
        <v>#VALUE!</v>
      </c>
      <c r="AH20" t="e">
        <f>AND(Plan1!G327,"AAAAAFd/7iE=")</f>
        <v>#VALUE!</v>
      </c>
      <c r="AI20" t="e">
        <f>AND(Plan1!H327,"AAAAAFd/7iI=")</f>
        <v>#VALUE!</v>
      </c>
      <c r="AJ20" t="e">
        <f>AND(Plan1!I327,"AAAAAFd/7iM=")</f>
        <v>#VALUE!</v>
      </c>
      <c r="AK20" t="e">
        <f>AND(Plan1!J327,"AAAAAFd/7iQ=")</f>
        <v>#VALUE!</v>
      </c>
      <c r="AL20" t="e">
        <f>AND(Plan1!K327,"AAAAAFd/7iU=")</f>
        <v>#VALUE!</v>
      </c>
      <c r="AM20" t="e">
        <f>AND(Plan1!L327,"AAAAAFd/7iY=")</f>
        <v>#VALUE!</v>
      </c>
      <c r="AN20" t="e">
        <f>AND(Plan1!M327,"AAAAAFd/7ic=")</f>
        <v>#VALUE!</v>
      </c>
      <c r="AO20" t="e">
        <f>AND(Plan1!N327,"AAAAAFd/7ig=")</f>
        <v>#VALUE!</v>
      </c>
      <c r="AP20">
        <f>IF(Plan1!328:328,"AAAAAFd/7ik=",0)</f>
        <v>0</v>
      </c>
      <c r="AQ20" t="e">
        <f>AND(Plan1!A328,"AAAAAFd/7io=")</f>
        <v>#VALUE!</v>
      </c>
      <c r="AR20" t="e">
        <f>AND(Plan1!B328,"AAAAAFd/7is=")</f>
        <v>#VALUE!</v>
      </c>
      <c r="AS20" t="e">
        <f>AND(Plan1!C328,"AAAAAFd/7iw=")</f>
        <v>#VALUE!</v>
      </c>
      <c r="AT20" t="e">
        <f>AND(Plan1!D328,"AAAAAFd/7i0=")</f>
        <v>#VALUE!</v>
      </c>
      <c r="AU20" t="e">
        <f>AND(Plan1!E328,"AAAAAFd/7i4=")</f>
        <v>#VALUE!</v>
      </c>
      <c r="AV20" t="e">
        <f>AND(Plan1!F328,"AAAAAFd/7i8=")</f>
        <v>#VALUE!</v>
      </c>
      <c r="AW20" t="e">
        <f>AND(Plan1!G328,"AAAAAFd/7jA=")</f>
        <v>#VALUE!</v>
      </c>
      <c r="AX20" t="e">
        <f>AND(Plan1!H328,"AAAAAFd/7jE=")</f>
        <v>#VALUE!</v>
      </c>
      <c r="AY20" t="e">
        <f>AND(Plan1!I328,"AAAAAFd/7jI=")</f>
        <v>#VALUE!</v>
      </c>
      <c r="AZ20" t="e">
        <f>AND(Plan1!J328,"AAAAAFd/7jM=")</f>
        <v>#VALUE!</v>
      </c>
      <c r="BA20" t="e">
        <f>AND(Plan1!K328,"AAAAAFd/7jQ=")</f>
        <v>#VALUE!</v>
      </c>
      <c r="BB20" t="e">
        <f>AND(Plan1!L328,"AAAAAFd/7jU=")</f>
        <v>#VALUE!</v>
      </c>
      <c r="BC20" t="e">
        <f>AND(Plan1!M328,"AAAAAFd/7jY=")</f>
        <v>#VALUE!</v>
      </c>
      <c r="BD20" t="e">
        <f>AND(Plan1!N328,"AAAAAFd/7jc=")</f>
        <v>#VALUE!</v>
      </c>
      <c r="BE20">
        <f>IF(Plan1!329:329,"AAAAAFd/7jg=",0)</f>
        <v>0</v>
      </c>
      <c r="BF20" t="e">
        <f>AND(Plan1!A329,"AAAAAFd/7jk=")</f>
        <v>#VALUE!</v>
      </c>
      <c r="BG20" t="e">
        <f>AND(Plan1!B329,"AAAAAFd/7jo=")</f>
        <v>#VALUE!</v>
      </c>
      <c r="BH20" t="e">
        <f>AND(Plan1!C329,"AAAAAFd/7js=")</f>
        <v>#VALUE!</v>
      </c>
      <c r="BI20" t="e">
        <f>AND(Plan1!D329,"AAAAAFd/7jw=")</f>
        <v>#VALUE!</v>
      </c>
      <c r="BJ20" t="e">
        <f>AND(Plan1!E329,"AAAAAFd/7j0=")</f>
        <v>#VALUE!</v>
      </c>
      <c r="BK20" t="e">
        <f>AND(Plan1!F329,"AAAAAFd/7j4=")</f>
        <v>#VALUE!</v>
      </c>
      <c r="BL20" t="e">
        <f>AND(Plan1!G329,"AAAAAFd/7j8=")</f>
        <v>#VALUE!</v>
      </c>
      <c r="BM20" t="e">
        <f>AND(Plan1!H329,"AAAAAFd/7kA=")</f>
        <v>#VALUE!</v>
      </c>
      <c r="BN20" t="e">
        <f>AND(Plan1!I329,"AAAAAFd/7kE=")</f>
        <v>#VALUE!</v>
      </c>
      <c r="BO20" t="e">
        <f>AND(Plan1!J329,"AAAAAFd/7kI=")</f>
        <v>#VALUE!</v>
      </c>
      <c r="BP20" t="e">
        <f>AND(Plan1!K329,"AAAAAFd/7kM=")</f>
        <v>#VALUE!</v>
      </c>
      <c r="BQ20" t="e">
        <f>AND(Plan1!L329,"AAAAAFd/7kQ=")</f>
        <v>#VALUE!</v>
      </c>
      <c r="BR20" t="e">
        <f>AND(Plan1!M329,"AAAAAFd/7kU=")</f>
        <v>#VALUE!</v>
      </c>
      <c r="BS20" t="e">
        <f>AND(Plan1!N329,"AAAAAFd/7kY=")</f>
        <v>#VALUE!</v>
      </c>
      <c r="BT20">
        <f>IF(Plan1!330:330,"AAAAAFd/7kc=",0)</f>
        <v>0</v>
      </c>
      <c r="BU20" t="e">
        <f>AND(Plan1!A330,"AAAAAFd/7kg=")</f>
        <v>#VALUE!</v>
      </c>
      <c r="BV20" t="e">
        <f>AND(Plan1!B330,"AAAAAFd/7kk=")</f>
        <v>#VALUE!</v>
      </c>
      <c r="BW20" t="e">
        <f>AND(Plan1!C330,"AAAAAFd/7ko=")</f>
        <v>#VALUE!</v>
      </c>
      <c r="BX20" t="e">
        <f>AND(Plan1!D330,"AAAAAFd/7ks=")</f>
        <v>#VALUE!</v>
      </c>
      <c r="BY20" t="e">
        <f>AND(Plan1!E330,"AAAAAFd/7kw=")</f>
        <v>#VALUE!</v>
      </c>
      <c r="BZ20" t="e">
        <f>AND(Plan1!F330,"AAAAAFd/7k0=")</f>
        <v>#VALUE!</v>
      </c>
      <c r="CA20" t="e">
        <f>AND(Plan1!G330,"AAAAAFd/7k4=")</f>
        <v>#VALUE!</v>
      </c>
      <c r="CB20" t="e">
        <f>AND(Plan1!H330,"AAAAAFd/7k8=")</f>
        <v>#VALUE!</v>
      </c>
      <c r="CC20" t="e">
        <f>AND(Plan1!I330,"AAAAAFd/7lA=")</f>
        <v>#VALUE!</v>
      </c>
      <c r="CD20" t="e">
        <f>AND(Plan1!J330,"AAAAAFd/7lE=")</f>
        <v>#VALUE!</v>
      </c>
      <c r="CE20" t="e">
        <f>AND(Plan1!K330,"AAAAAFd/7lI=")</f>
        <v>#VALUE!</v>
      </c>
      <c r="CF20" t="e">
        <f>AND(Plan1!L330,"AAAAAFd/7lM=")</f>
        <v>#VALUE!</v>
      </c>
      <c r="CG20" t="e">
        <f>AND(Plan1!M330,"AAAAAFd/7lQ=")</f>
        <v>#VALUE!</v>
      </c>
      <c r="CH20" t="e">
        <f>AND(Plan1!N330,"AAAAAFd/7lU=")</f>
        <v>#VALUE!</v>
      </c>
      <c r="CI20">
        <f>IF(Plan1!331:331,"AAAAAFd/7lY=",0)</f>
        <v>0</v>
      </c>
      <c r="CJ20" t="e">
        <f>AND(Plan1!A331,"AAAAAFd/7lc=")</f>
        <v>#VALUE!</v>
      </c>
      <c r="CK20" t="e">
        <f>AND(Plan1!B331,"AAAAAFd/7lg=")</f>
        <v>#VALUE!</v>
      </c>
      <c r="CL20" t="e">
        <f>AND(Plan1!C331,"AAAAAFd/7lk=")</f>
        <v>#VALUE!</v>
      </c>
      <c r="CM20" t="e">
        <f>AND(Plan1!D331,"AAAAAFd/7lo=")</f>
        <v>#VALUE!</v>
      </c>
      <c r="CN20" t="e">
        <f>AND(Plan1!E331,"AAAAAFd/7ls=")</f>
        <v>#VALUE!</v>
      </c>
      <c r="CO20" t="e">
        <f>AND(Plan1!F331,"AAAAAFd/7lw=")</f>
        <v>#VALUE!</v>
      </c>
      <c r="CP20" t="e">
        <f>AND(Plan1!G331,"AAAAAFd/7l0=")</f>
        <v>#VALUE!</v>
      </c>
      <c r="CQ20" t="e">
        <f>AND(Plan1!H331,"AAAAAFd/7l4=")</f>
        <v>#VALUE!</v>
      </c>
      <c r="CR20" t="e">
        <f>AND(Plan1!I331,"AAAAAFd/7l8=")</f>
        <v>#VALUE!</v>
      </c>
      <c r="CS20" t="e">
        <f>AND(Plan1!J331,"AAAAAFd/7mA=")</f>
        <v>#VALUE!</v>
      </c>
      <c r="CT20" t="e">
        <f>AND(Plan1!K331,"AAAAAFd/7mE=")</f>
        <v>#VALUE!</v>
      </c>
      <c r="CU20" t="e">
        <f>AND(Plan1!L331,"AAAAAFd/7mI=")</f>
        <v>#VALUE!</v>
      </c>
      <c r="CV20" t="e">
        <f>AND(Plan1!M331,"AAAAAFd/7mM=")</f>
        <v>#VALUE!</v>
      </c>
      <c r="CW20" t="e">
        <f>AND(Plan1!N331,"AAAAAFd/7mQ=")</f>
        <v>#VALUE!</v>
      </c>
      <c r="CX20">
        <f>IF(Plan1!332:332,"AAAAAFd/7mU=",0)</f>
        <v>0</v>
      </c>
      <c r="CY20" t="e">
        <f>AND(Plan1!A332,"AAAAAFd/7mY=")</f>
        <v>#VALUE!</v>
      </c>
      <c r="CZ20" t="e">
        <f>AND(Plan1!B332,"AAAAAFd/7mc=")</f>
        <v>#VALUE!</v>
      </c>
      <c r="DA20" t="e">
        <f>AND(Plan1!C332,"AAAAAFd/7mg=")</f>
        <v>#VALUE!</v>
      </c>
      <c r="DB20" t="e">
        <f>AND(Plan1!D332,"AAAAAFd/7mk=")</f>
        <v>#VALUE!</v>
      </c>
      <c r="DC20" t="e">
        <f>AND(Plan1!E332,"AAAAAFd/7mo=")</f>
        <v>#VALUE!</v>
      </c>
      <c r="DD20" t="e">
        <f>AND(Plan1!F332,"AAAAAFd/7ms=")</f>
        <v>#VALUE!</v>
      </c>
      <c r="DE20" t="e">
        <f>AND(Plan1!G332,"AAAAAFd/7mw=")</f>
        <v>#VALUE!</v>
      </c>
      <c r="DF20" t="e">
        <f>AND(Plan1!H332,"AAAAAFd/7m0=")</f>
        <v>#VALUE!</v>
      </c>
      <c r="DG20" t="e">
        <f>AND(Plan1!I332,"AAAAAFd/7m4=")</f>
        <v>#VALUE!</v>
      </c>
      <c r="DH20" t="e">
        <f>AND(Plan1!J332,"AAAAAFd/7m8=")</f>
        <v>#VALUE!</v>
      </c>
      <c r="DI20" t="e">
        <f>AND(Plan1!K332,"AAAAAFd/7nA=")</f>
        <v>#VALUE!</v>
      </c>
      <c r="DJ20" t="e">
        <f>AND(Plan1!L332,"AAAAAFd/7nE=")</f>
        <v>#VALUE!</v>
      </c>
      <c r="DK20" t="e">
        <f>AND(Plan1!M332,"AAAAAFd/7nI=")</f>
        <v>#VALUE!</v>
      </c>
      <c r="DL20" t="e">
        <f>AND(Plan1!N332,"AAAAAFd/7nM=")</f>
        <v>#VALUE!</v>
      </c>
      <c r="DM20">
        <f>IF(Plan1!333:333,"AAAAAFd/7nQ=",0)</f>
        <v>0</v>
      </c>
      <c r="DN20" t="e">
        <f>AND(Plan1!A333,"AAAAAFd/7nU=")</f>
        <v>#VALUE!</v>
      </c>
      <c r="DO20" t="e">
        <f>AND(Plan1!B333,"AAAAAFd/7nY=")</f>
        <v>#VALUE!</v>
      </c>
      <c r="DP20" t="e">
        <f>AND(Plan1!C333,"AAAAAFd/7nc=")</f>
        <v>#VALUE!</v>
      </c>
      <c r="DQ20" t="e">
        <f>AND(Plan1!D333,"AAAAAFd/7ng=")</f>
        <v>#VALUE!</v>
      </c>
      <c r="DR20" t="e">
        <f>AND(Plan1!E333,"AAAAAFd/7nk=")</f>
        <v>#VALUE!</v>
      </c>
      <c r="DS20" t="e">
        <f>AND(Plan1!F333,"AAAAAFd/7no=")</f>
        <v>#VALUE!</v>
      </c>
      <c r="DT20" t="e">
        <f>AND(Plan1!G333,"AAAAAFd/7ns=")</f>
        <v>#VALUE!</v>
      </c>
      <c r="DU20" t="e">
        <f>AND(Plan1!H333,"AAAAAFd/7nw=")</f>
        <v>#VALUE!</v>
      </c>
      <c r="DV20" t="e">
        <f>AND(Plan1!I333,"AAAAAFd/7n0=")</f>
        <v>#VALUE!</v>
      </c>
      <c r="DW20" t="e">
        <f>AND(Plan1!J333,"AAAAAFd/7n4=")</f>
        <v>#VALUE!</v>
      </c>
      <c r="DX20" t="e">
        <f>AND(Plan1!K333,"AAAAAFd/7n8=")</f>
        <v>#VALUE!</v>
      </c>
      <c r="DY20" t="e">
        <f>AND(Plan1!L333,"AAAAAFd/7oA=")</f>
        <v>#VALUE!</v>
      </c>
      <c r="DZ20" t="e">
        <f>AND(Plan1!M333,"AAAAAFd/7oE=")</f>
        <v>#VALUE!</v>
      </c>
      <c r="EA20" t="e">
        <f>AND(Plan1!N333,"AAAAAFd/7oI=")</f>
        <v>#VALUE!</v>
      </c>
      <c r="EB20">
        <f>IF(Plan1!334:334,"AAAAAFd/7oM=",0)</f>
        <v>0</v>
      </c>
      <c r="EC20" t="e">
        <f>AND(Plan1!A334,"AAAAAFd/7oQ=")</f>
        <v>#VALUE!</v>
      </c>
      <c r="ED20" t="e">
        <f>AND(Plan1!B334,"AAAAAFd/7oU=")</f>
        <v>#VALUE!</v>
      </c>
      <c r="EE20" t="e">
        <f>AND(Plan1!C334,"AAAAAFd/7oY=")</f>
        <v>#VALUE!</v>
      </c>
      <c r="EF20" t="e">
        <f>AND(Plan1!D334,"AAAAAFd/7oc=")</f>
        <v>#VALUE!</v>
      </c>
      <c r="EG20" t="e">
        <f>AND(Plan1!E334,"AAAAAFd/7og=")</f>
        <v>#VALUE!</v>
      </c>
      <c r="EH20" t="e">
        <f>AND(Plan1!F334,"AAAAAFd/7ok=")</f>
        <v>#VALUE!</v>
      </c>
      <c r="EI20" t="e">
        <f>AND(Plan1!G334,"AAAAAFd/7oo=")</f>
        <v>#VALUE!</v>
      </c>
      <c r="EJ20" t="e">
        <f>AND(Plan1!H334,"AAAAAFd/7os=")</f>
        <v>#VALUE!</v>
      </c>
      <c r="EK20" t="e">
        <f>AND(Plan1!I334,"AAAAAFd/7ow=")</f>
        <v>#VALUE!</v>
      </c>
      <c r="EL20" t="e">
        <f>AND(Plan1!J334,"AAAAAFd/7o0=")</f>
        <v>#VALUE!</v>
      </c>
      <c r="EM20" t="e">
        <f>AND(Plan1!K334,"AAAAAFd/7o4=")</f>
        <v>#VALUE!</v>
      </c>
      <c r="EN20" t="e">
        <f>AND(Plan1!L334,"AAAAAFd/7o8=")</f>
        <v>#VALUE!</v>
      </c>
      <c r="EO20" t="e">
        <f>AND(Plan1!M334,"AAAAAFd/7pA=")</f>
        <v>#VALUE!</v>
      </c>
      <c r="EP20" t="e">
        <f>AND(Plan1!N334,"AAAAAFd/7pE=")</f>
        <v>#VALUE!</v>
      </c>
      <c r="EQ20">
        <f>IF(Plan1!335:335,"AAAAAFd/7pI=",0)</f>
        <v>0</v>
      </c>
      <c r="ER20" t="e">
        <f>AND(Plan1!A335,"AAAAAFd/7pM=")</f>
        <v>#VALUE!</v>
      </c>
      <c r="ES20" t="e">
        <f>AND(Plan1!B335,"AAAAAFd/7pQ=")</f>
        <v>#VALUE!</v>
      </c>
      <c r="ET20" t="e">
        <f>AND(Plan1!C335,"AAAAAFd/7pU=")</f>
        <v>#VALUE!</v>
      </c>
      <c r="EU20" t="e">
        <f>AND(Plan1!D335,"AAAAAFd/7pY=")</f>
        <v>#VALUE!</v>
      </c>
      <c r="EV20" t="e">
        <f>AND(Plan1!E335,"AAAAAFd/7pc=")</f>
        <v>#VALUE!</v>
      </c>
      <c r="EW20" t="e">
        <f>AND(Plan1!F335,"AAAAAFd/7pg=")</f>
        <v>#VALUE!</v>
      </c>
      <c r="EX20" t="e">
        <f>AND(Plan1!G335,"AAAAAFd/7pk=")</f>
        <v>#VALUE!</v>
      </c>
      <c r="EY20" t="e">
        <f>AND(Plan1!H335,"AAAAAFd/7po=")</f>
        <v>#VALUE!</v>
      </c>
      <c r="EZ20" t="e">
        <f>AND(Plan1!I335,"AAAAAFd/7ps=")</f>
        <v>#VALUE!</v>
      </c>
      <c r="FA20" t="e">
        <f>AND(Plan1!J335,"AAAAAFd/7pw=")</f>
        <v>#VALUE!</v>
      </c>
      <c r="FB20" t="e">
        <f>AND(Plan1!K335,"AAAAAFd/7p0=")</f>
        <v>#VALUE!</v>
      </c>
      <c r="FC20" t="e">
        <f>AND(Plan1!L335,"AAAAAFd/7p4=")</f>
        <v>#VALUE!</v>
      </c>
      <c r="FD20" t="e">
        <f>AND(Plan1!M335,"AAAAAFd/7p8=")</f>
        <v>#VALUE!</v>
      </c>
      <c r="FE20" t="e">
        <f>AND(Plan1!N335,"AAAAAFd/7qA=")</f>
        <v>#VALUE!</v>
      </c>
      <c r="FF20">
        <f>IF(Plan1!336:336,"AAAAAFd/7qE=",0)</f>
        <v>0</v>
      </c>
      <c r="FG20" t="e">
        <f>AND(Plan1!A336,"AAAAAFd/7qI=")</f>
        <v>#VALUE!</v>
      </c>
      <c r="FH20" t="e">
        <f>AND(Plan1!B336,"AAAAAFd/7qM=")</f>
        <v>#VALUE!</v>
      </c>
      <c r="FI20" t="e">
        <f>AND(Plan1!C336,"AAAAAFd/7qQ=")</f>
        <v>#VALUE!</v>
      </c>
      <c r="FJ20" t="e">
        <f>AND(Plan1!D336,"AAAAAFd/7qU=")</f>
        <v>#VALUE!</v>
      </c>
      <c r="FK20" t="e">
        <f>AND(Plan1!E336,"AAAAAFd/7qY=")</f>
        <v>#VALUE!</v>
      </c>
      <c r="FL20" t="e">
        <f>AND(Plan1!F336,"AAAAAFd/7qc=")</f>
        <v>#VALUE!</v>
      </c>
      <c r="FM20" t="e">
        <f>AND(Plan1!G336,"AAAAAFd/7qg=")</f>
        <v>#VALUE!</v>
      </c>
      <c r="FN20" t="e">
        <f>AND(Plan1!H336,"AAAAAFd/7qk=")</f>
        <v>#VALUE!</v>
      </c>
      <c r="FO20" t="e">
        <f>AND(Plan1!I336,"AAAAAFd/7qo=")</f>
        <v>#VALUE!</v>
      </c>
      <c r="FP20" t="e">
        <f>AND(Plan1!J336,"AAAAAFd/7qs=")</f>
        <v>#VALUE!</v>
      </c>
      <c r="FQ20" t="e">
        <f>AND(Plan1!K336,"AAAAAFd/7qw=")</f>
        <v>#VALUE!</v>
      </c>
      <c r="FR20" t="e">
        <f>AND(Plan1!L336,"AAAAAFd/7q0=")</f>
        <v>#VALUE!</v>
      </c>
      <c r="FS20" t="e">
        <f>AND(Plan1!M336,"AAAAAFd/7q4=")</f>
        <v>#VALUE!</v>
      </c>
      <c r="FT20" t="e">
        <f>AND(Plan1!N336,"AAAAAFd/7q8=")</f>
        <v>#VALUE!</v>
      </c>
      <c r="FU20">
        <f>IF(Plan1!337:337,"AAAAAFd/7rA=",0)</f>
        <v>0</v>
      </c>
      <c r="FV20" t="e">
        <f>AND(Plan1!A337,"AAAAAFd/7rE=")</f>
        <v>#VALUE!</v>
      </c>
      <c r="FW20" t="e">
        <f>AND(Plan1!B337,"AAAAAFd/7rI=")</f>
        <v>#VALUE!</v>
      </c>
      <c r="FX20" t="e">
        <f>AND(Plan1!C337,"AAAAAFd/7rM=")</f>
        <v>#VALUE!</v>
      </c>
      <c r="FY20" t="e">
        <f>AND(Plan1!D337,"AAAAAFd/7rQ=")</f>
        <v>#VALUE!</v>
      </c>
      <c r="FZ20" t="e">
        <f>AND(Plan1!E337,"AAAAAFd/7rU=")</f>
        <v>#VALUE!</v>
      </c>
      <c r="GA20" t="e">
        <f>AND(Plan1!F337,"AAAAAFd/7rY=")</f>
        <v>#VALUE!</v>
      </c>
      <c r="GB20" t="e">
        <f>AND(Plan1!G337,"AAAAAFd/7rc=")</f>
        <v>#VALUE!</v>
      </c>
      <c r="GC20" t="e">
        <f>AND(Plan1!H337,"AAAAAFd/7rg=")</f>
        <v>#VALUE!</v>
      </c>
      <c r="GD20" t="e">
        <f>AND(Plan1!I337,"AAAAAFd/7rk=")</f>
        <v>#VALUE!</v>
      </c>
      <c r="GE20" t="e">
        <f>AND(Plan1!J337,"AAAAAFd/7ro=")</f>
        <v>#VALUE!</v>
      </c>
      <c r="GF20" t="e">
        <f>AND(Plan1!K337,"AAAAAFd/7rs=")</f>
        <v>#VALUE!</v>
      </c>
      <c r="GG20" t="e">
        <f>AND(Plan1!L337,"AAAAAFd/7rw=")</f>
        <v>#VALUE!</v>
      </c>
      <c r="GH20" t="e">
        <f>AND(Plan1!M337,"AAAAAFd/7r0=")</f>
        <v>#VALUE!</v>
      </c>
      <c r="GI20" t="e">
        <f>AND(Plan1!N337,"AAAAAFd/7r4=")</f>
        <v>#VALUE!</v>
      </c>
      <c r="GJ20">
        <f>IF(Plan1!338:338,"AAAAAFd/7r8=",0)</f>
        <v>0</v>
      </c>
      <c r="GK20" t="e">
        <f>AND(Plan1!A338,"AAAAAFd/7sA=")</f>
        <v>#VALUE!</v>
      </c>
      <c r="GL20" t="e">
        <f>AND(Plan1!B338,"AAAAAFd/7sE=")</f>
        <v>#VALUE!</v>
      </c>
      <c r="GM20" t="e">
        <f>AND(Plan1!C338,"AAAAAFd/7sI=")</f>
        <v>#VALUE!</v>
      </c>
      <c r="GN20" t="e">
        <f>AND(Plan1!D338,"AAAAAFd/7sM=")</f>
        <v>#VALUE!</v>
      </c>
      <c r="GO20" t="e">
        <f>AND(Plan1!E338,"AAAAAFd/7sQ=")</f>
        <v>#VALUE!</v>
      </c>
      <c r="GP20" t="e">
        <f>AND(Plan1!F338,"AAAAAFd/7sU=")</f>
        <v>#VALUE!</v>
      </c>
      <c r="GQ20" t="e">
        <f>AND(Plan1!G338,"AAAAAFd/7sY=")</f>
        <v>#VALUE!</v>
      </c>
      <c r="GR20" t="e">
        <f>AND(Plan1!H338,"AAAAAFd/7sc=")</f>
        <v>#VALUE!</v>
      </c>
      <c r="GS20" t="e">
        <f>AND(Plan1!I338,"AAAAAFd/7sg=")</f>
        <v>#VALUE!</v>
      </c>
      <c r="GT20" t="e">
        <f>AND(Plan1!J338,"AAAAAFd/7sk=")</f>
        <v>#VALUE!</v>
      </c>
      <c r="GU20" t="e">
        <f>AND(Plan1!K338,"AAAAAFd/7so=")</f>
        <v>#VALUE!</v>
      </c>
      <c r="GV20" t="e">
        <f>AND(Plan1!L338,"AAAAAFd/7ss=")</f>
        <v>#VALUE!</v>
      </c>
      <c r="GW20" t="e">
        <f>AND(Plan1!M338,"AAAAAFd/7sw=")</f>
        <v>#VALUE!</v>
      </c>
      <c r="GX20" t="e">
        <f>AND(Plan1!N338,"AAAAAFd/7s0=")</f>
        <v>#VALUE!</v>
      </c>
      <c r="GY20">
        <f>IF(Plan1!339:339,"AAAAAFd/7s4=",0)</f>
        <v>0</v>
      </c>
      <c r="GZ20" t="e">
        <f>AND(Plan1!A339,"AAAAAFd/7s8=")</f>
        <v>#VALUE!</v>
      </c>
      <c r="HA20" t="e">
        <f>AND(Plan1!B339,"AAAAAFd/7tA=")</f>
        <v>#VALUE!</v>
      </c>
      <c r="HB20" t="e">
        <f>AND(Plan1!C339,"AAAAAFd/7tE=")</f>
        <v>#VALUE!</v>
      </c>
      <c r="HC20" t="e">
        <f>AND(Plan1!D339,"AAAAAFd/7tI=")</f>
        <v>#VALUE!</v>
      </c>
      <c r="HD20" t="e">
        <f>AND(Plan1!E339,"AAAAAFd/7tM=")</f>
        <v>#VALUE!</v>
      </c>
      <c r="HE20" t="e">
        <f>AND(Plan1!F339,"AAAAAFd/7tQ=")</f>
        <v>#VALUE!</v>
      </c>
      <c r="HF20" t="e">
        <f>AND(Plan1!G339,"AAAAAFd/7tU=")</f>
        <v>#VALUE!</v>
      </c>
      <c r="HG20" t="e">
        <f>AND(Plan1!H339,"AAAAAFd/7tY=")</f>
        <v>#VALUE!</v>
      </c>
      <c r="HH20" t="e">
        <f>AND(Plan1!I339,"AAAAAFd/7tc=")</f>
        <v>#VALUE!</v>
      </c>
      <c r="HI20" t="e">
        <f>AND(Plan1!J339,"AAAAAFd/7tg=")</f>
        <v>#VALUE!</v>
      </c>
      <c r="HJ20" t="e">
        <f>AND(Plan1!K339,"AAAAAFd/7tk=")</f>
        <v>#VALUE!</v>
      </c>
      <c r="HK20" t="e">
        <f>AND(Plan1!L339,"AAAAAFd/7to=")</f>
        <v>#VALUE!</v>
      </c>
      <c r="HL20" t="e">
        <f>AND(Plan1!M339,"AAAAAFd/7ts=")</f>
        <v>#VALUE!</v>
      </c>
      <c r="HM20" t="e">
        <f>AND(Plan1!N339,"AAAAAFd/7tw=")</f>
        <v>#VALUE!</v>
      </c>
      <c r="HN20">
        <f>IF(Plan1!340:340,"AAAAAFd/7t0=",0)</f>
        <v>0</v>
      </c>
      <c r="HO20" t="e">
        <f>AND(Plan1!A340,"AAAAAFd/7t4=")</f>
        <v>#VALUE!</v>
      </c>
      <c r="HP20" t="e">
        <f>AND(Plan1!B340,"AAAAAFd/7t8=")</f>
        <v>#VALUE!</v>
      </c>
      <c r="HQ20" t="e">
        <f>AND(Plan1!C340,"AAAAAFd/7uA=")</f>
        <v>#VALUE!</v>
      </c>
      <c r="HR20" t="e">
        <f>AND(Plan1!D340,"AAAAAFd/7uE=")</f>
        <v>#VALUE!</v>
      </c>
      <c r="HS20" t="e">
        <f>AND(Plan1!E340,"AAAAAFd/7uI=")</f>
        <v>#VALUE!</v>
      </c>
      <c r="HT20" t="e">
        <f>AND(Plan1!F340,"AAAAAFd/7uM=")</f>
        <v>#VALUE!</v>
      </c>
      <c r="HU20" t="e">
        <f>AND(Plan1!G340,"AAAAAFd/7uQ=")</f>
        <v>#VALUE!</v>
      </c>
      <c r="HV20" t="e">
        <f>AND(Plan1!H340,"AAAAAFd/7uU=")</f>
        <v>#VALUE!</v>
      </c>
      <c r="HW20" t="e">
        <f>AND(Plan1!I340,"AAAAAFd/7uY=")</f>
        <v>#VALUE!</v>
      </c>
      <c r="HX20" t="e">
        <f>AND(Plan1!J340,"AAAAAFd/7uc=")</f>
        <v>#VALUE!</v>
      </c>
      <c r="HY20" t="e">
        <f>AND(Plan1!K340,"AAAAAFd/7ug=")</f>
        <v>#VALUE!</v>
      </c>
      <c r="HZ20" t="e">
        <f>AND(Plan1!L340,"AAAAAFd/7uk=")</f>
        <v>#VALUE!</v>
      </c>
      <c r="IA20" t="e">
        <f>AND(Plan1!M340,"AAAAAFd/7uo=")</f>
        <v>#VALUE!</v>
      </c>
      <c r="IB20" t="e">
        <f>AND(Plan1!N340,"AAAAAFd/7us=")</f>
        <v>#VALUE!</v>
      </c>
      <c r="IC20">
        <f>IF(Plan1!341:341,"AAAAAFd/7uw=",0)</f>
        <v>0</v>
      </c>
      <c r="ID20" t="e">
        <f>AND(Plan1!A341,"AAAAAFd/7u0=")</f>
        <v>#VALUE!</v>
      </c>
      <c r="IE20" t="e">
        <f>AND(Plan1!B341,"AAAAAFd/7u4=")</f>
        <v>#VALUE!</v>
      </c>
      <c r="IF20" t="e">
        <f>AND(Plan1!C341,"AAAAAFd/7u8=")</f>
        <v>#VALUE!</v>
      </c>
      <c r="IG20" t="e">
        <f>AND(Plan1!D341,"AAAAAFd/7vA=")</f>
        <v>#VALUE!</v>
      </c>
      <c r="IH20" t="e">
        <f>AND(Plan1!E341,"AAAAAFd/7vE=")</f>
        <v>#VALUE!</v>
      </c>
      <c r="II20" t="e">
        <f>AND(Plan1!F341,"AAAAAFd/7vI=")</f>
        <v>#VALUE!</v>
      </c>
      <c r="IJ20" t="e">
        <f>AND(Plan1!G341,"AAAAAFd/7vM=")</f>
        <v>#VALUE!</v>
      </c>
      <c r="IK20" t="e">
        <f>AND(Plan1!H341,"AAAAAFd/7vQ=")</f>
        <v>#VALUE!</v>
      </c>
      <c r="IL20" t="e">
        <f>AND(Plan1!I341,"AAAAAFd/7vU=")</f>
        <v>#VALUE!</v>
      </c>
      <c r="IM20" t="e">
        <f>AND(Plan1!J341,"AAAAAFd/7vY=")</f>
        <v>#VALUE!</v>
      </c>
      <c r="IN20" t="e">
        <f>AND(Plan1!K341,"AAAAAFd/7vc=")</f>
        <v>#VALUE!</v>
      </c>
      <c r="IO20" t="e">
        <f>AND(Plan1!L341,"AAAAAFd/7vg=")</f>
        <v>#VALUE!</v>
      </c>
      <c r="IP20" t="e">
        <f>AND(Plan1!M341,"AAAAAFd/7vk=")</f>
        <v>#VALUE!</v>
      </c>
      <c r="IQ20" t="e">
        <f>AND(Plan1!N341,"AAAAAFd/7vo=")</f>
        <v>#VALUE!</v>
      </c>
      <c r="IR20">
        <f>IF(Plan1!342:342,"AAAAAFd/7vs=",0)</f>
        <v>0</v>
      </c>
      <c r="IS20" t="e">
        <f>AND(Plan1!A342,"AAAAAFd/7vw=")</f>
        <v>#VALUE!</v>
      </c>
      <c r="IT20" t="e">
        <f>AND(Plan1!B342,"AAAAAFd/7v0=")</f>
        <v>#VALUE!</v>
      </c>
      <c r="IU20" t="e">
        <f>AND(Plan1!C342,"AAAAAFd/7v4=")</f>
        <v>#VALUE!</v>
      </c>
      <c r="IV20" t="e">
        <f>AND(Plan1!D342,"AAAAAFd/7v8=")</f>
        <v>#VALUE!</v>
      </c>
    </row>
    <row r="21" spans="1:256">
      <c r="A21" t="e">
        <f>AND(Plan1!E342,"AAAAAHsXbQA=")</f>
        <v>#VALUE!</v>
      </c>
      <c r="B21" t="e">
        <f>AND(Plan1!F342,"AAAAAHsXbQE=")</f>
        <v>#VALUE!</v>
      </c>
      <c r="C21" t="e">
        <f>AND(Plan1!G342,"AAAAAHsXbQI=")</f>
        <v>#VALUE!</v>
      </c>
      <c r="D21" t="e">
        <f>AND(Plan1!H342,"AAAAAHsXbQM=")</f>
        <v>#VALUE!</v>
      </c>
      <c r="E21" t="e">
        <f>AND(Plan1!I342,"AAAAAHsXbQQ=")</f>
        <v>#VALUE!</v>
      </c>
      <c r="F21" t="e">
        <f>AND(Plan1!J342,"AAAAAHsXbQU=")</f>
        <v>#VALUE!</v>
      </c>
      <c r="G21" t="e">
        <f>AND(Plan1!K342,"AAAAAHsXbQY=")</f>
        <v>#VALUE!</v>
      </c>
      <c r="H21" t="e">
        <f>AND(Plan1!L342,"AAAAAHsXbQc=")</f>
        <v>#VALUE!</v>
      </c>
      <c r="I21" t="e">
        <f>AND(Plan1!M342,"AAAAAHsXbQg=")</f>
        <v>#VALUE!</v>
      </c>
      <c r="J21" t="e">
        <f>AND(Plan1!N342,"AAAAAHsXbQk=")</f>
        <v>#VALUE!</v>
      </c>
      <c r="K21">
        <f>IF(Plan1!343:343,"AAAAAHsXbQo=",0)</f>
        <v>0</v>
      </c>
      <c r="L21" t="e">
        <f>AND(Plan1!A343,"AAAAAHsXbQs=")</f>
        <v>#VALUE!</v>
      </c>
      <c r="M21" t="e">
        <f>AND(Plan1!B343,"AAAAAHsXbQw=")</f>
        <v>#VALUE!</v>
      </c>
      <c r="N21" t="e">
        <f>AND(Plan1!C343,"AAAAAHsXbQ0=")</f>
        <v>#VALUE!</v>
      </c>
      <c r="O21" t="e">
        <f>AND(Plan1!D343,"AAAAAHsXbQ4=")</f>
        <v>#VALUE!</v>
      </c>
      <c r="P21" t="e">
        <f>AND(Plan1!E343,"AAAAAHsXbQ8=")</f>
        <v>#VALUE!</v>
      </c>
      <c r="Q21" t="e">
        <f>AND(Plan1!F343,"AAAAAHsXbRA=")</f>
        <v>#VALUE!</v>
      </c>
      <c r="R21" t="e">
        <f>AND(Plan1!G343,"AAAAAHsXbRE=")</f>
        <v>#VALUE!</v>
      </c>
      <c r="S21" t="e">
        <f>AND(Plan1!H343,"AAAAAHsXbRI=")</f>
        <v>#VALUE!</v>
      </c>
      <c r="T21" t="e">
        <f>AND(Plan1!I343,"AAAAAHsXbRM=")</f>
        <v>#VALUE!</v>
      </c>
      <c r="U21" t="e">
        <f>AND(Plan1!J343,"AAAAAHsXbRQ=")</f>
        <v>#VALUE!</v>
      </c>
      <c r="V21" t="e">
        <f>AND(Plan1!K343,"AAAAAHsXbRU=")</f>
        <v>#VALUE!</v>
      </c>
      <c r="W21" t="e">
        <f>AND(Plan1!L343,"AAAAAHsXbRY=")</f>
        <v>#VALUE!</v>
      </c>
      <c r="X21" t="e">
        <f>AND(Plan1!M343,"AAAAAHsXbRc=")</f>
        <v>#VALUE!</v>
      </c>
      <c r="Y21" t="e">
        <f>AND(Plan1!N343,"AAAAAHsXbRg=")</f>
        <v>#VALUE!</v>
      </c>
      <c r="Z21">
        <f>IF(Plan1!344:344,"AAAAAHsXbRk=",0)</f>
        <v>0</v>
      </c>
      <c r="AA21" t="e">
        <f>AND(Plan1!A344,"AAAAAHsXbRo=")</f>
        <v>#VALUE!</v>
      </c>
      <c r="AB21" t="e">
        <f>AND(Plan1!B344,"AAAAAHsXbRs=")</f>
        <v>#VALUE!</v>
      </c>
      <c r="AC21" t="e">
        <f>AND(Plan1!C344,"AAAAAHsXbRw=")</f>
        <v>#VALUE!</v>
      </c>
      <c r="AD21" t="e">
        <f>AND(Plan1!D344,"AAAAAHsXbR0=")</f>
        <v>#VALUE!</v>
      </c>
      <c r="AE21" t="e">
        <f>AND(Plan1!E344,"AAAAAHsXbR4=")</f>
        <v>#VALUE!</v>
      </c>
      <c r="AF21" t="e">
        <f>AND(Plan1!F344,"AAAAAHsXbR8=")</f>
        <v>#VALUE!</v>
      </c>
      <c r="AG21" t="e">
        <f>AND(Plan1!G344,"AAAAAHsXbSA=")</f>
        <v>#VALUE!</v>
      </c>
      <c r="AH21" t="e">
        <f>AND(Plan1!H344,"AAAAAHsXbSE=")</f>
        <v>#VALUE!</v>
      </c>
      <c r="AI21" t="e">
        <f>AND(Plan1!I344,"AAAAAHsXbSI=")</f>
        <v>#VALUE!</v>
      </c>
      <c r="AJ21" t="e">
        <f>AND(Plan1!J344,"AAAAAHsXbSM=")</f>
        <v>#VALUE!</v>
      </c>
      <c r="AK21" t="e">
        <f>AND(Plan1!K344,"AAAAAHsXbSQ=")</f>
        <v>#VALUE!</v>
      </c>
      <c r="AL21" t="e">
        <f>AND(Plan1!L344,"AAAAAHsXbSU=")</f>
        <v>#VALUE!</v>
      </c>
      <c r="AM21" t="e">
        <f>AND(Plan1!M344,"AAAAAHsXbSY=")</f>
        <v>#VALUE!</v>
      </c>
      <c r="AN21" t="e">
        <f>AND(Plan1!N344,"AAAAAHsXbSc=")</f>
        <v>#VALUE!</v>
      </c>
      <c r="AO21">
        <f>IF(Plan1!345:345,"AAAAAHsXbSg=",0)</f>
        <v>0</v>
      </c>
      <c r="AP21" t="e">
        <f>AND(Plan1!A345,"AAAAAHsXbSk=")</f>
        <v>#VALUE!</v>
      </c>
      <c r="AQ21" t="e">
        <f>AND(Plan1!B345,"AAAAAHsXbSo=")</f>
        <v>#VALUE!</v>
      </c>
      <c r="AR21" t="e">
        <f>AND(Plan1!C345,"AAAAAHsXbSs=")</f>
        <v>#VALUE!</v>
      </c>
      <c r="AS21" t="e">
        <f>AND(Plan1!D345,"AAAAAHsXbSw=")</f>
        <v>#VALUE!</v>
      </c>
      <c r="AT21" t="e">
        <f>AND(Plan1!E345,"AAAAAHsXbS0=")</f>
        <v>#VALUE!</v>
      </c>
      <c r="AU21" t="e">
        <f>AND(Plan1!F345,"AAAAAHsXbS4=")</f>
        <v>#VALUE!</v>
      </c>
      <c r="AV21" t="e">
        <f>AND(Plan1!G345,"AAAAAHsXbS8=")</f>
        <v>#VALUE!</v>
      </c>
      <c r="AW21" t="e">
        <f>AND(Plan1!H345,"AAAAAHsXbTA=")</f>
        <v>#VALUE!</v>
      </c>
      <c r="AX21" t="e">
        <f>AND(Plan1!I345,"AAAAAHsXbTE=")</f>
        <v>#VALUE!</v>
      </c>
      <c r="AY21" t="e">
        <f>AND(Plan1!J345,"AAAAAHsXbTI=")</f>
        <v>#VALUE!</v>
      </c>
      <c r="AZ21" t="e">
        <f>AND(Plan1!K345,"AAAAAHsXbTM=")</f>
        <v>#VALUE!</v>
      </c>
      <c r="BA21" t="e">
        <f>AND(Plan1!L345,"AAAAAHsXbTQ=")</f>
        <v>#VALUE!</v>
      </c>
      <c r="BB21" t="e">
        <f>AND(Plan1!M345,"AAAAAHsXbTU=")</f>
        <v>#VALUE!</v>
      </c>
      <c r="BC21" t="e">
        <f>AND(Plan1!N345,"AAAAAHsXbTY=")</f>
        <v>#VALUE!</v>
      </c>
      <c r="BD21">
        <f>IF(Plan1!346:346,"AAAAAHsXbTc=",0)</f>
        <v>0</v>
      </c>
      <c r="BE21" t="e">
        <f>AND(Plan1!A346,"AAAAAHsXbTg=")</f>
        <v>#VALUE!</v>
      </c>
      <c r="BF21" t="e">
        <f>AND(Plan1!B346,"AAAAAHsXbTk=")</f>
        <v>#VALUE!</v>
      </c>
      <c r="BG21" t="e">
        <f>AND(Plan1!C346,"AAAAAHsXbTo=")</f>
        <v>#VALUE!</v>
      </c>
      <c r="BH21" t="e">
        <f>AND(Plan1!D346,"AAAAAHsXbTs=")</f>
        <v>#VALUE!</v>
      </c>
      <c r="BI21" t="e">
        <f>AND(Plan1!E346,"AAAAAHsXbTw=")</f>
        <v>#VALUE!</v>
      </c>
      <c r="BJ21" t="e">
        <f>AND(Plan1!F346,"AAAAAHsXbT0=")</f>
        <v>#VALUE!</v>
      </c>
      <c r="BK21" t="e">
        <f>AND(Plan1!G346,"AAAAAHsXbT4=")</f>
        <v>#VALUE!</v>
      </c>
      <c r="BL21" t="e">
        <f>AND(Plan1!H346,"AAAAAHsXbT8=")</f>
        <v>#VALUE!</v>
      </c>
      <c r="BM21" t="e">
        <f>AND(Plan1!I346,"AAAAAHsXbUA=")</f>
        <v>#VALUE!</v>
      </c>
      <c r="BN21" t="e">
        <f>AND(Plan1!J346,"AAAAAHsXbUE=")</f>
        <v>#VALUE!</v>
      </c>
      <c r="BO21" t="e">
        <f>AND(Plan1!K346,"AAAAAHsXbUI=")</f>
        <v>#VALUE!</v>
      </c>
      <c r="BP21" t="e">
        <f>AND(Plan1!L346,"AAAAAHsXbUM=")</f>
        <v>#VALUE!</v>
      </c>
      <c r="BQ21" t="e">
        <f>AND(Plan1!M346,"AAAAAHsXbUQ=")</f>
        <v>#VALUE!</v>
      </c>
      <c r="BR21" t="e">
        <f>AND(Plan1!N346,"AAAAAHsXbUU=")</f>
        <v>#VALUE!</v>
      </c>
      <c r="BS21">
        <f>IF(Plan1!347:347,"AAAAAHsXbUY=",0)</f>
        <v>0</v>
      </c>
      <c r="BT21" t="e">
        <f>AND(Plan1!A347,"AAAAAHsXbUc=")</f>
        <v>#VALUE!</v>
      </c>
      <c r="BU21" t="e">
        <f>AND(Plan1!B347,"AAAAAHsXbUg=")</f>
        <v>#VALUE!</v>
      </c>
      <c r="BV21" t="e">
        <f>AND(Plan1!C347,"AAAAAHsXbUk=")</f>
        <v>#VALUE!</v>
      </c>
      <c r="BW21" t="e">
        <f>AND(Plan1!D347,"AAAAAHsXbUo=")</f>
        <v>#VALUE!</v>
      </c>
      <c r="BX21" t="e">
        <f>AND(Plan1!E347,"AAAAAHsXbUs=")</f>
        <v>#VALUE!</v>
      </c>
      <c r="BY21" t="e">
        <f>AND(Plan1!F347,"AAAAAHsXbUw=")</f>
        <v>#VALUE!</v>
      </c>
      <c r="BZ21" t="e">
        <f>AND(Plan1!G347,"AAAAAHsXbU0=")</f>
        <v>#VALUE!</v>
      </c>
      <c r="CA21" t="e">
        <f>AND(Plan1!H347,"AAAAAHsXbU4=")</f>
        <v>#VALUE!</v>
      </c>
      <c r="CB21" t="e">
        <f>AND(Plan1!I347,"AAAAAHsXbU8=")</f>
        <v>#VALUE!</v>
      </c>
      <c r="CC21" t="e">
        <f>AND(Plan1!J347,"AAAAAHsXbVA=")</f>
        <v>#VALUE!</v>
      </c>
      <c r="CD21" t="e">
        <f>AND(Plan1!K347,"AAAAAHsXbVE=")</f>
        <v>#VALUE!</v>
      </c>
      <c r="CE21" t="e">
        <f>AND(Plan1!L347,"AAAAAHsXbVI=")</f>
        <v>#VALUE!</v>
      </c>
      <c r="CF21" t="e">
        <f>AND(Plan1!M347,"AAAAAHsXbVM=")</f>
        <v>#VALUE!</v>
      </c>
      <c r="CG21" t="e">
        <f>AND(Plan1!N347,"AAAAAHsXbVQ=")</f>
        <v>#VALUE!</v>
      </c>
      <c r="CH21">
        <f>IF(Plan1!348:348,"AAAAAHsXbVU=",0)</f>
        <v>0</v>
      </c>
      <c r="CI21" t="e">
        <f>AND(Plan1!A348,"AAAAAHsXbVY=")</f>
        <v>#VALUE!</v>
      </c>
      <c r="CJ21" t="e">
        <f>AND(Plan1!B348,"AAAAAHsXbVc=")</f>
        <v>#VALUE!</v>
      </c>
      <c r="CK21" t="e">
        <f>AND(Plan1!C348,"AAAAAHsXbVg=")</f>
        <v>#VALUE!</v>
      </c>
      <c r="CL21" t="e">
        <f>AND(Plan1!D348,"AAAAAHsXbVk=")</f>
        <v>#VALUE!</v>
      </c>
      <c r="CM21" t="e">
        <f>AND(Plan1!E348,"AAAAAHsXbVo=")</f>
        <v>#VALUE!</v>
      </c>
      <c r="CN21" t="e">
        <f>AND(Plan1!F348,"AAAAAHsXbVs=")</f>
        <v>#VALUE!</v>
      </c>
      <c r="CO21" t="e">
        <f>AND(Plan1!G348,"AAAAAHsXbVw=")</f>
        <v>#VALUE!</v>
      </c>
      <c r="CP21" t="e">
        <f>AND(Plan1!H348,"AAAAAHsXbV0=")</f>
        <v>#VALUE!</v>
      </c>
      <c r="CQ21" t="e">
        <f>AND(Plan1!I348,"AAAAAHsXbV4=")</f>
        <v>#VALUE!</v>
      </c>
      <c r="CR21" t="e">
        <f>AND(Plan1!J348,"AAAAAHsXbV8=")</f>
        <v>#VALUE!</v>
      </c>
      <c r="CS21" t="e">
        <f>AND(Plan1!K348,"AAAAAHsXbWA=")</f>
        <v>#VALUE!</v>
      </c>
      <c r="CT21" t="e">
        <f>AND(Plan1!L348,"AAAAAHsXbWE=")</f>
        <v>#VALUE!</v>
      </c>
      <c r="CU21" t="e">
        <f>AND(Plan1!M348,"AAAAAHsXbWI=")</f>
        <v>#VALUE!</v>
      </c>
      <c r="CV21" t="e">
        <f>AND(Plan1!N348,"AAAAAHsXbWM=")</f>
        <v>#VALUE!</v>
      </c>
      <c r="CW21">
        <f>IF(Plan1!349:349,"AAAAAHsXbWQ=",0)</f>
        <v>0</v>
      </c>
      <c r="CX21" t="e">
        <f>AND(Plan1!A349,"AAAAAHsXbWU=")</f>
        <v>#VALUE!</v>
      </c>
      <c r="CY21" t="e">
        <f>AND(Plan1!B349,"AAAAAHsXbWY=")</f>
        <v>#VALUE!</v>
      </c>
      <c r="CZ21" t="e">
        <f>AND(Plan1!C349,"AAAAAHsXbWc=")</f>
        <v>#VALUE!</v>
      </c>
      <c r="DA21" t="e">
        <f>AND(Plan1!D349,"AAAAAHsXbWg=")</f>
        <v>#VALUE!</v>
      </c>
      <c r="DB21" t="e">
        <f>AND(Plan1!E349,"AAAAAHsXbWk=")</f>
        <v>#VALUE!</v>
      </c>
      <c r="DC21" t="e">
        <f>AND(Plan1!F349,"AAAAAHsXbWo=")</f>
        <v>#VALUE!</v>
      </c>
      <c r="DD21" t="e">
        <f>AND(Plan1!G349,"AAAAAHsXbWs=")</f>
        <v>#VALUE!</v>
      </c>
      <c r="DE21" t="e">
        <f>AND(Plan1!H349,"AAAAAHsXbWw=")</f>
        <v>#VALUE!</v>
      </c>
      <c r="DF21" t="e">
        <f>AND(Plan1!I349,"AAAAAHsXbW0=")</f>
        <v>#VALUE!</v>
      </c>
      <c r="DG21" t="e">
        <f>AND(Plan1!J349,"AAAAAHsXbW4=")</f>
        <v>#VALUE!</v>
      </c>
      <c r="DH21" t="e">
        <f>AND(Plan1!K349,"AAAAAHsXbW8=")</f>
        <v>#VALUE!</v>
      </c>
      <c r="DI21" t="e">
        <f>AND(Plan1!L349,"AAAAAHsXbXA=")</f>
        <v>#VALUE!</v>
      </c>
      <c r="DJ21" t="e">
        <f>AND(Plan1!M349,"AAAAAHsXbXE=")</f>
        <v>#VALUE!</v>
      </c>
      <c r="DK21" t="e">
        <f>AND(Plan1!N349,"AAAAAHsXbXI=")</f>
        <v>#VALUE!</v>
      </c>
      <c r="DL21">
        <f>IF(Plan1!350:350,"AAAAAHsXbXM=",0)</f>
        <v>0</v>
      </c>
      <c r="DM21" t="e">
        <f>AND(Plan1!A350,"AAAAAHsXbXQ=")</f>
        <v>#VALUE!</v>
      </c>
      <c r="DN21" t="e">
        <f>AND(Plan1!B350,"AAAAAHsXbXU=")</f>
        <v>#VALUE!</v>
      </c>
      <c r="DO21" t="e">
        <f>AND(Plan1!C350,"AAAAAHsXbXY=")</f>
        <v>#VALUE!</v>
      </c>
      <c r="DP21" t="e">
        <f>AND(Plan1!D350,"AAAAAHsXbXc=")</f>
        <v>#VALUE!</v>
      </c>
      <c r="DQ21" t="e">
        <f>AND(Plan1!E350,"AAAAAHsXbXg=")</f>
        <v>#VALUE!</v>
      </c>
      <c r="DR21" t="e">
        <f>AND(Plan1!F350,"AAAAAHsXbXk=")</f>
        <v>#VALUE!</v>
      </c>
      <c r="DS21" t="e">
        <f>AND(Plan1!G350,"AAAAAHsXbXo=")</f>
        <v>#VALUE!</v>
      </c>
      <c r="DT21" t="e">
        <f>AND(Plan1!H350,"AAAAAHsXbXs=")</f>
        <v>#VALUE!</v>
      </c>
      <c r="DU21" t="e">
        <f>AND(Plan1!I350,"AAAAAHsXbXw=")</f>
        <v>#VALUE!</v>
      </c>
      <c r="DV21" t="e">
        <f>AND(Plan1!J350,"AAAAAHsXbX0=")</f>
        <v>#VALUE!</v>
      </c>
      <c r="DW21" t="e">
        <f>AND(Plan1!K350,"AAAAAHsXbX4=")</f>
        <v>#VALUE!</v>
      </c>
      <c r="DX21" t="e">
        <f>AND(Plan1!L350,"AAAAAHsXbX8=")</f>
        <v>#VALUE!</v>
      </c>
      <c r="DY21" t="e">
        <f>AND(Plan1!M350,"AAAAAHsXbYA=")</f>
        <v>#VALUE!</v>
      </c>
      <c r="DZ21" t="e">
        <f>AND(Plan1!N350,"AAAAAHsXbYE=")</f>
        <v>#VALUE!</v>
      </c>
      <c r="EA21">
        <f>IF(Plan1!351:351,"AAAAAHsXbYI=",0)</f>
        <v>0</v>
      </c>
      <c r="EB21" t="e">
        <f>AND(Plan1!A351,"AAAAAHsXbYM=")</f>
        <v>#VALUE!</v>
      </c>
      <c r="EC21" t="e">
        <f>AND(Plan1!B351,"AAAAAHsXbYQ=")</f>
        <v>#VALUE!</v>
      </c>
      <c r="ED21" t="e">
        <f>AND(Plan1!C351,"AAAAAHsXbYU=")</f>
        <v>#VALUE!</v>
      </c>
      <c r="EE21" t="e">
        <f>AND(Plan1!D351,"AAAAAHsXbYY=")</f>
        <v>#VALUE!</v>
      </c>
      <c r="EF21" t="e">
        <f>AND(Plan1!E351,"AAAAAHsXbYc=")</f>
        <v>#VALUE!</v>
      </c>
      <c r="EG21" t="e">
        <f>AND(Plan1!F351,"AAAAAHsXbYg=")</f>
        <v>#VALUE!</v>
      </c>
      <c r="EH21" t="e">
        <f>AND(Plan1!G351,"AAAAAHsXbYk=")</f>
        <v>#VALUE!</v>
      </c>
      <c r="EI21" t="e">
        <f>AND(Plan1!H351,"AAAAAHsXbYo=")</f>
        <v>#VALUE!</v>
      </c>
      <c r="EJ21" t="e">
        <f>AND(Plan1!I351,"AAAAAHsXbYs=")</f>
        <v>#VALUE!</v>
      </c>
      <c r="EK21" t="e">
        <f>AND(Plan1!J351,"AAAAAHsXbYw=")</f>
        <v>#VALUE!</v>
      </c>
      <c r="EL21" t="e">
        <f>AND(Plan1!K351,"AAAAAHsXbY0=")</f>
        <v>#VALUE!</v>
      </c>
      <c r="EM21" t="e">
        <f>AND(Plan1!L351,"AAAAAHsXbY4=")</f>
        <v>#VALUE!</v>
      </c>
      <c r="EN21" t="e">
        <f>AND(Plan1!M351,"AAAAAHsXbY8=")</f>
        <v>#VALUE!</v>
      </c>
      <c r="EO21" t="e">
        <f>AND(Plan1!N351,"AAAAAHsXbZA=")</f>
        <v>#VALUE!</v>
      </c>
      <c r="EP21">
        <f>IF(Plan1!352:352,"AAAAAHsXbZE=",0)</f>
        <v>0</v>
      </c>
      <c r="EQ21" t="e">
        <f>AND(Plan1!A352,"AAAAAHsXbZI=")</f>
        <v>#VALUE!</v>
      </c>
      <c r="ER21" t="e">
        <f>AND(Plan1!B352,"AAAAAHsXbZM=")</f>
        <v>#VALUE!</v>
      </c>
      <c r="ES21" t="e">
        <f>AND(Plan1!C352,"AAAAAHsXbZQ=")</f>
        <v>#VALUE!</v>
      </c>
      <c r="ET21" t="e">
        <f>AND(Plan1!D352,"AAAAAHsXbZU=")</f>
        <v>#VALUE!</v>
      </c>
      <c r="EU21" t="e">
        <f>AND(Plan1!E352,"AAAAAHsXbZY=")</f>
        <v>#VALUE!</v>
      </c>
      <c r="EV21" t="e">
        <f>AND(Plan1!F352,"AAAAAHsXbZc=")</f>
        <v>#VALUE!</v>
      </c>
      <c r="EW21" t="e">
        <f>AND(Plan1!G352,"AAAAAHsXbZg=")</f>
        <v>#VALUE!</v>
      </c>
      <c r="EX21" t="e">
        <f>AND(Plan1!H352,"AAAAAHsXbZk=")</f>
        <v>#VALUE!</v>
      </c>
      <c r="EY21" t="e">
        <f>AND(Plan1!I352,"AAAAAHsXbZo=")</f>
        <v>#VALUE!</v>
      </c>
      <c r="EZ21" t="e">
        <f>AND(Plan1!J352,"AAAAAHsXbZs=")</f>
        <v>#VALUE!</v>
      </c>
      <c r="FA21" t="e">
        <f>AND(Plan1!K352,"AAAAAHsXbZw=")</f>
        <v>#VALUE!</v>
      </c>
      <c r="FB21" t="e">
        <f>AND(Plan1!L352,"AAAAAHsXbZ0=")</f>
        <v>#VALUE!</v>
      </c>
      <c r="FC21" t="e">
        <f>AND(Plan1!M352,"AAAAAHsXbZ4=")</f>
        <v>#VALUE!</v>
      </c>
      <c r="FD21" t="e">
        <f>AND(Plan1!N352,"AAAAAHsXbZ8=")</f>
        <v>#VALUE!</v>
      </c>
      <c r="FE21">
        <f>IF(Plan1!353:353,"AAAAAHsXbaA=",0)</f>
        <v>0</v>
      </c>
      <c r="FF21" t="e">
        <f>AND(Plan1!A353,"AAAAAHsXbaE=")</f>
        <v>#VALUE!</v>
      </c>
      <c r="FG21" t="e">
        <f>AND(Plan1!B353,"AAAAAHsXbaI=")</f>
        <v>#VALUE!</v>
      </c>
      <c r="FH21" t="e">
        <f>AND(Plan1!C353,"AAAAAHsXbaM=")</f>
        <v>#VALUE!</v>
      </c>
      <c r="FI21" t="e">
        <f>AND(Plan1!D353,"AAAAAHsXbaQ=")</f>
        <v>#VALUE!</v>
      </c>
      <c r="FJ21" t="e">
        <f>AND(Plan1!E353,"AAAAAHsXbaU=")</f>
        <v>#VALUE!</v>
      </c>
      <c r="FK21" t="e">
        <f>AND(Plan1!F353,"AAAAAHsXbaY=")</f>
        <v>#VALUE!</v>
      </c>
      <c r="FL21" t="e">
        <f>AND(Plan1!G353,"AAAAAHsXbac=")</f>
        <v>#VALUE!</v>
      </c>
      <c r="FM21" t="e">
        <f>AND(Plan1!H353,"AAAAAHsXbag=")</f>
        <v>#VALUE!</v>
      </c>
      <c r="FN21" t="e">
        <f>AND(Plan1!I353,"AAAAAHsXbak=")</f>
        <v>#VALUE!</v>
      </c>
      <c r="FO21" t="e">
        <f>AND(Plan1!J353,"AAAAAHsXbao=")</f>
        <v>#VALUE!</v>
      </c>
      <c r="FP21" t="e">
        <f>AND(Plan1!K353,"AAAAAHsXbas=")</f>
        <v>#VALUE!</v>
      </c>
      <c r="FQ21" t="e">
        <f>AND(Plan1!L353,"AAAAAHsXbaw=")</f>
        <v>#VALUE!</v>
      </c>
      <c r="FR21" t="e">
        <f>AND(Plan1!M353,"AAAAAHsXba0=")</f>
        <v>#VALUE!</v>
      </c>
      <c r="FS21" t="e">
        <f>AND(Plan1!N353,"AAAAAHsXba4=")</f>
        <v>#VALUE!</v>
      </c>
      <c r="FT21">
        <f>IF(Plan1!354:354,"AAAAAHsXba8=",0)</f>
        <v>0</v>
      </c>
      <c r="FU21" t="e">
        <f>AND(Plan1!A354,"AAAAAHsXbbA=")</f>
        <v>#VALUE!</v>
      </c>
      <c r="FV21" t="e">
        <f>AND(Plan1!B354,"AAAAAHsXbbE=")</f>
        <v>#VALUE!</v>
      </c>
      <c r="FW21" t="e">
        <f>AND(Plan1!C354,"AAAAAHsXbbI=")</f>
        <v>#VALUE!</v>
      </c>
      <c r="FX21" t="e">
        <f>AND(Plan1!D354,"AAAAAHsXbbM=")</f>
        <v>#VALUE!</v>
      </c>
      <c r="FY21" t="e">
        <f>AND(Plan1!E354,"AAAAAHsXbbQ=")</f>
        <v>#VALUE!</v>
      </c>
      <c r="FZ21" t="e">
        <f>AND(Plan1!F354,"AAAAAHsXbbU=")</f>
        <v>#VALUE!</v>
      </c>
      <c r="GA21" t="e">
        <f>AND(Plan1!G354,"AAAAAHsXbbY=")</f>
        <v>#VALUE!</v>
      </c>
      <c r="GB21" t="e">
        <f>AND(Plan1!H354,"AAAAAHsXbbc=")</f>
        <v>#VALUE!</v>
      </c>
      <c r="GC21" t="e">
        <f>AND(Plan1!I354,"AAAAAHsXbbg=")</f>
        <v>#VALUE!</v>
      </c>
      <c r="GD21" t="e">
        <f>AND(Plan1!J354,"AAAAAHsXbbk=")</f>
        <v>#VALUE!</v>
      </c>
      <c r="GE21" t="e">
        <f>AND(Plan1!K354,"AAAAAHsXbbo=")</f>
        <v>#VALUE!</v>
      </c>
      <c r="GF21" t="e">
        <f>AND(Plan1!L354,"AAAAAHsXbbs=")</f>
        <v>#VALUE!</v>
      </c>
      <c r="GG21" t="e">
        <f>AND(Plan1!M354,"AAAAAHsXbbw=")</f>
        <v>#VALUE!</v>
      </c>
      <c r="GH21" t="e">
        <f>AND(Plan1!N354,"AAAAAHsXbb0=")</f>
        <v>#VALUE!</v>
      </c>
      <c r="GI21">
        <f>IF(Plan1!355:355,"AAAAAHsXbb4=",0)</f>
        <v>0</v>
      </c>
      <c r="GJ21" t="e">
        <f>AND(Plan1!A355,"AAAAAHsXbb8=")</f>
        <v>#VALUE!</v>
      </c>
      <c r="GK21" t="e">
        <f>AND(Plan1!B355,"AAAAAHsXbcA=")</f>
        <v>#VALUE!</v>
      </c>
      <c r="GL21" t="e">
        <f>AND(Plan1!C355,"AAAAAHsXbcE=")</f>
        <v>#VALUE!</v>
      </c>
      <c r="GM21" t="e">
        <f>AND(Plan1!D355,"AAAAAHsXbcI=")</f>
        <v>#VALUE!</v>
      </c>
      <c r="GN21" t="e">
        <f>AND(Plan1!E355,"AAAAAHsXbcM=")</f>
        <v>#VALUE!</v>
      </c>
      <c r="GO21" t="e">
        <f>AND(Plan1!F355,"AAAAAHsXbcQ=")</f>
        <v>#VALUE!</v>
      </c>
      <c r="GP21" t="e">
        <f>AND(Plan1!G355,"AAAAAHsXbcU=")</f>
        <v>#VALUE!</v>
      </c>
      <c r="GQ21" t="e">
        <f>AND(Plan1!H355,"AAAAAHsXbcY=")</f>
        <v>#VALUE!</v>
      </c>
      <c r="GR21" t="e">
        <f>AND(Plan1!I355,"AAAAAHsXbcc=")</f>
        <v>#VALUE!</v>
      </c>
      <c r="GS21" t="e">
        <f>AND(Plan1!J355,"AAAAAHsXbcg=")</f>
        <v>#VALUE!</v>
      </c>
      <c r="GT21" t="e">
        <f>AND(Plan1!K355,"AAAAAHsXbck=")</f>
        <v>#VALUE!</v>
      </c>
      <c r="GU21" t="e">
        <f>AND(Plan1!L355,"AAAAAHsXbco=")</f>
        <v>#VALUE!</v>
      </c>
      <c r="GV21" t="e">
        <f>AND(Plan1!M355,"AAAAAHsXbcs=")</f>
        <v>#VALUE!</v>
      </c>
      <c r="GW21" t="e">
        <f>AND(Plan1!N355,"AAAAAHsXbcw=")</f>
        <v>#VALUE!</v>
      </c>
      <c r="GX21">
        <f>IF(Plan1!356:356,"AAAAAHsXbc0=",0)</f>
        <v>0</v>
      </c>
      <c r="GY21" t="e">
        <f>AND(Plan1!A356,"AAAAAHsXbc4=")</f>
        <v>#VALUE!</v>
      </c>
      <c r="GZ21" t="e">
        <f>AND(Plan1!B356,"AAAAAHsXbc8=")</f>
        <v>#VALUE!</v>
      </c>
      <c r="HA21" t="e">
        <f>AND(Plan1!C356,"AAAAAHsXbdA=")</f>
        <v>#VALUE!</v>
      </c>
      <c r="HB21" t="e">
        <f>AND(Plan1!D356,"AAAAAHsXbdE=")</f>
        <v>#VALUE!</v>
      </c>
      <c r="HC21" t="e">
        <f>AND(Plan1!E356,"AAAAAHsXbdI=")</f>
        <v>#VALUE!</v>
      </c>
      <c r="HD21" t="e">
        <f>AND(Plan1!F356,"AAAAAHsXbdM=")</f>
        <v>#VALUE!</v>
      </c>
      <c r="HE21" t="e">
        <f>AND(Plan1!G356,"AAAAAHsXbdQ=")</f>
        <v>#VALUE!</v>
      </c>
      <c r="HF21" t="e">
        <f>AND(Plan1!H356,"AAAAAHsXbdU=")</f>
        <v>#VALUE!</v>
      </c>
      <c r="HG21" t="e">
        <f>AND(Plan1!I356,"AAAAAHsXbdY=")</f>
        <v>#VALUE!</v>
      </c>
      <c r="HH21" t="e">
        <f>AND(Plan1!J356,"AAAAAHsXbdc=")</f>
        <v>#VALUE!</v>
      </c>
      <c r="HI21" t="e">
        <f>AND(Plan1!K356,"AAAAAHsXbdg=")</f>
        <v>#VALUE!</v>
      </c>
      <c r="HJ21" t="e">
        <f>AND(Plan1!L356,"AAAAAHsXbdk=")</f>
        <v>#VALUE!</v>
      </c>
      <c r="HK21" t="e">
        <f>AND(Plan1!M356,"AAAAAHsXbdo=")</f>
        <v>#VALUE!</v>
      </c>
      <c r="HL21" t="e">
        <f>AND(Plan1!N356,"AAAAAHsXbds=")</f>
        <v>#VALUE!</v>
      </c>
      <c r="HM21">
        <f>IF(Plan1!357:357,"AAAAAHsXbdw=",0)</f>
        <v>0</v>
      </c>
      <c r="HN21" t="e">
        <f>AND(Plan1!A357,"AAAAAHsXbd0=")</f>
        <v>#VALUE!</v>
      </c>
      <c r="HO21" t="e">
        <f>AND(Plan1!B357,"AAAAAHsXbd4=")</f>
        <v>#VALUE!</v>
      </c>
      <c r="HP21" t="e">
        <f>AND(Plan1!C357,"AAAAAHsXbd8=")</f>
        <v>#VALUE!</v>
      </c>
      <c r="HQ21" t="e">
        <f>AND(Plan1!D357,"AAAAAHsXbeA=")</f>
        <v>#VALUE!</v>
      </c>
      <c r="HR21" t="e">
        <f>AND(Plan1!E357,"AAAAAHsXbeE=")</f>
        <v>#VALUE!</v>
      </c>
      <c r="HS21" t="e">
        <f>AND(Plan1!F357,"AAAAAHsXbeI=")</f>
        <v>#VALUE!</v>
      </c>
      <c r="HT21" t="e">
        <f>AND(Plan1!G357,"AAAAAHsXbeM=")</f>
        <v>#VALUE!</v>
      </c>
      <c r="HU21" t="e">
        <f>AND(Plan1!H357,"AAAAAHsXbeQ=")</f>
        <v>#VALUE!</v>
      </c>
      <c r="HV21" t="e">
        <f>AND(Plan1!I357,"AAAAAHsXbeU=")</f>
        <v>#VALUE!</v>
      </c>
      <c r="HW21" t="e">
        <f>AND(Plan1!J357,"AAAAAHsXbeY=")</f>
        <v>#VALUE!</v>
      </c>
      <c r="HX21" t="e">
        <f>AND(Plan1!K357,"AAAAAHsXbec=")</f>
        <v>#VALUE!</v>
      </c>
      <c r="HY21" t="e">
        <f>AND(Plan1!L357,"AAAAAHsXbeg=")</f>
        <v>#VALUE!</v>
      </c>
      <c r="HZ21" t="e">
        <f>AND(Plan1!M357,"AAAAAHsXbek=")</f>
        <v>#VALUE!</v>
      </c>
      <c r="IA21" t="e">
        <f>AND(Plan1!N357,"AAAAAHsXbeo=")</f>
        <v>#VALUE!</v>
      </c>
      <c r="IB21">
        <f>IF(Plan1!358:358,"AAAAAHsXbes=",0)</f>
        <v>0</v>
      </c>
      <c r="IC21" t="e">
        <f>AND(Plan1!A358,"AAAAAHsXbew=")</f>
        <v>#VALUE!</v>
      </c>
      <c r="ID21" t="e">
        <f>AND(Plan1!B358,"AAAAAHsXbe0=")</f>
        <v>#VALUE!</v>
      </c>
      <c r="IE21" t="e">
        <f>AND(Plan1!C358,"AAAAAHsXbe4=")</f>
        <v>#VALUE!</v>
      </c>
      <c r="IF21" t="e">
        <f>AND(Plan1!D358,"AAAAAHsXbe8=")</f>
        <v>#VALUE!</v>
      </c>
      <c r="IG21" t="e">
        <f>AND(Plan1!E358,"AAAAAHsXbfA=")</f>
        <v>#VALUE!</v>
      </c>
      <c r="IH21" t="e">
        <f>AND(Plan1!F358,"AAAAAHsXbfE=")</f>
        <v>#VALUE!</v>
      </c>
      <c r="II21" t="e">
        <f>AND(Plan1!G358,"AAAAAHsXbfI=")</f>
        <v>#VALUE!</v>
      </c>
      <c r="IJ21" t="e">
        <f>AND(Plan1!H358,"AAAAAHsXbfM=")</f>
        <v>#VALUE!</v>
      </c>
      <c r="IK21" t="e">
        <f>AND(Plan1!I358,"AAAAAHsXbfQ=")</f>
        <v>#VALUE!</v>
      </c>
      <c r="IL21" t="e">
        <f>AND(Plan1!J358,"AAAAAHsXbfU=")</f>
        <v>#VALUE!</v>
      </c>
      <c r="IM21" t="e">
        <f>AND(Plan1!K358,"AAAAAHsXbfY=")</f>
        <v>#VALUE!</v>
      </c>
      <c r="IN21" t="e">
        <f>AND(Plan1!L358,"AAAAAHsXbfc=")</f>
        <v>#VALUE!</v>
      </c>
      <c r="IO21" t="e">
        <f>AND(Plan1!M358,"AAAAAHsXbfg=")</f>
        <v>#VALUE!</v>
      </c>
      <c r="IP21" t="e">
        <f>AND(Plan1!N358,"AAAAAHsXbfk=")</f>
        <v>#VALUE!</v>
      </c>
      <c r="IQ21">
        <f>IF(Plan1!359:359,"AAAAAHsXbfo=",0)</f>
        <v>0</v>
      </c>
      <c r="IR21" t="e">
        <f>AND(Plan1!A359,"AAAAAHsXbfs=")</f>
        <v>#VALUE!</v>
      </c>
      <c r="IS21" t="e">
        <f>AND(Plan1!B359,"AAAAAHsXbfw=")</f>
        <v>#VALUE!</v>
      </c>
      <c r="IT21" t="e">
        <f>AND(Plan1!C359,"AAAAAHsXbf0=")</f>
        <v>#VALUE!</v>
      </c>
      <c r="IU21" t="e">
        <f>AND(Plan1!D359,"AAAAAHsXbf4=")</f>
        <v>#VALUE!</v>
      </c>
      <c r="IV21" t="e">
        <f>AND(Plan1!E359,"AAAAAHsXbf8=")</f>
        <v>#VALUE!</v>
      </c>
    </row>
    <row r="22" spans="1:256">
      <c r="A22" t="e">
        <f>AND(Plan1!F359,"AAAAAD/1vwA=")</f>
        <v>#VALUE!</v>
      </c>
      <c r="B22" t="e">
        <f>AND(Plan1!G359,"AAAAAD/1vwE=")</f>
        <v>#VALUE!</v>
      </c>
      <c r="C22" t="e">
        <f>AND(Plan1!H359,"AAAAAD/1vwI=")</f>
        <v>#VALUE!</v>
      </c>
      <c r="D22" t="e">
        <f>AND(Plan1!I359,"AAAAAD/1vwM=")</f>
        <v>#VALUE!</v>
      </c>
      <c r="E22" t="e">
        <f>AND(Plan1!J359,"AAAAAD/1vwQ=")</f>
        <v>#VALUE!</v>
      </c>
      <c r="F22" t="e">
        <f>AND(Plan1!K359,"AAAAAD/1vwU=")</f>
        <v>#VALUE!</v>
      </c>
      <c r="G22" t="e">
        <f>AND(Plan1!L359,"AAAAAD/1vwY=")</f>
        <v>#VALUE!</v>
      </c>
      <c r="H22" t="e">
        <f>AND(Plan1!M359,"AAAAAD/1vwc=")</f>
        <v>#VALUE!</v>
      </c>
      <c r="I22" t="e">
        <f>AND(Plan1!N359,"AAAAAD/1vwg=")</f>
        <v>#VALUE!</v>
      </c>
      <c r="J22">
        <f>IF(Plan1!360:360,"AAAAAD/1vwk=",0)</f>
        <v>0</v>
      </c>
      <c r="K22" t="e">
        <f>AND(Plan1!A360,"AAAAAD/1vwo=")</f>
        <v>#VALUE!</v>
      </c>
      <c r="L22" t="e">
        <f>AND(Plan1!B360,"AAAAAD/1vws=")</f>
        <v>#VALUE!</v>
      </c>
      <c r="M22" t="e">
        <f>AND(Plan1!C360,"AAAAAD/1vww=")</f>
        <v>#VALUE!</v>
      </c>
      <c r="N22" t="e">
        <f>AND(Plan1!D360,"AAAAAD/1vw0=")</f>
        <v>#VALUE!</v>
      </c>
      <c r="O22" t="e">
        <f>AND(Plan1!E360,"AAAAAD/1vw4=")</f>
        <v>#VALUE!</v>
      </c>
      <c r="P22" t="e">
        <f>AND(Plan1!F360,"AAAAAD/1vw8=")</f>
        <v>#VALUE!</v>
      </c>
      <c r="Q22" t="e">
        <f>AND(Plan1!G360,"AAAAAD/1vxA=")</f>
        <v>#VALUE!</v>
      </c>
      <c r="R22" t="e">
        <f>AND(Plan1!H360,"AAAAAD/1vxE=")</f>
        <v>#VALUE!</v>
      </c>
      <c r="S22" t="e">
        <f>AND(Plan1!I360,"AAAAAD/1vxI=")</f>
        <v>#VALUE!</v>
      </c>
      <c r="T22" t="e">
        <f>AND(Plan1!J360,"AAAAAD/1vxM=")</f>
        <v>#VALUE!</v>
      </c>
      <c r="U22" t="e">
        <f>AND(Plan1!K360,"AAAAAD/1vxQ=")</f>
        <v>#VALUE!</v>
      </c>
      <c r="V22" t="e">
        <f>AND(Plan1!L360,"AAAAAD/1vxU=")</f>
        <v>#VALUE!</v>
      </c>
      <c r="W22" t="e">
        <f>AND(Plan1!M360,"AAAAAD/1vxY=")</f>
        <v>#VALUE!</v>
      </c>
      <c r="X22" t="e">
        <f>AND(Plan1!N360,"AAAAAD/1vxc=")</f>
        <v>#VALUE!</v>
      </c>
      <c r="Y22">
        <f>IF(Plan1!361:361,"AAAAAD/1vxg=",0)</f>
        <v>0</v>
      </c>
      <c r="Z22" t="e">
        <f>AND(Plan1!A361,"AAAAAD/1vxk=")</f>
        <v>#VALUE!</v>
      </c>
      <c r="AA22" t="e">
        <f>AND(Plan1!B361,"AAAAAD/1vxo=")</f>
        <v>#VALUE!</v>
      </c>
      <c r="AB22" t="e">
        <f>AND(Plan1!C361,"AAAAAD/1vxs=")</f>
        <v>#VALUE!</v>
      </c>
      <c r="AC22" t="e">
        <f>AND(Plan1!D361,"AAAAAD/1vxw=")</f>
        <v>#VALUE!</v>
      </c>
      <c r="AD22" t="e">
        <f>AND(Plan1!E361,"AAAAAD/1vx0=")</f>
        <v>#VALUE!</v>
      </c>
      <c r="AE22" t="e">
        <f>AND(Plan1!F361,"AAAAAD/1vx4=")</f>
        <v>#VALUE!</v>
      </c>
      <c r="AF22" t="e">
        <f>AND(Plan1!G361,"AAAAAD/1vx8=")</f>
        <v>#VALUE!</v>
      </c>
      <c r="AG22" t="e">
        <f>AND(Plan1!H361,"AAAAAD/1vyA=")</f>
        <v>#VALUE!</v>
      </c>
      <c r="AH22" t="e">
        <f>AND(Plan1!I361,"AAAAAD/1vyE=")</f>
        <v>#VALUE!</v>
      </c>
      <c r="AI22" t="e">
        <f>AND(Plan1!J361,"AAAAAD/1vyI=")</f>
        <v>#VALUE!</v>
      </c>
      <c r="AJ22" t="e">
        <f>AND(Plan1!K361,"AAAAAD/1vyM=")</f>
        <v>#VALUE!</v>
      </c>
      <c r="AK22" t="e">
        <f>AND(Plan1!L361,"AAAAAD/1vyQ=")</f>
        <v>#VALUE!</v>
      </c>
      <c r="AL22" t="e">
        <f>AND(Plan1!M361,"AAAAAD/1vyU=")</f>
        <v>#VALUE!</v>
      </c>
      <c r="AM22" t="e">
        <f>AND(Plan1!N361,"AAAAAD/1vyY=")</f>
        <v>#VALUE!</v>
      </c>
      <c r="AN22">
        <f>IF(Plan1!362:362,"AAAAAD/1vyc=",0)</f>
        <v>0</v>
      </c>
      <c r="AO22" t="e">
        <f>AND(Plan1!A362,"AAAAAD/1vyg=")</f>
        <v>#VALUE!</v>
      </c>
      <c r="AP22" t="e">
        <f>AND(Plan1!B362,"AAAAAD/1vyk=")</f>
        <v>#VALUE!</v>
      </c>
      <c r="AQ22" t="e">
        <f>AND(Plan1!C362,"AAAAAD/1vyo=")</f>
        <v>#VALUE!</v>
      </c>
      <c r="AR22" t="e">
        <f>AND(Plan1!D362,"AAAAAD/1vys=")</f>
        <v>#VALUE!</v>
      </c>
      <c r="AS22" t="e">
        <f>AND(Plan1!E362,"AAAAAD/1vyw=")</f>
        <v>#VALUE!</v>
      </c>
      <c r="AT22" t="e">
        <f>AND(Plan1!F362,"AAAAAD/1vy0=")</f>
        <v>#VALUE!</v>
      </c>
      <c r="AU22" t="e">
        <f>AND(Plan1!G362,"AAAAAD/1vy4=")</f>
        <v>#VALUE!</v>
      </c>
      <c r="AV22" t="e">
        <f>AND(Plan1!H362,"AAAAAD/1vy8=")</f>
        <v>#VALUE!</v>
      </c>
      <c r="AW22" t="e">
        <f>AND(Plan1!I362,"AAAAAD/1vzA=")</f>
        <v>#VALUE!</v>
      </c>
      <c r="AX22" t="e">
        <f>AND(Plan1!J362,"AAAAAD/1vzE=")</f>
        <v>#VALUE!</v>
      </c>
      <c r="AY22" t="e">
        <f>AND(Plan1!K362,"AAAAAD/1vzI=")</f>
        <v>#VALUE!</v>
      </c>
      <c r="AZ22" t="e">
        <f>AND(Plan1!L362,"AAAAAD/1vzM=")</f>
        <v>#VALUE!</v>
      </c>
      <c r="BA22" t="e">
        <f>AND(Plan1!M362,"AAAAAD/1vzQ=")</f>
        <v>#VALUE!</v>
      </c>
      <c r="BB22" t="e">
        <f>AND(Plan1!N362,"AAAAAD/1vzU=")</f>
        <v>#VALUE!</v>
      </c>
      <c r="BC22">
        <f>IF(Plan1!363:363,"AAAAAD/1vzY=",0)</f>
        <v>0</v>
      </c>
      <c r="BD22" t="e">
        <f>AND(Plan1!A363,"AAAAAD/1vzc=")</f>
        <v>#VALUE!</v>
      </c>
      <c r="BE22" t="e">
        <f>AND(Plan1!B363,"AAAAAD/1vzg=")</f>
        <v>#VALUE!</v>
      </c>
      <c r="BF22" t="e">
        <f>AND(Plan1!C363,"AAAAAD/1vzk=")</f>
        <v>#VALUE!</v>
      </c>
      <c r="BG22" t="e">
        <f>AND(Plan1!D363,"AAAAAD/1vzo=")</f>
        <v>#VALUE!</v>
      </c>
      <c r="BH22" t="e">
        <f>AND(Plan1!E363,"AAAAAD/1vzs=")</f>
        <v>#VALUE!</v>
      </c>
      <c r="BI22" t="e">
        <f>AND(Plan1!F363,"AAAAAD/1vzw=")</f>
        <v>#VALUE!</v>
      </c>
      <c r="BJ22" t="e">
        <f>AND(Plan1!G363,"AAAAAD/1vz0=")</f>
        <v>#VALUE!</v>
      </c>
      <c r="BK22" t="e">
        <f>AND(Plan1!H363,"AAAAAD/1vz4=")</f>
        <v>#VALUE!</v>
      </c>
      <c r="BL22" t="e">
        <f>AND(Plan1!I363,"AAAAAD/1vz8=")</f>
        <v>#VALUE!</v>
      </c>
      <c r="BM22" t="e">
        <f>AND(Plan1!J363,"AAAAAD/1v0A=")</f>
        <v>#VALUE!</v>
      </c>
      <c r="BN22" t="e">
        <f>AND(Plan1!K363,"AAAAAD/1v0E=")</f>
        <v>#VALUE!</v>
      </c>
      <c r="BO22" t="e">
        <f>AND(Plan1!L363,"AAAAAD/1v0I=")</f>
        <v>#VALUE!</v>
      </c>
      <c r="BP22" t="e">
        <f>AND(Plan1!M363,"AAAAAD/1v0M=")</f>
        <v>#VALUE!</v>
      </c>
      <c r="BQ22" t="e">
        <f>AND(Plan1!N363,"AAAAAD/1v0Q=")</f>
        <v>#VALUE!</v>
      </c>
      <c r="BR22">
        <f>IF(Plan1!364:364,"AAAAAD/1v0U=",0)</f>
        <v>0</v>
      </c>
      <c r="BS22" t="e">
        <f>AND(Plan1!A364,"AAAAAD/1v0Y=")</f>
        <v>#VALUE!</v>
      </c>
      <c r="BT22" t="e">
        <f>AND(Plan1!B364,"AAAAAD/1v0c=")</f>
        <v>#VALUE!</v>
      </c>
      <c r="BU22" t="e">
        <f>AND(Plan1!C364,"AAAAAD/1v0g=")</f>
        <v>#VALUE!</v>
      </c>
      <c r="BV22" t="e">
        <f>AND(Plan1!D364,"AAAAAD/1v0k=")</f>
        <v>#VALUE!</v>
      </c>
      <c r="BW22" t="e">
        <f>AND(Plan1!E364,"AAAAAD/1v0o=")</f>
        <v>#VALUE!</v>
      </c>
      <c r="BX22" t="e">
        <f>AND(Plan1!F364,"AAAAAD/1v0s=")</f>
        <v>#VALUE!</v>
      </c>
      <c r="BY22" t="e">
        <f>AND(Plan1!G364,"AAAAAD/1v0w=")</f>
        <v>#VALUE!</v>
      </c>
      <c r="BZ22" t="e">
        <f>AND(Plan1!H364,"AAAAAD/1v00=")</f>
        <v>#VALUE!</v>
      </c>
      <c r="CA22" t="e">
        <f>AND(Plan1!I364,"AAAAAD/1v04=")</f>
        <v>#VALUE!</v>
      </c>
      <c r="CB22" t="e">
        <f>AND(Plan1!J364,"AAAAAD/1v08=")</f>
        <v>#VALUE!</v>
      </c>
      <c r="CC22" t="e">
        <f>AND(Plan1!K364,"AAAAAD/1v1A=")</f>
        <v>#VALUE!</v>
      </c>
      <c r="CD22" t="e">
        <f>AND(Plan1!L364,"AAAAAD/1v1E=")</f>
        <v>#VALUE!</v>
      </c>
      <c r="CE22" t="e">
        <f>AND(Plan1!M364,"AAAAAD/1v1I=")</f>
        <v>#VALUE!</v>
      </c>
      <c r="CF22" t="e">
        <f>AND(Plan1!N364,"AAAAAD/1v1M=")</f>
        <v>#VALUE!</v>
      </c>
      <c r="CG22">
        <f>IF(Plan1!365:365,"AAAAAD/1v1Q=",0)</f>
        <v>0</v>
      </c>
      <c r="CH22" t="e">
        <f>AND(Plan1!A365,"AAAAAD/1v1U=")</f>
        <v>#VALUE!</v>
      </c>
      <c r="CI22" t="e">
        <f>AND(Plan1!B365,"AAAAAD/1v1Y=")</f>
        <v>#VALUE!</v>
      </c>
      <c r="CJ22" t="e">
        <f>AND(Plan1!C365,"AAAAAD/1v1c=")</f>
        <v>#VALUE!</v>
      </c>
      <c r="CK22" t="e">
        <f>AND(Plan1!D365,"AAAAAD/1v1g=")</f>
        <v>#VALUE!</v>
      </c>
      <c r="CL22" t="e">
        <f>AND(Plan1!E365,"AAAAAD/1v1k=")</f>
        <v>#VALUE!</v>
      </c>
      <c r="CM22" t="e">
        <f>AND(Plan1!F365,"AAAAAD/1v1o=")</f>
        <v>#VALUE!</v>
      </c>
      <c r="CN22" t="e">
        <f>AND(Plan1!G365,"AAAAAD/1v1s=")</f>
        <v>#VALUE!</v>
      </c>
      <c r="CO22" t="e">
        <f>AND(Plan1!H365,"AAAAAD/1v1w=")</f>
        <v>#VALUE!</v>
      </c>
      <c r="CP22" t="e">
        <f>AND(Plan1!I365,"AAAAAD/1v10=")</f>
        <v>#VALUE!</v>
      </c>
      <c r="CQ22" t="e">
        <f>AND(Plan1!J365,"AAAAAD/1v14=")</f>
        <v>#VALUE!</v>
      </c>
      <c r="CR22" t="e">
        <f>AND(Plan1!K365,"AAAAAD/1v18=")</f>
        <v>#VALUE!</v>
      </c>
      <c r="CS22" t="e">
        <f>AND(Plan1!L365,"AAAAAD/1v2A=")</f>
        <v>#VALUE!</v>
      </c>
      <c r="CT22" t="e">
        <f>AND(Plan1!M365,"AAAAAD/1v2E=")</f>
        <v>#VALUE!</v>
      </c>
      <c r="CU22" t="e">
        <f>AND(Plan1!N365,"AAAAAD/1v2I=")</f>
        <v>#VALUE!</v>
      </c>
      <c r="CV22">
        <f>IF(Plan1!366:366,"AAAAAD/1v2M=",0)</f>
        <v>0</v>
      </c>
      <c r="CW22" t="e">
        <f>AND(Plan1!A366,"AAAAAD/1v2Q=")</f>
        <v>#VALUE!</v>
      </c>
      <c r="CX22" t="e">
        <f>AND(Plan1!B366,"AAAAAD/1v2U=")</f>
        <v>#VALUE!</v>
      </c>
      <c r="CY22" t="e">
        <f>AND(Plan1!C366,"AAAAAD/1v2Y=")</f>
        <v>#VALUE!</v>
      </c>
      <c r="CZ22" t="e">
        <f>AND(Plan1!D366,"AAAAAD/1v2c=")</f>
        <v>#VALUE!</v>
      </c>
      <c r="DA22" t="e">
        <f>AND(Plan1!E366,"AAAAAD/1v2g=")</f>
        <v>#VALUE!</v>
      </c>
      <c r="DB22" t="e">
        <f>AND(Plan1!F366,"AAAAAD/1v2k=")</f>
        <v>#VALUE!</v>
      </c>
      <c r="DC22" t="e">
        <f>AND(Plan1!G366,"AAAAAD/1v2o=")</f>
        <v>#VALUE!</v>
      </c>
      <c r="DD22" t="e">
        <f>AND(Plan1!H366,"AAAAAD/1v2s=")</f>
        <v>#VALUE!</v>
      </c>
      <c r="DE22" t="e">
        <f>AND(Plan1!I366,"AAAAAD/1v2w=")</f>
        <v>#VALUE!</v>
      </c>
      <c r="DF22" t="e">
        <f>AND(Plan1!J366,"AAAAAD/1v20=")</f>
        <v>#VALUE!</v>
      </c>
      <c r="DG22" t="e">
        <f>AND(Plan1!K366,"AAAAAD/1v24=")</f>
        <v>#VALUE!</v>
      </c>
      <c r="DH22" t="e">
        <f>AND(Plan1!L366,"AAAAAD/1v28=")</f>
        <v>#VALUE!</v>
      </c>
      <c r="DI22" t="e">
        <f>AND(Plan1!M366,"AAAAAD/1v3A=")</f>
        <v>#VALUE!</v>
      </c>
      <c r="DJ22" t="e">
        <f>AND(Plan1!N366,"AAAAAD/1v3E=")</f>
        <v>#VALUE!</v>
      </c>
      <c r="DK22">
        <f>IF(Plan1!367:367,"AAAAAD/1v3I=",0)</f>
        <v>0</v>
      </c>
      <c r="DL22" t="e">
        <f>AND(Plan1!A367,"AAAAAD/1v3M=")</f>
        <v>#VALUE!</v>
      </c>
      <c r="DM22" t="e">
        <f>AND(Plan1!B367,"AAAAAD/1v3Q=")</f>
        <v>#VALUE!</v>
      </c>
      <c r="DN22" t="e">
        <f>AND(Plan1!C367,"AAAAAD/1v3U=")</f>
        <v>#VALUE!</v>
      </c>
      <c r="DO22" t="e">
        <f>AND(Plan1!D367,"AAAAAD/1v3Y=")</f>
        <v>#VALUE!</v>
      </c>
      <c r="DP22" t="e">
        <f>AND(Plan1!E367,"AAAAAD/1v3c=")</f>
        <v>#VALUE!</v>
      </c>
      <c r="DQ22" t="e">
        <f>AND(Plan1!F367,"AAAAAD/1v3g=")</f>
        <v>#VALUE!</v>
      </c>
      <c r="DR22" t="e">
        <f>AND(Plan1!G367,"AAAAAD/1v3k=")</f>
        <v>#VALUE!</v>
      </c>
      <c r="DS22" t="e">
        <f>AND(Plan1!H367,"AAAAAD/1v3o=")</f>
        <v>#VALUE!</v>
      </c>
      <c r="DT22" t="e">
        <f>AND(Plan1!I367,"AAAAAD/1v3s=")</f>
        <v>#VALUE!</v>
      </c>
      <c r="DU22" t="e">
        <f>AND(Plan1!J367,"AAAAAD/1v3w=")</f>
        <v>#VALUE!</v>
      </c>
      <c r="DV22" t="e">
        <f>AND(Plan1!K367,"AAAAAD/1v30=")</f>
        <v>#VALUE!</v>
      </c>
      <c r="DW22" t="e">
        <f>AND(Plan1!L367,"AAAAAD/1v34=")</f>
        <v>#VALUE!</v>
      </c>
      <c r="DX22" t="e">
        <f>AND(Plan1!M367,"AAAAAD/1v38=")</f>
        <v>#VALUE!</v>
      </c>
      <c r="DY22" t="e">
        <f>AND(Plan1!N367,"AAAAAD/1v4A=")</f>
        <v>#VALUE!</v>
      </c>
      <c r="DZ22">
        <f>IF(Plan1!368:368,"AAAAAD/1v4E=",0)</f>
        <v>0</v>
      </c>
      <c r="EA22" t="e">
        <f>AND(Plan1!A368,"AAAAAD/1v4I=")</f>
        <v>#VALUE!</v>
      </c>
      <c r="EB22" t="e">
        <f>AND(Plan1!B368,"AAAAAD/1v4M=")</f>
        <v>#VALUE!</v>
      </c>
      <c r="EC22" t="e">
        <f>AND(Plan1!C368,"AAAAAD/1v4Q=")</f>
        <v>#VALUE!</v>
      </c>
      <c r="ED22" t="e">
        <f>AND(Plan1!D368,"AAAAAD/1v4U=")</f>
        <v>#VALUE!</v>
      </c>
      <c r="EE22" t="e">
        <f>AND(Plan1!E368,"AAAAAD/1v4Y=")</f>
        <v>#VALUE!</v>
      </c>
      <c r="EF22" t="e">
        <f>AND(Plan1!F368,"AAAAAD/1v4c=")</f>
        <v>#VALUE!</v>
      </c>
      <c r="EG22" t="e">
        <f>AND(Plan1!G368,"AAAAAD/1v4g=")</f>
        <v>#VALUE!</v>
      </c>
      <c r="EH22" t="e">
        <f>AND(Plan1!H368,"AAAAAD/1v4k=")</f>
        <v>#VALUE!</v>
      </c>
      <c r="EI22" t="e">
        <f>AND(Plan1!I368,"AAAAAD/1v4o=")</f>
        <v>#VALUE!</v>
      </c>
      <c r="EJ22" t="e">
        <f>AND(Plan1!J368,"AAAAAD/1v4s=")</f>
        <v>#VALUE!</v>
      </c>
      <c r="EK22" t="e">
        <f>AND(Plan1!K368,"AAAAAD/1v4w=")</f>
        <v>#VALUE!</v>
      </c>
      <c r="EL22" t="e">
        <f>AND(Plan1!L368,"AAAAAD/1v40=")</f>
        <v>#VALUE!</v>
      </c>
      <c r="EM22" t="e">
        <f>AND(Plan1!M368,"AAAAAD/1v44=")</f>
        <v>#VALUE!</v>
      </c>
      <c r="EN22" t="e">
        <f>AND(Plan1!N368,"AAAAAD/1v48=")</f>
        <v>#VALUE!</v>
      </c>
      <c r="EO22">
        <f>IF(Plan1!369:369,"AAAAAD/1v5A=",0)</f>
        <v>0</v>
      </c>
      <c r="EP22" t="e">
        <f>AND(Plan1!A369,"AAAAAD/1v5E=")</f>
        <v>#VALUE!</v>
      </c>
      <c r="EQ22" t="e">
        <f>AND(Plan1!B369,"AAAAAD/1v5I=")</f>
        <v>#VALUE!</v>
      </c>
      <c r="ER22" t="e">
        <f>AND(Plan1!C369,"AAAAAD/1v5M=")</f>
        <v>#VALUE!</v>
      </c>
      <c r="ES22" t="e">
        <f>AND(Plan1!D369,"AAAAAD/1v5Q=")</f>
        <v>#VALUE!</v>
      </c>
      <c r="ET22" t="e">
        <f>AND(Plan1!E369,"AAAAAD/1v5U=")</f>
        <v>#VALUE!</v>
      </c>
      <c r="EU22" t="e">
        <f>AND(Plan1!F369,"AAAAAD/1v5Y=")</f>
        <v>#VALUE!</v>
      </c>
      <c r="EV22" t="e">
        <f>AND(Plan1!G369,"AAAAAD/1v5c=")</f>
        <v>#VALUE!</v>
      </c>
      <c r="EW22" t="e">
        <f>AND(Plan1!H369,"AAAAAD/1v5g=")</f>
        <v>#VALUE!</v>
      </c>
      <c r="EX22" t="e">
        <f>AND(Plan1!I369,"AAAAAD/1v5k=")</f>
        <v>#VALUE!</v>
      </c>
      <c r="EY22" t="e">
        <f>AND(Plan1!J369,"AAAAAD/1v5o=")</f>
        <v>#VALUE!</v>
      </c>
      <c r="EZ22" t="e">
        <f>AND(Plan1!K369,"AAAAAD/1v5s=")</f>
        <v>#VALUE!</v>
      </c>
      <c r="FA22" t="e">
        <f>AND(Plan1!L369,"AAAAAD/1v5w=")</f>
        <v>#VALUE!</v>
      </c>
      <c r="FB22" t="e">
        <f>AND(Plan1!M369,"AAAAAD/1v50=")</f>
        <v>#VALUE!</v>
      </c>
      <c r="FC22" t="e">
        <f>AND(Plan1!N369,"AAAAAD/1v54=")</f>
        <v>#VALUE!</v>
      </c>
      <c r="FD22">
        <f>IF(Plan1!370:370,"AAAAAD/1v58=",0)</f>
        <v>0</v>
      </c>
      <c r="FE22" t="e">
        <f>AND(Plan1!A370,"AAAAAD/1v6A=")</f>
        <v>#VALUE!</v>
      </c>
      <c r="FF22" t="e">
        <f>AND(Plan1!B370,"AAAAAD/1v6E=")</f>
        <v>#VALUE!</v>
      </c>
      <c r="FG22" t="e">
        <f>AND(Plan1!C370,"AAAAAD/1v6I=")</f>
        <v>#VALUE!</v>
      </c>
      <c r="FH22" t="e">
        <f>AND(Plan1!D370,"AAAAAD/1v6M=")</f>
        <v>#VALUE!</v>
      </c>
      <c r="FI22" t="e">
        <f>AND(Plan1!E370,"AAAAAD/1v6Q=")</f>
        <v>#VALUE!</v>
      </c>
      <c r="FJ22" t="e">
        <f>AND(Plan1!F370,"AAAAAD/1v6U=")</f>
        <v>#VALUE!</v>
      </c>
      <c r="FK22" t="e">
        <f>AND(Plan1!G370,"AAAAAD/1v6Y=")</f>
        <v>#VALUE!</v>
      </c>
      <c r="FL22" t="e">
        <f>AND(Plan1!H370,"AAAAAD/1v6c=")</f>
        <v>#VALUE!</v>
      </c>
      <c r="FM22" t="e">
        <f>AND(Plan1!I370,"AAAAAD/1v6g=")</f>
        <v>#VALUE!</v>
      </c>
      <c r="FN22" t="e">
        <f>AND(Plan1!J370,"AAAAAD/1v6k=")</f>
        <v>#VALUE!</v>
      </c>
      <c r="FO22" t="e">
        <f>AND(Plan1!K370,"AAAAAD/1v6o=")</f>
        <v>#VALUE!</v>
      </c>
      <c r="FP22" t="e">
        <f>AND(Plan1!L370,"AAAAAD/1v6s=")</f>
        <v>#VALUE!</v>
      </c>
      <c r="FQ22" t="e">
        <f>AND(Plan1!M370,"AAAAAD/1v6w=")</f>
        <v>#VALUE!</v>
      </c>
      <c r="FR22" t="e">
        <f>AND(Plan1!N370,"AAAAAD/1v60=")</f>
        <v>#VALUE!</v>
      </c>
      <c r="FS22">
        <f>IF(Plan1!371:371,"AAAAAD/1v64=",0)</f>
        <v>0</v>
      </c>
      <c r="FT22" t="e">
        <f>AND(Plan1!A371,"AAAAAD/1v68=")</f>
        <v>#VALUE!</v>
      </c>
      <c r="FU22" t="e">
        <f>AND(Plan1!B371,"AAAAAD/1v7A=")</f>
        <v>#VALUE!</v>
      </c>
      <c r="FV22" t="e">
        <f>AND(Plan1!C371,"AAAAAD/1v7E=")</f>
        <v>#VALUE!</v>
      </c>
      <c r="FW22" t="e">
        <f>AND(Plan1!D371,"AAAAAD/1v7I=")</f>
        <v>#VALUE!</v>
      </c>
      <c r="FX22" t="e">
        <f>AND(Plan1!E371,"AAAAAD/1v7M=")</f>
        <v>#VALUE!</v>
      </c>
      <c r="FY22" t="e">
        <f>AND(Plan1!F371,"AAAAAD/1v7Q=")</f>
        <v>#VALUE!</v>
      </c>
      <c r="FZ22" t="e">
        <f>AND(Plan1!G371,"AAAAAD/1v7U=")</f>
        <v>#VALUE!</v>
      </c>
      <c r="GA22" t="e">
        <f>AND(Plan1!H371,"AAAAAD/1v7Y=")</f>
        <v>#VALUE!</v>
      </c>
      <c r="GB22" t="e">
        <f>AND(Plan1!I371,"AAAAAD/1v7c=")</f>
        <v>#VALUE!</v>
      </c>
      <c r="GC22" t="e">
        <f>AND(Plan1!J371,"AAAAAD/1v7g=")</f>
        <v>#VALUE!</v>
      </c>
      <c r="GD22" t="e">
        <f>AND(Plan1!K371,"AAAAAD/1v7k=")</f>
        <v>#VALUE!</v>
      </c>
      <c r="GE22" t="e">
        <f>AND(Plan1!L371,"AAAAAD/1v7o=")</f>
        <v>#VALUE!</v>
      </c>
      <c r="GF22" t="e">
        <f>AND(Plan1!M371,"AAAAAD/1v7s=")</f>
        <v>#VALUE!</v>
      </c>
      <c r="GG22" t="e">
        <f>AND(Plan1!N371,"AAAAAD/1v7w=")</f>
        <v>#VALUE!</v>
      </c>
      <c r="GH22">
        <f>IF(Plan1!372:372,"AAAAAD/1v70=",0)</f>
        <v>0</v>
      </c>
      <c r="GI22" t="e">
        <f>AND(Plan1!A372,"AAAAAD/1v74=")</f>
        <v>#VALUE!</v>
      </c>
      <c r="GJ22" t="e">
        <f>AND(Plan1!B372,"AAAAAD/1v78=")</f>
        <v>#VALUE!</v>
      </c>
      <c r="GK22" t="e">
        <f>AND(Plan1!C372,"AAAAAD/1v8A=")</f>
        <v>#VALUE!</v>
      </c>
      <c r="GL22" t="e">
        <f>AND(Plan1!D372,"AAAAAD/1v8E=")</f>
        <v>#VALUE!</v>
      </c>
      <c r="GM22" t="e">
        <f>AND(Plan1!E372,"AAAAAD/1v8I=")</f>
        <v>#VALUE!</v>
      </c>
      <c r="GN22" t="e">
        <f>AND(Plan1!F372,"AAAAAD/1v8M=")</f>
        <v>#VALUE!</v>
      </c>
      <c r="GO22" t="e">
        <f>AND(Plan1!G372,"AAAAAD/1v8Q=")</f>
        <v>#VALUE!</v>
      </c>
      <c r="GP22" t="e">
        <f>AND(Plan1!H372,"AAAAAD/1v8U=")</f>
        <v>#VALUE!</v>
      </c>
      <c r="GQ22" t="e">
        <f>AND(Plan1!I372,"AAAAAD/1v8Y=")</f>
        <v>#VALUE!</v>
      </c>
      <c r="GR22" t="e">
        <f>AND(Plan1!J372,"AAAAAD/1v8c=")</f>
        <v>#VALUE!</v>
      </c>
      <c r="GS22" t="e">
        <f>AND(Plan1!K372,"AAAAAD/1v8g=")</f>
        <v>#VALUE!</v>
      </c>
      <c r="GT22" t="e">
        <f>AND(Plan1!L372,"AAAAAD/1v8k=")</f>
        <v>#VALUE!</v>
      </c>
      <c r="GU22" t="e">
        <f>AND(Plan1!M372,"AAAAAD/1v8o=")</f>
        <v>#VALUE!</v>
      </c>
      <c r="GV22" t="e">
        <f>AND(Plan1!N372,"AAAAAD/1v8s=")</f>
        <v>#VALUE!</v>
      </c>
      <c r="GW22">
        <f>IF(Plan1!373:373,"AAAAAD/1v8w=",0)</f>
        <v>0</v>
      </c>
      <c r="GX22" t="e">
        <f>AND(Plan1!A373,"AAAAAD/1v80=")</f>
        <v>#VALUE!</v>
      </c>
      <c r="GY22" t="e">
        <f>AND(Plan1!B373,"AAAAAD/1v84=")</f>
        <v>#VALUE!</v>
      </c>
      <c r="GZ22" t="e">
        <f>AND(Plan1!C373,"AAAAAD/1v88=")</f>
        <v>#VALUE!</v>
      </c>
      <c r="HA22" t="e">
        <f>AND(Plan1!D373,"AAAAAD/1v9A=")</f>
        <v>#VALUE!</v>
      </c>
      <c r="HB22" t="e">
        <f>AND(Plan1!E373,"AAAAAD/1v9E=")</f>
        <v>#VALUE!</v>
      </c>
      <c r="HC22" t="e">
        <f>AND(Plan1!F373,"AAAAAD/1v9I=")</f>
        <v>#VALUE!</v>
      </c>
      <c r="HD22" t="e">
        <f>AND(Plan1!G373,"AAAAAD/1v9M=")</f>
        <v>#VALUE!</v>
      </c>
      <c r="HE22" t="e">
        <f>AND(Plan1!H373,"AAAAAD/1v9Q=")</f>
        <v>#VALUE!</v>
      </c>
      <c r="HF22" t="e">
        <f>AND(Plan1!I373,"AAAAAD/1v9U=")</f>
        <v>#VALUE!</v>
      </c>
      <c r="HG22" t="e">
        <f>AND(Plan1!J373,"AAAAAD/1v9Y=")</f>
        <v>#VALUE!</v>
      </c>
      <c r="HH22" t="e">
        <f>AND(Plan1!K373,"AAAAAD/1v9c=")</f>
        <v>#VALUE!</v>
      </c>
      <c r="HI22" t="e">
        <f>AND(Plan1!L373,"AAAAAD/1v9g=")</f>
        <v>#VALUE!</v>
      </c>
      <c r="HJ22" t="e">
        <f>AND(Plan1!M373,"AAAAAD/1v9k=")</f>
        <v>#VALUE!</v>
      </c>
      <c r="HK22" t="e">
        <f>AND(Plan1!N373,"AAAAAD/1v9o=")</f>
        <v>#VALUE!</v>
      </c>
      <c r="HL22">
        <f>IF(Plan1!374:374,"AAAAAD/1v9s=",0)</f>
        <v>0</v>
      </c>
      <c r="HM22" t="e">
        <f>AND(Plan1!A374,"AAAAAD/1v9w=")</f>
        <v>#VALUE!</v>
      </c>
      <c r="HN22" t="e">
        <f>AND(Plan1!B374,"AAAAAD/1v90=")</f>
        <v>#VALUE!</v>
      </c>
      <c r="HO22" t="e">
        <f>AND(Plan1!C374,"AAAAAD/1v94=")</f>
        <v>#VALUE!</v>
      </c>
      <c r="HP22" t="e">
        <f>AND(Plan1!D374,"AAAAAD/1v98=")</f>
        <v>#VALUE!</v>
      </c>
      <c r="HQ22" t="e">
        <f>AND(Plan1!E374,"AAAAAD/1v+A=")</f>
        <v>#VALUE!</v>
      </c>
      <c r="HR22" t="e">
        <f>AND(Plan1!F374,"AAAAAD/1v+E=")</f>
        <v>#VALUE!</v>
      </c>
      <c r="HS22" t="e">
        <f>AND(Plan1!G374,"AAAAAD/1v+I=")</f>
        <v>#VALUE!</v>
      </c>
      <c r="HT22" t="e">
        <f>AND(Plan1!H374,"AAAAAD/1v+M=")</f>
        <v>#VALUE!</v>
      </c>
      <c r="HU22" t="e">
        <f>AND(Plan1!I374,"AAAAAD/1v+Q=")</f>
        <v>#VALUE!</v>
      </c>
      <c r="HV22" t="e">
        <f>AND(Plan1!J374,"AAAAAD/1v+U=")</f>
        <v>#VALUE!</v>
      </c>
      <c r="HW22" t="e">
        <f>AND(Plan1!K374,"AAAAAD/1v+Y=")</f>
        <v>#VALUE!</v>
      </c>
      <c r="HX22" t="e">
        <f>AND(Plan1!L374,"AAAAAD/1v+c=")</f>
        <v>#VALUE!</v>
      </c>
      <c r="HY22" t="e">
        <f>AND(Plan1!M374,"AAAAAD/1v+g=")</f>
        <v>#VALUE!</v>
      </c>
      <c r="HZ22" t="e">
        <f>AND(Plan1!N374,"AAAAAD/1v+k=")</f>
        <v>#VALUE!</v>
      </c>
      <c r="IA22">
        <f>IF(Plan1!375:375,"AAAAAD/1v+o=",0)</f>
        <v>0</v>
      </c>
      <c r="IB22" t="e">
        <f>AND(Plan1!A375,"AAAAAD/1v+s=")</f>
        <v>#VALUE!</v>
      </c>
      <c r="IC22" t="e">
        <f>AND(Plan1!B375,"AAAAAD/1v+w=")</f>
        <v>#VALUE!</v>
      </c>
      <c r="ID22" t="e">
        <f>AND(Plan1!C375,"AAAAAD/1v+0=")</f>
        <v>#VALUE!</v>
      </c>
      <c r="IE22" t="e">
        <f>AND(Plan1!D375,"AAAAAD/1v+4=")</f>
        <v>#VALUE!</v>
      </c>
      <c r="IF22" t="e">
        <f>AND(Plan1!E375,"AAAAAD/1v+8=")</f>
        <v>#VALUE!</v>
      </c>
      <c r="IG22" t="e">
        <f>AND(Plan1!F375,"AAAAAD/1v/A=")</f>
        <v>#VALUE!</v>
      </c>
      <c r="IH22" t="e">
        <f>AND(Plan1!G375,"AAAAAD/1v/E=")</f>
        <v>#VALUE!</v>
      </c>
      <c r="II22" t="e">
        <f>AND(Plan1!H375,"AAAAAD/1v/I=")</f>
        <v>#VALUE!</v>
      </c>
      <c r="IJ22" t="e">
        <f>AND(Plan1!I375,"AAAAAD/1v/M=")</f>
        <v>#VALUE!</v>
      </c>
      <c r="IK22" t="e">
        <f>AND(Plan1!J375,"AAAAAD/1v/Q=")</f>
        <v>#VALUE!</v>
      </c>
      <c r="IL22" t="e">
        <f>AND(Plan1!K375,"AAAAAD/1v/U=")</f>
        <v>#VALUE!</v>
      </c>
      <c r="IM22" t="e">
        <f>AND(Plan1!L375,"AAAAAD/1v/Y=")</f>
        <v>#VALUE!</v>
      </c>
      <c r="IN22" t="e">
        <f>AND(Plan1!M375,"AAAAAD/1v/c=")</f>
        <v>#VALUE!</v>
      </c>
      <c r="IO22" t="e">
        <f>AND(Plan1!N375,"AAAAAD/1v/g=")</f>
        <v>#VALUE!</v>
      </c>
      <c r="IP22">
        <f>IF(Plan1!376:376,"AAAAAD/1v/k=",0)</f>
        <v>0</v>
      </c>
      <c r="IQ22" t="e">
        <f>AND(Plan1!A376,"AAAAAD/1v/o=")</f>
        <v>#VALUE!</v>
      </c>
      <c r="IR22" t="e">
        <f>AND(Plan1!B376,"AAAAAD/1v/s=")</f>
        <v>#VALUE!</v>
      </c>
      <c r="IS22" t="e">
        <f>AND(Plan1!C376,"AAAAAD/1v/w=")</f>
        <v>#VALUE!</v>
      </c>
      <c r="IT22" t="e">
        <f>AND(Plan1!D376,"AAAAAD/1v/0=")</f>
        <v>#VALUE!</v>
      </c>
      <c r="IU22" t="e">
        <f>AND(Plan1!E376,"AAAAAD/1v/4=")</f>
        <v>#VALUE!</v>
      </c>
      <c r="IV22" t="e">
        <f>AND(Plan1!F376,"AAAAAD/1v/8=")</f>
        <v>#VALUE!</v>
      </c>
    </row>
    <row r="23" spans="1:256">
      <c r="A23" t="e">
        <f>AND(Plan1!G376,"AAAAAE/v/QA=")</f>
        <v>#VALUE!</v>
      </c>
      <c r="B23" t="e">
        <f>AND(Plan1!H376,"AAAAAE/v/QE=")</f>
        <v>#VALUE!</v>
      </c>
      <c r="C23" t="e">
        <f>AND(Plan1!I376,"AAAAAE/v/QI=")</f>
        <v>#VALUE!</v>
      </c>
      <c r="D23" t="e">
        <f>AND(Plan1!J376,"AAAAAE/v/QM=")</f>
        <v>#VALUE!</v>
      </c>
      <c r="E23" t="e">
        <f>AND(Plan1!K376,"AAAAAE/v/QQ=")</f>
        <v>#VALUE!</v>
      </c>
      <c r="F23" t="e">
        <f>AND(Plan1!L376,"AAAAAE/v/QU=")</f>
        <v>#VALUE!</v>
      </c>
      <c r="G23" t="e">
        <f>AND(Plan1!M376,"AAAAAE/v/QY=")</f>
        <v>#VALUE!</v>
      </c>
      <c r="H23" t="e">
        <f>AND(Plan1!N376,"AAAAAE/v/Qc=")</f>
        <v>#VALUE!</v>
      </c>
      <c r="I23" t="str">
        <f>IF(Plan1!377:377,"AAAAAE/v/Qg=",0)</f>
        <v>AAAAAE/v/Qg=</v>
      </c>
      <c r="J23" t="e">
        <f>AND(Plan1!A377,"AAAAAE/v/Qk=")</f>
        <v>#VALUE!</v>
      </c>
      <c r="K23" t="e">
        <f>AND(Plan1!B377,"AAAAAE/v/Qo=")</f>
        <v>#VALUE!</v>
      </c>
      <c r="L23" t="e">
        <f>AND(Plan1!C377,"AAAAAE/v/Qs=")</f>
        <v>#VALUE!</v>
      </c>
      <c r="M23" t="e">
        <f>AND(Plan1!D377,"AAAAAE/v/Qw=")</f>
        <v>#VALUE!</v>
      </c>
      <c r="N23" t="e">
        <f>AND(Plan1!E377,"AAAAAE/v/Q0=")</f>
        <v>#VALUE!</v>
      </c>
      <c r="O23" t="e">
        <f>AND(Plan1!F377,"AAAAAE/v/Q4=")</f>
        <v>#VALUE!</v>
      </c>
      <c r="P23" t="e">
        <f>AND(Plan1!G377,"AAAAAE/v/Q8=")</f>
        <v>#VALUE!</v>
      </c>
      <c r="Q23" t="e">
        <f>AND(Plan1!H377,"AAAAAE/v/RA=")</f>
        <v>#VALUE!</v>
      </c>
      <c r="R23" t="e">
        <f>AND(Plan1!I377,"AAAAAE/v/RE=")</f>
        <v>#VALUE!</v>
      </c>
      <c r="S23" t="e">
        <f>AND(Plan1!J377,"AAAAAE/v/RI=")</f>
        <v>#VALUE!</v>
      </c>
      <c r="T23" t="e">
        <f>AND(Plan1!K377,"AAAAAE/v/RM=")</f>
        <v>#VALUE!</v>
      </c>
      <c r="U23" t="e">
        <f>AND(Plan1!L377,"AAAAAE/v/RQ=")</f>
        <v>#VALUE!</v>
      </c>
      <c r="V23" t="e">
        <f>AND(Plan1!M377,"AAAAAE/v/RU=")</f>
        <v>#VALUE!</v>
      </c>
      <c r="W23" t="e">
        <f>AND(Plan1!N377,"AAAAAE/v/RY=")</f>
        <v>#VALUE!</v>
      </c>
      <c r="X23">
        <f>IF(Plan1!378:378,"AAAAAE/v/Rc=",0)</f>
        <v>0</v>
      </c>
      <c r="Y23" t="e">
        <f>AND(Plan1!A378,"AAAAAE/v/Rg=")</f>
        <v>#VALUE!</v>
      </c>
      <c r="Z23" t="e">
        <f>AND(Plan1!B378,"AAAAAE/v/Rk=")</f>
        <v>#VALUE!</v>
      </c>
      <c r="AA23" t="e">
        <f>AND(Plan1!C378,"AAAAAE/v/Ro=")</f>
        <v>#VALUE!</v>
      </c>
      <c r="AB23" t="e">
        <f>AND(Plan1!D378,"AAAAAE/v/Rs=")</f>
        <v>#VALUE!</v>
      </c>
      <c r="AC23" t="e">
        <f>AND(Plan1!E378,"AAAAAE/v/Rw=")</f>
        <v>#VALUE!</v>
      </c>
      <c r="AD23" t="e">
        <f>AND(Plan1!F378,"AAAAAE/v/R0=")</f>
        <v>#VALUE!</v>
      </c>
      <c r="AE23" t="e">
        <f>AND(Plan1!G378,"AAAAAE/v/R4=")</f>
        <v>#VALUE!</v>
      </c>
      <c r="AF23" t="e">
        <f>AND(Plan1!H378,"AAAAAE/v/R8=")</f>
        <v>#VALUE!</v>
      </c>
      <c r="AG23" t="e">
        <f>AND(Plan1!I378,"AAAAAE/v/SA=")</f>
        <v>#VALUE!</v>
      </c>
      <c r="AH23" t="e">
        <f>AND(Plan1!J378,"AAAAAE/v/SE=")</f>
        <v>#VALUE!</v>
      </c>
      <c r="AI23" t="e">
        <f>AND(Plan1!K378,"AAAAAE/v/SI=")</f>
        <v>#VALUE!</v>
      </c>
      <c r="AJ23" t="e">
        <f>AND(Plan1!L378,"AAAAAE/v/SM=")</f>
        <v>#VALUE!</v>
      </c>
      <c r="AK23" t="e">
        <f>AND(Plan1!M378,"AAAAAE/v/SQ=")</f>
        <v>#VALUE!</v>
      </c>
      <c r="AL23" t="e">
        <f>AND(Plan1!N378,"AAAAAE/v/SU=")</f>
        <v>#VALUE!</v>
      </c>
      <c r="AM23">
        <f>IF(Plan1!379:379,"AAAAAE/v/SY=",0)</f>
        <v>0</v>
      </c>
      <c r="AN23" t="e">
        <f>AND(Plan1!A379,"AAAAAE/v/Sc=")</f>
        <v>#VALUE!</v>
      </c>
      <c r="AO23" t="e">
        <f>AND(Plan1!B379,"AAAAAE/v/Sg=")</f>
        <v>#VALUE!</v>
      </c>
      <c r="AP23" t="e">
        <f>AND(Plan1!C379,"AAAAAE/v/Sk=")</f>
        <v>#VALUE!</v>
      </c>
      <c r="AQ23" t="e">
        <f>AND(Plan1!D379,"AAAAAE/v/So=")</f>
        <v>#VALUE!</v>
      </c>
      <c r="AR23" t="e">
        <f>AND(Plan1!E379,"AAAAAE/v/Ss=")</f>
        <v>#VALUE!</v>
      </c>
      <c r="AS23" t="e">
        <f>AND(Plan1!F379,"AAAAAE/v/Sw=")</f>
        <v>#VALUE!</v>
      </c>
      <c r="AT23" t="e">
        <f>AND(Plan1!G379,"AAAAAE/v/S0=")</f>
        <v>#VALUE!</v>
      </c>
      <c r="AU23" t="e">
        <f>AND(Plan1!H379,"AAAAAE/v/S4=")</f>
        <v>#VALUE!</v>
      </c>
      <c r="AV23" t="e">
        <f>AND(Plan1!I379,"AAAAAE/v/S8=")</f>
        <v>#VALUE!</v>
      </c>
      <c r="AW23" t="e">
        <f>AND(Plan1!J379,"AAAAAE/v/TA=")</f>
        <v>#VALUE!</v>
      </c>
      <c r="AX23" t="e">
        <f>AND(Plan1!K379,"AAAAAE/v/TE=")</f>
        <v>#VALUE!</v>
      </c>
      <c r="AY23" t="e">
        <f>AND(Plan1!L379,"AAAAAE/v/TI=")</f>
        <v>#VALUE!</v>
      </c>
      <c r="AZ23" t="e">
        <f>AND(Plan1!M379,"AAAAAE/v/TM=")</f>
        <v>#VALUE!</v>
      </c>
      <c r="BA23" t="e">
        <f>AND(Plan1!N379,"AAAAAE/v/TQ=")</f>
        <v>#VALUE!</v>
      </c>
      <c r="BB23">
        <f>IF(Plan1!380:380,"AAAAAE/v/TU=",0)</f>
        <v>0</v>
      </c>
      <c r="BC23" t="e">
        <f>AND(Plan1!A380,"AAAAAE/v/TY=")</f>
        <v>#VALUE!</v>
      </c>
      <c r="BD23" t="e">
        <f>AND(Plan1!B380,"AAAAAE/v/Tc=")</f>
        <v>#VALUE!</v>
      </c>
      <c r="BE23" t="e">
        <f>AND(Plan1!C380,"AAAAAE/v/Tg=")</f>
        <v>#VALUE!</v>
      </c>
      <c r="BF23" t="e">
        <f>AND(Plan1!D380,"AAAAAE/v/Tk=")</f>
        <v>#VALUE!</v>
      </c>
      <c r="BG23" t="e">
        <f>AND(Plan1!E380,"AAAAAE/v/To=")</f>
        <v>#VALUE!</v>
      </c>
      <c r="BH23" t="e">
        <f>AND(Plan1!F380,"AAAAAE/v/Ts=")</f>
        <v>#VALUE!</v>
      </c>
      <c r="BI23" t="e">
        <f>AND(Plan1!G380,"AAAAAE/v/Tw=")</f>
        <v>#VALUE!</v>
      </c>
      <c r="BJ23" t="e">
        <f>AND(Plan1!H380,"AAAAAE/v/T0=")</f>
        <v>#VALUE!</v>
      </c>
      <c r="BK23" t="e">
        <f>AND(Plan1!I380,"AAAAAE/v/T4=")</f>
        <v>#VALUE!</v>
      </c>
      <c r="BL23" t="e">
        <f>AND(Plan1!J380,"AAAAAE/v/T8=")</f>
        <v>#VALUE!</v>
      </c>
      <c r="BM23" t="e">
        <f>AND(Plan1!K380,"AAAAAE/v/UA=")</f>
        <v>#VALUE!</v>
      </c>
      <c r="BN23" t="e">
        <f>AND(Plan1!L380,"AAAAAE/v/UE=")</f>
        <v>#VALUE!</v>
      </c>
      <c r="BO23" t="e">
        <f>AND(Plan1!M380,"AAAAAE/v/UI=")</f>
        <v>#VALUE!</v>
      </c>
      <c r="BP23" t="e">
        <f>AND(Plan1!N380,"AAAAAE/v/UM=")</f>
        <v>#VALUE!</v>
      </c>
      <c r="BQ23">
        <f>IF(Plan1!381:381,"AAAAAE/v/UQ=",0)</f>
        <v>0</v>
      </c>
      <c r="BR23" t="e">
        <f>AND(Plan1!A381,"AAAAAE/v/UU=")</f>
        <v>#VALUE!</v>
      </c>
      <c r="BS23" t="e">
        <f>AND(Plan1!B381,"AAAAAE/v/UY=")</f>
        <v>#VALUE!</v>
      </c>
      <c r="BT23" t="e">
        <f>AND(Plan1!C381,"AAAAAE/v/Uc=")</f>
        <v>#VALUE!</v>
      </c>
      <c r="BU23" t="e">
        <f>AND(Plan1!D381,"AAAAAE/v/Ug=")</f>
        <v>#VALUE!</v>
      </c>
      <c r="BV23" t="e">
        <f>AND(Plan1!E381,"AAAAAE/v/Uk=")</f>
        <v>#VALUE!</v>
      </c>
      <c r="BW23" t="e">
        <f>AND(Plan1!F381,"AAAAAE/v/Uo=")</f>
        <v>#VALUE!</v>
      </c>
      <c r="BX23" t="e">
        <f>AND(Plan1!G381,"AAAAAE/v/Us=")</f>
        <v>#VALUE!</v>
      </c>
      <c r="BY23" t="e">
        <f>AND(Plan1!H381,"AAAAAE/v/Uw=")</f>
        <v>#VALUE!</v>
      </c>
      <c r="BZ23" t="e">
        <f>AND(Plan1!I381,"AAAAAE/v/U0=")</f>
        <v>#VALUE!</v>
      </c>
      <c r="CA23" t="e">
        <f>AND(Plan1!J381,"AAAAAE/v/U4=")</f>
        <v>#VALUE!</v>
      </c>
      <c r="CB23" t="e">
        <f>AND(Plan1!K381,"AAAAAE/v/U8=")</f>
        <v>#VALUE!</v>
      </c>
      <c r="CC23" t="e">
        <f>AND(Plan1!L381,"AAAAAE/v/VA=")</f>
        <v>#VALUE!</v>
      </c>
      <c r="CD23" t="e">
        <f>AND(Plan1!M381,"AAAAAE/v/VE=")</f>
        <v>#VALUE!</v>
      </c>
      <c r="CE23" t="e">
        <f>AND(Plan1!N381,"AAAAAE/v/VI=")</f>
        <v>#VALUE!</v>
      </c>
      <c r="CF23">
        <f>IF(Plan1!382:382,"AAAAAE/v/VM=",0)</f>
        <v>0</v>
      </c>
      <c r="CG23" t="e">
        <f>AND(Plan1!A382,"AAAAAE/v/VQ=")</f>
        <v>#VALUE!</v>
      </c>
      <c r="CH23" t="e">
        <f>AND(Plan1!B382,"AAAAAE/v/VU=")</f>
        <v>#VALUE!</v>
      </c>
      <c r="CI23" t="e">
        <f>AND(Plan1!C382,"AAAAAE/v/VY=")</f>
        <v>#VALUE!</v>
      </c>
      <c r="CJ23" t="e">
        <f>AND(Plan1!D382,"AAAAAE/v/Vc=")</f>
        <v>#VALUE!</v>
      </c>
      <c r="CK23" t="e">
        <f>AND(Plan1!E382,"AAAAAE/v/Vg=")</f>
        <v>#VALUE!</v>
      </c>
      <c r="CL23" t="e">
        <f>AND(Plan1!F382,"AAAAAE/v/Vk=")</f>
        <v>#VALUE!</v>
      </c>
      <c r="CM23" t="e">
        <f>AND(Plan1!G382,"AAAAAE/v/Vo=")</f>
        <v>#VALUE!</v>
      </c>
      <c r="CN23" t="e">
        <f>AND(Plan1!H382,"AAAAAE/v/Vs=")</f>
        <v>#VALUE!</v>
      </c>
      <c r="CO23" t="e">
        <f>AND(Plan1!I382,"AAAAAE/v/Vw=")</f>
        <v>#VALUE!</v>
      </c>
      <c r="CP23" t="e">
        <f>AND(Plan1!J382,"AAAAAE/v/V0=")</f>
        <v>#VALUE!</v>
      </c>
      <c r="CQ23" t="e">
        <f>AND(Plan1!K382,"AAAAAE/v/V4=")</f>
        <v>#VALUE!</v>
      </c>
      <c r="CR23" t="e">
        <f>AND(Plan1!L382,"AAAAAE/v/V8=")</f>
        <v>#VALUE!</v>
      </c>
      <c r="CS23" t="e">
        <f>AND(Plan1!M382,"AAAAAE/v/WA=")</f>
        <v>#VALUE!</v>
      </c>
      <c r="CT23" t="e">
        <f>AND(Plan1!N382,"AAAAAE/v/WE=")</f>
        <v>#VALUE!</v>
      </c>
      <c r="CU23">
        <f>IF(Plan1!383:383,"AAAAAE/v/WI=",0)</f>
        <v>0</v>
      </c>
      <c r="CV23" t="e">
        <f>AND(Plan1!A383,"AAAAAE/v/WM=")</f>
        <v>#VALUE!</v>
      </c>
      <c r="CW23" t="e">
        <f>AND(Plan1!B383,"AAAAAE/v/WQ=")</f>
        <v>#VALUE!</v>
      </c>
      <c r="CX23" t="e">
        <f>AND(Plan1!C383,"AAAAAE/v/WU=")</f>
        <v>#VALUE!</v>
      </c>
      <c r="CY23" t="e">
        <f>AND(Plan1!D383,"AAAAAE/v/WY=")</f>
        <v>#VALUE!</v>
      </c>
      <c r="CZ23" t="e">
        <f>AND(Plan1!E383,"AAAAAE/v/Wc=")</f>
        <v>#VALUE!</v>
      </c>
      <c r="DA23" t="e">
        <f>AND(Plan1!F383,"AAAAAE/v/Wg=")</f>
        <v>#VALUE!</v>
      </c>
      <c r="DB23" t="e">
        <f>AND(Plan1!G383,"AAAAAE/v/Wk=")</f>
        <v>#VALUE!</v>
      </c>
      <c r="DC23" t="e">
        <f>AND(Plan1!H383,"AAAAAE/v/Wo=")</f>
        <v>#VALUE!</v>
      </c>
      <c r="DD23" t="e">
        <f>AND(Plan1!I383,"AAAAAE/v/Ws=")</f>
        <v>#VALUE!</v>
      </c>
      <c r="DE23" t="e">
        <f>AND(Plan1!J383,"AAAAAE/v/Ww=")</f>
        <v>#VALUE!</v>
      </c>
      <c r="DF23" t="e">
        <f>AND(Plan1!K383,"AAAAAE/v/W0=")</f>
        <v>#VALUE!</v>
      </c>
      <c r="DG23" t="e">
        <f>AND(Plan1!L383,"AAAAAE/v/W4=")</f>
        <v>#VALUE!</v>
      </c>
      <c r="DH23" t="e">
        <f>AND(Plan1!M383,"AAAAAE/v/W8=")</f>
        <v>#VALUE!</v>
      </c>
      <c r="DI23" t="e">
        <f>AND(Plan1!N383,"AAAAAE/v/XA=")</f>
        <v>#VALUE!</v>
      </c>
      <c r="DJ23">
        <f>IF(Plan1!384:384,"AAAAAE/v/XE=",0)</f>
        <v>0</v>
      </c>
      <c r="DK23" t="e">
        <f>AND(Plan1!A384,"AAAAAE/v/XI=")</f>
        <v>#VALUE!</v>
      </c>
      <c r="DL23" t="e">
        <f>AND(Plan1!B384,"AAAAAE/v/XM=")</f>
        <v>#VALUE!</v>
      </c>
      <c r="DM23" t="e">
        <f>AND(Plan1!C384,"AAAAAE/v/XQ=")</f>
        <v>#VALUE!</v>
      </c>
      <c r="DN23" t="e">
        <f>AND(Plan1!D384,"AAAAAE/v/XU=")</f>
        <v>#VALUE!</v>
      </c>
      <c r="DO23" t="e">
        <f>AND(Plan1!E384,"AAAAAE/v/XY=")</f>
        <v>#VALUE!</v>
      </c>
      <c r="DP23" t="e">
        <f>AND(Plan1!F384,"AAAAAE/v/Xc=")</f>
        <v>#VALUE!</v>
      </c>
      <c r="DQ23" t="e">
        <f>AND(Plan1!G384,"AAAAAE/v/Xg=")</f>
        <v>#VALUE!</v>
      </c>
      <c r="DR23" t="e">
        <f>AND(Plan1!H384,"AAAAAE/v/Xk=")</f>
        <v>#VALUE!</v>
      </c>
      <c r="DS23" t="e">
        <f>AND(Plan1!I384,"AAAAAE/v/Xo=")</f>
        <v>#VALUE!</v>
      </c>
      <c r="DT23" t="e">
        <f>AND(Plan1!J384,"AAAAAE/v/Xs=")</f>
        <v>#VALUE!</v>
      </c>
      <c r="DU23" t="e">
        <f>AND(Plan1!K384,"AAAAAE/v/Xw=")</f>
        <v>#VALUE!</v>
      </c>
      <c r="DV23" t="e">
        <f>AND(Plan1!L384,"AAAAAE/v/X0=")</f>
        <v>#VALUE!</v>
      </c>
      <c r="DW23" t="e">
        <f>AND(Plan1!M384,"AAAAAE/v/X4=")</f>
        <v>#VALUE!</v>
      </c>
      <c r="DX23" t="e">
        <f>AND(Plan1!N384,"AAAAAE/v/X8=")</f>
        <v>#VALUE!</v>
      </c>
      <c r="DY23">
        <f>IF(Plan1!385:385,"AAAAAE/v/YA=",0)</f>
        <v>0</v>
      </c>
      <c r="DZ23" t="e">
        <f>AND(Plan1!A385,"AAAAAE/v/YE=")</f>
        <v>#VALUE!</v>
      </c>
      <c r="EA23" t="e">
        <f>AND(Plan1!B385,"AAAAAE/v/YI=")</f>
        <v>#VALUE!</v>
      </c>
      <c r="EB23" t="e">
        <f>AND(Plan1!C385,"AAAAAE/v/YM=")</f>
        <v>#VALUE!</v>
      </c>
      <c r="EC23" t="e">
        <f>AND(Plan1!D385,"AAAAAE/v/YQ=")</f>
        <v>#VALUE!</v>
      </c>
      <c r="ED23" t="e">
        <f>AND(Plan1!E385,"AAAAAE/v/YU=")</f>
        <v>#VALUE!</v>
      </c>
      <c r="EE23" t="e">
        <f>AND(Plan1!F385,"AAAAAE/v/YY=")</f>
        <v>#VALUE!</v>
      </c>
      <c r="EF23" t="e">
        <f>AND(Plan1!G385,"AAAAAE/v/Yc=")</f>
        <v>#VALUE!</v>
      </c>
      <c r="EG23" t="e">
        <f>AND(Plan1!H385,"AAAAAE/v/Yg=")</f>
        <v>#VALUE!</v>
      </c>
      <c r="EH23" t="e">
        <f>AND(Plan1!I385,"AAAAAE/v/Yk=")</f>
        <v>#VALUE!</v>
      </c>
      <c r="EI23" t="e">
        <f>AND(Plan1!J385,"AAAAAE/v/Yo=")</f>
        <v>#VALUE!</v>
      </c>
      <c r="EJ23" t="e">
        <f>AND(Plan1!K385,"AAAAAE/v/Ys=")</f>
        <v>#VALUE!</v>
      </c>
      <c r="EK23" t="e">
        <f>AND(Plan1!L385,"AAAAAE/v/Yw=")</f>
        <v>#VALUE!</v>
      </c>
      <c r="EL23" t="e">
        <f>AND(Plan1!M385,"AAAAAE/v/Y0=")</f>
        <v>#VALUE!</v>
      </c>
      <c r="EM23" t="e">
        <f>AND(Plan1!N385,"AAAAAE/v/Y4=")</f>
        <v>#VALUE!</v>
      </c>
      <c r="EN23">
        <f>IF(Plan1!386:386,"AAAAAE/v/Y8=",0)</f>
        <v>0</v>
      </c>
      <c r="EO23" t="e">
        <f>AND(Plan1!A386,"AAAAAE/v/ZA=")</f>
        <v>#VALUE!</v>
      </c>
      <c r="EP23" t="e">
        <f>AND(Plan1!B386,"AAAAAE/v/ZE=")</f>
        <v>#VALUE!</v>
      </c>
      <c r="EQ23" t="e">
        <f>AND(Plan1!C386,"AAAAAE/v/ZI=")</f>
        <v>#VALUE!</v>
      </c>
      <c r="ER23" t="e">
        <f>AND(Plan1!D386,"AAAAAE/v/ZM=")</f>
        <v>#VALUE!</v>
      </c>
      <c r="ES23" t="e">
        <f>AND(Plan1!E386,"AAAAAE/v/ZQ=")</f>
        <v>#VALUE!</v>
      </c>
      <c r="ET23" t="e">
        <f>AND(Plan1!F386,"AAAAAE/v/ZU=")</f>
        <v>#VALUE!</v>
      </c>
      <c r="EU23" t="e">
        <f>AND(Plan1!G386,"AAAAAE/v/ZY=")</f>
        <v>#VALUE!</v>
      </c>
      <c r="EV23" t="e">
        <f>AND(Plan1!H386,"AAAAAE/v/Zc=")</f>
        <v>#VALUE!</v>
      </c>
      <c r="EW23" t="e">
        <f>AND(Plan1!I386,"AAAAAE/v/Zg=")</f>
        <v>#VALUE!</v>
      </c>
      <c r="EX23" t="e">
        <f>AND(Plan1!J386,"AAAAAE/v/Zk=")</f>
        <v>#VALUE!</v>
      </c>
      <c r="EY23" t="e">
        <f>AND(Plan1!K386,"AAAAAE/v/Zo=")</f>
        <v>#VALUE!</v>
      </c>
      <c r="EZ23" t="e">
        <f>AND(Plan1!L386,"AAAAAE/v/Zs=")</f>
        <v>#VALUE!</v>
      </c>
      <c r="FA23" t="e">
        <f>AND(Plan1!M386,"AAAAAE/v/Zw=")</f>
        <v>#VALUE!</v>
      </c>
      <c r="FB23" t="e">
        <f>AND(Plan1!N386,"AAAAAE/v/Z0=")</f>
        <v>#VALUE!</v>
      </c>
      <c r="FC23">
        <f>IF(Plan1!387:387,"AAAAAE/v/Z4=",0)</f>
        <v>0</v>
      </c>
      <c r="FD23" t="e">
        <f>AND(Plan1!A387,"AAAAAE/v/Z8=")</f>
        <v>#VALUE!</v>
      </c>
      <c r="FE23" t="e">
        <f>AND(Plan1!B387,"AAAAAE/v/aA=")</f>
        <v>#VALUE!</v>
      </c>
      <c r="FF23" t="e">
        <f>AND(Plan1!C387,"AAAAAE/v/aE=")</f>
        <v>#VALUE!</v>
      </c>
      <c r="FG23" t="e">
        <f>AND(Plan1!D387,"AAAAAE/v/aI=")</f>
        <v>#VALUE!</v>
      </c>
      <c r="FH23" t="e">
        <f>AND(Plan1!E387,"AAAAAE/v/aM=")</f>
        <v>#VALUE!</v>
      </c>
      <c r="FI23" t="e">
        <f>AND(Plan1!F387,"AAAAAE/v/aQ=")</f>
        <v>#VALUE!</v>
      </c>
      <c r="FJ23" t="e">
        <f>AND(Plan1!G387,"AAAAAE/v/aU=")</f>
        <v>#VALUE!</v>
      </c>
      <c r="FK23" t="e">
        <f>AND(Plan1!H387,"AAAAAE/v/aY=")</f>
        <v>#VALUE!</v>
      </c>
      <c r="FL23" t="e">
        <f>AND(Plan1!I387,"AAAAAE/v/ac=")</f>
        <v>#VALUE!</v>
      </c>
      <c r="FM23" t="e">
        <f>AND(Plan1!J387,"AAAAAE/v/ag=")</f>
        <v>#VALUE!</v>
      </c>
      <c r="FN23" t="e">
        <f>AND(Plan1!K387,"AAAAAE/v/ak=")</f>
        <v>#VALUE!</v>
      </c>
      <c r="FO23" t="e">
        <f>AND(Plan1!L387,"AAAAAE/v/ao=")</f>
        <v>#VALUE!</v>
      </c>
      <c r="FP23" t="e">
        <f>AND(Plan1!M387,"AAAAAE/v/as=")</f>
        <v>#VALUE!</v>
      </c>
      <c r="FQ23" t="e">
        <f>AND(Plan1!N387,"AAAAAE/v/aw=")</f>
        <v>#VALUE!</v>
      </c>
      <c r="FR23">
        <f>IF(Plan1!388:388,"AAAAAE/v/a0=",0)</f>
        <v>0</v>
      </c>
      <c r="FS23" t="e">
        <f>AND(Plan1!A388,"AAAAAE/v/a4=")</f>
        <v>#VALUE!</v>
      </c>
      <c r="FT23" t="e">
        <f>AND(Plan1!B388,"AAAAAE/v/a8=")</f>
        <v>#VALUE!</v>
      </c>
      <c r="FU23" t="e">
        <f>AND(Plan1!C388,"AAAAAE/v/bA=")</f>
        <v>#VALUE!</v>
      </c>
      <c r="FV23" t="e">
        <f>AND(Plan1!D388,"AAAAAE/v/bE=")</f>
        <v>#VALUE!</v>
      </c>
      <c r="FW23" t="e">
        <f>AND(Plan1!E388,"AAAAAE/v/bI=")</f>
        <v>#VALUE!</v>
      </c>
      <c r="FX23" t="e">
        <f>AND(Plan1!F388,"AAAAAE/v/bM=")</f>
        <v>#VALUE!</v>
      </c>
      <c r="FY23" t="e">
        <f>AND(Plan1!G388,"AAAAAE/v/bQ=")</f>
        <v>#VALUE!</v>
      </c>
      <c r="FZ23" t="e">
        <f>AND(Plan1!H388,"AAAAAE/v/bU=")</f>
        <v>#VALUE!</v>
      </c>
      <c r="GA23" t="e">
        <f>AND(Plan1!I388,"AAAAAE/v/bY=")</f>
        <v>#VALUE!</v>
      </c>
      <c r="GB23" t="e">
        <f>AND(Plan1!J388,"AAAAAE/v/bc=")</f>
        <v>#VALUE!</v>
      </c>
      <c r="GC23" t="e">
        <f>AND(Plan1!K388,"AAAAAE/v/bg=")</f>
        <v>#VALUE!</v>
      </c>
      <c r="GD23" t="e">
        <f>AND(Plan1!L388,"AAAAAE/v/bk=")</f>
        <v>#VALUE!</v>
      </c>
      <c r="GE23" t="e">
        <f>AND(Plan1!M388,"AAAAAE/v/bo=")</f>
        <v>#VALUE!</v>
      </c>
      <c r="GF23" t="e">
        <f>AND(Plan1!N388,"AAAAAE/v/bs=")</f>
        <v>#VALUE!</v>
      </c>
      <c r="GG23">
        <f>IF(Plan1!389:389,"AAAAAE/v/bw=",0)</f>
        <v>0</v>
      </c>
      <c r="GH23" t="e">
        <f>AND(Plan1!A389,"AAAAAE/v/b0=")</f>
        <v>#VALUE!</v>
      </c>
      <c r="GI23" t="e">
        <f>AND(Plan1!B389,"AAAAAE/v/b4=")</f>
        <v>#VALUE!</v>
      </c>
      <c r="GJ23" t="e">
        <f>AND(Plan1!C389,"AAAAAE/v/b8=")</f>
        <v>#VALUE!</v>
      </c>
      <c r="GK23" t="e">
        <f>AND(Plan1!D389,"AAAAAE/v/cA=")</f>
        <v>#VALUE!</v>
      </c>
      <c r="GL23" t="e">
        <f>AND(Plan1!E389,"AAAAAE/v/cE=")</f>
        <v>#VALUE!</v>
      </c>
      <c r="GM23" t="e">
        <f>AND(Plan1!F389,"AAAAAE/v/cI=")</f>
        <v>#VALUE!</v>
      </c>
      <c r="GN23" t="e">
        <f>AND(Plan1!G389,"AAAAAE/v/cM=")</f>
        <v>#VALUE!</v>
      </c>
      <c r="GO23" t="e">
        <f>AND(Plan1!H389,"AAAAAE/v/cQ=")</f>
        <v>#VALUE!</v>
      </c>
      <c r="GP23" t="e">
        <f>AND(Plan1!I389,"AAAAAE/v/cU=")</f>
        <v>#VALUE!</v>
      </c>
      <c r="GQ23" t="e">
        <f>AND(Plan1!J389,"AAAAAE/v/cY=")</f>
        <v>#VALUE!</v>
      </c>
      <c r="GR23" t="e">
        <f>AND(Plan1!K389,"AAAAAE/v/cc=")</f>
        <v>#VALUE!</v>
      </c>
      <c r="GS23" t="e">
        <f>AND(Plan1!L389,"AAAAAE/v/cg=")</f>
        <v>#VALUE!</v>
      </c>
      <c r="GT23" t="e">
        <f>AND(Plan1!M389,"AAAAAE/v/ck=")</f>
        <v>#VALUE!</v>
      </c>
      <c r="GU23" t="e">
        <f>AND(Plan1!N389,"AAAAAE/v/co=")</f>
        <v>#VALUE!</v>
      </c>
      <c r="GV23">
        <f>IF(Plan1!390:390,"AAAAAE/v/cs=",0)</f>
        <v>0</v>
      </c>
      <c r="GW23" t="e">
        <f>AND(Plan1!A390,"AAAAAE/v/cw=")</f>
        <v>#VALUE!</v>
      </c>
      <c r="GX23" t="e">
        <f>AND(Plan1!B390,"AAAAAE/v/c0=")</f>
        <v>#VALUE!</v>
      </c>
      <c r="GY23" t="e">
        <f>AND(Plan1!C390,"AAAAAE/v/c4=")</f>
        <v>#VALUE!</v>
      </c>
      <c r="GZ23" t="e">
        <f>AND(Plan1!D390,"AAAAAE/v/c8=")</f>
        <v>#VALUE!</v>
      </c>
      <c r="HA23" t="e">
        <f>AND(Plan1!E390,"AAAAAE/v/dA=")</f>
        <v>#VALUE!</v>
      </c>
      <c r="HB23" t="e">
        <f>AND(Plan1!F390,"AAAAAE/v/dE=")</f>
        <v>#VALUE!</v>
      </c>
      <c r="HC23" t="e">
        <f>AND(Plan1!G390,"AAAAAE/v/dI=")</f>
        <v>#VALUE!</v>
      </c>
      <c r="HD23" t="e">
        <f>AND(Plan1!H390,"AAAAAE/v/dM=")</f>
        <v>#VALUE!</v>
      </c>
      <c r="HE23" t="e">
        <f>AND(Plan1!I390,"AAAAAE/v/dQ=")</f>
        <v>#VALUE!</v>
      </c>
      <c r="HF23" t="e">
        <f>AND(Plan1!J390,"AAAAAE/v/dU=")</f>
        <v>#VALUE!</v>
      </c>
      <c r="HG23" t="e">
        <f>AND(Plan1!K390,"AAAAAE/v/dY=")</f>
        <v>#VALUE!</v>
      </c>
      <c r="HH23" t="e">
        <f>AND(Plan1!L390,"AAAAAE/v/dc=")</f>
        <v>#VALUE!</v>
      </c>
      <c r="HI23" t="e">
        <f>AND(Plan1!M390,"AAAAAE/v/dg=")</f>
        <v>#VALUE!</v>
      </c>
      <c r="HJ23" t="e">
        <f>AND(Plan1!N390,"AAAAAE/v/dk=")</f>
        <v>#VALUE!</v>
      </c>
      <c r="HK23">
        <f>IF(Plan1!391:391,"AAAAAE/v/do=",0)</f>
        <v>0</v>
      </c>
      <c r="HL23" t="e">
        <f>AND(Plan1!A391,"AAAAAE/v/ds=")</f>
        <v>#VALUE!</v>
      </c>
      <c r="HM23" t="e">
        <f>AND(Plan1!B391,"AAAAAE/v/dw=")</f>
        <v>#VALUE!</v>
      </c>
      <c r="HN23" t="e">
        <f>AND(Plan1!C391,"AAAAAE/v/d0=")</f>
        <v>#VALUE!</v>
      </c>
      <c r="HO23" t="e">
        <f>AND(Plan1!D391,"AAAAAE/v/d4=")</f>
        <v>#VALUE!</v>
      </c>
      <c r="HP23" t="e">
        <f>AND(Plan1!E391,"AAAAAE/v/d8=")</f>
        <v>#VALUE!</v>
      </c>
      <c r="HQ23" t="e">
        <f>AND(Plan1!F391,"AAAAAE/v/eA=")</f>
        <v>#VALUE!</v>
      </c>
      <c r="HR23" t="e">
        <f>AND(Plan1!G391,"AAAAAE/v/eE=")</f>
        <v>#VALUE!</v>
      </c>
      <c r="HS23" t="e">
        <f>AND(Plan1!H391,"AAAAAE/v/eI=")</f>
        <v>#VALUE!</v>
      </c>
      <c r="HT23" t="e">
        <f>AND(Plan1!I391,"AAAAAE/v/eM=")</f>
        <v>#VALUE!</v>
      </c>
      <c r="HU23" t="e">
        <f>AND(Plan1!J391,"AAAAAE/v/eQ=")</f>
        <v>#VALUE!</v>
      </c>
      <c r="HV23" t="e">
        <f>AND(Plan1!K391,"AAAAAE/v/eU=")</f>
        <v>#VALUE!</v>
      </c>
      <c r="HW23" t="e">
        <f>AND(Plan1!L391,"AAAAAE/v/eY=")</f>
        <v>#VALUE!</v>
      </c>
      <c r="HX23" t="e">
        <f>AND(Plan1!M391,"AAAAAE/v/ec=")</f>
        <v>#VALUE!</v>
      </c>
      <c r="HY23" t="e">
        <f>AND(Plan1!N391,"AAAAAE/v/eg=")</f>
        <v>#VALUE!</v>
      </c>
      <c r="HZ23">
        <f>IF(Plan1!392:392,"AAAAAE/v/ek=",0)</f>
        <v>0</v>
      </c>
      <c r="IA23" t="e">
        <f>AND(Plan1!A392,"AAAAAE/v/eo=")</f>
        <v>#VALUE!</v>
      </c>
      <c r="IB23" t="e">
        <f>AND(Plan1!B392,"AAAAAE/v/es=")</f>
        <v>#VALUE!</v>
      </c>
      <c r="IC23" t="e">
        <f>AND(Plan1!C392,"AAAAAE/v/ew=")</f>
        <v>#VALUE!</v>
      </c>
      <c r="ID23" t="e">
        <f>AND(Plan1!D392,"AAAAAE/v/e0=")</f>
        <v>#VALUE!</v>
      </c>
      <c r="IE23" t="e">
        <f>AND(Plan1!E392,"AAAAAE/v/e4=")</f>
        <v>#VALUE!</v>
      </c>
      <c r="IF23" t="e">
        <f>AND(Plan1!F392,"AAAAAE/v/e8=")</f>
        <v>#VALUE!</v>
      </c>
      <c r="IG23" t="e">
        <f>AND(Plan1!G392,"AAAAAE/v/fA=")</f>
        <v>#VALUE!</v>
      </c>
      <c r="IH23" t="e">
        <f>AND(Plan1!H392,"AAAAAE/v/fE=")</f>
        <v>#VALUE!</v>
      </c>
      <c r="II23" t="e">
        <f>AND(Plan1!I392,"AAAAAE/v/fI=")</f>
        <v>#VALUE!</v>
      </c>
      <c r="IJ23" t="e">
        <f>AND(Plan1!J392,"AAAAAE/v/fM=")</f>
        <v>#VALUE!</v>
      </c>
      <c r="IK23" t="e">
        <f>AND(Plan1!K392,"AAAAAE/v/fQ=")</f>
        <v>#VALUE!</v>
      </c>
      <c r="IL23" t="e">
        <f>AND(Plan1!L392,"AAAAAE/v/fU=")</f>
        <v>#VALUE!</v>
      </c>
      <c r="IM23" t="e">
        <f>AND(Plan1!M392,"AAAAAE/v/fY=")</f>
        <v>#VALUE!</v>
      </c>
      <c r="IN23" t="e">
        <f>AND(Plan1!N392,"AAAAAE/v/fc=")</f>
        <v>#VALUE!</v>
      </c>
      <c r="IO23">
        <f>IF(Plan1!393:393,"AAAAAE/v/fg=",0)</f>
        <v>0</v>
      </c>
      <c r="IP23" t="e">
        <f>AND(Plan1!A393,"AAAAAE/v/fk=")</f>
        <v>#VALUE!</v>
      </c>
      <c r="IQ23" t="e">
        <f>AND(Plan1!B393,"AAAAAE/v/fo=")</f>
        <v>#VALUE!</v>
      </c>
      <c r="IR23" t="e">
        <f>AND(Plan1!C393,"AAAAAE/v/fs=")</f>
        <v>#VALUE!</v>
      </c>
      <c r="IS23" t="e">
        <f>AND(Plan1!D393,"AAAAAE/v/fw=")</f>
        <v>#VALUE!</v>
      </c>
      <c r="IT23" t="e">
        <f>AND(Plan1!E393,"AAAAAE/v/f0=")</f>
        <v>#VALUE!</v>
      </c>
      <c r="IU23" t="e">
        <f>AND(Plan1!F393,"AAAAAE/v/f4=")</f>
        <v>#VALUE!</v>
      </c>
      <c r="IV23" t="e">
        <f>AND(Plan1!G393,"AAAAAE/v/f8=")</f>
        <v>#VALUE!</v>
      </c>
    </row>
    <row r="24" spans="1:256">
      <c r="A24" t="e">
        <f>AND(Plan1!H393,"AAAAAH/z/QA=")</f>
        <v>#VALUE!</v>
      </c>
      <c r="B24" t="e">
        <f>AND(Plan1!I393,"AAAAAH/z/QE=")</f>
        <v>#VALUE!</v>
      </c>
      <c r="C24" t="e">
        <f>AND(Plan1!J393,"AAAAAH/z/QI=")</f>
        <v>#VALUE!</v>
      </c>
      <c r="D24" t="e">
        <f>AND(Plan1!K393,"AAAAAH/z/QM=")</f>
        <v>#VALUE!</v>
      </c>
      <c r="E24" t="e">
        <f>AND(Plan1!L393,"AAAAAH/z/QQ=")</f>
        <v>#VALUE!</v>
      </c>
      <c r="F24" t="e">
        <f>AND(Plan1!M393,"AAAAAH/z/QU=")</f>
        <v>#VALUE!</v>
      </c>
      <c r="G24" t="e">
        <f>AND(Plan1!N393,"AAAAAH/z/QY=")</f>
        <v>#VALUE!</v>
      </c>
      <c r="H24" t="str">
        <f>IF(Plan1!394:394,"AAAAAH/z/Qc=",0)</f>
        <v>AAAAAH/z/Qc=</v>
      </c>
      <c r="I24" t="e">
        <f>AND(Plan1!A394,"AAAAAH/z/Qg=")</f>
        <v>#VALUE!</v>
      </c>
      <c r="J24" t="e">
        <f>AND(Plan1!B394,"AAAAAH/z/Qk=")</f>
        <v>#VALUE!</v>
      </c>
      <c r="K24" t="e">
        <f>AND(Plan1!C394,"AAAAAH/z/Qo=")</f>
        <v>#VALUE!</v>
      </c>
      <c r="L24" t="e">
        <f>AND(Plan1!D394,"AAAAAH/z/Qs=")</f>
        <v>#VALUE!</v>
      </c>
      <c r="M24" t="e">
        <f>AND(Plan1!E394,"AAAAAH/z/Qw=")</f>
        <v>#VALUE!</v>
      </c>
      <c r="N24" t="e">
        <f>AND(Plan1!F394,"AAAAAH/z/Q0=")</f>
        <v>#VALUE!</v>
      </c>
      <c r="O24" t="e">
        <f>AND(Plan1!G394,"AAAAAH/z/Q4=")</f>
        <v>#VALUE!</v>
      </c>
      <c r="P24" t="e">
        <f>AND(Plan1!H394,"AAAAAH/z/Q8=")</f>
        <v>#VALUE!</v>
      </c>
      <c r="Q24" t="e">
        <f>AND(Plan1!I394,"AAAAAH/z/RA=")</f>
        <v>#VALUE!</v>
      </c>
      <c r="R24" t="e">
        <f>AND(Plan1!J394,"AAAAAH/z/RE=")</f>
        <v>#VALUE!</v>
      </c>
      <c r="S24" t="e">
        <f>AND(Plan1!K394,"AAAAAH/z/RI=")</f>
        <v>#VALUE!</v>
      </c>
      <c r="T24" t="e">
        <f>AND(Plan1!L394,"AAAAAH/z/RM=")</f>
        <v>#VALUE!</v>
      </c>
      <c r="U24" t="e">
        <f>AND(Plan1!M394,"AAAAAH/z/RQ=")</f>
        <v>#VALUE!</v>
      </c>
      <c r="V24" t="e">
        <f>AND(Plan1!N394,"AAAAAH/z/RU=")</f>
        <v>#VALUE!</v>
      </c>
      <c r="W24">
        <f>IF(Plan1!395:395,"AAAAAH/z/RY=",0)</f>
        <v>0</v>
      </c>
      <c r="X24" t="e">
        <f>AND(Plan1!A395,"AAAAAH/z/Rc=")</f>
        <v>#VALUE!</v>
      </c>
      <c r="Y24" t="e">
        <f>AND(Plan1!B395,"AAAAAH/z/Rg=")</f>
        <v>#VALUE!</v>
      </c>
      <c r="Z24" t="e">
        <f>AND(Plan1!C395,"AAAAAH/z/Rk=")</f>
        <v>#VALUE!</v>
      </c>
      <c r="AA24" t="e">
        <f>AND(Plan1!D395,"AAAAAH/z/Ro=")</f>
        <v>#VALUE!</v>
      </c>
      <c r="AB24" t="e">
        <f>AND(Plan1!E395,"AAAAAH/z/Rs=")</f>
        <v>#VALUE!</v>
      </c>
      <c r="AC24" t="e">
        <f>AND(Plan1!F395,"AAAAAH/z/Rw=")</f>
        <v>#VALUE!</v>
      </c>
      <c r="AD24" t="e">
        <f>AND(Plan1!G395,"AAAAAH/z/R0=")</f>
        <v>#VALUE!</v>
      </c>
      <c r="AE24" t="e">
        <f>AND(Plan1!H395,"AAAAAH/z/R4=")</f>
        <v>#VALUE!</v>
      </c>
      <c r="AF24" t="e">
        <f>AND(Plan1!I395,"AAAAAH/z/R8=")</f>
        <v>#VALUE!</v>
      </c>
      <c r="AG24" t="e">
        <f>AND(Plan1!J395,"AAAAAH/z/SA=")</f>
        <v>#VALUE!</v>
      </c>
      <c r="AH24" t="e">
        <f>AND(Plan1!K395,"AAAAAH/z/SE=")</f>
        <v>#VALUE!</v>
      </c>
      <c r="AI24" t="e">
        <f>AND(Plan1!L395,"AAAAAH/z/SI=")</f>
        <v>#VALUE!</v>
      </c>
      <c r="AJ24" t="e">
        <f>AND(Plan1!M395,"AAAAAH/z/SM=")</f>
        <v>#VALUE!</v>
      </c>
      <c r="AK24" t="e">
        <f>AND(Plan1!N395,"AAAAAH/z/SQ=")</f>
        <v>#VALUE!</v>
      </c>
      <c r="AL24">
        <f>IF(Plan1!396:396,"AAAAAH/z/SU=",0)</f>
        <v>0</v>
      </c>
      <c r="AM24" t="e">
        <f>AND(Plan1!A396,"AAAAAH/z/SY=")</f>
        <v>#VALUE!</v>
      </c>
      <c r="AN24" t="e">
        <f>AND(Plan1!B396,"AAAAAH/z/Sc=")</f>
        <v>#VALUE!</v>
      </c>
      <c r="AO24" t="e">
        <f>AND(Plan1!C396,"AAAAAH/z/Sg=")</f>
        <v>#VALUE!</v>
      </c>
      <c r="AP24" t="e">
        <f>AND(Plan1!D396,"AAAAAH/z/Sk=")</f>
        <v>#VALUE!</v>
      </c>
      <c r="AQ24" t="e">
        <f>AND(Plan1!E396,"AAAAAH/z/So=")</f>
        <v>#VALUE!</v>
      </c>
      <c r="AR24" t="e">
        <f>AND(Plan1!F396,"AAAAAH/z/Ss=")</f>
        <v>#VALUE!</v>
      </c>
      <c r="AS24" t="e">
        <f>AND(Plan1!G396,"AAAAAH/z/Sw=")</f>
        <v>#VALUE!</v>
      </c>
      <c r="AT24" t="e">
        <f>AND(Plan1!H396,"AAAAAH/z/S0=")</f>
        <v>#VALUE!</v>
      </c>
      <c r="AU24" t="e">
        <f>AND(Plan1!I396,"AAAAAH/z/S4=")</f>
        <v>#VALUE!</v>
      </c>
      <c r="AV24" t="e">
        <f>AND(Plan1!J396,"AAAAAH/z/S8=")</f>
        <v>#VALUE!</v>
      </c>
      <c r="AW24" t="e">
        <f>AND(Plan1!K396,"AAAAAH/z/TA=")</f>
        <v>#VALUE!</v>
      </c>
      <c r="AX24" t="e">
        <f>AND(Plan1!L396,"AAAAAH/z/TE=")</f>
        <v>#VALUE!</v>
      </c>
      <c r="AY24" t="e">
        <f>AND(Plan1!M396,"AAAAAH/z/TI=")</f>
        <v>#VALUE!</v>
      </c>
      <c r="AZ24" t="e">
        <f>AND(Plan1!N396,"AAAAAH/z/TM=")</f>
        <v>#VALUE!</v>
      </c>
      <c r="BA24">
        <f>IF(Plan1!397:397,"AAAAAH/z/TQ=",0)</f>
        <v>0</v>
      </c>
      <c r="BB24" t="e">
        <f>AND(Plan1!A397,"AAAAAH/z/TU=")</f>
        <v>#VALUE!</v>
      </c>
      <c r="BC24" t="e">
        <f>AND(Plan1!B397,"AAAAAH/z/TY=")</f>
        <v>#VALUE!</v>
      </c>
      <c r="BD24" t="e">
        <f>AND(Plan1!C397,"AAAAAH/z/Tc=")</f>
        <v>#VALUE!</v>
      </c>
      <c r="BE24" t="e">
        <f>AND(Plan1!D397,"AAAAAH/z/Tg=")</f>
        <v>#VALUE!</v>
      </c>
      <c r="BF24" t="e">
        <f>AND(Plan1!E397,"AAAAAH/z/Tk=")</f>
        <v>#VALUE!</v>
      </c>
      <c r="BG24" t="e">
        <f>AND(Plan1!F397,"AAAAAH/z/To=")</f>
        <v>#VALUE!</v>
      </c>
      <c r="BH24" t="e">
        <f>AND(Plan1!G397,"AAAAAH/z/Ts=")</f>
        <v>#VALUE!</v>
      </c>
      <c r="BI24" t="e">
        <f>AND(Plan1!H397,"AAAAAH/z/Tw=")</f>
        <v>#VALUE!</v>
      </c>
      <c r="BJ24" t="e">
        <f>AND(Plan1!I397,"AAAAAH/z/T0=")</f>
        <v>#VALUE!</v>
      </c>
      <c r="BK24" t="e">
        <f>AND(Plan1!J397,"AAAAAH/z/T4=")</f>
        <v>#VALUE!</v>
      </c>
      <c r="BL24" t="e">
        <f>AND(Plan1!K397,"AAAAAH/z/T8=")</f>
        <v>#VALUE!</v>
      </c>
      <c r="BM24" t="e">
        <f>AND(Plan1!L397,"AAAAAH/z/UA=")</f>
        <v>#VALUE!</v>
      </c>
      <c r="BN24" t="e">
        <f>AND(Plan1!M397,"AAAAAH/z/UE=")</f>
        <v>#VALUE!</v>
      </c>
      <c r="BO24" t="e">
        <f>AND(Plan1!N397,"AAAAAH/z/UI=")</f>
        <v>#VALUE!</v>
      </c>
      <c r="BP24">
        <f>IF(Plan1!398:398,"AAAAAH/z/UM=",0)</f>
        <v>0</v>
      </c>
      <c r="BQ24" t="e">
        <f>AND(Plan1!A398,"AAAAAH/z/UQ=")</f>
        <v>#VALUE!</v>
      </c>
      <c r="BR24" t="e">
        <f>AND(Plan1!B398,"AAAAAH/z/UU=")</f>
        <v>#VALUE!</v>
      </c>
      <c r="BS24" t="e">
        <f>AND(Plan1!C398,"AAAAAH/z/UY=")</f>
        <v>#VALUE!</v>
      </c>
      <c r="BT24" t="e">
        <f>AND(Plan1!D398,"AAAAAH/z/Uc=")</f>
        <v>#VALUE!</v>
      </c>
      <c r="BU24" t="e">
        <f>AND(Plan1!E398,"AAAAAH/z/Ug=")</f>
        <v>#VALUE!</v>
      </c>
      <c r="BV24" t="e">
        <f>AND(Plan1!F398,"AAAAAH/z/Uk=")</f>
        <v>#VALUE!</v>
      </c>
      <c r="BW24" t="e">
        <f>AND(Plan1!G398,"AAAAAH/z/Uo=")</f>
        <v>#VALUE!</v>
      </c>
      <c r="BX24" t="e">
        <f>AND(Plan1!H398,"AAAAAH/z/Us=")</f>
        <v>#VALUE!</v>
      </c>
      <c r="BY24" t="e">
        <f>AND(Plan1!I398,"AAAAAH/z/Uw=")</f>
        <v>#VALUE!</v>
      </c>
      <c r="BZ24" t="e">
        <f>AND(Plan1!J398,"AAAAAH/z/U0=")</f>
        <v>#VALUE!</v>
      </c>
      <c r="CA24" t="e">
        <f>AND(Plan1!K398,"AAAAAH/z/U4=")</f>
        <v>#VALUE!</v>
      </c>
      <c r="CB24" t="e">
        <f>AND(Plan1!L398,"AAAAAH/z/U8=")</f>
        <v>#VALUE!</v>
      </c>
      <c r="CC24" t="e">
        <f>AND(Plan1!M398,"AAAAAH/z/VA=")</f>
        <v>#VALUE!</v>
      </c>
      <c r="CD24" t="e">
        <f>AND(Plan1!N398,"AAAAAH/z/VE=")</f>
        <v>#VALUE!</v>
      </c>
      <c r="CE24">
        <f>IF(Plan1!399:399,"AAAAAH/z/VI=",0)</f>
        <v>0</v>
      </c>
      <c r="CF24" t="e">
        <f>AND(Plan1!A399,"AAAAAH/z/VM=")</f>
        <v>#VALUE!</v>
      </c>
      <c r="CG24" t="e">
        <f>AND(Plan1!B399,"AAAAAH/z/VQ=")</f>
        <v>#VALUE!</v>
      </c>
      <c r="CH24" t="e">
        <f>AND(Plan1!C399,"AAAAAH/z/VU=")</f>
        <v>#VALUE!</v>
      </c>
      <c r="CI24" t="e">
        <f>AND(Plan1!D399,"AAAAAH/z/VY=")</f>
        <v>#VALUE!</v>
      </c>
      <c r="CJ24" t="e">
        <f>AND(Plan1!E399,"AAAAAH/z/Vc=")</f>
        <v>#VALUE!</v>
      </c>
      <c r="CK24" t="e">
        <f>AND(Plan1!F399,"AAAAAH/z/Vg=")</f>
        <v>#VALUE!</v>
      </c>
      <c r="CL24" t="e">
        <f>AND(Plan1!G399,"AAAAAH/z/Vk=")</f>
        <v>#VALUE!</v>
      </c>
      <c r="CM24" t="e">
        <f>AND(Plan1!H399,"AAAAAH/z/Vo=")</f>
        <v>#VALUE!</v>
      </c>
      <c r="CN24" t="e">
        <f>AND(Plan1!I399,"AAAAAH/z/Vs=")</f>
        <v>#VALUE!</v>
      </c>
      <c r="CO24" t="e">
        <f>AND(Plan1!J399,"AAAAAH/z/Vw=")</f>
        <v>#VALUE!</v>
      </c>
      <c r="CP24" t="e">
        <f>AND(Plan1!K399,"AAAAAH/z/V0=")</f>
        <v>#VALUE!</v>
      </c>
      <c r="CQ24" t="e">
        <f>AND(Plan1!L399,"AAAAAH/z/V4=")</f>
        <v>#VALUE!</v>
      </c>
      <c r="CR24" t="e">
        <f>AND(Plan1!M399,"AAAAAH/z/V8=")</f>
        <v>#VALUE!</v>
      </c>
      <c r="CS24" t="e">
        <f>AND(Plan1!N399,"AAAAAH/z/WA=")</f>
        <v>#VALUE!</v>
      </c>
      <c r="CT24">
        <f>IF(Plan1!400:400,"AAAAAH/z/WE=",0)</f>
        <v>0</v>
      </c>
      <c r="CU24" t="e">
        <f>AND(Plan1!A400,"AAAAAH/z/WI=")</f>
        <v>#VALUE!</v>
      </c>
      <c r="CV24" t="e">
        <f>AND(Plan1!B400,"AAAAAH/z/WM=")</f>
        <v>#VALUE!</v>
      </c>
      <c r="CW24" t="e">
        <f>AND(Plan1!C400,"AAAAAH/z/WQ=")</f>
        <v>#VALUE!</v>
      </c>
      <c r="CX24" t="e">
        <f>AND(Plan1!D400,"AAAAAH/z/WU=")</f>
        <v>#VALUE!</v>
      </c>
      <c r="CY24" t="e">
        <f>AND(Plan1!E400,"AAAAAH/z/WY=")</f>
        <v>#VALUE!</v>
      </c>
      <c r="CZ24" t="e">
        <f>AND(Plan1!F400,"AAAAAH/z/Wc=")</f>
        <v>#VALUE!</v>
      </c>
      <c r="DA24" t="e">
        <f>AND(Plan1!G400,"AAAAAH/z/Wg=")</f>
        <v>#VALUE!</v>
      </c>
      <c r="DB24" t="e">
        <f>AND(Plan1!H400,"AAAAAH/z/Wk=")</f>
        <v>#VALUE!</v>
      </c>
      <c r="DC24" t="e">
        <f>AND(Plan1!I400,"AAAAAH/z/Wo=")</f>
        <v>#VALUE!</v>
      </c>
      <c r="DD24" t="e">
        <f>AND(Plan1!J400,"AAAAAH/z/Ws=")</f>
        <v>#VALUE!</v>
      </c>
      <c r="DE24" t="e">
        <f>AND(Plan1!K400,"AAAAAH/z/Ww=")</f>
        <v>#VALUE!</v>
      </c>
      <c r="DF24" t="e">
        <f>AND(Plan1!L400,"AAAAAH/z/W0=")</f>
        <v>#VALUE!</v>
      </c>
      <c r="DG24" t="e">
        <f>AND(Plan1!M400,"AAAAAH/z/W4=")</f>
        <v>#VALUE!</v>
      </c>
      <c r="DH24" t="e">
        <f>AND(Plan1!N400,"AAAAAH/z/W8=")</f>
        <v>#VALUE!</v>
      </c>
      <c r="DI24">
        <f>IF(Plan1!401:401,"AAAAAH/z/XA=",0)</f>
        <v>0</v>
      </c>
      <c r="DJ24" t="e">
        <f>AND(Plan1!A401,"AAAAAH/z/XE=")</f>
        <v>#VALUE!</v>
      </c>
      <c r="DK24" t="e">
        <f>AND(Plan1!B401,"AAAAAH/z/XI=")</f>
        <v>#VALUE!</v>
      </c>
      <c r="DL24" t="e">
        <f>AND(Plan1!C401,"AAAAAH/z/XM=")</f>
        <v>#VALUE!</v>
      </c>
      <c r="DM24" t="e">
        <f>AND(Plan1!D401,"AAAAAH/z/XQ=")</f>
        <v>#VALUE!</v>
      </c>
      <c r="DN24" t="e">
        <f>AND(Plan1!E401,"AAAAAH/z/XU=")</f>
        <v>#VALUE!</v>
      </c>
      <c r="DO24" t="e">
        <f>AND(Plan1!F401,"AAAAAH/z/XY=")</f>
        <v>#VALUE!</v>
      </c>
      <c r="DP24" t="e">
        <f>AND(Plan1!G401,"AAAAAH/z/Xc=")</f>
        <v>#VALUE!</v>
      </c>
      <c r="DQ24" t="e">
        <f>AND(Plan1!H401,"AAAAAH/z/Xg=")</f>
        <v>#VALUE!</v>
      </c>
      <c r="DR24" t="e">
        <f>AND(Plan1!I401,"AAAAAH/z/Xk=")</f>
        <v>#VALUE!</v>
      </c>
      <c r="DS24" t="e">
        <f>AND(Plan1!J401,"AAAAAH/z/Xo=")</f>
        <v>#VALUE!</v>
      </c>
      <c r="DT24" t="e">
        <f>AND(Plan1!K401,"AAAAAH/z/Xs=")</f>
        <v>#VALUE!</v>
      </c>
      <c r="DU24" t="e">
        <f>AND(Plan1!L401,"AAAAAH/z/Xw=")</f>
        <v>#VALUE!</v>
      </c>
      <c r="DV24" t="e">
        <f>AND(Plan1!M401,"AAAAAH/z/X0=")</f>
        <v>#VALUE!</v>
      </c>
      <c r="DW24" t="e">
        <f>AND(Plan1!N401,"AAAAAH/z/X4=")</f>
        <v>#VALUE!</v>
      </c>
      <c r="DX24">
        <f>IF(Plan1!402:402,"AAAAAH/z/X8=",0)</f>
        <v>0</v>
      </c>
      <c r="DY24" t="e">
        <f>AND(Plan1!A402,"AAAAAH/z/YA=")</f>
        <v>#VALUE!</v>
      </c>
      <c r="DZ24" t="e">
        <f>AND(Plan1!B402,"AAAAAH/z/YE=")</f>
        <v>#VALUE!</v>
      </c>
      <c r="EA24" t="e">
        <f>AND(Plan1!C402,"AAAAAH/z/YI=")</f>
        <v>#VALUE!</v>
      </c>
      <c r="EB24" t="e">
        <f>AND(Plan1!D402,"AAAAAH/z/YM=")</f>
        <v>#VALUE!</v>
      </c>
      <c r="EC24" t="e">
        <f>AND(Plan1!E402,"AAAAAH/z/YQ=")</f>
        <v>#VALUE!</v>
      </c>
      <c r="ED24" t="e">
        <f>AND(Plan1!F402,"AAAAAH/z/YU=")</f>
        <v>#VALUE!</v>
      </c>
      <c r="EE24" t="e">
        <f>AND(Plan1!G402,"AAAAAH/z/YY=")</f>
        <v>#VALUE!</v>
      </c>
      <c r="EF24" t="e">
        <f>AND(Plan1!H402,"AAAAAH/z/Yc=")</f>
        <v>#VALUE!</v>
      </c>
      <c r="EG24" t="e">
        <f>AND(Plan1!I402,"AAAAAH/z/Yg=")</f>
        <v>#VALUE!</v>
      </c>
      <c r="EH24" t="e">
        <f>AND(Plan1!J402,"AAAAAH/z/Yk=")</f>
        <v>#VALUE!</v>
      </c>
      <c r="EI24" t="e">
        <f>AND(Plan1!K402,"AAAAAH/z/Yo=")</f>
        <v>#VALUE!</v>
      </c>
      <c r="EJ24" t="e">
        <f>AND(Plan1!L402,"AAAAAH/z/Ys=")</f>
        <v>#VALUE!</v>
      </c>
      <c r="EK24" t="e">
        <f>AND(Plan1!M402,"AAAAAH/z/Yw=")</f>
        <v>#VALUE!</v>
      </c>
      <c r="EL24" t="e">
        <f>AND(Plan1!N402,"AAAAAH/z/Y0=")</f>
        <v>#VALUE!</v>
      </c>
      <c r="EM24">
        <f>IF(Plan1!403:403,"AAAAAH/z/Y4=",0)</f>
        <v>0</v>
      </c>
      <c r="EN24" t="e">
        <f>AND(Plan1!A403,"AAAAAH/z/Y8=")</f>
        <v>#VALUE!</v>
      </c>
      <c r="EO24" t="e">
        <f>AND(Plan1!B403,"AAAAAH/z/ZA=")</f>
        <v>#VALUE!</v>
      </c>
      <c r="EP24" t="e">
        <f>AND(Plan1!C403,"AAAAAH/z/ZE=")</f>
        <v>#VALUE!</v>
      </c>
      <c r="EQ24" t="e">
        <f>AND(Plan1!D403,"AAAAAH/z/ZI=")</f>
        <v>#VALUE!</v>
      </c>
      <c r="ER24" t="e">
        <f>AND(Plan1!E403,"AAAAAH/z/ZM=")</f>
        <v>#VALUE!</v>
      </c>
      <c r="ES24" t="e">
        <f>AND(Plan1!F403,"AAAAAH/z/ZQ=")</f>
        <v>#VALUE!</v>
      </c>
      <c r="ET24" t="e">
        <f>AND(Plan1!G403,"AAAAAH/z/ZU=")</f>
        <v>#VALUE!</v>
      </c>
      <c r="EU24" t="e">
        <f>AND(Plan1!H403,"AAAAAH/z/ZY=")</f>
        <v>#VALUE!</v>
      </c>
      <c r="EV24" t="e">
        <f>AND(Plan1!I403,"AAAAAH/z/Zc=")</f>
        <v>#VALUE!</v>
      </c>
      <c r="EW24" t="e">
        <f>AND(Plan1!J403,"AAAAAH/z/Zg=")</f>
        <v>#VALUE!</v>
      </c>
      <c r="EX24" t="e">
        <f>AND(Plan1!K403,"AAAAAH/z/Zk=")</f>
        <v>#VALUE!</v>
      </c>
      <c r="EY24" t="e">
        <f>AND(Plan1!L403,"AAAAAH/z/Zo=")</f>
        <v>#VALUE!</v>
      </c>
      <c r="EZ24" t="e">
        <f>AND(Plan1!M403,"AAAAAH/z/Zs=")</f>
        <v>#VALUE!</v>
      </c>
      <c r="FA24" t="e">
        <f>AND(Plan1!N403,"AAAAAH/z/Zw=")</f>
        <v>#VALUE!</v>
      </c>
      <c r="FB24">
        <f>IF(Plan1!404:404,"AAAAAH/z/Z0=",0)</f>
        <v>0</v>
      </c>
      <c r="FC24" t="e">
        <f>AND(Plan1!A404,"AAAAAH/z/Z4=")</f>
        <v>#VALUE!</v>
      </c>
      <c r="FD24" t="e">
        <f>AND(Plan1!B404,"AAAAAH/z/Z8=")</f>
        <v>#VALUE!</v>
      </c>
      <c r="FE24" t="e">
        <f>AND(Plan1!C404,"AAAAAH/z/aA=")</f>
        <v>#VALUE!</v>
      </c>
      <c r="FF24" t="e">
        <f>AND(Plan1!D404,"AAAAAH/z/aE=")</f>
        <v>#VALUE!</v>
      </c>
      <c r="FG24" t="e">
        <f>AND(Plan1!E404,"AAAAAH/z/aI=")</f>
        <v>#VALUE!</v>
      </c>
      <c r="FH24" t="e">
        <f>AND(Plan1!F404,"AAAAAH/z/aM=")</f>
        <v>#VALUE!</v>
      </c>
      <c r="FI24" t="e">
        <f>AND(Plan1!G404,"AAAAAH/z/aQ=")</f>
        <v>#VALUE!</v>
      </c>
      <c r="FJ24" t="e">
        <f>AND(Plan1!H404,"AAAAAH/z/aU=")</f>
        <v>#VALUE!</v>
      </c>
      <c r="FK24" t="e">
        <f>AND(Plan1!I404,"AAAAAH/z/aY=")</f>
        <v>#VALUE!</v>
      </c>
      <c r="FL24" t="e">
        <f>AND(Plan1!J404,"AAAAAH/z/ac=")</f>
        <v>#VALUE!</v>
      </c>
      <c r="FM24" t="e">
        <f>AND(Plan1!K404,"AAAAAH/z/ag=")</f>
        <v>#VALUE!</v>
      </c>
      <c r="FN24" t="e">
        <f>AND(Plan1!L404,"AAAAAH/z/ak=")</f>
        <v>#VALUE!</v>
      </c>
      <c r="FO24" t="e">
        <f>AND(Plan1!M404,"AAAAAH/z/ao=")</f>
        <v>#VALUE!</v>
      </c>
      <c r="FP24" t="e">
        <f>AND(Plan1!N404,"AAAAAH/z/as=")</f>
        <v>#VALUE!</v>
      </c>
      <c r="FQ24">
        <f>IF(Plan1!405:405,"AAAAAH/z/aw=",0)</f>
        <v>0</v>
      </c>
      <c r="FR24" t="e">
        <f>AND(Plan1!A405,"AAAAAH/z/a0=")</f>
        <v>#VALUE!</v>
      </c>
      <c r="FS24" t="e">
        <f>AND(Plan1!B405,"AAAAAH/z/a4=")</f>
        <v>#VALUE!</v>
      </c>
      <c r="FT24" t="e">
        <f>AND(Plan1!C405,"AAAAAH/z/a8=")</f>
        <v>#VALUE!</v>
      </c>
      <c r="FU24" t="e">
        <f>AND(Plan1!D405,"AAAAAH/z/bA=")</f>
        <v>#VALUE!</v>
      </c>
      <c r="FV24" t="e">
        <f>AND(Plan1!E405,"AAAAAH/z/bE=")</f>
        <v>#VALUE!</v>
      </c>
      <c r="FW24" t="e">
        <f>AND(Plan1!F405,"AAAAAH/z/bI=")</f>
        <v>#VALUE!</v>
      </c>
      <c r="FX24" t="e">
        <f>AND(Plan1!G405,"AAAAAH/z/bM=")</f>
        <v>#VALUE!</v>
      </c>
      <c r="FY24" t="e">
        <f>AND(Plan1!H405,"AAAAAH/z/bQ=")</f>
        <v>#VALUE!</v>
      </c>
      <c r="FZ24" t="e">
        <f>AND(Plan1!I405,"AAAAAH/z/bU=")</f>
        <v>#VALUE!</v>
      </c>
      <c r="GA24" t="e">
        <f>AND(Plan1!J405,"AAAAAH/z/bY=")</f>
        <v>#VALUE!</v>
      </c>
      <c r="GB24" t="e">
        <f>AND(Plan1!K405,"AAAAAH/z/bc=")</f>
        <v>#VALUE!</v>
      </c>
      <c r="GC24" t="e">
        <f>AND(Plan1!L405,"AAAAAH/z/bg=")</f>
        <v>#VALUE!</v>
      </c>
      <c r="GD24" t="e">
        <f>AND(Plan1!M405,"AAAAAH/z/bk=")</f>
        <v>#VALUE!</v>
      </c>
      <c r="GE24" t="e">
        <f>AND(Plan1!N405,"AAAAAH/z/bo=")</f>
        <v>#VALUE!</v>
      </c>
      <c r="GF24">
        <f>IF(Plan1!406:406,"AAAAAH/z/bs=",0)</f>
        <v>0</v>
      </c>
      <c r="GG24" t="e">
        <f>AND(Plan1!A406,"AAAAAH/z/bw=")</f>
        <v>#VALUE!</v>
      </c>
      <c r="GH24" t="e">
        <f>AND(Plan1!B406,"AAAAAH/z/b0=")</f>
        <v>#VALUE!</v>
      </c>
      <c r="GI24" t="e">
        <f>AND(Plan1!C406,"AAAAAH/z/b4=")</f>
        <v>#VALUE!</v>
      </c>
      <c r="GJ24" t="e">
        <f>AND(Plan1!D406,"AAAAAH/z/b8=")</f>
        <v>#VALUE!</v>
      </c>
      <c r="GK24" t="e">
        <f>AND(Plan1!E406,"AAAAAH/z/cA=")</f>
        <v>#VALUE!</v>
      </c>
      <c r="GL24" t="e">
        <f>AND(Plan1!F406,"AAAAAH/z/cE=")</f>
        <v>#VALUE!</v>
      </c>
      <c r="GM24" t="e">
        <f>AND(Plan1!G406,"AAAAAH/z/cI=")</f>
        <v>#VALUE!</v>
      </c>
      <c r="GN24" t="e">
        <f>AND(Plan1!H406,"AAAAAH/z/cM=")</f>
        <v>#VALUE!</v>
      </c>
      <c r="GO24" t="e">
        <f>AND(Plan1!I406,"AAAAAH/z/cQ=")</f>
        <v>#VALUE!</v>
      </c>
      <c r="GP24" t="e">
        <f>AND(Plan1!J406,"AAAAAH/z/cU=")</f>
        <v>#VALUE!</v>
      </c>
      <c r="GQ24" t="e">
        <f>AND(Plan1!K406,"AAAAAH/z/cY=")</f>
        <v>#VALUE!</v>
      </c>
      <c r="GR24" t="e">
        <f>AND(Plan1!L406,"AAAAAH/z/cc=")</f>
        <v>#VALUE!</v>
      </c>
      <c r="GS24" t="e">
        <f>AND(Plan1!M406,"AAAAAH/z/cg=")</f>
        <v>#VALUE!</v>
      </c>
      <c r="GT24" t="e">
        <f>AND(Plan1!N406,"AAAAAH/z/ck=")</f>
        <v>#VALUE!</v>
      </c>
      <c r="GU24">
        <f>IF(Plan1!407:407,"AAAAAH/z/co=",0)</f>
        <v>0</v>
      </c>
      <c r="GV24" t="e">
        <f>AND(Plan1!A407,"AAAAAH/z/cs=")</f>
        <v>#VALUE!</v>
      </c>
      <c r="GW24" t="e">
        <f>AND(Plan1!B407,"AAAAAH/z/cw=")</f>
        <v>#VALUE!</v>
      </c>
      <c r="GX24" t="e">
        <f>AND(Plan1!C407,"AAAAAH/z/c0=")</f>
        <v>#VALUE!</v>
      </c>
      <c r="GY24" t="e">
        <f>AND(Plan1!D407,"AAAAAH/z/c4=")</f>
        <v>#VALUE!</v>
      </c>
      <c r="GZ24" t="e">
        <f>AND(Plan1!E407,"AAAAAH/z/c8=")</f>
        <v>#VALUE!</v>
      </c>
      <c r="HA24" t="e">
        <f>AND(Plan1!F407,"AAAAAH/z/dA=")</f>
        <v>#VALUE!</v>
      </c>
      <c r="HB24" t="e">
        <f>AND(Plan1!G407,"AAAAAH/z/dE=")</f>
        <v>#VALUE!</v>
      </c>
      <c r="HC24" t="e">
        <f>AND(Plan1!H407,"AAAAAH/z/dI=")</f>
        <v>#VALUE!</v>
      </c>
      <c r="HD24" t="e">
        <f>AND(Plan1!I407,"AAAAAH/z/dM=")</f>
        <v>#VALUE!</v>
      </c>
      <c r="HE24" t="e">
        <f>AND(Plan1!J407,"AAAAAH/z/dQ=")</f>
        <v>#VALUE!</v>
      </c>
      <c r="HF24" t="e">
        <f>AND(Plan1!K407,"AAAAAH/z/dU=")</f>
        <v>#VALUE!</v>
      </c>
      <c r="HG24" t="e">
        <f>AND(Plan1!L407,"AAAAAH/z/dY=")</f>
        <v>#VALUE!</v>
      </c>
      <c r="HH24" t="e">
        <f>AND(Plan1!M407,"AAAAAH/z/dc=")</f>
        <v>#VALUE!</v>
      </c>
      <c r="HI24" t="e">
        <f>AND(Plan1!N407,"AAAAAH/z/dg=")</f>
        <v>#VALUE!</v>
      </c>
      <c r="HJ24">
        <f>IF(Plan1!408:408,"AAAAAH/z/dk=",0)</f>
        <v>0</v>
      </c>
      <c r="HK24" t="e">
        <f>AND(Plan1!A408,"AAAAAH/z/do=")</f>
        <v>#VALUE!</v>
      </c>
      <c r="HL24" t="e">
        <f>AND(Plan1!B408,"AAAAAH/z/ds=")</f>
        <v>#VALUE!</v>
      </c>
      <c r="HM24" t="e">
        <f>AND(Plan1!C408,"AAAAAH/z/dw=")</f>
        <v>#VALUE!</v>
      </c>
      <c r="HN24" t="e">
        <f>AND(Plan1!D408,"AAAAAH/z/d0=")</f>
        <v>#VALUE!</v>
      </c>
      <c r="HO24" t="e">
        <f>AND(Plan1!E408,"AAAAAH/z/d4=")</f>
        <v>#VALUE!</v>
      </c>
      <c r="HP24" t="e">
        <f>AND(Plan1!F408,"AAAAAH/z/d8=")</f>
        <v>#VALUE!</v>
      </c>
      <c r="HQ24" t="e">
        <f>AND(Plan1!G408,"AAAAAH/z/eA=")</f>
        <v>#VALUE!</v>
      </c>
      <c r="HR24" t="e">
        <f>AND(Plan1!H408,"AAAAAH/z/eE=")</f>
        <v>#VALUE!</v>
      </c>
      <c r="HS24" t="e">
        <f>AND(Plan1!I408,"AAAAAH/z/eI=")</f>
        <v>#VALUE!</v>
      </c>
      <c r="HT24" t="e">
        <f>AND(Plan1!J408,"AAAAAH/z/eM=")</f>
        <v>#VALUE!</v>
      </c>
      <c r="HU24" t="e">
        <f>AND(Plan1!K408,"AAAAAH/z/eQ=")</f>
        <v>#VALUE!</v>
      </c>
      <c r="HV24" t="e">
        <f>AND(Plan1!L408,"AAAAAH/z/eU=")</f>
        <v>#VALUE!</v>
      </c>
      <c r="HW24" t="e">
        <f>AND(Plan1!M408,"AAAAAH/z/eY=")</f>
        <v>#VALUE!</v>
      </c>
      <c r="HX24" t="e">
        <f>AND(Plan1!N408,"AAAAAH/z/ec=")</f>
        <v>#VALUE!</v>
      </c>
      <c r="HY24">
        <f>IF(Plan1!409:409,"AAAAAH/z/eg=",0)</f>
        <v>0</v>
      </c>
      <c r="HZ24" t="e">
        <f>AND(Plan1!A409,"AAAAAH/z/ek=")</f>
        <v>#VALUE!</v>
      </c>
      <c r="IA24" t="e">
        <f>AND(Plan1!B409,"AAAAAH/z/eo=")</f>
        <v>#VALUE!</v>
      </c>
      <c r="IB24" t="e">
        <f>AND(Plan1!C409,"AAAAAH/z/es=")</f>
        <v>#VALUE!</v>
      </c>
      <c r="IC24" t="e">
        <f>AND(Plan1!D409,"AAAAAH/z/ew=")</f>
        <v>#VALUE!</v>
      </c>
      <c r="ID24" t="e">
        <f>AND(Plan1!E409,"AAAAAH/z/e0=")</f>
        <v>#VALUE!</v>
      </c>
      <c r="IE24" t="e">
        <f>AND(Plan1!F409,"AAAAAH/z/e4=")</f>
        <v>#VALUE!</v>
      </c>
      <c r="IF24" t="e">
        <f>AND(Plan1!G409,"AAAAAH/z/e8=")</f>
        <v>#VALUE!</v>
      </c>
      <c r="IG24" t="e">
        <f>AND(Plan1!H409,"AAAAAH/z/fA=")</f>
        <v>#VALUE!</v>
      </c>
      <c r="IH24" t="e">
        <f>AND(Plan1!I409,"AAAAAH/z/fE=")</f>
        <v>#VALUE!</v>
      </c>
      <c r="II24" t="e">
        <f>AND(Plan1!J409,"AAAAAH/z/fI=")</f>
        <v>#VALUE!</v>
      </c>
      <c r="IJ24" t="e">
        <f>AND(Plan1!K409,"AAAAAH/z/fM=")</f>
        <v>#VALUE!</v>
      </c>
      <c r="IK24" t="e">
        <f>AND(Plan1!L409,"AAAAAH/z/fQ=")</f>
        <v>#VALUE!</v>
      </c>
      <c r="IL24" t="e">
        <f>AND(Plan1!M409,"AAAAAH/z/fU=")</f>
        <v>#VALUE!</v>
      </c>
      <c r="IM24" t="e">
        <f>AND(Plan1!N409,"AAAAAH/z/fY=")</f>
        <v>#VALUE!</v>
      </c>
      <c r="IN24">
        <f>IF(Plan1!410:410,"AAAAAH/z/fc=",0)</f>
        <v>0</v>
      </c>
      <c r="IO24" t="e">
        <f>AND(Plan1!A410,"AAAAAH/z/fg=")</f>
        <v>#VALUE!</v>
      </c>
      <c r="IP24" t="e">
        <f>AND(Plan1!B410,"AAAAAH/z/fk=")</f>
        <v>#VALUE!</v>
      </c>
      <c r="IQ24" t="e">
        <f>AND(Plan1!C410,"AAAAAH/z/fo=")</f>
        <v>#VALUE!</v>
      </c>
      <c r="IR24" t="e">
        <f>AND(Plan1!D410,"AAAAAH/z/fs=")</f>
        <v>#VALUE!</v>
      </c>
      <c r="IS24" t="e">
        <f>AND(Plan1!E410,"AAAAAH/z/fw=")</f>
        <v>#VALUE!</v>
      </c>
      <c r="IT24" t="e">
        <f>AND(Plan1!F410,"AAAAAH/z/f0=")</f>
        <v>#VALUE!</v>
      </c>
      <c r="IU24" t="e">
        <f>AND(Plan1!G410,"AAAAAH/z/f4=")</f>
        <v>#VALUE!</v>
      </c>
      <c r="IV24" t="e">
        <f>AND(Plan1!H410,"AAAAAH/z/f8=")</f>
        <v>#VALUE!</v>
      </c>
    </row>
    <row r="25" spans="1:256">
      <c r="A25" t="e">
        <f>AND(Plan1!I410,"AAAAAGvs9gA=")</f>
        <v>#VALUE!</v>
      </c>
      <c r="B25" t="e">
        <f>AND(Plan1!J410,"AAAAAGvs9gE=")</f>
        <v>#VALUE!</v>
      </c>
      <c r="C25" t="e">
        <f>AND(Plan1!K410,"AAAAAGvs9gI=")</f>
        <v>#VALUE!</v>
      </c>
      <c r="D25" t="e">
        <f>AND(Plan1!L410,"AAAAAGvs9gM=")</f>
        <v>#VALUE!</v>
      </c>
      <c r="E25" t="e">
        <f>AND(Plan1!M410,"AAAAAGvs9gQ=")</f>
        <v>#VALUE!</v>
      </c>
      <c r="F25" t="e">
        <f>AND(Plan1!N410,"AAAAAGvs9gU=")</f>
        <v>#VALUE!</v>
      </c>
      <c r="G25">
        <f>IF(Plan1!411:411,"AAAAAGvs9gY=",0)</f>
        <v>0</v>
      </c>
      <c r="H25" t="e">
        <f>AND(Plan1!A411,"AAAAAGvs9gc=")</f>
        <v>#VALUE!</v>
      </c>
      <c r="I25" t="e">
        <f>AND(Plan1!B411,"AAAAAGvs9gg=")</f>
        <v>#VALUE!</v>
      </c>
      <c r="J25" t="e">
        <f>AND(Plan1!C411,"AAAAAGvs9gk=")</f>
        <v>#VALUE!</v>
      </c>
      <c r="K25" t="e">
        <f>AND(Plan1!D411,"AAAAAGvs9go=")</f>
        <v>#VALUE!</v>
      </c>
      <c r="L25" t="e">
        <f>AND(Plan1!E411,"AAAAAGvs9gs=")</f>
        <v>#VALUE!</v>
      </c>
      <c r="M25" t="e">
        <f>AND(Plan1!F411,"AAAAAGvs9gw=")</f>
        <v>#VALUE!</v>
      </c>
      <c r="N25" t="e">
        <f>AND(Plan1!G411,"AAAAAGvs9g0=")</f>
        <v>#VALUE!</v>
      </c>
      <c r="O25" t="e">
        <f>AND(Plan1!H411,"AAAAAGvs9g4=")</f>
        <v>#VALUE!</v>
      </c>
      <c r="P25" t="e">
        <f>AND(Plan1!I411,"AAAAAGvs9g8=")</f>
        <v>#VALUE!</v>
      </c>
      <c r="Q25" t="e">
        <f>AND(Plan1!J411,"AAAAAGvs9hA=")</f>
        <v>#VALUE!</v>
      </c>
      <c r="R25" t="e">
        <f>AND(Plan1!K411,"AAAAAGvs9hE=")</f>
        <v>#VALUE!</v>
      </c>
      <c r="S25" t="e">
        <f>AND(Plan1!L411,"AAAAAGvs9hI=")</f>
        <v>#VALUE!</v>
      </c>
      <c r="T25" t="e">
        <f>AND(Plan1!M411,"AAAAAGvs9hM=")</f>
        <v>#VALUE!</v>
      </c>
      <c r="U25" t="e">
        <f>AND(Plan1!N411,"AAAAAGvs9hQ=")</f>
        <v>#VALUE!</v>
      </c>
      <c r="V25">
        <f>IF(Plan1!412:412,"AAAAAGvs9hU=",0)</f>
        <v>0</v>
      </c>
      <c r="W25" t="e">
        <f>AND(Plan1!A412,"AAAAAGvs9hY=")</f>
        <v>#VALUE!</v>
      </c>
      <c r="X25" t="e">
        <f>AND(Plan1!B412,"AAAAAGvs9hc=")</f>
        <v>#VALUE!</v>
      </c>
      <c r="Y25" t="e">
        <f>AND(Plan1!C412,"AAAAAGvs9hg=")</f>
        <v>#VALUE!</v>
      </c>
      <c r="Z25" t="e">
        <f>AND(Plan1!D412,"AAAAAGvs9hk=")</f>
        <v>#VALUE!</v>
      </c>
      <c r="AA25" t="e">
        <f>AND(Plan1!E412,"AAAAAGvs9ho=")</f>
        <v>#VALUE!</v>
      </c>
      <c r="AB25" t="e">
        <f>AND(Plan1!F412,"AAAAAGvs9hs=")</f>
        <v>#VALUE!</v>
      </c>
      <c r="AC25" t="e">
        <f>AND(Plan1!G412,"AAAAAGvs9hw=")</f>
        <v>#VALUE!</v>
      </c>
      <c r="AD25" t="e">
        <f>AND(Plan1!H412,"AAAAAGvs9h0=")</f>
        <v>#VALUE!</v>
      </c>
      <c r="AE25" t="e">
        <f>AND(Plan1!I412,"AAAAAGvs9h4=")</f>
        <v>#VALUE!</v>
      </c>
      <c r="AF25" t="e">
        <f>AND(Plan1!J412,"AAAAAGvs9h8=")</f>
        <v>#VALUE!</v>
      </c>
      <c r="AG25" t="e">
        <f>AND(Plan1!K412,"AAAAAGvs9iA=")</f>
        <v>#VALUE!</v>
      </c>
      <c r="AH25" t="e">
        <f>AND(Plan1!L412,"AAAAAGvs9iE=")</f>
        <v>#VALUE!</v>
      </c>
      <c r="AI25" t="e">
        <f>AND(Plan1!M412,"AAAAAGvs9iI=")</f>
        <v>#VALUE!</v>
      </c>
      <c r="AJ25" t="e">
        <f>AND(Plan1!N412,"AAAAAGvs9iM=")</f>
        <v>#VALUE!</v>
      </c>
      <c r="AK25">
        <f>IF(Plan1!413:413,"AAAAAGvs9iQ=",0)</f>
        <v>0</v>
      </c>
      <c r="AL25" t="e">
        <f>AND(Plan1!A413,"AAAAAGvs9iU=")</f>
        <v>#VALUE!</v>
      </c>
      <c r="AM25" t="e">
        <f>AND(Plan1!B413,"AAAAAGvs9iY=")</f>
        <v>#VALUE!</v>
      </c>
      <c r="AN25" t="e">
        <f>AND(Plan1!C413,"AAAAAGvs9ic=")</f>
        <v>#VALUE!</v>
      </c>
      <c r="AO25" t="e">
        <f>AND(Plan1!D413,"AAAAAGvs9ig=")</f>
        <v>#VALUE!</v>
      </c>
      <c r="AP25" t="e">
        <f>AND(Plan1!E413,"AAAAAGvs9ik=")</f>
        <v>#VALUE!</v>
      </c>
      <c r="AQ25" t="e">
        <f>AND(Plan1!F413,"AAAAAGvs9io=")</f>
        <v>#VALUE!</v>
      </c>
      <c r="AR25" t="e">
        <f>AND(Plan1!G413,"AAAAAGvs9is=")</f>
        <v>#VALUE!</v>
      </c>
      <c r="AS25" t="e">
        <f>AND(Plan1!H413,"AAAAAGvs9iw=")</f>
        <v>#VALUE!</v>
      </c>
      <c r="AT25" t="e">
        <f>AND(Plan1!I413,"AAAAAGvs9i0=")</f>
        <v>#VALUE!</v>
      </c>
      <c r="AU25" t="e">
        <f>AND(Plan1!J413,"AAAAAGvs9i4=")</f>
        <v>#VALUE!</v>
      </c>
      <c r="AV25" t="e">
        <f>AND(Plan1!K413,"AAAAAGvs9i8=")</f>
        <v>#VALUE!</v>
      </c>
      <c r="AW25" t="e">
        <f>AND(Plan1!L413,"AAAAAGvs9jA=")</f>
        <v>#VALUE!</v>
      </c>
      <c r="AX25" t="e">
        <f>AND(Plan1!M413,"AAAAAGvs9jE=")</f>
        <v>#VALUE!</v>
      </c>
      <c r="AY25" t="e">
        <f>AND(Plan1!N413,"AAAAAGvs9jI=")</f>
        <v>#VALUE!</v>
      </c>
      <c r="AZ25">
        <f>IF(Plan1!414:414,"AAAAAGvs9jM=",0)</f>
        <v>0</v>
      </c>
      <c r="BA25" t="e">
        <f>AND(Plan1!A414,"AAAAAGvs9jQ=")</f>
        <v>#VALUE!</v>
      </c>
      <c r="BB25" t="e">
        <f>AND(Plan1!B414,"AAAAAGvs9jU=")</f>
        <v>#VALUE!</v>
      </c>
      <c r="BC25" t="e">
        <f>AND(Plan1!C414,"AAAAAGvs9jY=")</f>
        <v>#VALUE!</v>
      </c>
      <c r="BD25" t="e">
        <f>AND(Plan1!D414,"AAAAAGvs9jc=")</f>
        <v>#VALUE!</v>
      </c>
      <c r="BE25" t="e">
        <f>AND(Plan1!E414,"AAAAAGvs9jg=")</f>
        <v>#VALUE!</v>
      </c>
      <c r="BF25" t="e">
        <f>AND(Plan1!F414,"AAAAAGvs9jk=")</f>
        <v>#VALUE!</v>
      </c>
      <c r="BG25" t="e">
        <f>AND(Plan1!G414,"AAAAAGvs9jo=")</f>
        <v>#VALUE!</v>
      </c>
      <c r="BH25" t="e">
        <f>AND(Plan1!H414,"AAAAAGvs9js=")</f>
        <v>#VALUE!</v>
      </c>
      <c r="BI25" t="e">
        <f>AND(Plan1!I414,"AAAAAGvs9jw=")</f>
        <v>#VALUE!</v>
      </c>
      <c r="BJ25" t="e">
        <f>AND(Plan1!J414,"AAAAAGvs9j0=")</f>
        <v>#VALUE!</v>
      </c>
      <c r="BK25" t="e">
        <f>AND(Plan1!K414,"AAAAAGvs9j4=")</f>
        <v>#VALUE!</v>
      </c>
      <c r="BL25" t="e">
        <f>AND(Plan1!L414,"AAAAAGvs9j8=")</f>
        <v>#VALUE!</v>
      </c>
      <c r="BM25" t="e">
        <f>AND(Plan1!M414,"AAAAAGvs9kA=")</f>
        <v>#VALUE!</v>
      </c>
      <c r="BN25" t="e">
        <f>AND(Plan1!N414,"AAAAAGvs9kE=")</f>
        <v>#VALUE!</v>
      </c>
      <c r="BO25">
        <f>IF(Plan1!415:415,"AAAAAGvs9kI=",0)</f>
        <v>0</v>
      </c>
      <c r="BP25" t="e">
        <f>AND(Plan1!A415,"AAAAAGvs9kM=")</f>
        <v>#VALUE!</v>
      </c>
      <c r="BQ25" t="e">
        <f>AND(Plan1!B415,"AAAAAGvs9kQ=")</f>
        <v>#VALUE!</v>
      </c>
      <c r="BR25" t="e">
        <f>AND(Plan1!C415,"AAAAAGvs9kU=")</f>
        <v>#VALUE!</v>
      </c>
      <c r="BS25" t="e">
        <f>AND(Plan1!D415,"AAAAAGvs9kY=")</f>
        <v>#VALUE!</v>
      </c>
      <c r="BT25" t="e">
        <f>AND(Plan1!E415,"AAAAAGvs9kc=")</f>
        <v>#VALUE!</v>
      </c>
      <c r="BU25" t="e">
        <f>AND(Plan1!F415,"AAAAAGvs9kg=")</f>
        <v>#VALUE!</v>
      </c>
      <c r="BV25" t="e">
        <f>AND(Plan1!G415,"AAAAAGvs9kk=")</f>
        <v>#VALUE!</v>
      </c>
      <c r="BW25" t="e">
        <f>AND(Plan1!H415,"AAAAAGvs9ko=")</f>
        <v>#VALUE!</v>
      </c>
      <c r="BX25" t="e">
        <f>AND(Plan1!I415,"AAAAAGvs9ks=")</f>
        <v>#VALUE!</v>
      </c>
      <c r="BY25" t="e">
        <f>AND(Plan1!J415,"AAAAAGvs9kw=")</f>
        <v>#VALUE!</v>
      </c>
      <c r="BZ25" t="e">
        <f>AND(Plan1!K415,"AAAAAGvs9k0=")</f>
        <v>#VALUE!</v>
      </c>
      <c r="CA25" t="e">
        <f>AND(Plan1!L415,"AAAAAGvs9k4=")</f>
        <v>#VALUE!</v>
      </c>
      <c r="CB25" t="e">
        <f>AND(Plan1!M415,"AAAAAGvs9k8=")</f>
        <v>#VALUE!</v>
      </c>
      <c r="CC25" t="e">
        <f>AND(Plan1!N415,"AAAAAGvs9lA=")</f>
        <v>#VALUE!</v>
      </c>
      <c r="CD25">
        <f>IF(Plan1!416:416,"AAAAAGvs9lE=",0)</f>
        <v>0</v>
      </c>
      <c r="CE25" t="e">
        <f>AND(Plan1!A416,"AAAAAGvs9lI=")</f>
        <v>#VALUE!</v>
      </c>
      <c r="CF25" t="e">
        <f>AND(Plan1!B416,"AAAAAGvs9lM=")</f>
        <v>#VALUE!</v>
      </c>
      <c r="CG25" t="e">
        <f>AND(Plan1!C416,"AAAAAGvs9lQ=")</f>
        <v>#VALUE!</v>
      </c>
      <c r="CH25" t="e">
        <f>AND(Plan1!D416,"AAAAAGvs9lU=")</f>
        <v>#VALUE!</v>
      </c>
      <c r="CI25" t="e">
        <f>AND(Plan1!E416,"AAAAAGvs9lY=")</f>
        <v>#VALUE!</v>
      </c>
      <c r="CJ25" t="e">
        <f>AND(Plan1!F416,"AAAAAGvs9lc=")</f>
        <v>#VALUE!</v>
      </c>
      <c r="CK25" t="e">
        <f>AND(Plan1!G416,"AAAAAGvs9lg=")</f>
        <v>#VALUE!</v>
      </c>
      <c r="CL25" t="e">
        <f>AND(Plan1!H416,"AAAAAGvs9lk=")</f>
        <v>#VALUE!</v>
      </c>
      <c r="CM25" t="e">
        <f>AND(Plan1!I416,"AAAAAGvs9lo=")</f>
        <v>#VALUE!</v>
      </c>
      <c r="CN25" t="e">
        <f>AND(Plan1!J416,"AAAAAGvs9ls=")</f>
        <v>#VALUE!</v>
      </c>
      <c r="CO25" t="e">
        <f>AND(Plan1!K416,"AAAAAGvs9lw=")</f>
        <v>#VALUE!</v>
      </c>
      <c r="CP25" t="e">
        <f>AND(Plan1!L416,"AAAAAGvs9l0=")</f>
        <v>#VALUE!</v>
      </c>
      <c r="CQ25" t="e">
        <f>AND(Plan1!M416,"AAAAAGvs9l4=")</f>
        <v>#VALUE!</v>
      </c>
      <c r="CR25" t="e">
        <f>AND(Plan1!N416,"AAAAAGvs9l8=")</f>
        <v>#VALUE!</v>
      </c>
      <c r="CS25">
        <f>IF(Plan1!417:417,"AAAAAGvs9mA=",0)</f>
        <v>0</v>
      </c>
      <c r="CT25" t="e">
        <f>AND(Plan1!A417,"AAAAAGvs9mE=")</f>
        <v>#VALUE!</v>
      </c>
      <c r="CU25" t="e">
        <f>AND(Plan1!B417,"AAAAAGvs9mI=")</f>
        <v>#VALUE!</v>
      </c>
      <c r="CV25" t="e">
        <f>AND(Plan1!C417,"AAAAAGvs9mM=")</f>
        <v>#VALUE!</v>
      </c>
      <c r="CW25" t="e">
        <f>AND(Plan1!D417,"AAAAAGvs9mQ=")</f>
        <v>#VALUE!</v>
      </c>
      <c r="CX25" t="e">
        <f>AND(Plan1!E417,"AAAAAGvs9mU=")</f>
        <v>#VALUE!</v>
      </c>
      <c r="CY25" t="e">
        <f>AND(Plan1!F417,"AAAAAGvs9mY=")</f>
        <v>#VALUE!</v>
      </c>
      <c r="CZ25" t="e">
        <f>AND(Plan1!G417,"AAAAAGvs9mc=")</f>
        <v>#VALUE!</v>
      </c>
      <c r="DA25" t="e">
        <f>AND(Plan1!H417,"AAAAAGvs9mg=")</f>
        <v>#VALUE!</v>
      </c>
      <c r="DB25" t="e">
        <f>AND(Plan1!I417,"AAAAAGvs9mk=")</f>
        <v>#VALUE!</v>
      </c>
      <c r="DC25" t="e">
        <f>AND(Plan1!J417,"AAAAAGvs9mo=")</f>
        <v>#VALUE!</v>
      </c>
      <c r="DD25" t="e">
        <f>AND(Plan1!K417,"AAAAAGvs9ms=")</f>
        <v>#VALUE!</v>
      </c>
      <c r="DE25" t="e">
        <f>AND(Plan1!L417,"AAAAAGvs9mw=")</f>
        <v>#VALUE!</v>
      </c>
      <c r="DF25" t="e">
        <f>AND(Plan1!M417,"AAAAAGvs9m0=")</f>
        <v>#VALUE!</v>
      </c>
      <c r="DG25" t="e">
        <f>AND(Plan1!N417,"AAAAAGvs9m4=")</f>
        <v>#VALUE!</v>
      </c>
      <c r="DH25">
        <f>IF(Plan1!418:418,"AAAAAGvs9m8=",0)</f>
        <v>0</v>
      </c>
      <c r="DI25" t="e">
        <f>AND(Plan1!A418,"AAAAAGvs9nA=")</f>
        <v>#VALUE!</v>
      </c>
      <c r="DJ25" t="e">
        <f>AND(Plan1!B418,"AAAAAGvs9nE=")</f>
        <v>#VALUE!</v>
      </c>
      <c r="DK25" t="e">
        <f>AND(Plan1!C418,"AAAAAGvs9nI=")</f>
        <v>#VALUE!</v>
      </c>
      <c r="DL25" t="e">
        <f>AND(Plan1!D418,"AAAAAGvs9nM=")</f>
        <v>#VALUE!</v>
      </c>
      <c r="DM25" t="e">
        <f>AND(Plan1!E418,"AAAAAGvs9nQ=")</f>
        <v>#VALUE!</v>
      </c>
      <c r="DN25" t="e">
        <f>AND(Plan1!F418,"AAAAAGvs9nU=")</f>
        <v>#VALUE!</v>
      </c>
      <c r="DO25" t="e">
        <f>AND(Plan1!G418,"AAAAAGvs9nY=")</f>
        <v>#VALUE!</v>
      </c>
      <c r="DP25" t="e">
        <f>AND(Plan1!H418,"AAAAAGvs9nc=")</f>
        <v>#VALUE!</v>
      </c>
      <c r="DQ25" t="e">
        <f>AND(Plan1!I418,"AAAAAGvs9ng=")</f>
        <v>#VALUE!</v>
      </c>
      <c r="DR25" t="e">
        <f>AND(Plan1!J418,"AAAAAGvs9nk=")</f>
        <v>#VALUE!</v>
      </c>
      <c r="DS25" t="e">
        <f>AND(Plan1!K418,"AAAAAGvs9no=")</f>
        <v>#VALUE!</v>
      </c>
      <c r="DT25" t="e">
        <f>AND(Plan1!L418,"AAAAAGvs9ns=")</f>
        <v>#VALUE!</v>
      </c>
      <c r="DU25" t="e">
        <f>AND(Plan1!M418,"AAAAAGvs9nw=")</f>
        <v>#VALUE!</v>
      </c>
      <c r="DV25" t="e">
        <f>AND(Plan1!N418,"AAAAAGvs9n0=")</f>
        <v>#VALUE!</v>
      </c>
      <c r="DW25">
        <f>IF(Plan1!419:419,"AAAAAGvs9n4=",0)</f>
        <v>0</v>
      </c>
      <c r="DX25" t="e">
        <f>AND(Plan1!A419,"AAAAAGvs9n8=")</f>
        <v>#VALUE!</v>
      </c>
      <c r="DY25" t="e">
        <f>AND(Plan1!B419,"AAAAAGvs9oA=")</f>
        <v>#VALUE!</v>
      </c>
      <c r="DZ25" t="e">
        <f>AND(Plan1!C419,"AAAAAGvs9oE=")</f>
        <v>#VALUE!</v>
      </c>
      <c r="EA25" t="e">
        <f>AND(Plan1!D419,"AAAAAGvs9oI=")</f>
        <v>#VALUE!</v>
      </c>
      <c r="EB25" t="e">
        <f>AND(Plan1!E419,"AAAAAGvs9oM=")</f>
        <v>#VALUE!</v>
      </c>
      <c r="EC25" t="e">
        <f>AND(Plan1!F419,"AAAAAGvs9oQ=")</f>
        <v>#VALUE!</v>
      </c>
      <c r="ED25" t="e">
        <f>AND(Plan1!G419,"AAAAAGvs9oU=")</f>
        <v>#VALUE!</v>
      </c>
      <c r="EE25" t="e">
        <f>AND(Plan1!H419,"AAAAAGvs9oY=")</f>
        <v>#VALUE!</v>
      </c>
      <c r="EF25" t="e">
        <f>AND(Plan1!I419,"AAAAAGvs9oc=")</f>
        <v>#VALUE!</v>
      </c>
      <c r="EG25" t="e">
        <f>AND(Plan1!J419,"AAAAAGvs9og=")</f>
        <v>#VALUE!</v>
      </c>
      <c r="EH25" t="e">
        <f>AND(Plan1!K419,"AAAAAGvs9ok=")</f>
        <v>#VALUE!</v>
      </c>
      <c r="EI25" t="e">
        <f>AND(Plan1!L419,"AAAAAGvs9oo=")</f>
        <v>#VALUE!</v>
      </c>
      <c r="EJ25" t="e">
        <f>AND(Plan1!M419,"AAAAAGvs9os=")</f>
        <v>#VALUE!</v>
      </c>
      <c r="EK25" t="e">
        <f>AND(Plan1!N419,"AAAAAGvs9ow=")</f>
        <v>#VALUE!</v>
      </c>
      <c r="EL25">
        <f>IF(Plan1!420:420,"AAAAAGvs9o0=",0)</f>
        <v>0</v>
      </c>
      <c r="EM25" t="e">
        <f>AND(Plan1!A420,"AAAAAGvs9o4=")</f>
        <v>#VALUE!</v>
      </c>
      <c r="EN25" t="e">
        <f>AND(Plan1!B420,"AAAAAGvs9o8=")</f>
        <v>#VALUE!</v>
      </c>
      <c r="EO25" t="e">
        <f>AND(Plan1!C420,"AAAAAGvs9pA=")</f>
        <v>#VALUE!</v>
      </c>
      <c r="EP25" t="e">
        <f>AND(Plan1!D420,"AAAAAGvs9pE=")</f>
        <v>#VALUE!</v>
      </c>
      <c r="EQ25" t="e">
        <f>AND(Plan1!E420,"AAAAAGvs9pI=")</f>
        <v>#VALUE!</v>
      </c>
      <c r="ER25" t="e">
        <f>AND(Plan1!F420,"AAAAAGvs9pM=")</f>
        <v>#VALUE!</v>
      </c>
      <c r="ES25" t="e">
        <f>AND(Plan1!G420,"AAAAAGvs9pQ=")</f>
        <v>#VALUE!</v>
      </c>
      <c r="ET25" t="e">
        <f>AND(Plan1!H420,"AAAAAGvs9pU=")</f>
        <v>#VALUE!</v>
      </c>
      <c r="EU25" t="e">
        <f>AND(Plan1!I420,"AAAAAGvs9pY=")</f>
        <v>#VALUE!</v>
      </c>
      <c r="EV25" t="e">
        <f>AND(Plan1!J420,"AAAAAGvs9pc=")</f>
        <v>#VALUE!</v>
      </c>
      <c r="EW25" t="e">
        <f>AND(Plan1!K420,"AAAAAGvs9pg=")</f>
        <v>#VALUE!</v>
      </c>
      <c r="EX25" t="e">
        <f>AND(Plan1!L420,"AAAAAGvs9pk=")</f>
        <v>#VALUE!</v>
      </c>
      <c r="EY25" t="e">
        <f>AND(Plan1!M420,"AAAAAGvs9po=")</f>
        <v>#VALUE!</v>
      </c>
      <c r="EZ25" t="e">
        <f>AND(Plan1!N420,"AAAAAGvs9ps=")</f>
        <v>#VALUE!</v>
      </c>
      <c r="FA25">
        <f>IF(Plan1!421:421,"AAAAAGvs9pw=",0)</f>
        <v>0</v>
      </c>
      <c r="FB25" t="e">
        <f>AND(Plan1!A421,"AAAAAGvs9p0=")</f>
        <v>#VALUE!</v>
      </c>
      <c r="FC25" t="e">
        <f>AND(Plan1!B421,"AAAAAGvs9p4=")</f>
        <v>#VALUE!</v>
      </c>
      <c r="FD25" t="e">
        <f>AND(Plan1!C421,"AAAAAGvs9p8=")</f>
        <v>#VALUE!</v>
      </c>
      <c r="FE25" t="e">
        <f>AND(Plan1!D421,"AAAAAGvs9qA=")</f>
        <v>#VALUE!</v>
      </c>
      <c r="FF25" t="e">
        <f>AND(Plan1!E421,"AAAAAGvs9qE=")</f>
        <v>#VALUE!</v>
      </c>
      <c r="FG25" t="e">
        <f>AND(Plan1!F421,"AAAAAGvs9qI=")</f>
        <v>#VALUE!</v>
      </c>
      <c r="FH25" t="e">
        <f>AND(Plan1!G421,"AAAAAGvs9qM=")</f>
        <v>#VALUE!</v>
      </c>
      <c r="FI25" t="e">
        <f>AND(Plan1!H421,"AAAAAGvs9qQ=")</f>
        <v>#VALUE!</v>
      </c>
      <c r="FJ25" t="e">
        <f>AND(Plan1!I421,"AAAAAGvs9qU=")</f>
        <v>#VALUE!</v>
      </c>
      <c r="FK25" t="e">
        <f>AND(Plan1!J421,"AAAAAGvs9qY=")</f>
        <v>#VALUE!</v>
      </c>
      <c r="FL25" t="e">
        <f>AND(Plan1!K421,"AAAAAGvs9qc=")</f>
        <v>#VALUE!</v>
      </c>
      <c r="FM25" t="e">
        <f>AND(Plan1!L421,"AAAAAGvs9qg=")</f>
        <v>#VALUE!</v>
      </c>
      <c r="FN25" t="e">
        <f>AND(Plan1!M421,"AAAAAGvs9qk=")</f>
        <v>#VALUE!</v>
      </c>
      <c r="FO25" t="e">
        <f>AND(Plan1!N421,"AAAAAGvs9qo=")</f>
        <v>#VALUE!</v>
      </c>
      <c r="FP25">
        <f>IF(Plan1!422:422,"AAAAAGvs9qs=",0)</f>
        <v>0</v>
      </c>
      <c r="FQ25" t="e">
        <f>AND(Plan1!A422,"AAAAAGvs9qw=")</f>
        <v>#VALUE!</v>
      </c>
      <c r="FR25" t="e">
        <f>AND(Plan1!B422,"AAAAAGvs9q0=")</f>
        <v>#VALUE!</v>
      </c>
      <c r="FS25" t="e">
        <f>AND(Plan1!C422,"AAAAAGvs9q4=")</f>
        <v>#VALUE!</v>
      </c>
      <c r="FT25" t="e">
        <f>AND(Plan1!D422,"AAAAAGvs9q8=")</f>
        <v>#VALUE!</v>
      </c>
      <c r="FU25" t="e">
        <f>AND(Plan1!E422,"AAAAAGvs9rA=")</f>
        <v>#VALUE!</v>
      </c>
      <c r="FV25" t="e">
        <f>AND(Plan1!F422,"AAAAAGvs9rE=")</f>
        <v>#VALUE!</v>
      </c>
      <c r="FW25" t="e">
        <f>AND(Plan1!G422,"AAAAAGvs9rI=")</f>
        <v>#VALUE!</v>
      </c>
      <c r="FX25" t="e">
        <f>AND(Plan1!H422,"AAAAAGvs9rM=")</f>
        <v>#VALUE!</v>
      </c>
      <c r="FY25" t="e">
        <f>AND(Plan1!I422,"AAAAAGvs9rQ=")</f>
        <v>#VALUE!</v>
      </c>
      <c r="FZ25" t="e">
        <f>AND(Plan1!J422,"AAAAAGvs9rU=")</f>
        <v>#VALUE!</v>
      </c>
      <c r="GA25" t="e">
        <f>AND(Plan1!K422,"AAAAAGvs9rY=")</f>
        <v>#VALUE!</v>
      </c>
      <c r="GB25" t="e">
        <f>AND(Plan1!L422,"AAAAAGvs9rc=")</f>
        <v>#VALUE!</v>
      </c>
      <c r="GC25" t="e">
        <f>AND(Plan1!M422,"AAAAAGvs9rg=")</f>
        <v>#VALUE!</v>
      </c>
      <c r="GD25" t="e">
        <f>AND(Plan1!N422,"AAAAAGvs9rk=")</f>
        <v>#VALUE!</v>
      </c>
      <c r="GE25">
        <f>IF(Plan1!423:423,"AAAAAGvs9ro=",0)</f>
        <v>0</v>
      </c>
      <c r="GF25" t="e">
        <f>AND(Plan1!A423,"AAAAAGvs9rs=")</f>
        <v>#VALUE!</v>
      </c>
      <c r="GG25" t="e">
        <f>AND(Plan1!B423,"AAAAAGvs9rw=")</f>
        <v>#VALUE!</v>
      </c>
      <c r="GH25" t="e">
        <f>AND(Plan1!C423,"AAAAAGvs9r0=")</f>
        <v>#VALUE!</v>
      </c>
      <c r="GI25" t="e">
        <f>AND(Plan1!D423,"AAAAAGvs9r4=")</f>
        <v>#VALUE!</v>
      </c>
      <c r="GJ25" t="e">
        <f>AND(Plan1!E423,"AAAAAGvs9r8=")</f>
        <v>#VALUE!</v>
      </c>
      <c r="GK25" t="e">
        <f>AND(Plan1!F423,"AAAAAGvs9sA=")</f>
        <v>#VALUE!</v>
      </c>
      <c r="GL25" t="e">
        <f>AND(Plan1!G423,"AAAAAGvs9sE=")</f>
        <v>#VALUE!</v>
      </c>
      <c r="GM25" t="e">
        <f>AND(Plan1!H423,"AAAAAGvs9sI=")</f>
        <v>#VALUE!</v>
      </c>
      <c r="GN25" t="e">
        <f>AND(Plan1!I423,"AAAAAGvs9sM=")</f>
        <v>#VALUE!</v>
      </c>
      <c r="GO25" t="e">
        <f>AND(Plan1!J423,"AAAAAGvs9sQ=")</f>
        <v>#VALUE!</v>
      </c>
      <c r="GP25" t="e">
        <f>AND(Plan1!K423,"AAAAAGvs9sU=")</f>
        <v>#VALUE!</v>
      </c>
      <c r="GQ25" t="e">
        <f>AND(Plan1!L423,"AAAAAGvs9sY=")</f>
        <v>#VALUE!</v>
      </c>
      <c r="GR25" t="e">
        <f>AND(Plan1!M423,"AAAAAGvs9sc=")</f>
        <v>#VALUE!</v>
      </c>
      <c r="GS25" t="e">
        <f>AND(Plan1!N423,"AAAAAGvs9sg=")</f>
        <v>#VALUE!</v>
      </c>
      <c r="GT25">
        <f>IF(Plan1!424:424,"AAAAAGvs9sk=",0)</f>
        <v>0</v>
      </c>
      <c r="GU25" t="e">
        <f>AND(Plan1!A424,"AAAAAGvs9so=")</f>
        <v>#VALUE!</v>
      </c>
      <c r="GV25" t="e">
        <f>AND(Plan1!B424,"AAAAAGvs9ss=")</f>
        <v>#VALUE!</v>
      </c>
      <c r="GW25" t="e">
        <f>AND(Plan1!C424,"AAAAAGvs9sw=")</f>
        <v>#VALUE!</v>
      </c>
      <c r="GX25" t="e">
        <f>AND(Plan1!D424,"AAAAAGvs9s0=")</f>
        <v>#VALUE!</v>
      </c>
      <c r="GY25" t="e">
        <f>AND(Plan1!E424,"AAAAAGvs9s4=")</f>
        <v>#VALUE!</v>
      </c>
      <c r="GZ25" t="e">
        <f>AND(Plan1!F424,"AAAAAGvs9s8=")</f>
        <v>#VALUE!</v>
      </c>
      <c r="HA25" t="e">
        <f>AND(Plan1!G424,"AAAAAGvs9tA=")</f>
        <v>#VALUE!</v>
      </c>
      <c r="HB25" t="e">
        <f>AND(Plan1!H424,"AAAAAGvs9tE=")</f>
        <v>#VALUE!</v>
      </c>
      <c r="HC25" t="e">
        <f>AND(Plan1!I424,"AAAAAGvs9tI=")</f>
        <v>#VALUE!</v>
      </c>
      <c r="HD25" t="e">
        <f>AND(Plan1!J424,"AAAAAGvs9tM=")</f>
        <v>#VALUE!</v>
      </c>
      <c r="HE25" t="e">
        <f>AND(Plan1!K424,"AAAAAGvs9tQ=")</f>
        <v>#VALUE!</v>
      </c>
      <c r="HF25" t="e">
        <f>AND(Plan1!L424,"AAAAAGvs9tU=")</f>
        <v>#VALUE!</v>
      </c>
      <c r="HG25" t="e">
        <f>AND(Plan1!M424,"AAAAAGvs9tY=")</f>
        <v>#VALUE!</v>
      </c>
      <c r="HH25" t="e">
        <f>AND(Plan1!N424,"AAAAAGvs9tc=")</f>
        <v>#VALUE!</v>
      </c>
      <c r="HI25">
        <f>IF(Plan1!425:425,"AAAAAGvs9tg=",0)</f>
        <v>0</v>
      </c>
      <c r="HJ25" t="e">
        <f>AND(Plan1!A425,"AAAAAGvs9tk=")</f>
        <v>#VALUE!</v>
      </c>
      <c r="HK25" t="e">
        <f>AND(Plan1!B425,"AAAAAGvs9to=")</f>
        <v>#VALUE!</v>
      </c>
      <c r="HL25" t="e">
        <f>AND(Plan1!C425,"AAAAAGvs9ts=")</f>
        <v>#VALUE!</v>
      </c>
      <c r="HM25" t="e">
        <f>AND(Plan1!D425,"AAAAAGvs9tw=")</f>
        <v>#VALUE!</v>
      </c>
      <c r="HN25" t="e">
        <f>AND(Plan1!E425,"AAAAAGvs9t0=")</f>
        <v>#VALUE!</v>
      </c>
      <c r="HO25" t="e">
        <f>AND(Plan1!F425,"AAAAAGvs9t4=")</f>
        <v>#VALUE!</v>
      </c>
      <c r="HP25" t="e">
        <f>AND(Plan1!G425,"AAAAAGvs9t8=")</f>
        <v>#VALUE!</v>
      </c>
      <c r="HQ25" t="e">
        <f>AND(Plan1!H425,"AAAAAGvs9uA=")</f>
        <v>#VALUE!</v>
      </c>
      <c r="HR25" t="e">
        <f>AND(Plan1!I425,"AAAAAGvs9uE=")</f>
        <v>#VALUE!</v>
      </c>
      <c r="HS25" t="e">
        <f>AND(Plan1!J425,"AAAAAGvs9uI=")</f>
        <v>#VALUE!</v>
      </c>
      <c r="HT25" t="e">
        <f>AND(Plan1!K425,"AAAAAGvs9uM=")</f>
        <v>#VALUE!</v>
      </c>
      <c r="HU25" t="e">
        <f>AND(Plan1!L425,"AAAAAGvs9uQ=")</f>
        <v>#VALUE!</v>
      </c>
      <c r="HV25" t="e">
        <f>AND(Plan1!M425,"AAAAAGvs9uU=")</f>
        <v>#VALUE!</v>
      </c>
      <c r="HW25" t="e">
        <f>AND(Plan1!N425,"AAAAAGvs9uY=")</f>
        <v>#VALUE!</v>
      </c>
      <c r="HX25">
        <f>IF(Plan1!426:426,"AAAAAGvs9uc=",0)</f>
        <v>0</v>
      </c>
      <c r="HY25" t="e">
        <f>AND(Plan1!A426,"AAAAAGvs9ug=")</f>
        <v>#VALUE!</v>
      </c>
      <c r="HZ25" t="e">
        <f>AND(Plan1!B426,"AAAAAGvs9uk=")</f>
        <v>#VALUE!</v>
      </c>
      <c r="IA25" t="e">
        <f>AND(Plan1!C426,"AAAAAGvs9uo=")</f>
        <v>#VALUE!</v>
      </c>
      <c r="IB25" t="e">
        <f>AND(Plan1!D426,"AAAAAGvs9us=")</f>
        <v>#VALUE!</v>
      </c>
      <c r="IC25" t="e">
        <f>AND(Plan1!E426,"AAAAAGvs9uw=")</f>
        <v>#VALUE!</v>
      </c>
      <c r="ID25" t="e">
        <f>AND(Plan1!F426,"AAAAAGvs9u0=")</f>
        <v>#VALUE!</v>
      </c>
      <c r="IE25" t="e">
        <f>AND(Plan1!G426,"AAAAAGvs9u4=")</f>
        <v>#VALUE!</v>
      </c>
      <c r="IF25" t="e">
        <f>AND(Plan1!H426,"AAAAAGvs9u8=")</f>
        <v>#VALUE!</v>
      </c>
      <c r="IG25" t="e">
        <f>AND(Plan1!I426,"AAAAAGvs9vA=")</f>
        <v>#VALUE!</v>
      </c>
      <c r="IH25" t="e">
        <f>AND(Plan1!J426,"AAAAAGvs9vE=")</f>
        <v>#VALUE!</v>
      </c>
      <c r="II25" t="e">
        <f>AND(Plan1!K426,"AAAAAGvs9vI=")</f>
        <v>#VALUE!</v>
      </c>
      <c r="IJ25" t="e">
        <f>AND(Plan1!L426,"AAAAAGvs9vM=")</f>
        <v>#VALUE!</v>
      </c>
      <c r="IK25" t="e">
        <f>AND(Plan1!M426,"AAAAAGvs9vQ=")</f>
        <v>#VALUE!</v>
      </c>
      <c r="IL25" t="e">
        <f>AND(Plan1!N426,"AAAAAGvs9vU=")</f>
        <v>#VALUE!</v>
      </c>
      <c r="IM25">
        <f>IF(Plan1!427:427,"AAAAAGvs9vY=",0)</f>
        <v>0</v>
      </c>
      <c r="IN25" t="e">
        <f>AND(Plan1!A427,"AAAAAGvs9vc=")</f>
        <v>#VALUE!</v>
      </c>
      <c r="IO25" t="e">
        <f>AND(Plan1!B427,"AAAAAGvs9vg=")</f>
        <v>#VALUE!</v>
      </c>
      <c r="IP25" t="e">
        <f>AND(Plan1!C427,"AAAAAGvs9vk=")</f>
        <v>#VALUE!</v>
      </c>
      <c r="IQ25" t="e">
        <f>AND(Plan1!D427,"AAAAAGvs9vo=")</f>
        <v>#VALUE!</v>
      </c>
      <c r="IR25" t="e">
        <f>AND(Plan1!E427,"AAAAAGvs9vs=")</f>
        <v>#VALUE!</v>
      </c>
      <c r="IS25" t="e">
        <f>AND(Plan1!F427,"AAAAAGvs9vw=")</f>
        <v>#VALUE!</v>
      </c>
      <c r="IT25" t="e">
        <f>AND(Plan1!G427,"AAAAAGvs9v0=")</f>
        <v>#VALUE!</v>
      </c>
      <c r="IU25" t="e">
        <f>AND(Plan1!H427,"AAAAAGvs9v4=")</f>
        <v>#VALUE!</v>
      </c>
      <c r="IV25" t="e">
        <f>AND(Plan1!I427,"AAAAAGvs9v8=")</f>
        <v>#VALUE!</v>
      </c>
    </row>
    <row r="26" spans="1:256">
      <c r="A26" t="e">
        <f>AND(Plan1!J427,"AAAAAHn/mwA=")</f>
        <v>#VALUE!</v>
      </c>
      <c r="B26" t="e">
        <f>AND(Plan1!K427,"AAAAAHn/mwE=")</f>
        <v>#VALUE!</v>
      </c>
      <c r="C26" t="e">
        <f>AND(Plan1!L427,"AAAAAHn/mwI=")</f>
        <v>#VALUE!</v>
      </c>
      <c r="D26" t="e">
        <f>AND(Plan1!M427,"AAAAAHn/mwM=")</f>
        <v>#VALUE!</v>
      </c>
      <c r="E26" t="e">
        <f>AND(Plan1!N427,"AAAAAHn/mwQ=")</f>
        <v>#VALUE!</v>
      </c>
      <c r="F26">
        <f>IF(Plan1!428:428,"AAAAAHn/mwU=",0)</f>
        <v>0</v>
      </c>
      <c r="G26" t="e">
        <f>AND(Plan1!A428,"AAAAAHn/mwY=")</f>
        <v>#VALUE!</v>
      </c>
      <c r="H26" t="e">
        <f>AND(Plan1!B428,"AAAAAHn/mwc=")</f>
        <v>#VALUE!</v>
      </c>
      <c r="I26" t="e">
        <f>AND(Plan1!C428,"AAAAAHn/mwg=")</f>
        <v>#VALUE!</v>
      </c>
      <c r="J26" t="e">
        <f>AND(Plan1!D428,"AAAAAHn/mwk=")</f>
        <v>#VALUE!</v>
      </c>
      <c r="K26" t="e">
        <f>AND(Plan1!E428,"AAAAAHn/mwo=")</f>
        <v>#VALUE!</v>
      </c>
      <c r="L26" t="e">
        <f>AND(Plan1!F428,"AAAAAHn/mws=")</f>
        <v>#VALUE!</v>
      </c>
      <c r="M26" t="e">
        <f>AND(Plan1!G428,"AAAAAHn/mww=")</f>
        <v>#VALUE!</v>
      </c>
      <c r="N26" t="e">
        <f>AND(Plan1!H428,"AAAAAHn/mw0=")</f>
        <v>#VALUE!</v>
      </c>
      <c r="O26" t="e">
        <f>AND(Plan1!I428,"AAAAAHn/mw4=")</f>
        <v>#VALUE!</v>
      </c>
      <c r="P26" t="e">
        <f>AND(Plan1!J428,"AAAAAHn/mw8=")</f>
        <v>#VALUE!</v>
      </c>
      <c r="Q26" t="e">
        <f>AND(Plan1!K428,"AAAAAHn/mxA=")</f>
        <v>#VALUE!</v>
      </c>
      <c r="R26" t="e">
        <f>AND(Plan1!L428,"AAAAAHn/mxE=")</f>
        <v>#VALUE!</v>
      </c>
      <c r="S26" t="e">
        <f>AND(Plan1!M428,"AAAAAHn/mxI=")</f>
        <v>#VALUE!</v>
      </c>
      <c r="T26" t="e">
        <f>AND(Plan1!N428,"AAAAAHn/mxM=")</f>
        <v>#VALUE!</v>
      </c>
      <c r="U26">
        <f>IF(Plan1!429:429,"AAAAAHn/mxQ=",0)</f>
        <v>0</v>
      </c>
      <c r="V26" t="e">
        <f>AND(Plan1!A429,"AAAAAHn/mxU=")</f>
        <v>#VALUE!</v>
      </c>
      <c r="W26" t="e">
        <f>AND(Plan1!B429,"AAAAAHn/mxY=")</f>
        <v>#VALUE!</v>
      </c>
      <c r="X26" t="e">
        <f>AND(Plan1!C429,"AAAAAHn/mxc=")</f>
        <v>#VALUE!</v>
      </c>
      <c r="Y26" t="e">
        <f>AND(Plan1!D429,"AAAAAHn/mxg=")</f>
        <v>#VALUE!</v>
      </c>
      <c r="Z26" t="e">
        <f>AND(Plan1!E429,"AAAAAHn/mxk=")</f>
        <v>#VALUE!</v>
      </c>
      <c r="AA26" t="e">
        <f>AND(Plan1!F429,"AAAAAHn/mxo=")</f>
        <v>#VALUE!</v>
      </c>
      <c r="AB26" t="e">
        <f>AND(Plan1!G429,"AAAAAHn/mxs=")</f>
        <v>#VALUE!</v>
      </c>
      <c r="AC26" t="e">
        <f>AND(Plan1!H429,"AAAAAHn/mxw=")</f>
        <v>#VALUE!</v>
      </c>
      <c r="AD26" t="e">
        <f>AND(Plan1!I429,"AAAAAHn/mx0=")</f>
        <v>#VALUE!</v>
      </c>
      <c r="AE26" t="e">
        <f>AND(Plan1!J429,"AAAAAHn/mx4=")</f>
        <v>#VALUE!</v>
      </c>
      <c r="AF26" t="e">
        <f>AND(Plan1!K429,"AAAAAHn/mx8=")</f>
        <v>#VALUE!</v>
      </c>
      <c r="AG26" t="e">
        <f>AND(Plan1!L429,"AAAAAHn/myA=")</f>
        <v>#VALUE!</v>
      </c>
      <c r="AH26" t="e">
        <f>AND(Plan1!M429,"AAAAAHn/myE=")</f>
        <v>#VALUE!</v>
      </c>
      <c r="AI26" t="e">
        <f>AND(Plan1!N429,"AAAAAHn/myI=")</f>
        <v>#VALUE!</v>
      </c>
      <c r="AJ26">
        <f>IF(Plan1!430:430,"AAAAAHn/myM=",0)</f>
        <v>0</v>
      </c>
      <c r="AK26" t="e">
        <f>AND(Plan1!A430,"AAAAAHn/myQ=")</f>
        <v>#VALUE!</v>
      </c>
      <c r="AL26" t="e">
        <f>AND(Plan1!B430,"AAAAAHn/myU=")</f>
        <v>#VALUE!</v>
      </c>
      <c r="AM26" t="e">
        <f>AND(Plan1!C430,"AAAAAHn/myY=")</f>
        <v>#VALUE!</v>
      </c>
      <c r="AN26" t="e">
        <f>AND(Plan1!D430,"AAAAAHn/myc=")</f>
        <v>#VALUE!</v>
      </c>
      <c r="AO26" t="e">
        <f>AND(Plan1!E430,"AAAAAHn/myg=")</f>
        <v>#VALUE!</v>
      </c>
      <c r="AP26" t="e">
        <f>AND(Plan1!F430,"AAAAAHn/myk=")</f>
        <v>#VALUE!</v>
      </c>
      <c r="AQ26" t="e">
        <f>AND(Plan1!G430,"AAAAAHn/myo=")</f>
        <v>#VALUE!</v>
      </c>
      <c r="AR26" t="e">
        <f>AND(Plan1!H430,"AAAAAHn/mys=")</f>
        <v>#VALUE!</v>
      </c>
      <c r="AS26" t="e">
        <f>AND(Plan1!I430,"AAAAAHn/myw=")</f>
        <v>#VALUE!</v>
      </c>
      <c r="AT26" t="e">
        <f>AND(Plan1!J430,"AAAAAHn/my0=")</f>
        <v>#VALUE!</v>
      </c>
      <c r="AU26" t="e">
        <f>AND(Plan1!K430,"AAAAAHn/my4=")</f>
        <v>#VALUE!</v>
      </c>
      <c r="AV26" t="e">
        <f>AND(Plan1!L430,"AAAAAHn/my8=")</f>
        <v>#VALUE!</v>
      </c>
      <c r="AW26" t="e">
        <f>AND(Plan1!M430,"AAAAAHn/mzA=")</f>
        <v>#VALUE!</v>
      </c>
      <c r="AX26" t="e">
        <f>AND(Plan1!N430,"AAAAAHn/mzE=")</f>
        <v>#VALUE!</v>
      </c>
      <c r="AY26">
        <f>IF(Plan1!431:431,"AAAAAHn/mzI=",0)</f>
        <v>0</v>
      </c>
      <c r="AZ26" t="e">
        <f>AND(Plan1!A431,"AAAAAHn/mzM=")</f>
        <v>#VALUE!</v>
      </c>
      <c r="BA26" t="e">
        <f>AND(Plan1!B431,"AAAAAHn/mzQ=")</f>
        <v>#VALUE!</v>
      </c>
      <c r="BB26" t="e">
        <f>AND(Plan1!C431,"AAAAAHn/mzU=")</f>
        <v>#VALUE!</v>
      </c>
      <c r="BC26" t="e">
        <f>AND(Plan1!D431,"AAAAAHn/mzY=")</f>
        <v>#VALUE!</v>
      </c>
      <c r="BD26" t="e">
        <f>AND(Plan1!E431,"AAAAAHn/mzc=")</f>
        <v>#VALUE!</v>
      </c>
      <c r="BE26" t="e">
        <f>AND(Plan1!F431,"AAAAAHn/mzg=")</f>
        <v>#VALUE!</v>
      </c>
      <c r="BF26" t="e">
        <f>AND(Plan1!G431,"AAAAAHn/mzk=")</f>
        <v>#VALUE!</v>
      </c>
      <c r="BG26" t="e">
        <f>AND(Plan1!H431,"AAAAAHn/mzo=")</f>
        <v>#VALUE!</v>
      </c>
      <c r="BH26" t="e">
        <f>AND(Plan1!I431,"AAAAAHn/mzs=")</f>
        <v>#VALUE!</v>
      </c>
      <c r="BI26" t="e">
        <f>AND(Plan1!J431,"AAAAAHn/mzw=")</f>
        <v>#VALUE!</v>
      </c>
      <c r="BJ26" t="e">
        <f>AND(Plan1!K431,"AAAAAHn/mz0=")</f>
        <v>#VALUE!</v>
      </c>
      <c r="BK26" t="e">
        <f>AND(Plan1!L431,"AAAAAHn/mz4=")</f>
        <v>#VALUE!</v>
      </c>
      <c r="BL26" t="e">
        <f>AND(Plan1!M431,"AAAAAHn/mz8=")</f>
        <v>#VALUE!</v>
      </c>
      <c r="BM26" t="e">
        <f>AND(Plan1!N431,"AAAAAHn/m0A=")</f>
        <v>#VALUE!</v>
      </c>
      <c r="BN26">
        <f>IF(Plan1!432:432,"AAAAAHn/m0E=",0)</f>
        <v>0</v>
      </c>
      <c r="BO26" t="e">
        <f>AND(Plan1!A432,"AAAAAHn/m0I=")</f>
        <v>#VALUE!</v>
      </c>
      <c r="BP26" t="e">
        <f>AND(Plan1!B432,"AAAAAHn/m0M=")</f>
        <v>#VALUE!</v>
      </c>
      <c r="BQ26" t="e">
        <f>AND(Plan1!C432,"AAAAAHn/m0Q=")</f>
        <v>#VALUE!</v>
      </c>
      <c r="BR26" t="e">
        <f>AND(Plan1!D432,"AAAAAHn/m0U=")</f>
        <v>#VALUE!</v>
      </c>
      <c r="BS26" t="e">
        <f>AND(Plan1!E432,"AAAAAHn/m0Y=")</f>
        <v>#VALUE!</v>
      </c>
      <c r="BT26" t="e">
        <f>AND(Plan1!F432,"AAAAAHn/m0c=")</f>
        <v>#VALUE!</v>
      </c>
      <c r="BU26" t="e">
        <f>AND(Plan1!G432,"AAAAAHn/m0g=")</f>
        <v>#VALUE!</v>
      </c>
      <c r="BV26" t="e">
        <f>AND(Plan1!H432,"AAAAAHn/m0k=")</f>
        <v>#VALUE!</v>
      </c>
      <c r="BW26" t="e">
        <f>AND(Plan1!I432,"AAAAAHn/m0o=")</f>
        <v>#VALUE!</v>
      </c>
      <c r="BX26" t="e">
        <f>AND(Plan1!J432,"AAAAAHn/m0s=")</f>
        <v>#VALUE!</v>
      </c>
      <c r="BY26" t="e">
        <f>AND(Plan1!K432,"AAAAAHn/m0w=")</f>
        <v>#VALUE!</v>
      </c>
      <c r="BZ26" t="e">
        <f>AND(Plan1!L432,"AAAAAHn/m00=")</f>
        <v>#VALUE!</v>
      </c>
      <c r="CA26" t="e">
        <f>AND(Plan1!M432,"AAAAAHn/m04=")</f>
        <v>#VALUE!</v>
      </c>
      <c r="CB26" t="e">
        <f>AND(Plan1!N432,"AAAAAHn/m08=")</f>
        <v>#VALUE!</v>
      </c>
      <c r="CC26">
        <f>IF(Plan1!433:433,"AAAAAHn/m1A=",0)</f>
        <v>0</v>
      </c>
      <c r="CD26" t="e">
        <f>AND(Plan1!A433,"AAAAAHn/m1E=")</f>
        <v>#VALUE!</v>
      </c>
      <c r="CE26" t="e">
        <f>AND(Plan1!B433,"AAAAAHn/m1I=")</f>
        <v>#VALUE!</v>
      </c>
      <c r="CF26" t="e">
        <f>AND(Plan1!C433,"AAAAAHn/m1M=")</f>
        <v>#VALUE!</v>
      </c>
      <c r="CG26" t="e">
        <f>AND(Plan1!D433,"AAAAAHn/m1Q=")</f>
        <v>#VALUE!</v>
      </c>
      <c r="CH26" t="e">
        <f>AND(Plan1!E433,"AAAAAHn/m1U=")</f>
        <v>#VALUE!</v>
      </c>
      <c r="CI26" t="e">
        <f>AND(Plan1!F433,"AAAAAHn/m1Y=")</f>
        <v>#VALUE!</v>
      </c>
      <c r="CJ26" t="e">
        <f>AND(Plan1!G433,"AAAAAHn/m1c=")</f>
        <v>#VALUE!</v>
      </c>
      <c r="CK26" t="e">
        <f>AND(Plan1!H433,"AAAAAHn/m1g=")</f>
        <v>#VALUE!</v>
      </c>
      <c r="CL26" t="e">
        <f>AND(Plan1!I433,"AAAAAHn/m1k=")</f>
        <v>#VALUE!</v>
      </c>
      <c r="CM26" t="e">
        <f>AND(Plan1!J433,"AAAAAHn/m1o=")</f>
        <v>#VALUE!</v>
      </c>
      <c r="CN26" t="e">
        <f>AND(Plan1!K433,"AAAAAHn/m1s=")</f>
        <v>#VALUE!</v>
      </c>
      <c r="CO26" t="e">
        <f>AND(Plan1!L433,"AAAAAHn/m1w=")</f>
        <v>#VALUE!</v>
      </c>
      <c r="CP26" t="e">
        <f>AND(Plan1!M433,"AAAAAHn/m10=")</f>
        <v>#VALUE!</v>
      </c>
      <c r="CQ26" t="e">
        <f>AND(Plan1!N433,"AAAAAHn/m14=")</f>
        <v>#VALUE!</v>
      </c>
      <c r="CR26">
        <f>IF(Plan1!434:434,"AAAAAHn/m18=",0)</f>
        <v>0</v>
      </c>
      <c r="CS26" t="e">
        <f>AND(Plan1!A434,"AAAAAHn/m2A=")</f>
        <v>#VALUE!</v>
      </c>
      <c r="CT26" t="e">
        <f>AND(Plan1!B434,"AAAAAHn/m2E=")</f>
        <v>#VALUE!</v>
      </c>
      <c r="CU26" t="e">
        <f>AND(Plan1!C434,"AAAAAHn/m2I=")</f>
        <v>#VALUE!</v>
      </c>
      <c r="CV26" t="e">
        <f>AND(Plan1!D434,"AAAAAHn/m2M=")</f>
        <v>#VALUE!</v>
      </c>
      <c r="CW26" t="e">
        <f>AND(Plan1!E434,"AAAAAHn/m2Q=")</f>
        <v>#VALUE!</v>
      </c>
      <c r="CX26" t="e">
        <f>AND(Plan1!F434,"AAAAAHn/m2U=")</f>
        <v>#VALUE!</v>
      </c>
      <c r="CY26" t="e">
        <f>AND(Plan1!G434,"AAAAAHn/m2Y=")</f>
        <v>#VALUE!</v>
      </c>
      <c r="CZ26" t="e">
        <f>AND(Plan1!H434,"AAAAAHn/m2c=")</f>
        <v>#VALUE!</v>
      </c>
      <c r="DA26" t="e">
        <f>AND(Plan1!I434,"AAAAAHn/m2g=")</f>
        <v>#VALUE!</v>
      </c>
      <c r="DB26" t="e">
        <f>AND(Plan1!J434,"AAAAAHn/m2k=")</f>
        <v>#VALUE!</v>
      </c>
      <c r="DC26" t="e">
        <f>AND(Plan1!K434,"AAAAAHn/m2o=")</f>
        <v>#VALUE!</v>
      </c>
      <c r="DD26" t="e">
        <f>AND(Plan1!L434,"AAAAAHn/m2s=")</f>
        <v>#VALUE!</v>
      </c>
      <c r="DE26" t="e">
        <f>AND(Plan1!M434,"AAAAAHn/m2w=")</f>
        <v>#VALUE!</v>
      </c>
      <c r="DF26" t="e">
        <f>AND(Plan1!N434,"AAAAAHn/m20=")</f>
        <v>#VALUE!</v>
      </c>
      <c r="DG26">
        <f>IF(Plan1!435:435,"AAAAAHn/m24=",0)</f>
        <v>0</v>
      </c>
      <c r="DH26" t="e">
        <f>AND(Plan1!A435,"AAAAAHn/m28=")</f>
        <v>#VALUE!</v>
      </c>
      <c r="DI26" t="e">
        <f>AND(Plan1!B435,"AAAAAHn/m3A=")</f>
        <v>#VALUE!</v>
      </c>
      <c r="DJ26" t="e">
        <f>AND(Plan1!C435,"AAAAAHn/m3E=")</f>
        <v>#VALUE!</v>
      </c>
      <c r="DK26" t="e">
        <f>AND(Plan1!D435,"AAAAAHn/m3I=")</f>
        <v>#VALUE!</v>
      </c>
      <c r="DL26" t="e">
        <f>AND(Plan1!E435,"AAAAAHn/m3M=")</f>
        <v>#VALUE!</v>
      </c>
      <c r="DM26" t="e">
        <f>AND(Plan1!F435,"AAAAAHn/m3Q=")</f>
        <v>#VALUE!</v>
      </c>
      <c r="DN26" t="e">
        <f>AND(Plan1!G435,"AAAAAHn/m3U=")</f>
        <v>#VALUE!</v>
      </c>
      <c r="DO26" t="e">
        <f>AND(Plan1!H435,"AAAAAHn/m3Y=")</f>
        <v>#VALUE!</v>
      </c>
      <c r="DP26" t="e">
        <f>AND(Plan1!I435,"AAAAAHn/m3c=")</f>
        <v>#VALUE!</v>
      </c>
      <c r="DQ26" t="e">
        <f>AND(Plan1!J435,"AAAAAHn/m3g=")</f>
        <v>#VALUE!</v>
      </c>
      <c r="DR26" t="e">
        <f>AND(Plan1!K435,"AAAAAHn/m3k=")</f>
        <v>#VALUE!</v>
      </c>
      <c r="DS26" t="e">
        <f>AND(Plan1!L435,"AAAAAHn/m3o=")</f>
        <v>#VALUE!</v>
      </c>
      <c r="DT26" t="e">
        <f>AND(Plan1!M435,"AAAAAHn/m3s=")</f>
        <v>#VALUE!</v>
      </c>
      <c r="DU26" t="e">
        <f>AND(Plan1!N435,"AAAAAHn/m3w=")</f>
        <v>#VALUE!</v>
      </c>
      <c r="DV26">
        <f>IF(Plan1!436:436,"AAAAAHn/m30=",0)</f>
        <v>0</v>
      </c>
      <c r="DW26" t="e">
        <f>AND(Plan1!A436,"AAAAAHn/m34=")</f>
        <v>#VALUE!</v>
      </c>
      <c r="DX26" t="e">
        <f>AND(Plan1!B436,"AAAAAHn/m38=")</f>
        <v>#VALUE!</v>
      </c>
      <c r="DY26" t="e">
        <f>AND(Plan1!C436,"AAAAAHn/m4A=")</f>
        <v>#VALUE!</v>
      </c>
      <c r="DZ26" t="e">
        <f>AND(Plan1!D436,"AAAAAHn/m4E=")</f>
        <v>#VALUE!</v>
      </c>
      <c r="EA26" t="e">
        <f>AND(Plan1!E436,"AAAAAHn/m4I=")</f>
        <v>#VALUE!</v>
      </c>
      <c r="EB26" t="e">
        <f>AND(Plan1!F436,"AAAAAHn/m4M=")</f>
        <v>#VALUE!</v>
      </c>
      <c r="EC26" t="e">
        <f>AND(Plan1!G436,"AAAAAHn/m4Q=")</f>
        <v>#VALUE!</v>
      </c>
      <c r="ED26" t="e">
        <f>AND(Plan1!H436,"AAAAAHn/m4U=")</f>
        <v>#VALUE!</v>
      </c>
      <c r="EE26" t="e">
        <f>AND(Plan1!I436,"AAAAAHn/m4Y=")</f>
        <v>#VALUE!</v>
      </c>
      <c r="EF26" t="e">
        <f>AND(Plan1!J436,"AAAAAHn/m4c=")</f>
        <v>#VALUE!</v>
      </c>
      <c r="EG26" t="e">
        <f>AND(Plan1!K436,"AAAAAHn/m4g=")</f>
        <v>#VALUE!</v>
      </c>
      <c r="EH26" t="e">
        <f>AND(Plan1!L436,"AAAAAHn/m4k=")</f>
        <v>#VALUE!</v>
      </c>
      <c r="EI26" t="e">
        <f>AND(Plan1!M436,"AAAAAHn/m4o=")</f>
        <v>#VALUE!</v>
      </c>
      <c r="EJ26" t="e">
        <f>AND(Plan1!N436,"AAAAAHn/m4s=")</f>
        <v>#VALUE!</v>
      </c>
      <c r="EK26">
        <f>IF(Plan1!437:437,"AAAAAHn/m4w=",0)</f>
        <v>0</v>
      </c>
      <c r="EL26" t="e">
        <f>AND(Plan1!A437,"AAAAAHn/m40=")</f>
        <v>#VALUE!</v>
      </c>
      <c r="EM26" t="e">
        <f>AND(Plan1!B437,"AAAAAHn/m44=")</f>
        <v>#VALUE!</v>
      </c>
      <c r="EN26" t="e">
        <f>AND(Plan1!C437,"AAAAAHn/m48=")</f>
        <v>#VALUE!</v>
      </c>
      <c r="EO26" t="e">
        <f>AND(Plan1!D437,"AAAAAHn/m5A=")</f>
        <v>#VALUE!</v>
      </c>
      <c r="EP26" t="e">
        <f>AND(Plan1!E437,"AAAAAHn/m5E=")</f>
        <v>#VALUE!</v>
      </c>
      <c r="EQ26" t="e">
        <f>AND(Plan1!F437,"AAAAAHn/m5I=")</f>
        <v>#VALUE!</v>
      </c>
      <c r="ER26" t="e">
        <f>AND(Plan1!G437,"AAAAAHn/m5M=")</f>
        <v>#VALUE!</v>
      </c>
      <c r="ES26" t="e">
        <f>AND(Plan1!H437,"AAAAAHn/m5Q=")</f>
        <v>#VALUE!</v>
      </c>
      <c r="ET26" t="e">
        <f>AND(Plan1!I437,"AAAAAHn/m5U=")</f>
        <v>#VALUE!</v>
      </c>
      <c r="EU26" t="e">
        <f>AND(Plan1!J437,"AAAAAHn/m5Y=")</f>
        <v>#VALUE!</v>
      </c>
      <c r="EV26" t="e">
        <f>AND(Plan1!K437,"AAAAAHn/m5c=")</f>
        <v>#VALUE!</v>
      </c>
      <c r="EW26" t="e">
        <f>AND(Plan1!L437,"AAAAAHn/m5g=")</f>
        <v>#VALUE!</v>
      </c>
      <c r="EX26" t="e">
        <f>AND(Plan1!M437,"AAAAAHn/m5k=")</f>
        <v>#VALUE!</v>
      </c>
      <c r="EY26" t="e">
        <f>AND(Plan1!N437,"AAAAAHn/m5o=")</f>
        <v>#VALUE!</v>
      </c>
      <c r="EZ26">
        <f>IF(Plan1!438:438,"AAAAAHn/m5s=",0)</f>
        <v>0</v>
      </c>
      <c r="FA26" t="e">
        <f>AND(Plan1!A438,"AAAAAHn/m5w=")</f>
        <v>#VALUE!</v>
      </c>
      <c r="FB26" t="e">
        <f>AND(Plan1!B438,"AAAAAHn/m50=")</f>
        <v>#VALUE!</v>
      </c>
      <c r="FC26" t="e">
        <f>AND(Plan1!C438,"AAAAAHn/m54=")</f>
        <v>#VALUE!</v>
      </c>
      <c r="FD26" t="e">
        <f>AND(Plan1!D438,"AAAAAHn/m58=")</f>
        <v>#VALUE!</v>
      </c>
      <c r="FE26" t="e">
        <f>AND(Plan1!E438,"AAAAAHn/m6A=")</f>
        <v>#VALUE!</v>
      </c>
      <c r="FF26" t="e">
        <f>AND(Plan1!F438,"AAAAAHn/m6E=")</f>
        <v>#VALUE!</v>
      </c>
      <c r="FG26" t="e">
        <f>AND(Plan1!G438,"AAAAAHn/m6I=")</f>
        <v>#VALUE!</v>
      </c>
      <c r="FH26" t="e">
        <f>AND(Plan1!H438,"AAAAAHn/m6M=")</f>
        <v>#VALUE!</v>
      </c>
      <c r="FI26" t="e">
        <f>AND(Plan1!I438,"AAAAAHn/m6Q=")</f>
        <v>#VALUE!</v>
      </c>
      <c r="FJ26" t="e">
        <f>AND(Plan1!J438,"AAAAAHn/m6U=")</f>
        <v>#VALUE!</v>
      </c>
      <c r="FK26" t="e">
        <f>AND(Plan1!K438,"AAAAAHn/m6Y=")</f>
        <v>#VALUE!</v>
      </c>
      <c r="FL26" t="e">
        <f>AND(Plan1!L438,"AAAAAHn/m6c=")</f>
        <v>#VALUE!</v>
      </c>
      <c r="FM26" t="e">
        <f>AND(Plan1!M438,"AAAAAHn/m6g=")</f>
        <v>#VALUE!</v>
      </c>
      <c r="FN26" t="e">
        <f>AND(Plan1!N438,"AAAAAHn/m6k=")</f>
        <v>#VALUE!</v>
      </c>
      <c r="FO26">
        <f>IF(Plan1!439:439,"AAAAAHn/m6o=",0)</f>
        <v>0</v>
      </c>
      <c r="FP26" t="e">
        <f>AND(Plan1!A439,"AAAAAHn/m6s=")</f>
        <v>#VALUE!</v>
      </c>
      <c r="FQ26" t="e">
        <f>AND(Plan1!B439,"AAAAAHn/m6w=")</f>
        <v>#VALUE!</v>
      </c>
      <c r="FR26" t="e">
        <f>AND(Plan1!C439,"AAAAAHn/m60=")</f>
        <v>#VALUE!</v>
      </c>
      <c r="FS26" t="e">
        <f>AND(Plan1!D439,"AAAAAHn/m64=")</f>
        <v>#VALUE!</v>
      </c>
      <c r="FT26" t="e">
        <f>AND(Plan1!E439,"AAAAAHn/m68=")</f>
        <v>#VALUE!</v>
      </c>
      <c r="FU26" t="e">
        <f>AND(Plan1!F439,"AAAAAHn/m7A=")</f>
        <v>#VALUE!</v>
      </c>
      <c r="FV26" t="e">
        <f>AND(Plan1!G439,"AAAAAHn/m7E=")</f>
        <v>#VALUE!</v>
      </c>
      <c r="FW26" t="e">
        <f>AND(Plan1!H439,"AAAAAHn/m7I=")</f>
        <v>#VALUE!</v>
      </c>
      <c r="FX26" t="e">
        <f>AND(Plan1!I439,"AAAAAHn/m7M=")</f>
        <v>#VALUE!</v>
      </c>
      <c r="FY26" t="e">
        <f>AND(Plan1!J439,"AAAAAHn/m7Q=")</f>
        <v>#VALUE!</v>
      </c>
      <c r="FZ26" t="e">
        <f>AND(Plan1!K439,"AAAAAHn/m7U=")</f>
        <v>#VALUE!</v>
      </c>
      <c r="GA26" t="e">
        <f>AND(Plan1!L439,"AAAAAHn/m7Y=")</f>
        <v>#VALUE!</v>
      </c>
      <c r="GB26" t="e">
        <f>AND(Plan1!M439,"AAAAAHn/m7c=")</f>
        <v>#VALUE!</v>
      </c>
      <c r="GC26" t="e">
        <f>AND(Plan1!N439,"AAAAAHn/m7g=")</f>
        <v>#VALUE!</v>
      </c>
      <c r="GD26">
        <f>IF(Plan1!440:440,"AAAAAHn/m7k=",0)</f>
        <v>0</v>
      </c>
      <c r="GE26" t="e">
        <f>AND(Plan1!A440,"AAAAAHn/m7o=")</f>
        <v>#VALUE!</v>
      </c>
      <c r="GF26" t="e">
        <f>AND(Plan1!B440,"AAAAAHn/m7s=")</f>
        <v>#VALUE!</v>
      </c>
      <c r="GG26" t="e">
        <f>AND(Plan1!C440,"AAAAAHn/m7w=")</f>
        <v>#VALUE!</v>
      </c>
      <c r="GH26" t="e">
        <f>AND(Plan1!D440,"AAAAAHn/m70=")</f>
        <v>#VALUE!</v>
      </c>
      <c r="GI26" t="e">
        <f>AND(Plan1!E440,"AAAAAHn/m74=")</f>
        <v>#VALUE!</v>
      </c>
      <c r="GJ26" t="e">
        <f>AND(Plan1!F440,"AAAAAHn/m78=")</f>
        <v>#VALUE!</v>
      </c>
      <c r="GK26" t="e">
        <f>AND(Plan1!G440,"AAAAAHn/m8A=")</f>
        <v>#VALUE!</v>
      </c>
      <c r="GL26" t="e">
        <f>AND(Plan1!H440,"AAAAAHn/m8E=")</f>
        <v>#VALUE!</v>
      </c>
      <c r="GM26" t="e">
        <f>AND(Plan1!I440,"AAAAAHn/m8I=")</f>
        <v>#VALUE!</v>
      </c>
      <c r="GN26" t="e">
        <f>AND(Plan1!J440,"AAAAAHn/m8M=")</f>
        <v>#VALUE!</v>
      </c>
      <c r="GO26" t="e">
        <f>AND(Plan1!K440,"AAAAAHn/m8Q=")</f>
        <v>#VALUE!</v>
      </c>
      <c r="GP26" t="e">
        <f>AND(Plan1!L440,"AAAAAHn/m8U=")</f>
        <v>#VALUE!</v>
      </c>
      <c r="GQ26" t="e">
        <f>AND(Plan1!M440,"AAAAAHn/m8Y=")</f>
        <v>#VALUE!</v>
      </c>
      <c r="GR26" t="e">
        <f>AND(Plan1!N440,"AAAAAHn/m8c=")</f>
        <v>#VALUE!</v>
      </c>
      <c r="GS26">
        <f>IF(Plan1!441:441,"AAAAAHn/m8g=",0)</f>
        <v>0</v>
      </c>
      <c r="GT26" t="e">
        <f>AND(Plan1!A441,"AAAAAHn/m8k=")</f>
        <v>#VALUE!</v>
      </c>
      <c r="GU26" t="e">
        <f>AND(Plan1!B441,"AAAAAHn/m8o=")</f>
        <v>#VALUE!</v>
      </c>
      <c r="GV26" t="e">
        <f>AND(Plan1!C441,"AAAAAHn/m8s=")</f>
        <v>#VALUE!</v>
      </c>
      <c r="GW26" t="e">
        <f>AND(Plan1!D441,"AAAAAHn/m8w=")</f>
        <v>#VALUE!</v>
      </c>
      <c r="GX26" t="e">
        <f>AND(Plan1!E441,"AAAAAHn/m80=")</f>
        <v>#VALUE!</v>
      </c>
      <c r="GY26" t="e">
        <f>AND(Plan1!F441,"AAAAAHn/m84=")</f>
        <v>#VALUE!</v>
      </c>
      <c r="GZ26" t="e">
        <f>AND(Plan1!G441,"AAAAAHn/m88=")</f>
        <v>#VALUE!</v>
      </c>
      <c r="HA26" t="e">
        <f>AND(Plan1!H441,"AAAAAHn/m9A=")</f>
        <v>#VALUE!</v>
      </c>
      <c r="HB26" t="e">
        <f>AND(Plan1!I441,"AAAAAHn/m9E=")</f>
        <v>#VALUE!</v>
      </c>
      <c r="HC26" t="e">
        <f>AND(Plan1!J441,"AAAAAHn/m9I=")</f>
        <v>#VALUE!</v>
      </c>
      <c r="HD26" t="e">
        <f>AND(Plan1!K441,"AAAAAHn/m9M=")</f>
        <v>#VALUE!</v>
      </c>
      <c r="HE26" t="e">
        <f>AND(Plan1!L441,"AAAAAHn/m9Q=")</f>
        <v>#VALUE!</v>
      </c>
      <c r="HF26" t="e">
        <f>AND(Plan1!M441,"AAAAAHn/m9U=")</f>
        <v>#VALUE!</v>
      </c>
      <c r="HG26" t="e">
        <f>AND(Plan1!N441,"AAAAAHn/m9Y=")</f>
        <v>#VALUE!</v>
      </c>
      <c r="HH26">
        <f>IF(Plan1!442:442,"AAAAAHn/m9c=",0)</f>
        <v>0</v>
      </c>
      <c r="HI26" t="e">
        <f>AND(Plan1!A442,"AAAAAHn/m9g=")</f>
        <v>#VALUE!</v>
      </c>
      <c r="HJ26" t="e">
        <f>AND(Plan1!B442,"AAAAAHn/m9k=")</f>
        <v>#VALUE!</v>
      </c>
      <c r="HK26" t="e">
        <f>AND(Plan1!C442,"AAAAAHn/m9o=")</f>
        <v>#VALUE!</v>
      </c>
      <c r="HL26" t="e">
        <f>AND(Plan1!D442,"AAAAAHn/m9s=")</f>
        <v>#VALUE!</v>
      </c>
      <c r="HM26" t="e">
        <f>AND(Plan1!E442,"AAAAAHn/m9w=")</f>
        <v>#VALUE!</v>
      </c>
      <c r="HN26" t="e">
        <f>AND(Plan1!F442,"AAAAAHn/m90=")</f>
        <v>#VALUE!</v>
      </c>
      <c r="HO26" t="e">
        <f>AND(Plan1!G442,"AAAAAHn/m94=")</f>
        <v>#VALUE!</v>
      </c>
      <c r="HP26" t="e">
        <f>AND(Plan1!H442,"AAAAAHn/m98=")</f>
        <v>#VALUE!</v>
      </c>
      <c r="HQ26" t="e">
        <f>AND(Plan1!I442,"AAAAAHn/m+A=")</f>
        <v>#VALUE!</v>
      </c>
      <c r="HR26" t="e">
        <f>AND(Plan1!J442,"AAAAAHn/m+E=")</f>
        <v>#VALUE!</v>
      </c>
      <c r="HS26" t="e">
        <f>AND(Plan1!K442,"AAAAAHn/m+I=")</f>
        <v>#VALUE!</v>
      </c>
      <c r="HT26" t="e">
        <f>AND(Plan1!L442,"AAAAAHn/m+M=")</f>
        <v>#VALUE!</v>
      </c>
      <c r="HU26" t="e">
        <f>AND(Plan1!M442,"AAAAAHn/m+Q=")</f>
        <v>#VALUE!</v>
      </c>
      <c r="HV26" t="e">
        <f>AND(Plan1!N442,"AAAAAHn/m+U=")</f>
        <v>#VALUE!</v>
      </c>
      <c r="HW26">
        <f>IF(Plan1!443:443,"AAAAAHn/m+Y=",0)</f>
        <v>0</v>
      </c>
      <c r="HX26" t="e">
        <f>AND(Plan1!A443,"AAAAAHn/m+c=")</f>
        <v>#VALUE!</v>
      </c>
      <c r="HY26" t="e">
        <f>AND(Plan1!B443,"AAAAAHn/m+g=")</f>
        <v>#VALUE!</v>
      </c>
      <c r="HZ26" t="e">
        <f>AND(Plan1!C443,"AAAAAHn/m+k=")</f>
        <v>#VALUE!</v>
      </c>
      <c r="IA26" t="e">
        <f>AND(Plan1!D443,"AAAAAHn/m+o=")</f>
        <v>#VALUE!</v>
      </c>
      <c r="IB26" t="e">
        <f>AND(Plan1!E443,"AAAAAHn/m+s=")</f>
        <v>#VALUE!</v>
      </c>
      <c r="IC26" t="e">
        <f>AND(Plan1!F443,"AAAAAHn/m+w=")</f>
        <v>#VALUE!</v>
      </c>
      <c r="ID26" t="e">
        <f>AND(Plan1!G443,"AAAAAHn/m+0=")</f>
        <v>#VALUE!</v>
      </c>
      <c r="IE26" t="e">
        <f>AND(Plan1!H443,"AAAAAHn/m+4=")</f>
        <v>#VALUE!</v>
      </c>
      <c r="IF26" t="e">
        <f>AND(Plan1!I443,"AAAAAHn/m+8=")</f>
        <v>#VALUE!</v>
      </c>
      <c r="IG26" t="e">
        <f>AND(Plan1!J443,"AAAAAHn/m/A=")</f>
        <v>#VALUE!</v>
      </c>
      <c r="IH26" t="e">
        <f>AND(Plan1!K443,"AAAAAHn/m/E=")</f>
        <v>#VALUE!</v>
      </c>
      <c r="II26" t="e">
        <f>AND(Plan1!L443,"AAAAAHn/m/I=")</f>
        <v>#VALUE!</v>
      </c>
      <c r="IJ26" t="e">
        <f>AND(Plan1!M443,"AAAAAHn/m/M=")</f>
        <v>#VALUE!</v>
      </c>
      <c r="IK26" t="e">
        <f>AND(Plan1!N443,"AAAAAHn/m/Q=")</f>
        <v>#VALUE!</v>
      </c>
      <c r="IL26">
        <f>IF(Plan1!444:444,"AAAAAHn/m/U=",0)</f>
        <v>0</v>
      </c>
      <c r="IM26" t="e">
        <f>AND(Plan1!A444,"AAAAAHn/m/Y=")</f>
        <v>#VALUE!</v>
      </c>
      <c r="IN26" t="e">
        <f>AND(Plan1!B444,"AAAAAHn/m/c=")</f>
        <v>#VALUE!</v>
      </c>
      <c r="IO26" t="e">
        <f>AND(Plan1!C444,"AAAAAHn/m/g=")</f>
        <v>#VALUE!</v>
      </c>
      <c r="IP26" t="e">
        <f>AND(Plan1!D444,"AAAAAHn/m/k=")</f>
        <v>#VALUE!</v>
      </c>
      <c r="IQ26" t="e">
        <f>AND(Plan1!E444,"AAAAAHn/m/o=")</f>
        <v>#VALUE!</v>
      </c>
      <c r="IR26" t="e">
        <f>AND(Plan1!F444,"AAAAAHn/m/s=")</f>
        <v>#VALUE!</v>
      </c>
      <c r="IS26" t="e">
        <f>AND(Plan1!G444,"AAAAAHn/m/w=")</f>
        <v>#VALUE!</v>
      </c>
      <c r="IT26" t="e">
        <f>AND(Plan1!H444,"AAAAAHn/m/0=")</f>
        <v>#VALUE!</v>
      </c>
      <c r="IU26" t="e">
        <f>AND(Plan1!I444,"AAAAAHn/m/4=")</f>
        <v>#VALUE!</v>
      </c>
      <c r="IV26" t="e">
        <f>AND(Plan1!J444,"AAAAAHn/m/8=")</f>
        <v>#VALUE!</v>
      </c>
    </row>
    <row r="27" spans="1:256">
      <c r="A27" t="e">
        <f>AND(Plan1!K444,"AAAAAFv3dwA=")</f>
        <v>#VALUE!</v>
      </c>
      <c r="B27" t="e">
        <f>AND(Plan1!L444,"AAAAAFv3dwE=")</f>
        <v>#VALUE!</v>
      </c>
      <c r="C27" t="e">
        <f>AND(Plan1!M444,"AAAAAFv3dwI=")</f>
        <v>#VALUE!</v>
      </c>
      <c r="D27" t="e">
        <f>AND(Plan1!N444,"AAAAAFv3dwM=")</f>
        <v>#VALUE!</v>
      </c>
      <c r="E27" t="str">
        <f>IF(Plan1!445:445,"AAAAAFv3dwQ=",0)</f>
        <v>AAAAAFv3dwQ=</v>
      </c>
      <c r="F27" t="e">
        <f>AND(Plan1!A445,"AAAAAFv3dwU=")</f>
        <v>#VALUE!</v>
      </c>
      <c r="G27" t="e">
        <f>AND(Plan1!B445,"AAAAAFv3dwY=")</f>
        <v>#VALUE!</v>
      </c>
      <c r="H27" t="e">
        <f>AND(Plan1!C445,"AAAAAFv3dwc=")</f>
        <v>#VALUE!</v>
      </c>
      <c r="I27" t="e">
        <f>AND(Plan1!D445,"AAAAAFv3dwg=")</f>
        <v>#VALUE!</v>
      </c>
      <c r="J27" t="e">
        <f>AND(Plan1!E445,"AAAAAFv3dwk=")</f>
        <v>#VALUE!</v>
      </c>
      <c r="K27" t="e">
        <f>AND(Plan1!F445,"AAAAAFv3dwo=")</f>
        <v>#VALUE!</v>
      </c>
      <c r="L27" t="e">
        <f>AND(Plan1!G445,"AAAAAFv3dws=")</f>
        <v>#VALUE!</v>
      </c>
      <c r="M27" t="e">
        <f>AND(Plan1!H445,"AAAAAFv3dww=")</f>
        <v>#VALUE!</v>
      </c>
      <c r="N27" t="e">
        <f>AND(Plan1!I445,"AAAAAFv3dw0=")</f>
        <v>#VALUE!</v>
      </c>
      <c r="O27" t="e">
        <f>AND(Plan1!J445,"AAAAAFv3dw4=")</f>
        <v>#VALUE!</v>
      </c>
      <c r="P27" t="e">
        <f>AND(Plan1!K445,"AAAAAFv3dw8=")</f>
        <v>#VALUE!</v>
      </c>
      <c r="Q27" t="e">
        <f>AND(Plan1!L445,"AAAAAFv3dxA=")</f>
        <v>#VALUE!</v>
      </c>
      <c r="R27" t="e">
        <f>AND(Plan1!M445,"AAAAAFv3dxE=")</f>
        <v>#VALUE!</v>
      </c>
      <c r="S27" t="e">
        <f>AND(Plan1!N445,"AAAAAFv3dxI=")</f>
        <v>#VALUE!</v>
      </c>
      <c r="T27">
        <f>IF(Plan1!446:446,"AAAAAFv3dxM=",0)</f>
        <v>0</v>
      </c>
      <c r="U27" t="e">
        <f>AND(Plan1!A446,"AAAAAFv3dxQ=")</f>
        <v>#VALUE!</v>
      </c>
      <c r="V27" t="e">
        <f>AND(Plan1!B446,"AAAAAFv3dxU=")</f>
        <v>#VALUE!</v>
      </c>
      <c r="W27" t="e">
        <f>AND(Plan1!C446,"AAAAAFv3dxY=")</f>
        <v>#VALUE!</v>
      </c>
      <c r="X27" t="e">
        <f>AND(Plan1!D446,"AAAAAFv3dxc=")</f>
        <v>#VALUE!</v>
      </c>
      <c r="Y27" t="e">
        <f>AND(Plan1!E446,"AAAAAFv3dxg=")</f>
        <v>#VALUE!</v>
      </c>
      <c r="Z27" t="e">
        <f>AND(Plan1!F446,"AAAAAFv3dxk=")</f>
        <v>#VALUE!</v>
      </c>
      <c r="AA27" t="e">
        <f>AND(Plan1!G446,"AAAAAFv3dxo=")</f>
        <v>#VALUE!</v>
      </c>
      <c r="AB27" t="e">
        <f>AND(Plan1!H446,"AAAAAFv3dxs=")</f>
        <v>#VALUE!</v>
      </c>
      <c r="AC27" t="e">
        <f>AND(Plan1!I446,"AAAAAFv3dxw=")</f>
        <v>#VALUE!</v>
      </c>
      <c r="AD27" t="e">
        <f>AND(Plan1!J446,"AAAAAFv3dx0=")</f>
        <v>#VALUE!</v>
      </c>
      <c r="AE27" t="e">
        <f>AND(Plan1!K446,"AAAAAFv3dx4=")</f>
        <v>#VALUE!</v>
      </c>
      <c r="AF27" t="e">
        <f>AND(Plan1!L446,"AAAAAFv3dx8=")</f>
        <v>#VALUE!</v>
      </c>
      <c r="AG27" t="e">
        <f>AND(Plan1!M446,"AAAAAFv3dyA=")</f>
        <v>#VALUE!</v>
      </c>
      <c r="AH27" t="e">
        <f>AND(Plan1!N446,"AAAAAFv3dyE=")</f>
        <v>#VALUE!</v>
      </c>
      <c r="AI27">
        <f>IF(Plan1!447:447,"AAAAAFv3dyI=",0)</f>
        <v>0</v>
      </c>
      <c r="AJ27" t="e">
        <f>AND(Plan1!A447,"AAAAAFv3dyM=")</f>
        <v>#VALUE!</v>
      </c>
      <c r="AK27" t="e">
        <f>AND(Plan1!B447,"AAAAAFv3dyQ=")</f>
        <v>#VALUE!</v>
      </c>
      <c r="AL27" t="e">
        <f>AND(Plan1!C447,"AAAAAFv3dyU=")</f>
        <v>#VALUE!</v>
      </c>
      <c r="AM27" t="e">
        <f>AND(Plan1!D447,"AAAAAFv3dyY=")</f>
        <v>#VALUE!</v>
      </c>
      <c r="AN27" t="e">
        <f>AND(Plan1!E447,"AAAAAFv3dyc=")</f>
        <v>#VALUE!</v>
      </c>
      <c r="AO27" t="e">
        <f>AND(Plan1!F447,"AAAAAFv3dyg=")</f>
        <v>#VALUE!</v>
      </c>
      <c r="AP27" t="e">
        <f>AND(Plan1!G447,"AAAAAFv3dyk=")</f>
        <v>#VALUE!</v>
      </c>
      <c r="AQ27" t="e">
        <f>AND(Plan1!H447,"AAAAAFv3dyo=")</f>
        <v>#VALUE!</v>
      </c>
      <c r="AR27" t="e">
        <f>AND(Plan1!I447,"AAAAAFv3dys=")</f>
        <v>#VALUE!</v>
      </c>
      <c r="AS27" t="e">
        <f>AND(Plan1!J447,"AAAAAFv3dyw=")</f>
        <v>#VALUE!</v>
      </c>
      <c r="AT27" t="e">
        <f>AND(Plan1!K447,"AAAAAFv3dy0=")</f>
        <v>#VALUE!</v>
      </c>
      <c r="AU27" t="e">
        <f>AND(Plan1!L447,"AAAAAFv3dy4=")</f>
        <v>#VALUE!</v>
      </c>
      <c r="AV27" t="e">
        <f>AND(Plan1!M447,"AAAAAFv3dy8=")</f>
        <v>#VALUE!</v>
      </c>
      <c r="AW27" t="e">
        <f>AND(Plan1!N447,"AAAAAFv3dzA=")</f>
        <v>#VALUE!</v>
      </c>
      <c r="AX27">
        <f>IF(Plan1!448:448,"AAAAAFv3dzE=",0)</f>
        <v>0</v>
      </c>
      <c r="AY27" t="e">
        <f>AND(Plan1!A448,"AAAAAFv3dzI=")</f>
        <v>#VALUE!</v>
      </c>
      <c r="AZ27" t="e">
        <f>AND(Plan1!B448,"AAAAAFv3dzM=")</f>
        <v>#VALUE!</v>
      </c>
      <c r="BA27" t="e">
        <f>AND(Plan1!C448,"AAAAAFv3dzQ=")</f>
        <v>#VALUE!</v>
      </c>
      <c r="BB27" t="e">
        <f>AND(Plan1!D448,"AAAAAFv3dzU=")</f>
        <v>#VALUE!</v>
      </c>
      <c r="BC27" t="e">
        <f>AND(Plan1!E448,"AAAAAFv3dzY=")</f>
        <v>#VALUE!</v>
      </c>
      <c r="BD27" t="e">
        <f>AND(Plan1!F448,"AAAAAFv3dzc=")</f>
        <v>#VALUE!</v>
      </c>
      <c r="BE27" t="e">
        <f>AND(Plan1!G448,"AAAAAFv3dzg=")</f>
        <v>#VALUE!</v>
      </c>
      <c r="BF27" t="e">
        <f>AND(Plan1!H448,"AAAAAFv3dzk=")</f>
        <v>#VALUE!</v>
      </c>
      <c r="BG27" t="e">
        <f>AND(Plan1!I448,"AAAAAFv3dzo=")</f>
        <v>#VALUE!</v>
      </c>
      <c r="BH27" t="e">
        <f>AND(Plan1!J448,"AAAAAFv3dzs=")</f>
        <v>#VALUE!</v>
      </c>
      <c r="BI27" t="e">
        <f>AND(Plan1!K448,"AAAAAFv3dzw=")</f>
        <v>#VALUE!</v>
      </c>
      <c r="BJ27" t="e">
        <f>AND(Plan1!L448,"AAAAAFv3dz0=")</f>
        <v>#VALUE!</v>
      </c>
      <c r="BK27" t="e">
        <f>AND(Plan1!M448,"AAAAAFv3dz4=")</f>
        <v>#VALUE!</v>
      </c>
      <c r="BL27" t="e">
        <f>AND(Plan1!N448,"AAAAAFv3dz8=")</f>
        <v>#VALUE!</v>
      </c>
      <c r="BM27">
        <f>IF(Plan1!449:449,"AAAAAFv3d0A=",0)</f>
        <v>0</v>
      </c>
      <c r="BN27" t="e">
        <f>AND(Plan1!A449,"AAAAAFv3d0E=")</f>
        <v>#VALUE!</v>
      </c>
      <c r="BO27" t="e">
        <f>AND(Plan1!B449,"AAAAAFv3d0I=")</f>
        <v>#VALUE!</v>
      </c>
      <c r="BP27" t="e">
        <f>AND(Plan1!C449,"AAAAAFv3d0M=")</f>
        <v>#VALUE!</v>
      </c>
      <c r="BQ27" t="e">
        <f>AND(Plan1!D449,"AAAAAFv3d0Q=")</f>
        <v>#VALUE!</v>
      </c>
      <c r="BR27" t="e">
        <f>AND(Plan1!E449,"AAAAAFv3d0U=")</f>
        <v>#VALUE!</v>
      </c>
      <c r="BS27" t="e">
        <f>AND(Plan1!F449,"AAAAAFv3d0Y=")</f>
        <v>#VALUE!</v>
      </c>
      <c r="BT27" t="e">
        <f>AND(Plan1!G449,"AAAAAFv3d0c=")</f>
        <v>#VALUE!</v>
      </c>
      <c r="BU27" t="e">
        <f>AND(Plan1!H449,"AAAAAFv3d0g=")</f>
        <v>#VALUE!</v>
      </c>
      <c r="BV27" t="e">
        <f>AND(Plan1!I449,"AAAAAFv3d0k=")</f>
        <v>#VALUE!</v>
      </c>
      <c r="BW27" t="e">
        <f>AND(Plan1!J449,"AAAAAFv3d0o=")</f>
        <v>#VALUE!</v>
      </c>
      <c r="BX27" t="e">
        <f>AND(Plan1!K449,"AAAAAFv3d0s=")</f>
        <v>#VALUE!</v>
      </c>
      <c r="BY27" t="e">
        <f>AND(Plan1!L449,"AAAAAFv3d0w=")</f>
        <v>#VALUE!</v>
      </c>
      <c r="BZ27" t="e">
        <f>AND(Plan1!M449,"AAAAAFv3d00=")</f>
        <v>#VALUE!</v>
      </c>
      <c r="CA27" t="e">
        <f>AND(Plan1!N449,"AAAAAFv3d04=")</f>
        <v>#VALUE!</v>
      </c>
      <c r="CB27">
        <f>IF(Plan1!450:450,"AAAAAFv3d08=",0)</f>
        <v>0</v>
      </c>
      <c r="CC27" t="e">
        <f>AND(Plan1!A450,"AAAAAFv3d1A=")</f>
        <v>#VALUE!</v>
      </c>
      <c r="CD27" t="e">
        <f>AND(Plan1!B450,"AAAAAFv3d1E=")</f>
        <v>#VALUE!</v>
      </c>
      <c r="CE27" t="e">
        <f>AND(Plan1!C450,"AAAAAFv3d1I=")</f>
        <v>#VALUE!</v>
      </c>
      <c r="CF27" t="e">
        <f>AND(Plan1!D450,"AAAAAFv3d1M=")</f>
        <v>#VALUE!</v>
      </c>
      <c r="CG27" t="e">
        <f>AND(Plan1!E450,"AAAAAFv3d1Q=")</f>
        <v>#VALUE!</v>
      </c>
      <c r="CH27" t="e">
        <f>AND(Plan1!F450,"AAAAAFv3d1U=")</f>
        <v>#VALUE!</v>
      </c>
      <c r="CI27" t="e">
        <f>AND(Plan1!G450,"AAAAAFv3d1Y=")</f>
        <v>#VALUE!</v>
      </c>
      <c r="CJ27" t="e">
        <f>AND(Plan1!H450,"AAAAAFv3d1c=")</f>
        <v>#VALUE!</v>
      </c>
      <c r="CK27" t="e">
        <f>AND(Plan1!I450,"AAAAAFv3d1g=")</f>
        <v>#VALUE!</v>
      </c>
      <c r="CL27" t="e">
        <f>AND(Plan1!J450,"AAAAAFv3d1k=")</f>
        <v>#VALUE!</v>
      </c>
      <c r="CM27" t="e">
        <f>AND(Plan1!K450,"AAAAAFv3d1o=")</f>
        <v>#VALUE!</v>
      </c>
      <c r="CN27" t="e">
        <f>AND(Plan1!L450,"AAAAAFv3d1s=")</f>
        <v>#VALUE!</v>
      </c>
      <c r="CO27" t="e">
        <f>AND(Plan1!M450,"AAAAAFv3d1w=")</f>
        <v>#VALUE!</v>
      </c>
      <c r="CP27" t="e">
        <f>AND(Plan1!N450,"AAAAAFv3d10=")</f>
        <v>#VALUE!</v>
      </c>
      <c r="CQ27">
        <f>IF(Plan1!451:451,"AAAAAFv3d14=",0)</f>
        <v>0</v>
      </c>
      <c r="CR27" t="e">
        <f>AND(Plan1!A451,"AAAAAFv3d18=")</f>
        <v>#VALUE!</v>
      </c>
      <c r="CS27" t="e">
        <f>AND(Plan1!B451,"AAAAAFv3d2A=")</f>
        <v>#VALUE!</v>
      </c>
      <c r="CT27" t="e">
        <f>AND(Plan1!C451,"AAAAAFv3d2E=")</f>
        <v>#VALUE!</v>
      </c>
      <c r="CU27" t="e">
        <f>AND(Plan1!D451,"AAAAAFv3d2I=")</f>
        <v>#VALUE!</v>
      </c>
      <c r="CV27" t="e">
        <f>AND(Plan1!E451,"AAAAAFv3d2M=")</f>
        <v>#VALUE!</v>
      </c>
      <c r="CW27" t="e">
        <f>AND(Plan1!F451,"AAAAAFv3d2Q=")</f>
        <v>#VALUE!</v>
      </c>
      <c r="CX27" t="e">
        <f>AND(Plan1!G451,"AAAAAFv3d2U=")</f>
        <v>#VALUE!</v>
      </c>
      <c r="CY27" t="e">
        <f>AND(Plan1!H451,"AAAAAFv3d2Y=")</f>
        <v>#VALUE!</v>
      </c>
      <c r="CZ27" t="e">
        <f>AND(Plan1!I451,"AAAAAFv3d2c=")</f>
        <v>#VALUE!</v>
      </c>
      <c r="DA27" t="e">
        <f>AND(Plan1!J451,"AAAAAFv3d2g=")</f>
        <v>#VALUE!</v>
      </c>
      <c r="DB27" t="e">
        <f>AND(Plan1!K451,"AAAAAFv3d2k=")</f>
        <v>#VALUE!</v>
      </c>
      <c r="DC27" t="e">
        <f>AND(Plan1!L451,"AAAAAFv3d2o=")</f>
        <v>#VALUE!</v>
      </c>
      <c r="DD27" t="e">
        <f>AND(Plan1!M451,"AAAAAFv3d2s=")</f>
        <v>#VALUE!</v>
      </c>
      <c r="DE27" t="e">
        <f>AND(Plan1!N451,"AAAAAFv3d2w=")</f>
        <v>#VALUE!</v>
      </c>
      <c r="DF27">
        <f>IF(Plan1!452:452,"AAAAAFv3d20=",0)</f>
        <v>0</v>
      </c>
      <c r="DG27" t="e">
        <f>AND(Plan1!A452,"AAAAAFv3d24=")</f>
        <v>#VALUE!</v>
      </c>
      <c r="DH27" t="e">
        <f>AND(Plan1!B452,"AAAAAFv3d28=")</f>
        <v>#VALUE!</v>
      </c>
      <c r="DI27" t="e">
        <f>AND(Plan1!C452,"AAAAAFv3d3A=")</f>
        <v>#VALUE!</v>
      </c>
      <c r="DJ27" t="e">
        <f>AND(Plan1!D452,"AAAAAFv3d3E=")</f>
        <v>#VALUE!</v>
      </c>
      <c r="DK27" t="e">
        <f>AND(Plan1!E452,"AAAAAFv3d3I=")</f>
        <v>#VALUE!</v>
      </c>
      <c r="DL27" t="e">
        <f>AND(Plan1!F452,"AAAAAFv3d3M=")</f>
        <v>#VALUE!</v>
      </c>
      <c r="DM27" t="e">
        <f>AND(Plan1!G452,"AAAAAFv3d3Q=")</f>
        <v>#VALUE!</v>
      </c>
      <c r="DN27" t="e">
        <f>AND(Plan1!H452,"AAAAAFv3d3U=")</f>
        <v>#VALUE!</v>
      </c>
      <c r="DO27" t="e">
        <f>AND(Plan1!I452,"AAAAAFv3d3Y=")</f>
        <v>#VALUE!</v>
      </c>
      <c r="DP27" t="e">
        <f>AND(Plan1!J452,"AAAAAFv3d3c=")</f>
        <v>#VALUE!</v>
      </c>
      <c r="DQ27" t="e">
        <f>AND(Plan1!K452,"AAAAAFv3d3g=")</f>
        <v>#VALUE!</v>
      </c>
      <c r="DR27" t="e">
        <f>AND(Plan1!L452,"AAAAAFv3d3k=")</f>
        <v>#VALUE!</v>
      </c>
      <c r="DS27" t="e">
        <f>AND(Plan1!M452,"AAAAAFv3d3o=")</f>
        <v>#VALUE!</v>
      </c>
      <c r="DT27" t="e">
        <f>AND(Plan1!N452,"AAAAAFv3d3s=")</f>
        <v>#VALUE!</v>
      </c>
      <c r="DU27">
        <f>IF(Plan1!453:453,"AAAAAFv3d3w=",0)</f>
        <v>0</v>
      </c>
      <c r="DV27" t="e">
        <f>AND(Plan1!A453,"AAAAAFv3d30=")</f>
        <v>#VALUE!</v>
      </c>
      <c r="DW27" t="e">
        <f>AND(Plan1!B453,"AAAAAFv3d34=")</f>
        <v>#VALUE!</v>
      </c>
      <c r="DX27" t="e">
        <f>AND(Plan1!C453,"AAAAAFv3d38=")</f>
        <v>#VALUE!</v>
      </c>
      <c r="DY27" t="e">
        <f>AND(Plan1!D453,"AAAAAFv3d4A=")</f>
        <v>#VALUE!</v>
      </c>
      <c r="DZ27" t="e">
        <f>AND(Plan1!E453,"AAAAAFv3d4E=")</f>
        <v>#VALUE!</v>
      </c>
      <c r="EA27" t="e">
        <f>AND(Plan1!F453,"AAAAAFv3d4I=")</f>
        <v>#VALUE!</v>
      </c>
      <c r="EB27" t="e">
        <f>AND(Plan1!G453,"AAAAAFv3d4M=")</f>
        <v>#VALUE!</v>
      </c>
      <c r="EC27" t="e">
        <f>AND(Plan1!H453,"AAAAAFv3d4Q=")</f>
        <v>#VALUE!</v>
      </c>
      <c r="ED27" t="e">
        <f>AND(Plan1!I453,"AAAAAFv3d4U=")</f>
        <v>#VALUE!</v>
      </c>
      <c r="EE27" t="e">
        <f>AND(Plan1!J453,"AAAAAFv3d4Y=")</f>
        <v>#VALUE!</v>
      </c>
      <c r="EF27" t="e">
        <f>AND(Plan1!K453,"AAAAAFv3d4c=")</f>
        <v>#VALUE!</v>
      </c>
      <c r="EG27" t="e">
        <f>AND(Plan1!L453,"AAAAAFv3d4g=")</f>
        <v>#VALUE!</v>
      </c>
      <c r="EH27" t="e">
        <f>AND(Plan1!M453,"AAAAAFv3d4k=")</f>
        <v>#VALUE!</v>
      </c>
      <c r="EI27" t="e">
        <f>AND(Plan1!N453,"AAAAAFv3d4o=")</f>
        <v>#VALUE!</v>
      </c>
      <c r="EJ27">
        <f>IF(Plan1!454:454,"AAAAAFv3d4s=",0)</f>
        <v>0</v>
      </c>
      <c r="EK27" t="e">
        <f>AND(Plan1!A454,"AAAAAFv3d4w=")</f>
        <v>#VALUE!</v>
      </c>
      <c r="EL27" t="e">
        <f>AND(Plan1!B454,"AAAAAFv3d40=")</f>
        <v>#VALUE!</v>
      </c>
      <c r="EM27" t="e">
        <f>AND(Plan1!C454,"AAAAAFv3d44=")</f>
        <v>#VALUE!</v>
      </c>
      <c r="EN27" t="e">
        <f>AND(Plan1!D454,"AAAAAFv3d48=")</f>
        <v>#VALUE!</v>
      </c>
      <c r="EO27" t="e">
        <f>AND(Plan1!E454,"AAAAAFv3d5A=")</f>
        <v>#VALUE!</v>
      </c>
      <c r="EP27" t="e">
        <f>AND(Plan1!F454,"AAAAAFv3d5E=")</f>
        <v>#VALUE!</v>
      </c>
      <c r="EQ27" t="e">
        <f>AND(Plan1!G454,"AAAAAFv3d5I=")</f>
        <v>#VALUE!</v>
      </c>
      <c r="ER27" t="e">
        <f>AND(Plan1!H454,"AAAAAFv3d5M=")</f>
        <v>#VALUE!</v>
      </c>
      <c r="ES27" t="e">
        <f>AND(Plan1!I454,"AAAAAFv3d5Q=")</f>
        <v>#VALUE!</v>
      </c>
      <c r="ET27" t="e">
        <f>AND(Plan1!J454,"AAAAAFv3d5U=")</f>
        <v>#VALUE!</v>
      </c>
      <c r="EU27" t="e">
        <f>AND(Plan1!K454,"AAAAAFv3d5Y=")</f>
        <v>#VALUE!</v>
      </c>
      <c r="EV27" t="e">
        <f>AND(Plan1!L454,"AAAAAFv3d5c=")</f>
        <v>#VALUE!</v>
      </c>
      <c r="EW27" t="e">
        <f>AND(Plan1!M454,"AAAAAFv3d5g=")</f>
        <v>#VALUE!</v>
      </c>
      <c r="EX27" t="e">
        <f>AND(Plan1!N454,"AAAAAFv3d5k=")</f>
        <v>#VALUE!</v>
      </c>
      <c r="EY27">
        <f>IF(Plan1!455:455,"AAAAAFv3d5o=",0)</f>
        <v>0</v>
      </c>
      <c r="EZ27" t="e">
        <f>AND(Plan1!A455,"AAAAAFv3d5s=")</f>
        <v>#VALUE!</v>
      </c>
      <c r="FA27" t="e">
        <f>AND(Plan1!B455,"AAAAAFv3d5w=")</f>
        <v>#VALUE!</v>
      </c>
      <c r="FB27" t="e">
        <f>AND(Plan1!C455,"AAAAAFv3d50=")</f>
        <v>#VALUE!</v>
      </c>
      <c r="FC27" t="e">
        <f>AND(Plan1!D455,"AAAAAFv3d54=")</f>
        <v>#VALUE!</v>
      </c>
      <c r="FD27" t="e">
        <f>AND(Plan1!E455,"AAAAAFv3d58=")</f>
        <v>#VALUE!</v>
      </c>
      <c r="FE27" t="e">
        <f>AND(Plan1!F455,"AAAAAFv3d6A=")</f>
        <v>#VALUE!</v>
      </c>
      <c r="FF27" t="e">
        <f>AND(Plan1!G455,"AAAAAFv3d6E=")</f>
        <v>#VALUE!</v>
      </c>
      <c r="FG27" t="e">
        <f>AND(Plan1!H455,"AAAAAFv3d6I=")</f>
        <v>#VALUE!</v>
      </c>
      <c r="FH27" t="e">
        <f>AND(Plan1!I455,"AAAAAFv3d6M=")</f>
        <v>#VALUE!</v>
      </c>
      <c r="FI27" t="e">
        <f>AND(Plan1!J455,"AAAAAFv3d6Q=")</f>
        <v>#VALUE!</v>
      </c>
      <c r="FJ27" t="e">
        <f>AND(Plan1!K455,"AAAAAFv3d6U=")</f>
        <v>#VALUE!</v>
      </c>
      <c r="FK27" t="e">
        <f>AND(Plan1!L455,"AAAAAFv3d6Y=")</f>
        <v>#VALUE!</v>
      </c>
      <c r="FL27" t="e">
        <f>AND(Plan1!M455,"AAAAAFv3d6c=")</f>
        <v>#VALUE!</v>
      </c>
      <c r="FM27" t="e">
        <f>AND(Plan1!N455,"AAAAAFv3d6g=")</f>
        <v>#VALUE!</v>
      </c>
      <c r="FN27">
        <f>IF(Plan1!456:456,"AAAAAFv3d6k=",0)</f>
        <v>0</v>
      </c>
      <c r="FO27" t="e">
        <f>AND(Plan1!A456,"AAAAAFv3d6o=")</f>
        <v>#VALUE!</v>
      </c>
      <c r="FP27" t="e">
        <f>AND(Plan1!B456,"AAAAAFv3d6s=")</f>
        <v>#VALUE!</v>
      </c>
      <c r="FQ27" t="e">
        <f>AND(Plan1!C456,"AAAAAFv3d6w=")</f>
        <v>#VALUE!</v>
      </c>
      <c r="FR27" t="e">
        <f>AND(Plan1!D456,"AAAAAFv3d60=")</f>
        <v>#VALUE!</v>
      </c>
      <c r="FS27" t="e">
        <f>AND(Plan1!E456,"AAAAAFv3d64=")</f>
        <v>#VALUE!</v>
      </c>
      <c r="FT27" t="e">
        <f>AND(Plan1!F456,"AAAAAFv3d68=")</f>
        <v>#VALUE!</v>
      </c>
      <c r="FU27" t="e">
        <f>AND(Plan1!G456,"AAAAAFv3d7A=")</f>
        <v>#VALUE!</v>
      </c>
      <c r="FV27" t="e">
        <f>AND(Plan1!H456,"AAAAAFv3d7E=")</f>
        <v>#VALUE!</v>
      </c>
      <c r="FW27" t="e">
        <f>AND(Plan1!I456,"AAAAAFv3d7I=")</f>
        <v>#VALUE!</v>
      </c>
      <c r="FX27" t="e">
        <f>AND(Plan1!J456,"AAAAAFv3d7M=")</f>
        <v>#VALUE!</v>
      </c>
      <c r="FY27" t="e">
        <f>AND(Plan1!K456,"AAAAAFv3d7Q=")</f>
        <v>#VALUE!</v>
      </c>
      <c r="FZ27" t="e">
        <f>AND(Plan1!L456,"AAAAAFv3d7U=")</f>
        <v>#VALUE!</v>
      </c>
      <c r="GA27" t="e">
        <f>AND(Plan1!M456,"AAAAAFv3d7Y=")</f>
        <v>#VALUE!</v>
      </c>
      <c r="GB27" t="e">
        <f>AND(Plan1!N456,"AAAAAFv3d7c=")</f>
        <v>#VALUE!</v>
      </c>
      <c r="GC27">
        <f>IF(Plan1!457:457,"AAAAAFv3d7g=",0)</f>
        <v>0</v>
      </c>
      <c r="GD27" t="e">
        <f>AND(Plan1!A457,"AAAAAFv3d7k=")</f>
        <v>#VALUE!</v>
      </c>
      <c r="GE27" t="e">
        <f>AND(Plan1!B457,"AAAAAFv3d7o=")</f>
        <v>#VALUE!</v>
      </c>
      <c r="GF27" t="e">
        <f>AND(Plan1!C457,"AAAAAFv3d7s=")</f>
        <v>#VALUE!</v>
      </c>
      <c r="GG27" t="e">
        <f>AND(Plan1!D457,"AAAAAFv3d7w=")</f>
        <v>#VALUE!</v>
      </c>
      <c r="GH27" t="e">
        <f>AND(Plan1!E457,"AAAAAFv3d70=")</f>
        <v>#VALUE!</v>
      </c>
      <c r="GI27" t="e">
        <f>AND(Plan1!F457,"AAAAAFv3d74=")</f>
        <v>#VALUE!</v>
      </c>
      <c r="GJ27" t="e">
        <f>AND(Plan1!G457,"AAAAAFv3d78=")</f>
        <v>#VALUE!</v>
      </c>
      <c r="GK27" t="e">
        <f>AND(Plan1!H457,"AAAAAFv3d8A=")</f>
        <v>#VALUE!</v>
      </c>
      <c r="GL27" t="e">
        <f>AND(Plan1!I457,"AAAAAFv3d8E=")</f>
        <v>#VALUE!</v>
      </c>
      <c r="GM27" t="e">
        <f>AND(Plan1!J457,"AAAAAFv3d8I=")</f>
        <v>#VALUE!</v>
      </c>
      <c r="GN27" t="e">
        <f>AND(Plan1!K457,"AAAAAFv3d8M=")</f>
        <v>#VALUE!</v>
      </c>
      <c r="GO27" t="e">
        <f>AND(Plan1!L457,"AAAAAFv3d8Q=")</f>
        <v>#VALUE!</v>
      </c>
      <c r="GP27" t="e">
        <f>AND(Plan1!M457,"AAAAAFv3d8U=")</f>
        <v>#VALUE!</v>
      </c>
      <c r="GQ27" t="e">
        <f>AND(Plan1!N457,"AAAAAFv3d8Y=")</f>
        <v>#VALUE!</v>
      </c>
      <c r="GR27">
        <f>IF(Plan1!458:458,"AAAAAFv3d8c=",0)</f>
        <v>0</v>
      </c>
      <c r="GS27" t="e">
        <f>AND(Plan1!A458,"AAAAAFv3d8g=")</f>
        <v>#VALUE!</v>
      </c>
      <c r="GT27" t="e">
        <f>AND(Plan1!B458,"AAAAAFv3d8k=")</f>
        <v>#VALUE!</v>
      </c>
      <c r="GU27" t="e">
        <f>AND(Plan1!C458,"AAAAAFv3d8o=")</f>
        <v>#VALUE!</v>
      </c>
      <c r="GV27" t="e">
        <f>AND(Plan1!D458,"AAAAAFv3d8s=")</f>
        <v>#VALUE!</v>
      </c>
      <c r="GW27" t="e">
        <f>AND(Plan1!E458,"AAAAAFv3d8w=")</f>
        <v>#VALUE!</v>
      </c>
      <c r="GX27" t="e">
        <f>AND(Plan1!F458,"AAAAAFv3d80=")</f>
        <v>#VALUE!</v>
      </c>
      <c r="GY27" t="e">
        <f>AND(Plan1!G458,"AAAAAFv3d84=")</f>
        <v>#VALUE!</v>
      </c>
      <c r="GZ27" t="e">
        <f>AND(Plan1!H458,"AAAAAFv3d88=")</f>
        <v>#VALUE!</v>
      </c>
      <c r="HA27" t="e">
        <f>AND(Plan1!I458,"AAAAAFv3d9A=")</f>
        <v>#VALUE!</v>
      </c>
      <c r="HB27" t="e">
        <f>AND(Plan1!J458,"AAAAAFv3d9E=")</f>
        <v>#VALUE!</v>
      </c>
      <c r="HC27" t="e">
        <f>AND(Plan1!K458,"AAAAAFv3d9I=")</f>
        <v>#VALUE!</v>
      </c>
      <c r="HD27" t="e">
        <f>AND(Plan1!L458,"AAAAAFv3d9M=")</f>
        <v>#VALUE!</v>
      </c>
      <c r="HE27" t="e">
        <f>AND(Plan1!M458,"AAAAAFv3d9Q=")</f>
        <v>#VALUE!</v>
      </c>
      <c r="HF27" t="e">
        <f>AND(Plan1!N458,"AAAAAFv3d9U=")</f>
        <v>#VALUE!</v>
      </c>
      <c r="HG27">
        <f>IF(Plan1!459:459,"AAAAAFv3d9Y=",0)</f>
        <v>0</v>
      </c>
      <c r="HH27" t="e">
        <f>AND(Plan1!A459,"AAAAAFv3d9c=")</f>
        <v>#VALUE!</v>
      </c>
      <c r="HI27" t="e">
        <f>AND(Plan1!B459,"AAAAAFv3d9g=")</f>
        <v>#VALUE!</v>
      </c>
      <c r="HJ27" t="e">
        <f>AND(Plan1!C459,"AAAAAFv3d9k=")</f>
        <v>#VALUE!</v>
      </c>
      <c r="HK27" t="e">
        <f>AND(Plan1!D459,"AAAAAFv3d9o=")</f>
        <v>#VALUE!</v>
      </c>
      <c r="HL27" t="e">
        <f>AND(Plan1!E459,"AAAAAFv3d9s=")</f>
        <v>#VALUE!</v>
      </c>
      <c r="HM27" t="e">
        <f>AND(Plan1!F459,"AAAAAFv3d9w=")</f>
        <v>#VALUE!</v>
      </c>
      <c r="HN27" t="e">
        <f>AND(Plan1!G459,"AAAAAFv3d90=")</f>
        <v>#VALUE!</v>
      </c>
      <c r="HO27" t="e">
        <f>AND(Plan1!H459,"AAAAAFv3d94=")</f>
        <v>#VALUE!</v>
      </c>
      <c r="HP27" t="e">
        <f>AND(Plan1!I459,"AAAAAFv3d98=")</f>
        <v>#VALUE!</v>
      </c>
      <c r="HQ27" t="e">
        <f>AND(Plan1!J459,"AAAAAFv3d+A=")</f>
        <v>#VALUE!</v>
      </c>
      <c r="HR27" t="e">
        <f>AND(Plan1!K459,"AAAAAFv3d+E=")</f>
        <v>#VALUE!</v>
      </c>
      <c r="HS27" t="e">
        <f>AND(Plan1!L459,"AAAAAFv3d+I=")</f>
        <v>#VALUE!</v>
      </c>
      <c r="HT27" t="e">
        <f>AND(Plan1!M459,"AAAAAFv3d+M=")</f>
        <v>#VALUE!</v>
      </c>
      <c r="HU27" t="e">
        <f>AND(Plan1!N459,"AAAAAFv3d+Q=")</f>
        <v>#VALUE!</v>
      </c>
      <c r="HV27">
        <f>IF(Plan1!460:460,"AAAAAFv3d+U=",0)</f>
        <v>0</v>
      </c>
      <c r="HW27" t="e">
        <f>AND(Plan1!A460,"AAAAAFv3d+Y=")</f>
        <v>#VALUE!</v>
      </c>
      <c r="HX27" t="e">
        <f>AND(Plan1!B460,"AAAAAFv3d+c=")</f>
        <v>#VALUE!</v>
      </c>
      <c r="HY27" t="e">
        <f>AND(Plan1!C460,"AAAAAFv3d+g=")</f>
        <v>#VALUE!</v>
      </c>
      <c r="HZ27" t="e">
        <f>AND(Plan1!D460,"AAAAAFv3d+k=")</f>
        <v>#VALUE!</v>
      </c>
      <c r="IA27" t="e">
        <f>AND(Plan1!E460,"AAAAAFv3d+o=")</f>
        <v>#VALUE!</v>
      </c>
      <c r="IB27" t="e">
        <f>AND(Plan1!F460,"AAAAAFv3d+s=")</f>
        <v>#VALUE!</v>
      </c>
      <c r="IC27" t="e">
        <f>AND(Plan1!G460,"AAAAAFv3d+w=")</f>
        <v>#VALUE!</v>
      </c>
      <c r="ID27" t="e">
        <f>AND(Plan1!H460,"AAAAAFv3d+0=")</f>
        <v>#VALUE!</v>
      </c>
      <c r="IE27" t="e">
        <f>AND(Plan1!I460,"AAAAAFv3d+4=")</f>
        <v>#VALUE!</v>
      </c>
      <c r="IF27" t="e">
        <f>AND(Plan1!J460,"AAAAAFv3d+8=")</f>
        <v>#VALUE!</v>
      </c>
      <c r="IG27" t="e">
        <f>AND(Plan1!K460,"AAAAAFv3d/A=")</f>
        <v>#VALUE!</v>
      </c>
      <c r="IH27" t="e">
        <f>AND(Plan1!L460,"AAAAAFv3d/E=")</f>
        <v>#VALUE!</v>
      </c>
      <c r="II27" t="e">
        <f>AND(Plan1!M460,"AAAAAFv3d/I=")</f>
        <v>#VALUE!</v>
      </c>
      <c r="IJ27" t="e">
        <f>AND(Plan1!N460,"AAAAAFv3d/M=")</f>
        <v>#VALUE!</v>
      </c>
      <c r="IK27">
        <f>IF(Plan1!461:461,"AAAAAFv3d/Q=",0)</f>
        <v>0</v>
      </c>
      <c r="IL27" t="e">
        <f>AND(Plan1!A461,"AAAAAFv3d/U=")</f>
        <v>#VALUE!</v>
      </c>
      <c r="IM27" t="e">
        <f>AND(Plan1!B461,"AAAAAFv3d/Y=")</f>
        <v>#VALUE!</v>
      </c>
      <c r="IN27" t="e">
        <f>AND(Plan1!C461,"AAAAAFv3d/c=")</f>
        <v>#VALUE!</v>
      </c>
      <c r="IO27" t="e">
        <f>AND(Plan1!D461,"AAAAAFv3d/g=")</f>
        <v>#VALUE!</v>
      </c>
      <c r="IP27" t="e">
        <f>AND(Plan1!E461,"AAAAAFv3d/k=")</f>
        <v>#VALUE!</v>
      </c>
      <c r="IQ27" t="e">
        <f>AND(Plan1!F461,"AAAAAFv3d/o=")</f>
        <v>#VALUE!</v>
      </c>
      <c r="IR27" t="e">
        <f>AND(Plan1!G461,"AAAAAFv3d/s=")</f>
        <v>#VALUE!</v>
      </c>
      <c r="IS27" t="e">
        <f>AND(Plan1!H461,"AAAAAFv3d/w=")</f>
        <v>#VALUE!</v>
      </c>
      <c r="IT27" t="e">
        <f>AND(Plan1!I461,"AAAAAFv3d/0=")</f>
        <v>#VALUE!</v>
      </c>
      <c r="IU27" t="e">
        <f>AND(Plan1!J461,"AAAAAFv3d/4=")</f>
        <v>#VALUE!</v>
      </c>
      <c r="IV27" t="e">
        <f>AND(Plan1!K461,"AAAAAFv3d/8=")</f>
        <v>#VALUE!</v>
      </c>
    </row>
    <row r="28" spans="1:256">
      <c r="A28" t="e">
        <f>AND(Plan1!L461,"AAAAAFD79gA=")</f>
        <v>#VALUE!</v>
      </c>
      <c r="B28" t="e">
        <f>AND(Plan1!M461,"AAAAAFD79gE=")</f>
        <v>#VALUE!</v>
      </c>
      <c r="C28" t="e">
        <f>AND(Plan1!N461,"AAAAAFD79gI=")</f>
        <v>#VALUE!</v>
      </c>
      <c r="D28" t="e">
        <f>IF(Plan1!462:462,"AAAAAFD79gM=",0)</f>
        <v>#VALUE!</v>
      </c>
      <c r="E28" t="e">
        <f>AND(Plan1!A462,"AAAAAFD79gQ=")</f>
        <v>#VALUE!</v>
      </c>
      <c r="F28" t="e">
        <f>AND(Plan1!B462,"AAAAAFD79gU=")</f>
        <v>#VALUE!</v>
      </c>
      <c r="G28" t="e">
        <f>AND(Plan1!C462,"AAAAAFD79gY=")</f>
        <v>#VALUE!</v>
      </c>
      <c r="H28" t="e">
        <f>AND(Plan1!D462,"AAAAAFD79gc=")</f>
        <v>#VALUE!</v>
      </c>
      <c r="I28" t="e">
        <f>AND(Plan1!E462,"AAAAAFD79gg=")</f>
        <v>#VALUE!</v>
      </c>
      <c r="J28" t="e">
        <f>AND(Plan1!F462,"AAAAAFD79gk=")</f>
        <v>#VALUE!</v>
      </c>
      <c r="K28" t="e">
        <f>AND(Plan1!G462,"AAAAAFD79go=")</f>
        <v>#VALUE!</v>
      </c>
      <c r="L28" t="e">
        <f>AND(Plan1!H462,"AAAAAFD79gs=")</f>
        <v>#VALUE!</v>
      </c>
      <c r="M28" t="e">
        <f>AND(Plan1!I462,"AAAAAFD79gw=")</f>
        <v>#VALUE!</v>
      </c>
      <c r="N28" t="e">
        <f>AND(Plan1!J462,"AAAAAFD79g0=")</f>
        <v>#VALUE!</v>
      </c>
      <c r="O28" t="e">
        <f>AND(Plan1!K462,"AAAAAFD79g4=")</f>
        <v>#VALUE!</v>
      </c>
      <c r="P28" t="e">
        <f>AND(Plan1!L462,"AAAAAFD79g8=")</f>
        <v>#VALUE!</v>
      </c>
      <c r="Q28" t="e">
        <f>AND(Plan1!M462,"AAAAAFD79hA=")</f>
        <v>#VALUE!</v>
      </c>
      <c r="R28" t="e">
        <f>AND(Plan1!N462,"AAAAAFD79hE=")</f>
        <v>#VALUE!</v>
      </c>
      <c r="S28">
        <f>IF(Plan1!463:463,"AAAAAFD79hI=",0)</f>
        <v>0</v>
      </c>
      <c r="T28" t="e">
        <f>AND(Plan1!A463,"AAAAAFD79hM=")</f>
        <v>#VALUE!</v>
      </c>
      <c r="U28" t="e">
        <f>AND(Plan1!B463,"AAAAAFD79hQ=")</f>
        <v>#VALUE!</v>
      </c>
      <c r="V28" t="e">
        <f>AND(Plan1!C463,"AAAAAFD79hU=")</f>
        <v>#VALUE!</v>
      </c>
      <c r="W28" t="e">
        <f>AND(Plan1!D463,"AAAAAFD79hY=")</f>
        <v>#VALUE!</v>
      </c>
      <c r="X28" t="e">
        <f>AND(Plan1!E463,"AAAAAFD79hc=")</f>
        <v>#VALUE!</v>
      </c>
      <c r="Y28" t="e">
        <f>AND(Plan1!F463,"AAAAAFD79hg=")</f>
        <v>#VALUE!</v>
      </c>
      <c r="Z28" t="e">
        <f>AND(Plan1!G463,"AAAAAFD79hk=")</f>
        <v>#VALUE!</v>
      </c>
      <c r="AA28" t="e">
        <f>AND(Plan1!H463,"AAAAAFD79ho=")</f>
        <v>#VALUE!</v>
      </c>
      <c r="AB28" t="e">
        <f>AND(Plan1!I463,"AAAAAFD79hs=")</f>
        <v>#VALUE!</v>
      </c>
      <c r="AC28" t="e">
        <f>AND(Plan1!J463,"AAAAAFD79hw=")</f>
        <v>#VALUE!</v>
      </c>
      <c r="AD28" t="e">
        <f>AND(Plan1!K463,"AAAAAFD79h0=")</f>
        <v>#VALUE!</v>
      </c>
      <c r="AE28" t="e">
        <f>AND(Plan1!L463,"AAAAAFD79h4=")</f>
        <v>#VALUE!</v>
      </c>
      <c r="AF28" t="e">
        <f>AND(Plan1!M463,"AAAAAFD79h8=")</f>
        <v>#VALUE!</v>
      </c>
      <c r="AG28" t="e">
        <f>AND(Plan1!N463,"AAAAAFD79iA=")</f>
        <v>#VALUE!</v>
      </c>
      <c r="AH28">
        <f>IF(Plan1!464:464,"AAAAAFD79iE=",0)</f>
        <v>0</v>
      </c>
      <c r="AI28" t="e">
        <f>AND(Plan1!A464,"AAAAAFD79iI=")</f>
        <v>#VALUE!</v>
      </c>
      <c r="AJ28" t="e">
        <f>AND(Plan1!B464,"AAAAAFD79iM=")</f>
        <v>#VALUE!</v>
      </c>
      <c r="AK28" t="e">
        <f>AND(Plan1!C464,"AAAAAFD79iQ=")</f>
        <v>#VALUE!</v>
      </c>
      <c r="AL28" t="e">
        <f>AND(Plan1!D464,"AAAAAFD79iU=")</f>
        <v>#VALUE!</v>
      </c>
      <c r="AM28" t="e">
        <f>AND(Plan1!E464,"AAAAAFD79iY=")</f>
        <v>#VALUE!</v>
      </c>
      <c r="AN28" t="e">
        <f>AND(Plan1!F464,"AAAAAFD79ic=")</f>
        <v>#VALUE!</v>
      </c>
      <c r="AO28" t="e">
        <f>AND(Plan1!G464,"AAAAAFD79ig=")</f>
        <v>#VALUE!</v>
      </c>
      <c r="AP28" t="e">
        <f>AND(Plan1!H464,"AAAAAFD79ik=")</f>
        <v>#VALUE!</v>
      </c>
      <c r="AQ28" t="e">
        <f>AND(Plan1!I464,"AAAAAFD79io=")</f>
        <v>#VALUE!</v>
      </c>
      <c r="AR28" t="e">
        <f>AND(Plan1!J464,"AAAAAFD79is=")</f>
        <v>#VALUE!</v>
      </c>
      <c r="AS28" t="e">
        <f>AND(Plan1!K464,"AAAAAFD79iw=")</f>
        <v>#VALUE!</v>
      </c>
      <c r="AT28" t="e">
        <f>AND(Plan1!L464,"AAAAAFD79i0=")</f>
        <v>#VALUE!</v>
      </c>
      <c r="AU28" t="e">
        <f>AND(Plan1!M464,"AAAAAFD79i4=")</f>
        <v>#VALUE!</v>
      </c>
      <c r="AV28" t="e">
        <f>AND(Plan1!N464,"AAAAAFD79i8=")</f>
        <v>#VALUE!</v>
      </c>
      <c r="AW28">
        <f>IF(Plan1!465:465,"AAAAAFD79jA=",0)</f>
        <v>0</v>
      </c>
      <c r="AX28" t="e">
        <f>AND(Plan1!A465,"AAAAAFD79jE=")</f>
        <v>#VALUE!</v>
      </c>
      <c r="AY28" t="e">
        <f>AND(Plan1!B465,"AAAAAFD79jI=")</f>
        <v>#VALUE!</v>
      </c>
      <c r="AZ28" t="e">
        <f>AND(Plan1!C465,"AAAAAFD79jM=")</f>
        <v>#VALUE!</v>
      </c>
      <c r="BA28" t="e">
        <f>AND(Plan1!D465,"AAAAAFD79jQ=")</f>
        <v>#VALUE!</v>
      </c>
      <c r="BB28" t="e">
        <f>AND(Plan1!E465,"AAAAAFD79jU=")</f>
        <v>#VALUE!</v>
      </c>
      <c r="BC28" t="e">
        <f>AND(Plan1!F465,"AAAAAFD79jY=")</f>
        <v>#VALUE!</v>
      </c>
      <c r="BD28" t="e">
        <f>AND(Plan1!G465,"AAAAAFD79jc=")</f>
        <v>#VALUE!</v>
      </c>
      <c r="BE28" t="e">
        <f>AND(Plan1!H465,"AAAAAFD79jg=")</f>
        <v>#VALUE!</v>
      </c>
      <c r="BF28" t="e">
        <f>AND(Plan1!I465,"AAAAAFD79jk=")</f>
        <v>#VALUE!</v>
      </c>
      <c r="BG28" t="e">
        <f>AND(Plan1!J465,"AAAAAFD79jo=")</f>
        <v>#VALUE!</v>
      </c>
      <c r="BH28" t="e">
        <f>AND(Plan1!K465,"AAAAAFD79js=")</f>
        <v>#VALUE!</v>
      </c>
      <c r="BI28" t="e">
        <f>AND(Plan1!L465,"AAAAAFD79jw=")</f>
        <v>#VALUE!</v>
      </c>
      <c r="BJ28" t="e">
        <f>AND(Plan1!M465,"AAAAAFD79j0=")</f>
        <v>#VALUE!</v>
      </c>
      <c r="BK28" t="e">
        <f>AND(Plan1!N465,"AAAAAFD79j4=")</f>
        <v>#VALUE!</v>
      </c>
      <c r="BL28">
        <f>IF(Plan1!466:466,"AAAAAFD79j8=",0)</f>
        <v>0</v>
      </c>
      <c r="BM28" t="e">
        <f>AND(Plan1!A466,"AAAAAFD79kA=")</f>
        <v>#VALUE!</v>
      </c>
      <c r="BN28" t="e">
        <f>AND(Plan1!B466,"AAAAAFD79kE=")</f>
        <v>#VALUE!</v>
      </c>
      <c r="BO28" t="e">
        <f>AND(Plan1!C466,"AAAAAFD79kI=")</f>
        <v>#VALUE!</v>
      </c>
      <c r="BP28" t="e">
        <f>AND(Plan1!D466,"AAAAAFD79kM=")</f>
        <v>#VALUE!</v>
      </c>
      <c r="BQ28" t="e">
        <f>AND(Plan1!E466,"AAAAAFD79kQ=")</f>
        <v>#VALUE!</v>
      </c>
      <c r="BR28" t="e">
        <f>AND(Plan1!F466,"AAAAAFD79kU=")</f>
        <v>#VALUE!</v>
      </c>
      <c r="BS28" t="e">
        <f>AND(Plan1!G466,"AAAAAFD79kY=")</f>
        <v>#VALUE!</v>
      </c>
      <c r="BT28" t="e">
        <f>AND(Plan1!H466,"AAAAAFD79kc=")</f>
        <v>#VALUE!</v>
      </c>
      <c r="BU28" t="e">
        <f>AND(Plan1!I466,"AAAAAFD79kg=")</f>
        <v>#VALUE!</v>
      </c>
      <c r="BV28" t="e">
        <f>AND(Plan1!J466,"AAAAAFD79kk=")</f>
        <v>#VALUE!</v>
      </c>
      <c r="BW28" t="e">
        <f>AND(Plan1!K466,"AAAAAFD79ko=")</f>
        <v>#VALUE!</v>
      </c>
      <c r="BX28" t="e">
        <f>AND(Plan1!L466,"AAAAAFD79ks=")</f>
        <v>#VALUE!</v>
      </c>
      <c r="BY28" t="e">
        <f>AND(Plan1!M466,"AAAAAFD79kw=")</f>
        <v>#VALUE!</v>
      </c>
      <c r="BZ28" t="e">
        <f>AND(Plan1!N466,"AAAAAFD79k0=")</f>
        <v>#VALUE!</v>
      </c>
      <c r="CA28">
        <f>IF(Plan1!467:467,"AAAAAFD79k4=",0)</f>
        <v>0</v>
      </c>
      <c r="CB28" t="e">
        <f>AND(Plan1!A467,"AAAAAFD79k8=")</f>
        <v>#VALUE!</v>
      </c>
      <c r="CC28" t="e">
        <f>AND(Plan1!B467,"AAAAAFD79lA=")</f>
        <v>#VALUE!</v>
      </c>
      <c r="CD28" t="e">
        <f>AND(Plan1!C467,"AAAAAFD79lE=")</f>
        <v>#VALUE!</v>
      </c>
      <c r="CE28" t="e">
        <f>AND(Plan1!D467,"AAAAAFD79lI=")</f>
        <v>#VALUE!</v>
      </c>
      <c r="CF28" t="e">
        <f>AND(Plan1!E467,"AAAAAFD79lM=")</f>
        <v>#VALUE!</v>
      </c>
      <c r="CG28" t="e">
        <f>AND(Plan1!F467,"AAAAAFD79lQ=")</f>
        <v>#VALUE!</v>
      </c>
      <c r="CH28" t="e">
        <f>AND(Plan1!G467,"AAAAAFD79lU=")</f>
        <v>#VALUE!</v>
      </c>
      <c r="CI28" t="e">
        <f>AND(Plan1!H467,"AAAAAFD79lY=")</f>
        <v>#VALUE!</v>
      </c>
      <c r="CJ28" t="e">
        <f>AND(Plan1!I467,"AAAAAFD79lc=")</f>
        <v>#VALUE!</v>
      </c>
      <c r="CK28" t="e">
        <f>AND(Plan1!J467,"AAAAAFD79lg=")</f>
        <v>#VALUE!</v>
      </c>
      <c r="CL28" t="e">
        <f>AND(Plan1!K467,"AAAAAFD79lk=")</f>
        <v>#VALUE!</v>
      </c>
      <c r="CM28" t="e">
        <f>AND(Plan1!L467,"AAAAAFD79lo=")</f>
        <v>#VALUE!</v>
      </c>
      <c r="CN28" t="e">
        <f>AND(Plan1!M467,"AAAAAFD79ls=")</f>
        <v>#VALUE!</v>
      </c>
      <c r="CO28" t="e">
        <f>AND(Plan1!N467,"AAAAAFD79lw=")</f>
        <v>#VALUE!</v>
      </c>
      <c r="CP28">
        <f>IF(Plan1!468:468,"AAAAAFD79l0=",0)</f>
        <v>0</v>
      </c>
      <c r="CQ28" t="e">
        <f>AND(Plan1!A468,"AAAAAFD79l4=")</f>
        <v>#VALUE!</v>
      </c>
      <c r="CR28" t="e">
        <f>AND(Plan1!B468,"AAAAAFD79l8=")</f>
        <v>#VALUE!</v>
      </c>
      <c r="CS28" t="e">
        <f>AND(Plan1!C468,"AAAAAFD79mA=")</f>
        <v>#VALUE!</v>
      </c>
      <c r="CT28" t="e">
        <f>AND(Plan1!D468,"AAAAAFD79mE=")</f>
        <v>#VALUE!</v>
      </c>
      <c r="CU28" t="e">
        <f>AND(Plan1!E468,"AAAAAFD79mI=")</f>
        <v>#VALUE!</v>
      </c>
      <c r="CV28" t="e">
        <f>AND(Plan1!F468,"AAAAAFD79mM=")</f>
        <v>#VALUE!</v>
      </c>
      <c r="CW28" t="e">
        <f>AND(Plan1!G468,"AAAAAFD79mQ=")</f>
        <v>#VALUE!</v>
      </c>
      <c r="CX28" t="e">
        <f>AND(Plan1!H468,"AAAAAFD79mU=")</f>
        <v>#VALUE!</v>
      </c>
      <c r="CY28" t="e">
        <f>AND(Plan1!I468,"AAAAAFD79mY=")</f>
        <v>#VALUE!</v>
      </c>
      <c r="CZ28" t="e">
        <f>AND(Plan1!J468,"AAAAAFD79mc=")</f>
        <v>#VALUE!</v>
      </c>
      <c r="DA28" t="e">
        <f>AND(Plan1!K468,"AAAAAFD79mg=")</f>
        <v>#VALUE!</v>
      </c>
      <c r="DB28" t="e">
        <f>AND(Plan1!L468,"AAAAAFD79mk=")</f>
        <v>#VALUE!</v>
      </c>
      <c r="DC28" t="e">
        <f>AND(Plan1!M468,"AAAAAFD79mo=")</f>
        <v>#VALUE!</v>
      </c>
      <c r="DD28" t="e">
        <f>AND(Plan1!N468,"AAAAAFD79ms=")</f>
        <v>#VALUE!</v>
      </c>
      <c r="DE28">
        <f>IF(Plan1!469:469,"AAAAAFD79mw=",0)</f>
        <v>0</v>
      </c>
      <c r="DF28" t="e">
        <f>AND(Plan1!A469,"AAAAAFD79m0=")</f>
        <v>#VALUE!</v>
      </c>
      <c r="DG28" t="e">
        <f>AND(Plan1!B469,"AAAAAFD79m4=")</f>
        <v>#VALUE!</v>
      </c>
      <c r="DH28" t="e">
        <f>AND(Plan1!C469,"AAAAAFD79m8=")</f>
        <v>#VALUE!</v>
      </c>
      <c r="DI28" t="e">
        <f>AND(Plan1!D469,"AAAAAFD79nA=")</f>
        <v>#VALUE!</v>
      </c>
      <c r="DJ28" t="e">
        <f>AND(Plan1!E469,"AAAAAFD79nE=")</f>
        <v>#VALUE!</v>
      </c>
      <c r="DK28" t="e">
        <f>AND(Plan1!F469,"AAAAAFD79nI=")</f>
        <v>#VALUE!</v>
      </c>
      <c r="DL28" t="e">
        <f>AND(Plan1!G469,"AAAAAFD79nM=")</f>
        <v>#VALUE!</v>
      </c>
      <c r="DM28" t="e">
        <f>AND(Plan1!H469,"AAAAAFD79nQ=")</f>
        <v>#VALUE!</v>
      </c>
      <c r="DN28" t="e">
        <f>AND(Plan1!I469,"AAAAAFD79nU=")</f>
        <v>#VALUE!</v>
      </c>
      <c r="DO28" t="e">
        <f>AND(Plan1!J469,"AAAAAFD79nY=")</f>
        <v>#VALUE!</v>
      </c>
      <c r="DP28" t="e">
        <f>AND(Plan1!K469,"AAAAAFD79nc=")</f>
        <v>#VALUE!</v>
      </c>
      <c r="DQ28" t="e">
        <f>AND(Plan1!L469,"AAAAAFD79ng=")</f>
        <v>#VALUE!</v>
      </c>
      <c r="DR28" t="e">
        <f>AND(Plan1!M469,"AAAAAFD79nk=")</f>
        <v>#VALUE!</v>
      </c>
      <c r="DS28" t="e">
        <f>AND(Plan1!N469,"AAAAAFD79no=")</f>
        <v>#VALUE!</v>
      </c>
      <c r="DT28">
        <f>IF(Plan1!470:470,"AAAAAFD79ns=",0)</f>
        <v>0</v>
      </c>
      <c r="DU28" t="e">
        <f>AND(Plan1!A470,"AAAAAFD79nw=")</f>
        <v>#VALUE!</v>
      </c>
      <c r="DV28" t="e">
        <f>AND(Plan1!B470,"AAAAAFD79n0=")</f>
        <v>#VALUE!</v>
      </c>
      <c r="DW28" t="e">
        <f>AND(Plan1!C470,"AAAAAFD79n4=")</f>
        <v>#VALUE!</v>
      </c>
      <c r="DX28" t="e">
        <f>AND(Plan1!D470,"AAAAAFD79n8=")</f>
        <v>#VALUE!</v>
      </c>
      <c r="DY28" t="e">
        <f>AND(Plan1!E470,"AAAAAFD79oA=")</f>
        <v>#VALUE!</v>
      </c>
      <c r="DZ28" t="e">
        <f>AND(Plan1!F470,"AAAAAFD79oE=")</f>
        <v>#VALUE!</v>
      </c>
      <c r="EA28" t="e">
        <f>AND(Plan1!G470,"AAAAAFD79oI=")</f>
        <v>#VALUE!</v>
      </c>
      <c r="EB28" t="e">
        <f>AND(Plan1!H470,"AAAAAFD79oM=")</f>
        <v>#VALUE!</v>
      </c>
      <c r="EC28" t="e">
        <f>AND(Plan1!I470,"AAAAAFD79oQ=")</f>
        <v>#VALUE!</v>
      </c>
      <c r="ED28" t="e">
        <f>AND(Plan1!J470,"AAAAAFD79oU=")</f>
        <v>#VALUE!</v>
      </c>
      <c r="EE28" t="e">
        <f>AND(Plan1!K470,"AAAAAFD79oY=")</f>
        <v>#VALUE!</v>
      </c>
      <c r="EF28" t="e">
        <f>AND(Plan1!L470,"AAAAAFD79oc=")</f>
        <v>#VALUE!</v>
      </c>
      <c r="EG28" t="e">
        <f>AND(Plan1!M470,"AAAAAFD79og=")</f>
        <v>#VALUE!</v>
      </c>
      <c r="EH28" t="e">
        <f>AND(Plan1!N470,"AAAAAFD79ok=")</f>
        <v>#VALUE!</v>
      </c>
      <c r="EI28">
        <f>IF(Plan1!471:471,"AAAAAFD79oo=",0)</f>
        <v>0</v>
      </c>
      <c r="EJ28" t="e">
        <f>AND(Plan1!A471,"AAAAAFD79os=")</f>
        <v>#VALUE!</v>
      </c>
      <c r="EK28" t="e">
        <f>AND(Plan1!B471,"AAAAAFD79ow=")</f>
        <v>#VALUE!</v>
      </c>
      <c r="EL28" t="e">
        <f>AND(Plan1!C471,"AAAAAFD79o0=")</f>
        <v>#VALUE!</v>
      </c>
      <c r="EM28" t="e">
        <f>AND(Plan1!D471,"AAAAAFD79o4=")</f>
        <v>#VALUE!</v>
      </c>
      <c r="EN28" t="e">
        <f>AND(Plan1!E471,"AAAAAFD79o8=")</f>
        <v>#VALUE!</v>
      </c>
      <c r="EO28" t="e">
        <f>AND(Plan1!F471,"AAAAAFD79pA=")</f>
        <v>#VALUE!</v>
      </c>
      <c r="EP28" t="e">
        <f>AND(Plan1!G471,"AAAAAFD79pE=")</f>
        <v>#VALUE!</v>
      </c>
      <c r="EQ28" t="e">
        <f>AND(Plan1!H471,"AAAAAFD79pI=")</f>
        <v>#VALUE!</v>
      </c>
      <c r="ER28" t="e">
        <f>AND(Plan1!I471,"AAAAAFD79pM=")</f>
        <v>#VALUE!</v>
      </c>
      <c r="ES28" t="e">
        <f>AND(Plan1!J471,"AAAAAFD79pQ=")</f>
        <v>#VALUE!</v>
      </c>
      <c r="ET28" t="e">
        <f>AND(Plan1!K471,"AAAAAFD79pU=")</f>
        <v>#VALUE!</v>
      </c>
      <c r="EU28" t="e">
        <f>AND(Plan1!L471,"AAAAAFD79pY=")</f>
        <v>#VALUE!</v>
      </c>
      <c r="EV28" t="e">
        <f>AND(Plan1!M471,"AAAAAFD79pc=")</f>
        <v>#VALUE!</v>
      </c>
      <c r="EW28" t="e">
        <f>AND(Plan1!N471,"AAAAAFD79pg=")</f>
        <v>#VALUE!</v>
      </c>
      <c r="EX28">
        <f>IF(Plan1!472:472,"AAAAAFD79pk=",0)</f>
        <v>0</v>
      </c>
      <c r="EY28" t="e">
        <f>AND(Plan1!A472,"AAAAAFD79po=")</f>
        <v>#VALUE!</v>
      </c>
      <c r="EZ28" t="e">
        <f>AND(Plan1!B472,"AAAAAFD79ps=")</f>
        <v>#VALUE!</v>
      </c>
      <c r="FA28" t="e">
        <f>AND(Plan1!C472,"AAAAAFD79pw=")</f>
        <v>#VALUE!</v>
      </c>
      <c r="FB28" t="e">
        <f>AND(Plan1!D472,"AAAAAFD79p0=")</f>
        <v>#VALUE!</v>
      </c>
      <c r="FC28" t="e">
        <f>AND(Plan1!E472,"AAAAAFD79p4=")</f>
        <v>#VALUE!</v>
      </c>
      <c r="FD28" t="e">
        <f>AND(Plan1!F472,"AAAAAFD79p8=")</f>
        <v>#VALUE!</v>
      </c>
      <c r="FE28" t="e">
        <f>AND(Plan1!G472,"AAAAAFD79qA=")</f>
        <v>#VALUE!</v>
      </c>
      <c r="FF28" t="e">
        <f>AND(Plan1!H472,"AAAAAFD79qE=")</f>
        <v>#VALUE!</v>
      </c>
      <c r="FG28" t="e">
        <f>AND(Plan1!I472,"AAAAAFD79qI=")</f>
        <v>#VALUE!</v>
      </c>
      <c r="FH28" t="e">
        <f>AND(Plan1!J472,"AAAAAFD79qM=")</f>
        <v>#VALUE!</v>
      </c>
      <c r="FI28" t="e">
        <f>AND(Plan1!K472,"AAAAAFD79qQ=")</f>
        <v>#VALUE!</v>
      </c>
      <c r="FJ28" t="e">
        <f>AND(Plan1!L472,"AAAAAFD79qU=")</f>
        <v>#VALUE!</v>
      </c>
      <c r="FK28" t="e">
        <f>AND(Plan1!M472,"AAAAAFD79qY=")</f>
        <v>#VALUE!</v>
      </c>
      <c r="FL28" t="e">
        <f>AND(Plan1!N472,"AAAAAFD79qc=")</f>
        <v>#VALUE!</v>
      </c>
      <c r="FM28">
        <f>IF(Plan1!473:473,"AAAAAFD79qg=",0)</f>
        <v>0</v>
      </c>
      <c r="FN28" t="e">
        <f>AND(Plan1!A473,"AAAAAFD79qk=")</f>
        <v>#VALUE!</v>
      </c>
      <c r="FO28" t="e">
        <f>AND(Plan1!B473,"AAAAAFD79qo=")</f>
        <v>#VALUE!</v>
      </c>
      <c r="FP28" t="e">
        <f>AND(Plan1!C473,"AAAAAFD79qs=")</f>
        <v>#VALUE!</v>
      </c>
      <c r="FQ28" t="e">
        <f>AND(Plan1!D473,"AAAAAFD79qw=")</f>
        <v>#VALUE!</v>
      </c>
      <c r="FR28" t="e">
        <f>AND(Plan1!E473,"AAAAAFD79q0=")</f>
        <v>#VALUE!</v>
      </c>
      <c r="FS28" t="e">
        <f>AND(Plan1!F473,"AAAAAFD79q4=")</f>
        <v>#VALUE!</v>
      </c>
      <c r="FT28" t="e">
        <f>AND(Plan1!G473,"AAAAAFD79q8=")</f>
        <v>#VALUE!</v>
      </c>
      <c r="FU28" t="e">
        <f>AND(Plan1!H473,"AAAAAFD79rA=")</f>
        <v>#VALUE!</v>
      </c>
      <c r="FV28" t="e">
        <f>AND(Plan1!I473,"AAAAAFD79rE=")</f>
        <v>#VALUE!</v>
      </c>
      <c r="FW28" t="e">
        <f>AND(Plan1!J473,"AAAAAFD79rI=")</f>
        <v>#VALUE!</v>
      </c>
      <c r="FX28" t="e">
        <f>AND(Plan1!K473,"AAAAAFD79rM=")</f>
        <v>#VALUE!</v>
      </c>
      <c r="FY28" t="e">
        <f>AND(Plan1!L473,"AAAAAFD79rQ=")</f>
        <v>#VALUE!</v>
      </c>
      <c r="FZ28" t="e">
        <f>AND(Plan1!M473,"AAAAAFD79rU=")</f>
        <v>#VALUE!</v>
      </c>
      <c r="GA28" t="e">
        <f>AND(Plan1!N473,"AAAAAFD79rY=")</f>
        <v>#VALUE!</v>
      </c>
      <c r="GB28">
        <f>IF(Plan1!474:474,"AAAAAFD79rc=",0)</f>
        <v>0</v>
      </c>
      <c r="GC28" t="e">
        <f>AND(Plan1!A474,"AAAAAFD79rg=")</f>
        <v>#VALUE!</v>
      </c>
      <c r="GD28" t="e">
        <f>AND(Plan1!B474,"AAAAAFD79rk=")</f>
        <v>#VALUE!</v>
      </c>
      <c r="GE28" t="e">
        <f>AND(Plan1!C474,"AAAAAFD79ro=")</f>
        <v>#VALUE!</v>
      </c>
      <c r="GF28" t="e">
        <f>AND(Plan1!D474,"AAAAAFD79rs=")</f>
        <v>#VALUE!</v>
      </c>
      <c r="GG28" t="e">
        <f>AND(Plan1!E474,"AAAAAFD79rw=")</f>
        <v>#VALUE!</v>
      </c>
      <c r="GH28" t="e">
        <f>AND(Plan1!F474,"AAAAAFD79r0=")</f>
        <v>#VALUE!</v>
      </c>
      <c r="GI28" t="e">
        <f>AND(Plan1!G474,"AAAAAFD79r4=")</f>
        <v>#VALUE!</v>
      </c>
      <c r="GJ28" t="e">
        <f>AND(Plan1!H474,"AAAAAFD79r8=")</f>
        <v>#VALUE!</v>
      </c>
      <c r="GK28" t="e">
        <f>AND(Plan1!I474,"AAAAAFD79sA=")</f>
        <v>#VALUE!</v>
      </c>
      <c r="GL28" t="e">
        <f>AND(Plan1!J474,"AAAAAFD79sE=")</f>
        <v>#VALUE!</v>
      </c>
      <c r="GM28" t="e">
        <f>AND(Plan1!K474,"AAAAAFD79sI=")</f>
        <v>#VALUE!</v>
      </c>
      <c r="GN28" t="e">
        <f>AND(Plan1!L474,"AAAAAFD79sM=")</f>
        <v>#VALUE!</v>
      </c>
      <c r="GO28" t="e">
        <f>AND(Plan1!M474,"AAAAAFD79sQ=")</f>
        <v>#VALUE!</v>
      </c>
      <c r="GP28" t="e">
        <f>AND(Plan1!N474,"AAAAAFD79sU=")</f>
        <v>#VALUE!</v>
      </c>
      <c r="GQ28">
        <f>IF(Plan1!475:475,"AAAAAFD79sY=",0)</f>
        <v>0</v>
      </c>
      <c r="GR28" t="e">
        <f>AND(Plan1!A475,"AAAAAFD79sc=")</f>
        <v>#VALUE!</v>
      </c>
      <c r="GS28" t="e">
        <f>AND(Plan1!B475,"AAAAAFD79sg=")</f>
        <v>#VALUE!</v>
      </c>
      <c r="GT28" t="e">
        <f>AND(Plan1!C475,"AAAAAFD79sk=")</f>
        <v>#VALUE!</v>
      </c>
      <c r="GU28" t="e">
        <f>AND(Plan1!D475,"AAAAAFD79so=")</f>
        <v>#VALUE!</v>
      </c>
      <c r="GV28" t="e">
        <f>AND(Plan1!E475,"AAAAAFD79ss=")</f>
        <v>#VALUE!</v>
      </c>
      <c r="GW28" t="e">
        <f>AND(Plan1!F475,"AAAAAFD79sw=")</f>
        <v>#VALUE!</v>
      </c>
      <c r="GX28" t="e">
        <f>AND(Plan1!G475,"AAAAAFD79s0=")</f>
        <v>#VALUE!</v>
      </c>
      <c r="GY28" t="e">
        <f>AND(Plan1!H475,"AAAAAFD79s4=")</f>
        <v>#VALUE!</v>
      </c>
      <c r="GZ28" t="e">
        <f>AND(Plan1!I475,"AAAAAFD79s8=")</f>
        <v>#VALUE!</v>
      </c>
      <c r="HA28" t="e">
        <f>AND(Plan1!J475,"AAAAAFD79tA=")</f>
        <v>#VALUE!</v>
      </c>
      <c r="HB28" t="e">
        <f>AND(Plan1!K475,"AAAAAFD79tE=")</f>
        <v>#VALUE!</v>
      </c>
      <c r="HC28" t="e">
        <f>AND(Plan1!L475,"AAAAAFD79tI=")</f>
        <v>#VALUE!</v>
      </c>
      <c r="HD28" t="e">
        <f>AND(Plan1!M475,"AAAAAFD79tM=")</f>
        <v>#VALUE!</v>
      </c>
      <c r="HE28" t="e">
        <f>AND(Plan1!N475,"AAAAAFD79tQ=")</f>
        <v>#VALUE!</v>
      </c>
      <c r="HF28">
        <f>IF(Plan1!476:476,"AAAAAFD79tU=",0)</f>
        <v>0</v>
      </c>
      <c r="HG28" t="e">
        <f>AND(Plan1!A476,"AAAAAFD79tY=")</f>
        <v>#VALUE!</v>
      </c>
      <c r="HH28" t="e">
        <f>AND(Plan1!B476,"AAAAAFD79tc=")</f>
        <v>#VALUE!</v>
      </c>
      <c r="HI28" t="e">
        <f>AND(Plan1!C476,"AAAAAFD79tg=")</f>
        <v>#VALUE!</v>
      </c>
      <c r="HJ28" t="e">
        <f>AND(Plan1!D476,"AAAAAFD79tk=")</f>
        <v>#VALUE!</v>
      </c>
      <c r="HK28" t="e">
        <f>AND(Plan1!E476,"AAAAAFD79to=")</f>
        <v>#VALUE!</v>
      </c>
      <c r="HL28" t="e">
        <f>AND(Plan1!F476,"AAAAAFD79ts=")</f>
        <v>#VALUE!</v>
      </c>
      <c r="HM28" t="e">
        <f>AND(Plan1!G476,"AAAAAFD79tw=")</f>
        <v>#VALUE!</v>
      </c>
      <c r="HN28" t="e">
        <f>AND(Plan1!H476,"AAAAAFD79t0=")</f>
        <v>#VALUE!</v>
      </c>
      <c r="HO28" t="e">
        <f>AND(Plan1!I476,"AAAAAFD79t4=")</f>
        <v>#VALUE!</v>
      </c>
      <c r="HP28" t="e">
        <f>AND(Plan1!J476,"AAAAAFD79t8=")</f>
        <v>#VALUE!</v>
      </c>
      <c r="HQ28" t="e">
        <f>AND(Plan1!K476,"AAAAAFD79uA=")</f>
        <v>#VALUE!</v>
      </c>
      <c r="HR28" t="e">
        <f>AND(Plan1!L476,"AAAAAFD79uE=")</f>
        <v>#VALUE!</v>
      </c>
      <c r="HS28" t="e">
        <f>AND(Plan1!M476,"AAAAAFD79uI=")</f>
        <v>#VALUE!</v>
      </c>
      <c r="HT28" t="e">
        <f>AND(Plan1!N476,"AAAAAFD79uM=")</f>
        <v>#VALUE!</v>
      </c>
      <c r="HU28">
        <f>IF(Plan1!477:477,"AAAAAFD79uQ=",0)</f>
        <v>0</v>
      </c>
      <c r="HV28" t="e">
        <f>AND(Plan1!A477,"AAAAAFD79uU=")</f>
        <v>#VALUE!</v>
      </c>
      <c r="HW28" t="e">
        <f>AND(Plan1!B477,"AAAAAFD79uY=")</f>
        <v>#VALUE!</v>
      </c>
      <c r="HX28" t="e">
        <f>AND(Plan1!C477,"AAAAAFD79uc=")</f>
        <v>#VALUE!</v>
      </c>
      <c r="HY28" t="e">
        <f>AND(Plan1!D477,"AAAAAFD79ug=")</f>
        <v>#VALUE!</v>
      </c>
      <c r="HZ28" t="e">
        <f>AND(Plan1!E477,"AAAAAFD79uk=")</f>
        <v>#VALUE!</v>
      </c>
      <c r="IA28" t="e">
        <f>AND(Plan1!F477,"AAAAAFD79uo=")</f>
        <v>#VALUE!</v>
      </c>
      <c r="IB28" t="e">
        <f>AND(Plan1!G477,"AAAAAFD79us=")</f>
        <v>#VALUE!</v>
      </c>
      <c r="IC28" t="e">
        <f>AND(Plan1!H477,"AAAAAFD79uw=")</f>
        <v>#VALUE!</v>
      </c>
      <c r="ID28" t="e">
        <f>AND(Plan1!I477,"AAAAAFD79u0=")</f>
        <v>#VALUE!</v>
      </c>
      <c r="IE28" t="e">
        <f>AND(Plan1!J477,"AAAAAFD79u4=")</f>
        <v>#VALUE!</v>
      </c>
      <c r="IF28" t="e">
        <f>AND(Plan1!K477,"AAAAAFD79u8=")</f>
        <v>#VALUE!</v>
      </c>
      <c r="IG28" t="e">
        <f>AND(Plan1!L477,"AAAAAFD79vA=")</f>
        <v>#VALUE!</v>
      </c>
      <c r="IH28" t="e">
        <f>AND(Plan1!M477,"AAAAAFD79vE=")</f>
        <v>#VALUE!</v>
      </c>
      <c r="II28" t="e">
        <f>AND(Plan1!N477,"AAAAAFD79vI=")</f>
        <v>#VALUE!</v>
      </c>
      <c r="IJ28">
        <f>IF(Plan1!478:478,"AAAAAFD79vM=",0)</f>
        <v>0</v>
      </c>
      <c r="IK28" t="e">
        <f>AND(Plan1!A478,"AAAAAFD79vQ=")</f>
        <v>#VALUE!</v>
      </c>
      <c r="IL28" t="e">
        <f>AND(Plan1!B478,"AAAAAFD79vU=")</f>
        <v>#VALUE!</v>
      </c>
      <c r="IM28" t="e">
        <f>AND(Plan1!C478,"AAAAAFD79vY=")</f>
        <v>#VALUE!</v>
      </c>
      <c r="IN28" t="e">
        <f>AND(Plan1!D478,"AAAAAFD79vc=")</f>
        <v>#VALUE!</v>
      </c>
      <c r="IO28" t="e">
        <f>AND(Plan1!E478,"AAAAAFD79vg=")</f>
        <v>#VALUE!</v>
      </c>
      <c r="IP28" t="e">
        <f>AND(Plan1!F478,"AAAAAFD79vk=")</f>
        <v>#VALUE!</v>
      </c>
      <c r="IQ28" t="e">
        <f>AND(Plan1!G478,"AAAAAFD79vo=")</f>
        <v>#VALUE!</v>
      </c>
      <c r="IR28" t="e">
        <f>AND(Plan1!H478,"AAAAAFD79vs=")</f>
        <v>#VALUE!</v>
      </c>
      <c r="IS28" t="e">
        <f>AND(Plan1!I478,"AAAAAFD79vw=")</f>
        <v>#VALUE!</v>
      </c>
      <c r="IT28" t="e">
        <f>AND(Plan1!J478,"AAAAAFD79v0=")</f>
        <v>#VALUE!</v>
      </c>
      <c r="IU28" t="e">
        <f>AND(Plan1!K478,"AAAAAFD79v4=")</f>
        <v>#VALUE!</v>
      </c>
      <c r="IV28" t="e">
        <f>AND(Plan1!L478,"AAAAAFD79v8=")</f>
        <v>#VALUE!</v>
      </c>
    </row>
    <row r="29" spans="1:256">
      <c r="A29" t="e">
        <f>AND(Plan1!M478,"AAAAACTZ9wA=")</f>
        <v>#VALUE!</v>
      </c>
      <c r="B29" t="e">
        <f>AND(Plan1!N478,"AAAAACTZ9wE=")</f>
        <v>#VALUE!</v>
      </c>
      <c r="C29" t="str">
        <f>IF(Plan1!479:479,"AAAAACTZ9wI=",0)</f>
        <v>AAAAACTZ9wI=</v>
      </c>
      <c r="D29" t="e">
        <f>AND(Plan1!A479,"AAAAACTZ9wM=")</f>
        <v>#VALUE!</v>
      </c>
      <c r="E29" t="e">
        <f>AND(Plan1!B479,"AAAAACTZ9wQ=")</f>
        <v>#VALUE!</v>
      </c>
      <c r="F29" t="e">
        <f>AND(Plan1!C479,"AAAAACTZ9wU=")</f>
        <v>#VALUE!</v>
      </c>
      <c r="G29" t="e">
        <f>AND(Plan1!D479,"AAAAACTZ9wY=")</f>
        <v>#VALUE!</v>
      </c>
      <c r="H29" t="e">
        <f>AND(Plan1!E479,"AAAAACTZ9wc=")</f>
        <v>#VALUE!</v>
      </c>
      <c r="I29" t="e">
        <f>AND(Plan1!F479,"AAAAACTZ9wg=")</f>
        <v>#VALUE!</v>
      </c>
      <c r="J29" t="e">
        <f>AND(Plan1!G479,"AAAAACTZ9wk=")</f>
        <v>#VALUE!</v>
      </c>
      <c r="K29" t="e">
        <f>AND(Plan1!H479,"AAAAACTZ9wo=")</f>
        <v>#VALUE!</v>
      </c>
      <c r="L29" t="e">
        <f>AND(Plan1!I479,"AAAAACTZ9ws=")</f>
        <v>#VALUE!</v>
      </c>
      <c r="M29" t="e">
        <f>AND(Plan1!J479,"AAAAACTZ9ww=")</f>
        <v>#VALUE!</v>
      </c>
      <c r="N29" t="e">
        <f>AND(Plan1!K479,"AAAAACTZ9w0=")</f>
        <v>#VALUE!</v>
      </c>
      <c r="O29" t="e">
        <f>AND(Plan1!L479,"AAAAACTZ9w4=")</f>
        <v>#VALUE!</v>
      </c>
      <c r="P29" t="e">
        <f>AND(Plan1!M479,"AAAAACTZ9w8=")</f>
        <v>#VALUE!</v>
      </c>
      <c r="Q29" t="e">
        <f>AND(Plan1!N479,"AAAAACTZ9xA=")</f>
        <v>#VALUE!</v>
      </c>
      <c r="R29">
        <f>IF(Plan1!480:480,"AAAAACTZ9xE=",0)</f>
        <v>0</v>
      </c>
      <c r="S29" t="e">
        <f>AND(Plan1!A480,"AAAAACTZ9xI=")</f>
        <v>#VALUE!</v>
      </c>
      <c r="T29" t="e">
        <f>AND(Plan1!B480,"AAAAACTZ9xM=")</f>
        <v>#VALUE!</v>
      </c>
      <c r="U29" t="e">
        <f>AND(Plan1!C480,"AAAAACTZ9xQ=")</f>
        <v>#VALUE!</v>
      </c>
      <c r="V29" t="e">
        <f>AND(Plan1!D480,"AAAAACTZ9xU=")</f>
        <v>#VALUE!</v>
      </c>
      <c r="W29" t="e">
        <f>AND(Plan1!E480,"AAAAACTZ9xY=")</f>
        <v>#VALUE!</v>
      </c>
      <c r="X29" t="e">
        <f>AND(Plan1!F480,"AAAAACTZ9xc=")</f>
        <v>#VALUE!</v>
      </c>
      <c r="Y29" t="e">
        <f>AND(Plan1!G480,"AAAAACTZ9xg=")</f>
        <v>#VALUE!</v>
      </c>
      <c r="Z29" t="e">
        <f>AND(Plan1!H480,"AAAAACTZ9xk=")</f>
        <v>#VALUE!</v>
      </c>
      <c r="AA29" t="e">
        <f>AND(Plan1!I480,"AAAAACTZ9xo=")</f>
        <v>#VALUE!</v>
      </c>
      <c r="AB29" t="e">
        <f>AND(Plan1!J480,"AAAAACTZ9xs=")</f>
        <v>#VALUE!</v>
      </c>
      <c r="AC29" t="e">
        <f>AND(Plan1!K480,"AAAAACTZ9xw=")</f>
        <v>#VALUE!</v>
      </c>
      <c r="AD29" t="e">
        <f>AND(Plan1!L480,"AAAAACTZ9x0=")</f>
        <v>#VALUE!</v>
      </c>
      <c r="AE29" t="e">
        <f>AND(Plan1!M480,"AAAAACTZ9x4=")</f>
        <v>#VALUE!</v>
      </c>
      <c r="AF29" t="e">
        <f>AND(Plan1!N480,"AAAAACTZ9x8=")</f>
        <v>#VALUE!</v>
      </c>
      <c r="AG29">
        <f>IF(Plan1!481:481,"AAAAACTZ9yA=",0)</f>
        <v>0</v>
      </c>
      <c r="AH29" t="e">
        <f>AND(Plan1!A481,"AAAAACTZ9yE=")</f>
        <v>#VALUE!</v>
      </c>
      <c r="AI29" t="e">
        <f>AND(Plan1!B481,"AAAAACTZ9yI=")</f>
        <v>#VALUE!</v>
      </c>
      <c r="AJ29" t="e">
        <f>AND(Plan1!C481,"AAAAACTZ9yM=")</f>
        <v>#VALUE!</v>
      </c>
      <c r="AK29" t="e">
        <f>AND(Plan1!D481,"AAAAACTZ9yQ=")</f>
        <v>#VALUE!</v>
      </c>
      <c r="AL29" t="e">
        <f>AND(Plan1!E481,"AAAAACTZ9yU=")</f>
        <v>#VALUE!</v>
      </c>
      <c r="AM29" t="e">
        <f>AND(Plan1!F481,"AAAAACTZ9yY=")</f>
        <v>#VALUE!</v>
      </c>
      <c r="AN29" t="e">
        <f>AND(Plan1!G481,"AAAAACTZ9yc=")</f>
        <v>#VALUE!</v>
      </c>
      <c r="AO29" t="e">
        <f>AND(Plan1!H481,"AAAAACTZ9yg=")</f>
        <v>#VALUE!</v>
      </c>
      <c r="AP29" t="e">
        <f>AND(Plan1!I481,"AAAAACTZ9yk=")</f>
        <v>#VALUE!</v>
      </c>
      <c r="AQ29" t="e">
        <f>AND(Plan1!J481,"AAAAACTZ9yo=")</f>
        <v>#VALUE!</v>
      </c>
      <c r="AR29" t="e">
        <f>AND(Plan1!K481,"AAAAACTZ9ys=")</f>
        <v>#VALUE!</v>
      </c>
      <c r="AS29" t="e">
        <f>AND(Plan1!L481,"AAAAACTZ9yw=")</f>
        <v>#VALUE!</v>
      </c>
      <c r="AT29" t="e">
        <f>AND(Plan1!M481,"AAAAACTZ9y0=")</f>
        <v>#VALUE!</v>
      </c>
      <c r="AU29" t="e">
        <f>AND(Plan1!N481,"AAAAACTZ9y4=")</f>
        <v>#VALUE!</v>
      </c>
      <c r="AV29">
        <f>IF(Plan1!482:482,"AAAAACTZ9y8=",0)</f>
        <v>0</v>
      </c>
      <c r="AW29" t="e">
        <f>AND(Plan1!A482,"AAAAACTZ9zA=")</f>
        <v>#VALUE!</v>
      </c>
      <c r="AX29" t="e">
        <f>AND(Plan1!B482,"AAAAACTZ9zE=")</f>
        <v>#VALUE!</v>
      </c>
      <c r="AY29" t="e">
        <f>AND(Plan1!C482,"AAAAACTZ9zI=")</f>
        <v>#VALUE!</v>
      </c>
      <c r="AZ29" t="e">
        <f>AND(Plan1!D482,"AAAAACTZ9zM=")</f>
        <v>#VALUE!</v>
      </c>
      <c r="BA29" t="e">
        <f>AND(Plan1!E482,"AAAAACTZ9zQ=")</f>
        <v>#VALUE!</v>
      </c>
      <c r="BB29" t="e">
        <f>AND(Plan1!F482,"AAAAACTZ9zU=")</f>
        <v>#VALUE!</v>
      </c>
      <c r="BC29" t="e">
        <f>AND(Plan1!G482,"AAAAACTZ9zY=")</f>
        <v>#VALUE!</v>
      </c>
      <c r="BD29" t="e">
        <f>AND(Plan1!H482,"AAAAACTZ9zc=")</f>
        <v>#VALUE!</v>
      </c>
      <c r="BE29" t="e">
        <f>AND(Plan1!I482,"AAAAACTZ9zg=")</f>
        <v>#VALUE!</v>
      </c>
      <c r="BF29" t="e">
        <f>AND(Plan1!J482,"AAAAACTZ9zk=")</f>
        <v>#VALUE!</v>
      </c>
      <c r="BG29" t="e">
        <f>AND(Plan1!K482,"AAAAACTZ9zo=")</f>
        <v>#VALUE!</v>
      </c>
      <c r="BH29" t="e">
        <f>AND(Plan1!L482,"AAAAACTZ9zs=")</f>
        <v>#VALUE!</v>
      </c>
      <c r="BI29" t="e">
        <f>AND(Plan1!M482,"AAAAACTZ9zw=")</f>
        <v>#VALUE!</v>
      </c>
      <c r="BJ29" t="e">
        <f>AND(Plan1!N482,"AAAAACTZ9z0=")</f>
        <v>#VALUE!</v>
      </c>
      <c r="BK29">
        <f>IF(Plan1!483:483,"AAAAACTZ9z4=",0)</f>
        <v>0</v>
      </c>
      <c r="BL29" t="e">
        <f>AND(Plan1!A483,"AAAAACTZ9z8=")</f>
        <v>#VALUE!</v>
      </c>
      <c r="BM29" t="e">
        <f>AND(Plan1!B483,"AAAAACTZ90A=")</f>
        <v>#VALUE!</v>
      </c>
      <c r="BN29" t="e">
        <f>AND(Plan1!C483,"AAAAACTZ90E=")</f>
        <v>#VALUE!</v>
      </c>
      <c r="BO29" t="e">
        <f>AND(Plan1!D483,"AAAAACTZ90I=")</f>
        <v>#VALUE!</v>
      </c>
      <c r="BP29" t="e">
        <f>AND(Plan1!E483,"AAAAACTZ90M=")</f>
        <v>#VALUE!</v>
      </c>
      <c r="BQ29" t="e">
        <f>AND(Plan1!F483,"AAAAACTZ90Q=")</f>
        <v>#VALUE!</v>
      </c>
      <c r="BR29" t="e">
        <f>AND(Plan1!G483,"AAAAACTZ90U=")</f>
        <v>#VALUE!</v>
      </c>
      <c r="BS29" t="e">
        <f>AND(Plan1!H483,"AAAAACTZ90Y=")</f>
        <v>#VALUE!</v>
      </c>
      <c r="BT29" t="e">
        <f>AND(Plan1!I483,"AAAAACTZ90c=")</f>
        <v>#VALUE!</v>
      </c>
      <c r="BU29" t="e">
        <f>AND(Plan1!J483,"AAAAACTZ90g=")</f>
        <v>#VALUE!</v>
      </c>
      <c r="BV29" t="e">
        <f>AND(Plan1!K483,"AAAAACTZ90k=")</f>
        <v>#VALUE!</v>
      </c>
      <c r="BW29" t="e">
        <f>AND(Plan1!L483,"AAAAACTZ90o=")</f>
        <v>#VALUE!</v>
      </c>
      <c r="BX29" t="e">
        <f>AND(Plan1!M483,"AAAAACTZ90s=")</f>
        <v>#VALUE!</v>
      </c>
      <c r="BY29" t="e">
        <f>AND(Plan1!N483,"AAAAACTZ90w=")</f>
        <v>#VALUE!</v>
      </c>
      <c r="BZ29">
        <f>IF(Plan1!484:484,"AAAAACTZ900=",0)</f>
        <v>0</v>
      </c>
      <c r="CA29" t="e">
        <f>AND(Plan1!A484,"AAAAACTZ904=")</f>
        <v>#VALUE!</v>
      </c>
      <c r="CB29" t="e">
        <f>AND(Plan1!B484,"AAAAACTZ908=")</f>
        <v>#VALUE!</v>
      </c>
      <c r="CC29" t="e">
        <f>AND(Plan1!C484,"AAAAACTZ91A=")</f>
        <v>#VALUE!</v>
      </c>
      <c r="CD29" t="e">
        <f>AND(Plan1!D484,"AAAAACTZ91E=")</f>
        <v>#VALUE!</v>
      </c>
      <c r="CE29" t="e">
        <f>AND(Plan1!E484,"AAAAACTZ91I=")</f>
        <v>#VALUE!</v>
      </c>
      <c r="CF29" t="e">
        <f>AND(Plan1!F484,"AAAAACTZ91M=")</f>
        <v>#VALUE!</v>
      </c>
      <c r="CG29" t="e">
        <f>AND(Plan1!G484,"AAAAACTZ91Q=")</f>
        <v>#VALUE!</v>
      </c>
      <c r="CH29" t="e">
        <f>AND(Plan1!H484,"AAAAACTZ91U=")</f>
        <v>#VALUE!</v>
      </c>
      <c r="CI29" t="e">
        <f>AND(Plan1!I484,"AAAAACTZ91Y=")</f>
        <v>#VALUE!</v>
      </c>
      <c r="CJ29" t="e">
        <f>AND(Plan1!J484,"AAAAACTZ91c=")</f>
        <v>#VALUE!</v>
      </c>
      <c r="CK29" t="e">
        <f>AND(Plan1!K484,"AAAAACTZ91g=")</f>
        <v>#VALUE!</v>
      </c>
      <c r="CL29" t="e">
        <f>AND(Plan1!L484,"AAAAACTZ91k=")</f>
        <v>#VALUE!</v>
      </c>
      <c r="CM29" t="e">
        <f>AND(Plan1!M484,"AAAAACTZ91o=")</f>
        <v>#VALUE!</v>
      </c>
      <c r="CN29" t="e">
        <f>AND(Plan1!N484,"AAAAACTZ91s=")</f>
        <v>#VALUE!</v>
      </c>
      <c r="CO29">
        <f>IF(Plan1!485:485,"AAAAACTZ91w=",0)</f>
        <v>0</v>
      </c>
      <c r="CP29" t="e">
        <f>AND(Plan1!A485,"AAAAACTZ910=")</f>
        <v>#VALUE!</v>
      </c>
      <c r="CQ29" t="e">
        <f>AND(Plan1!B485,"AAAAACTZ914=")</f>
        <v>#VALUE!</v>
      </c>
      <c r="CR29" t="e">
        <f>AND(Plan1!C485,"AAAAACTZ918=")</f>
        <v>#VALUE!</v>
      </c>
      <c r="CS29" t="e">
        <f>AND(Plan1!D485,"AAAAACTZ92A=")</f>
        <v>#VALUE!</v>
      </c>
      <c r="CT29" t="e">
        <f>AND(Plan1!E485,"AAAAACTZ92E=")</f>
        <v>#VALUE!</v>
      </c>
      <c r="CU29" t="e">
        <f>AND(Plan1!F485,"AAAAACTZ92I=")</f>
        <v>#VALUE!</v>
      </c>
      <c r="CV29" t="e">
        <f>AND(Plan1!G485,"AAAAACTZ92M=")</f>
        <v>#VALUE!</v>
      </c>
      <c r="CW29" t="e">
        <f>AND(Plan1!H485,"AAAAACTZ92Q=")</f>
        <v>#VALUE!</v>
      </c>
      <c r="CX29" t="e">
        <f>AND(Plan1!I485,"AAAAACTZ92U=")</f>
        <v>#VALUE!</v>
      </c>
      <c r="CY29" t="e">
        <f>AND(Plan1!J485,"AAAAACTZ92Y=")</f>
        <v>#VALUE!</v>
      </c>
      <c r="CZ29" t="e">
        <f>AND(Plan1!K485,"AAAAACTZ92c=")</f>
        <v>#VALUE!</v>
      </c>
      <c r="DA29" t="e">
        <f>AND(Plan1!L485,"AAAAACTZ92g=")</f>
        <v>#VALUE!</v>
      </c>
      <c r="DB29" t="e">
        <f>AND(Plan1!M485,"AAAAACTZ92k=")</f>
        <v>#VALUE!</v>
      </c>
      <c r="DC29" t="e">
        <f>AND(Plan1!N485,"AAAAACTZ92o=")</f>
        <v>#VALUE!</v>
      </c>
      <c r="DD29">
        <f>IF(Plan1!486:486,"AAAAACTZ92s=",0)</f>
        <v>0</v>
      </c>
      <c r="DE29" t="e">
        <f>AND(Plan1!A486,"AAAAACTZ92w=")</f>
        <v>#VALUE!</v>
      </c>
      <c r="DF29" t="e">
        <f>AND(Plan1!B486,"AAAAACTZ920=")</f>
        <v>#VALUE!</v>
      </c>
      <c r="DG29" t="e">
        <f>AND(Plan1!C486,"AAAAACTZ924=")</f>
        <v>#VALUE!</v>
      </c>
      <c r="DH29" t="e">
        <f>AND(Plan1!D486,"AAAAACTZ928=")</f>
        <v>#VALUE!</v>
      </c>
      <c r="DI29" t="e">
        <f>AND(Plan1!E486,"AAAAACTZ93A=")</f>
        <v>#VALUE!</v>
      </c>
      <c r="DJ29" t="e">
        <f>AND(Plan1!F486,"AAAAACTZ93E=")</f>
        <v>#VALUE!</v>
      </c>
      <c r="DK29" t="e">
        <f>AND(Plan1!G486,"AAAAACTZ93I=")</f>
        <v>#VALUE!</v>
      </c>
      <c r="DL29" t="e">
        <f>AND(Plan1!H486,"AAAAACTZ93M=")</f>
        <v>#VALUE!</v>
      </c>
      <c r="DM29" t="e">
        <f>AND(Plan1!I486,"AAAAACTZ93Q=")</f>
        <v>#VALUE!</v>
      </c>
      <c r="DN29" t="e">
        <f>AND(Plan1!J486,"AAAAACTZ93U=")</f>
        <v>#VALUE!</v>
      </c>
      <c r="DO29" t="e">
        <f>AND(Plan1!K486,"AAAAACTZ93Y=")</f>
        <v>#VALUE!</v>
      </c>
      <c r="DP29" t="e">
        <f>AND(Plan1!L486,"AAAAACTZ93c=")</f>
        <v>#VALUE!</v>
      </c>
      <c r="DQ29" t="e">
        <f>AND(Plan1!M486,"AAAAACTZ93g=")</f>
        <v>#VALUE!</v>
      </c>
      <c r="DR29" t="e">
        <f>AND(Plan1!N486,"AAAAACTZ93k=")</f>
        <v>#VALUE!</v>
      </c>
      <c r="DS29">
        <f>IF(Plan1!487:487,"AAAAACTZ93o=",0)</f>
        <v>0</v>
      </c>
      <c r="DT29" t="e">
        <f>AND(Plan1!A487,"AAAAACTZ93s=")</f>
        <v>#VALUE!</v>
      </c>
      <c r="DU29" t="e">
        <f>AND(Plan1!B487,"AAAAACTZ93w=")</f>
        <v>#VALUE!</v>
      </c>
      <c r="DV29" t="e">
        <f>AND(Plan1!C487,"AAAAACTZ930=")</f>
        <v>#VALUE!</v>
      </c>
      <c r="DW29" t="e">
        <f>AND(Plan1!D487,"AAAAACTZ934=")</f>
        <v>#VALUE!</v>
      </c>
      <c r="DX29" t="e">
        <f>AND(Plan1!E487,"AAAAACTZ938=")</f>
        <v>#VALUE!</v>
      </c>
      <c r="DY29" t="e">
        <f>AND(Plan1!F487,"AAAAACTZ94A=")</f>
        <v>#VALUE!</v>
      </c>
      <c r="DZ29" t="e">
        <f>AND(Plan1!G487,"AAAAACTZ94E=")</f>
        <v>#VALUE!</v>
      </c>
      <c r="EA29" t="e">
        <f>AND(Plan1!H487,"AAAAACTZ94I=")</f>
        <v>#VALUE!</v>
      </c>
      <c r="EB29" t="e">
        <f>AND(Plan1!I487,"AAAAACTZ94M=")</f>
        <v>#VALUE!</v>
      </c>
      <c r="EC29" t="e">
        <f>AND(Plan1!J487,"AAAAACTZ94Q=")</f>
        <v>#VALUE!</v>
      </c>
      <c r="ED29" t="e">
        <f>AND(Plan1!K487,"AAAAACTZ94U=")</f>
        <v>#VALUE!</v>
      </c>
      <c r="EE29" t="e">
        <f>AND(Plan1!L487,"AAAAACTZ94Y=")</f>
        <v>#VALUE!</v>
      </c>
      <c r="EF29" t="e">
        <f>AND(Plan1!M487,"AAAAACTZ94c=")</f>
        <v>#VALUE!</v>
      </c>
      <c r="EG29" t="e">
        <f>AND(Plan1!N487,"AAAAACTZ94g=")</f>
        <v>#VALUE!</v>
      </c>
      <c r="EH29">
        <f>IF(Plan1!488:488,"AAAAACTZ94k=",0)</f>
        <v>0</v>
      </c>
      <c r="EI29" t="e">
        <f>AND(Plan1!A488,"AAAAACTZ94o=")</f>
        <v>#VALUE!</v>
      </c>
      <c r="EJ29" t="e">
        <f>AND(Plan1!B488,"AAAAACTZ94s=")</f>
        <v>#VALUE!</v>
      </c>
      <c r="EK29" t="e">
        <f>AND(Plan1!C488,"AAAAACTZ94w=")</f>
        <v>#VALUE!</v>
      </c>
      <c r="EL29" t="e">
        <f>AND(Plan1!D488,"AAAAACTZ940=")</f>
        <v>#VALUE!</v>
      </c>
      <c r="EM29" t="e">
        <f>AND(Plan1!E488,"AAAAACTZ944=")</f>
        <v>#VALUE!</v>
      </c>
      <c r="EN29" t="e">
        <f>AND(Plan1!F488,"AAAAACTZ948=")</f>
        <v>#VALUE!</v>
      </c>
      <c r="EO29" t="e">
        <f>AND(Plan1!G488,"AAAAACTZ95A=")</f>
        <v>#VALUE!</v>
      </c>
      <c r="EP29" t="e">
        <f>AND(Plan1!H488,"AAAAACTZ95E=")</f>
        <v>#VALUE!</v>
      </c>
      <c r="EQ29" t="e">
        <f>AND(Plan1!I488,"AAAAACTZ95I=")</f>
        <v>#VALUE!</v>
      </c>
      <c r="ER29" t="e">
        <f>AND(Plan1!J488,"AAAAACTZ95M=")</f>
        <v>#VALUE!</v>
      </c>
      <c r="ES29" t="e">
        <f>AND(Plan1!K488,"AAAAACTZ95Q=")</f>
        <v>#VALUE!</v>
      </c>
      <c r="ET29" t="e">
        <f>AND(Plan1!L488,"AAAAACTZ95U=")</f>
        <v>#VALUE!</v>
      </c>
      <c r="EU29" t="e">
        <f>AND(Plan1!M488,"AAAAACTZ95Y=")</f>
        <v>#VALUE!</v>
      </c>
      <c r="EV29" t="e">
        <f>AND(Plan1!N488,"AAAAACTZ95c=")</f>
        <v>#VALUE!</v>
      </c>
      <c r="EW29">
        <f>IF(Plan1!489:489,"AAAAACTZ95g=",0)</f>
        <v>0</v>
      </c>
      <c r="EX29" t="e">
        <f>AND(Plan1!A489,"AAAAACTZ95k=")</f>
        <v>#VALUE!</v>
      </c>
      <c r="EY29" t="e">
        <f>AND(Plan1!B489,"AAAAACTZ95o=")</f>
        <v>#VALUE!</v>
      </c>
      <c r="EZ29" t="e">
        <f>AND(Plan1!C489,"AAAAACTZ95s=")</f>
        <v>#VALUE!</v>
      </c>
      <c r="FA29" t="e">
        <f>AND(Plan1!D489,"AAAAACTZ95w=")</f>
        <v>#VALUE!</v>
      </c>
      <c r="FB29" t="e">
        <f>AND(Plan1!E489,"AAAAACTZ950=")</f>
        <v>#VALUE!</v>
      </c>
      <c r="FC29" t="e">
        <f>AND(Plan1!F489,"AAAAACTZ954=")</f>
        <v>#VALUE!</v>
      </c>
      <c r="FD29" t="e">
        <f>AND(Plan1!G489,"AAAAACTZ958=")</f>
        <v>#VALUE!</v>
      </c>
      <c r="FE29" t="e">
        <f>AND(Plan1!H489,"AAAAACTZ96A=")</f>
        <v>#VALUE!</v>
      </c>
      <c r="FF29" t="e">
        <f>AND(Plan1!I489,"AAAAACTZ96E=")</f>
        <v>#VALUE!</v>
      </c>
      <c r="FG29" t="e">
        <f>AND(Plan1!J489,"AAAAACTZ96I=")</f>
        <v>#VALUE!</v>
      </c>
      <c r="FH29" t="e">
        <f>AND(Plan1!K489,"AAAAACTZ96M=")</f>
        <v>#VALUE!</v>
      </c>
      <c r="FI29" t="e">
        <f>AND(Plan1!L489,"AAAAACTZ96Q=")</f>
        <v>#VALUE!</v>
      </c>
      <c r="FJ29" t="e">
        <f>AND(Plan1!M489,"AAAAACTZ96U=")</f>
        <v>#VALUE!</v>
      </c>
      <c r="FK29" t="e">
        <f>AND(Plan1!N489,"AAAAACTZ96Y=")</f>
        <v>#VALUE!</v>
      </c>
      <c r="FL29">
        <f>IF(Plan1!490:490,"AAAAACTZ96c=",0)</f>
        <v>0</v>
      </c>
      <c r="FM29" t="e">
        <f>AND(Plan1!A490,"AAAAACTZ96g=")</f>
        <v>#VALUE!</v>
      </c>
      <c r="FN29" t="e">
        <f>AND(Plan1!B490,"AAAAACTZ96k=")</f>
        <v>#VALUE!</v>
      </c>
      <c r="FO29" t="e">
        <f>AND(Plan1!C490,"AAAAACTZ96o=")</f>
        <v>#VALUE!</v>
      </c>
      <c r="FP29" t="e">
        <f>AND(Plan1!D490,"AAAAACTZ96s=")</f>
        <v>#VALUE!</v>
      </c>
      <c r="FQ29" t="e">
        <f>AND(Plan1!E490,"AAAAACTZ96w=")</f>
        <v>#VALUE!</v>
      </c>
      <c r="FR29" t="e">
        <f>AND(Plan1!F490,"AAAAACTZ960=")</f>
        <v>#VALUE!</v>
      </c>
      <c r="FS29" t="e">
        <f>AND(Plan1!G490,"AAAAACTZ964=")</f>
        <v>#VALUE!</v>
      </c>
      <c r="FT29" t="e">
        <f>AND(Plan1!H490,"AAAAACTZ968=")</f>
        <v>#VALUE!</v>
      </c>
      <c r="FU29" t="e">
        <f>AND(Plan1!I490,"AAAAACTZ97A=")</f>
        <v>#VALUE!</v>
      </c>
      <c r="FV29" t="e">
        <f>AND(Plan1!J490,"AAAAACTZ97E=")</f>
        <v>#VALUE!</v>
      </c>
      <c r="FW29" t="e">
        <f>AND(Plan1!K490,"AAAAACTZ97I=")</f>
        <v>#VALUE!</v>
      </c>
      <c r="FX29" t="e">
        <f>AND(Plan1!L490,"AAAAACTZ97M=")</f>
        <v>#VALUE!</v>
      </c>
      <c r="FY29" t="e">
        <f>AND(Plan1!M490,"AAAAACTZ97Q=")</f>
        <v>#VALUE!</v>
      </c>
      <c r="FZ29" t="e">
        <f>AND(Plan1!N490,"AAAAACTZ97U=")</f>
        <v>#VALUE!</v>
      </c>
      <c r="GA29">
        <f>IF(Plan1!491:491,"AAAAACTZ97Y=",0)</f>
        <v>0</v>
      </c>
      <c r="GB29" t="e">
        <f>AND(Plan1!A491,"AAAAACTZ97c=")</f>
        <v>#VALUE!</v>
      </c>
      <c r="GC29" t="e">
        <f>AND(Plan1!B491,"AAAAACTZ97g=")</f>
        <v>#VALUE!</v>
      </c>
      <c r="GD29" t="e">
        <f>AND(Plan1!C491,"AAAAACTZ97k=")</f>
        <v>#VALUE!</v>
      </c>
      <c r="GE29" t="e">
        <f>AND(Plan1!D491,"AAAAACTZ97o=")</f>
        <v>#VALUE!</v>
      </c>
      <c r="GF29" t="e">
        <f>AND(Plan1!E491,"AAAAACTZ97s=")</f>
        <v>#VALUE!</v>
      </c>
      <c r="GG29" t="e">
        <f>AND(Plan1!F491,"AAAAACTZ97w=")</f>
        <v>#VALUE!</v>
      </c>
      <c r="GH29" t="e">
        <f>AND(Plan1!G491,"AAAAACTZ970=")</f>
        <v>#VALUE!</v>
      </c>
      <c r="GI29" t="e">
        <f>AND(Plan1!H491,"AAAAACTZ974=")</f>
        <v>#VALUE!</v>
      </c>
      <c r="GJ29" t="e">
        <f>AND(Plan1!I491,"AAAAACTZ978=")</f>
        <v>#VALUE!</v>
      </c>
      <c r="GK29" t="e">
        <f>AND(Plan1!J491,"AAAAACTZ98A=")</f>
        <v>#VALUE!</v>
      </c>
      <c r="GL29" t="e">
        <f>AND(Plan1!K491,"AAAAACTZ98E=")</f>
        <v>#VALUE!</v>
      </c>
      <c r="GM29" t="e">
        <f>AND(Plan1!L491,"AAAAACTZ98I=")</f>
        <v>#VALUE!</v>
      </c>
      <c r="GN29" t="e">
        <f>AND(Plan1!M491,"AAAAACTZ98M=")</f>
        <v>#VALUE!</v>
      </c>
      <c r="GO29" t="e">
        <f>AND(Plan1!N491,"AAAAACTZ98Q=")</f>
        <v>#VALUE!</v>
      </c>
      <c r="GP29">
        <f>IF(Plan1!492:492,"AAAAACTZ98U=",0)</f>
        <v>0</v>
      </c>
      <c r="GQ29" t="e">
        <f>AND(Plan1!A492,"AAAAACTZ98Y=")</f>
        <v>#VALUE!</v>
      </c>
      <c r="GR29" t="e">
        <f>AND(Plan1!B492,"AAAAACTZ98c=")</f>
        <v>#VALUE!</v>
      </c>
      <c r="GS29" t="e">
        <f>AND(Plan1!C492,"AAAAACTZ98g=")</f>
        <v>#VALUE!</v>
      </c>
      <c r="GT29" t="e">
        <f>AND(Plan1!D492,"AAAAACTZ98k=")</f>
        <v>#VALUE!</v>
      </c>
      <c r="GU29" t="e">
        <f>AND(Plan1!E492,"AAAAACTZ98o=")</f>
        <v>#VALUE!</v>
      </c>
      <c r="GV29" t="e">
        <f>AND(Plan1!F492,"AAAAACTZ98s=")</f>
        <v>#VALUE!</v>
      </c>
      <c r="GW29" t="e">
        <f>AND(Plan1!G492,"AAAAACTZ98w=")</f>
        <v>#VALUE!</v>
      </c>
      <c r="GX29" t="e">
        <f>AND(Plan1!H492,"AAAAACTZ980=")</f>
        <v>#VALUE!</v>
      </c>
      <c r="GY29" t="e">
        <f>AND(Plan1!I492,"AAAAACTZ984=")</f>
        <v>#VALUE!</v>
      </c>
      <c r="GZ29" t="e">
        <f>AND(Plan1!J492,"AAAAACTZ988=")</f>
        <v>#VALUE!</v>
      </c>
      <c r="HA29" t="e">
        <f>AND(Plan1!K492,"AAAAACTZ99A=")</f>
        <v>#VALUE!</v>
      </c>
      <c r="HB29" t="e">
        <f>AND(Plan1!L492,"AAAAACTZ99E=")</f>
        <v>#VALUE!</v>
      </c>
      <c r="HC29" t="e">
        <f>AND(Plan1!M492,"AAAAACTZ99I=")</f>
        <v>#VALUE!</v>
      </c>
      <c r="HD29" t="e">
        <f>AND(Plan1!N492,"AAAAACTZ99M=")</f>
        <v>#VALUE!</v>
      </c>
      <c r="HE29">
        <f>IF(Plan1!493:493,"AAAAACTZ99Q=",0)</f>
        <v>0</v>
      </c>
      <c r="HF29" t="e">
        <f>AND(Plan1!A493,"AAAAACTZ99U=")</f>
        <v>#VALUE!</v>
      </c>
      <c r="HG29" t="e">
        <f>AND(Plan1!B493,"AAAAACTZ99Y=")</f>
        <v>#VALUE!</v>
      </c>
      <c r="HH29" t="e">
        <f>AND(Plan1!C493,"AAAAACTZ99c=")</f>
        <v>#VALUE!</v>
      </c>
      <c r="HI29" t="e">
        <f>AND(Plan1!D493,"AAAAACTZ99g=")</f>
        <v>#VALUE!</v>
      </c>
      <c r="HJ29" t="e">
        <f>AND(Plan1!E493,"AAAAACTZ99k=")</f>
        <v>#VALUE!</v>
      </c>
      <c r="HK29" t="e">
        <f>AND(Plan1!F493,"AAAAACTZ99o=")</f>
        <v>#VALUE!</v>
      </c>
      <c r="HL29" t="e">
        <f>AND(Plan1!G493,"AAAAACTZ99s=")</f>
        <v>#VALUE!</v>
      </c>
      <c r="HM29" t="e">
        <f>AND(Plan1!H493,"AAAAACTZ99w=")</f>
        <v>#VALUE!</v>
      </c>
      <c r="HN29" t="e">
        <f>AND(Plan1!I493,"AAAAACTZ990=")</f>
        <v>#VALUE!</v>
      </c>
      <c r="HO29" t="e">
        <f>AND(Plan1!J493,"AAAAACTZ994=")</f>
        <v>#VALUE!</v>
      </c>
      <c r="HP29" t="e">
        <f>AND(Plan1!K493,"AAAAACTZ998=")</f>
        <v>#VALUE!</v>
      </c>
      <c r="HQ29" t="e">
        <f>AND(Plan1!L493,"AAAAACTZ9+A=")</f>
        <v>#VALUE!</v>
      </c>
      <c r="HR29" t="e">
        <f>AND(Plan1!M493,"AAAAACTZ9+E=")</f>
        <v>#VALUE!</v>
      </c>
      <c r="HS29" t="e">
        <f>AND(Plan1!N493,"AAAAACTZ9+I=")</f>
        <v>#VALUE!</v>
      </c>
      <c r="HT29">
        <f>IF(Plan1!494:494,"AAAAACTZ9+M=",0)</f>
        <v>0</v>
      </c>
      <c r="HU29" t="e">
        <f>AND(Plan1!A494,"AAAAACTZ9+Q=")</f>
        <v>#VALUE!</v>
      </c>
      <c r="HV29" t="e">
        <f>AND(Plan1!B494,"AAAAACTZ9+U=")</f>
        <v>#VALUE!</v>
      </c>
      <c r="HW29" t="e">
        <f>AND(Plan1!C494,"AAAAACTZ9+Y=")</f>
        <v>#VALUE!</v>
      </c>
      <c r="HX29" t="e">
        <f>AND(Plan1!D494,"AAAAACTZ9+c=")</f>
        <v>#VALUE!</v>
      </c>
      <c r="HY29" t="e">
        <f>AND(Plan1!E494,"AAAAACTZ9+g=")</f>
        <v>#VALUE!</v>
      </c>
      <c r="HZ29" t="e">
        <f>AND(Plan1!F494,"AAAAACTZ9+k=")</f>
        <v>#VALUE!</v>
      </c>
      <c r="IA29" t="e">
        <f>AND(Plan1!G494,"AAAAACTZ9+o=")</f>
        <v>#VALUE!</v>
      </c>
      <c r="IB29" t="e">
        <f>AND(Plan1!H494,"AAAAACTZ9+s=")</f>
        <v>#VALUE!</v>
      </c>
      <c r="IC29" t="e">
        <f>AND(Plan1!I494,"AAAAACTZ9+w=")</f>
        <v>#VALUE!</v>
      </c>
      <c r="ID29" t="e">
        <f>AND(Plan1!J494,"AAAAACTZ9+0=")</f>
        <v>#VALUE!</v>
      </c>
      <c r="IE29" t="e">
        <f>AND(Plan1!K494,"AAAAACTZ9+4=")</f>
        <v>#VALUE!</v>
      </c>
      <c r="IF29" t="e">
        <f>AND(Plan1!L494,"AAAAACTZ9+8=")</f>
        <v>#VALUE!</v>
      </c>
      <c r="IG29" t="e">
        <f>AND(Plan1!M494,"AAAAACTZ9/A=")</f>
        <v>#VALUE!</v>
      </c>
      <c r="IH29" t="e">
        <f>AND(Plan1!N494,"AAAAACTZ9/E=")</f>
        <v>#VALUE!</v>
      </c>
      <c r="II29">
        <f>IF(Plan1!495:495,"AAAAACTZ9/I=",0)</f>
        <v>0</v>
      </c>
      <c r="IJ29" t="e">
        <f>AND(Plan1!A495,"AAAAACTZ9/M=")</f>
        <v>#VALUE!</v>
      </c>
      <c r="IK29" t="e">
        <f>AND(Plan1!B495,"AAAAACTZ9/Q=")</f>
        <v>#VALUE!</v>
      </c>
      <c r="IL29" t="e">
        <f>AND(Plan1!C495,"AAAAACTZ9/U=")</f>
        <v>#VALUE!</v>
      </c>
      <c r="IM29" t="e">
        <f>AND(Plan1!D495,"AAAAACTZ9/Y=")</f>
        <v>#VALUE!</v>
      </c>
      <c r="IN29" t="e">
        <f>AND(Plan1!E495,"AAAAACTZ9/c=")</f>
        <v>#VALUE!</v>
      </c>
      <c r="IO29" t="e">
        <f>AND(Plan1!F495,"AAAAACTZ9/g=")</f>
        <v>#VALUE!</v>
      </c>
      <c r="IP29" t="e">
        <f>AND(Plan1!G495,"AAAAACTZ9/k=")</f>
        <v>#VALUE!</v>
      </c>
      <c r="IQ29" t="e">
        <f>AND(Plan1!H495,"AAAAACTZ9/o=")</f>
        <v>#VALUE!</v>
      </c>
      <c r="IR29" t="e">
        <f>AND(Plan1!I495,"AAAAACTZ9/s=")</f>
        <v>#VALUE!</v>
      </c>
      <c r="IS29" t="e">
        <f>AND(Plan1!J495,"AAAAACTZ9/w=")</f>
        <v>#VALUE!</v>
      </c>
      <c r="IT29" t="e">
        <f>AND(Plan1!K495,"AAAAACTZ9/0=")</f>
        <v>#VALUE!</v>
      </c>
      <c r="IU29" t="e">
        <f>AND(Plan1!L495,"AAAAACTZ9/4=")</f>
        <v>#VALUE!</v>
      </c>
      <c r="IV29" t="e">
        <f>AND(Plan1!M495,"AAAAACTZ9/8=")</f>
        <v>#VALUE!</v>
      </c>
    </row>
    <row r="30" spans="1:256">
      <c r="A30" t="e">
        <f>AND(Plan1!N495,"AAAAAB3f/gA=")</f>
        <v>#VALUE!</v>
      </c>
      <c r="B30" t="e">
        <f>IF(Plan1!496:496,"AAAAAB3f/gE=",0)</f>
        <v>#VALUE!</v>
      </c>
      <c r="C30" t="e">
        <f>AND(Plan1!A496,"AAAAAB3f/gI=")</f>
        <v>#VALUE!</v>
      </c>
      <c r="D30" t="e">
        <f>AND(Plan1!B496,"AAAAAB3f/gM=")</f>
        <v>#VALUE!</v>
      </c>
      <c r="E30" t="e">
        <f>AND(Plan1!C496,"AAAAAB3f/gQ=")</f>
        <v>#VALUE!</v>
      </c>
      <c r="F30" t="e">
        <f>AND(Plan1!D496,"AAAAAB3f/gU=")</f>
        <v>#VALUE!</v>
      </c>
      <c r="G30" t="e">
        <f>AND(Plan1!E496,"AAAAAB3f/gY=")</f>
        <v>#VALUE!</v>
      </c>
      <c r="H30" t="e">
        <f>AND(Plan1!F496,"AAAAAB3f/gc=")</f>
        <v>#VALUE!</v>
      </c>
      <c r="I30" t="e">
        <f>AND(Plan1!G496,"AAAAAB3f/gg=")</f>
        <v>#VALUE!</v>
      </c>
      <c r="J30" t="e">
        <f>AND(Plan1!H496,"AAAAAB3f/gk=")</f>
        <v>#VALUE!</v>
      </c>
      <c r="K30" t="e">
        <f>AND(Plan1!I496,"AAAAAB3f/go=")</f>
        <v>#VALUE!</v>
      </c>
      <c r="L30" t="e">
        <f>AND(Plan1!J496,"AAAAAB3f/gs=")</f>
        <v>#VALUE!</v>
      </c>
      <c r="M30" t="e">
        <f>AND(Plan1!K496,"AAAAAB3f/gw=")</f>
        <v>#VALUE!</v>
      </c>
      <c r="N30" t="e">
        <f>AND(Plan1!L496,"AAAAAB3f/g0=")</f>
        <v>#VALUE!</v>
      </c>
      <c r="O30" t="e">
        <f>AND(Plan1!M496,"AAAAAB3f/g4=")</f>
        <v>#VALUE!</v>
      </c>
      <c r="P30" t="e">
        <f>AND(Plan1!N496,"AAAAAB3f/g8=")</f>
        <v>#VALUE!</v>
      </c>
      <c r="Q30">
        <f>IF(Plan1!497:497,"AAAAAB3f/hA=",0)</f>
        <v>0</v>
      </c>
      <c r="R30" t="e">
        <f>AND(Plan1!A497,"AAAAAB3f/hE=")</f>
        <v>#VALUE!</v>
      </c>
      <c r="S30" t="e">
        <f>AND(Plan1!B497,"AAAAAB3f/hI=")</f>
        <v>#VALUE!</v>
      </c>
      <c r="T30" t="e">
        <f>AND(Plan1!C497,"AAAAAB3f/hM=")</f>
        <v>#VALUE!</v>
      </c>
      <c r="U30" t="e">
        <f>AND(Plan1!D497,"AAAAAB3f/hQ=")</f>
        <v>#VALUE!</v>
      </c>
      <c r="V30" t="e">
        <f>AND(Plan1!E497,"AAAAAB3f/hU=")</f>
        <v>#VALUE!</v>
      </c>
      <c r="W30" t="e">
        <f>AND(Plan1!F497,"AAAAAB3f/hY=")</f>
        <v>#VALUE!</v>
      </c>
      <c r="X30" t="e">
        <f>AND(Plan1!G497,"AAAAAB3f/hc=")</f>
        <v>#VALUE!</v>
      </c>
      <c r="Y30" t="e">
        <f>AND(Plan1!H497,"AAAAAB3f/hg=")</f>
        <v>#VALUE!</v>
      </c>
      <c r="Z30" t="e">
        <f>AND(Plan1!I497,"AAAAAB3f/hk=")</f>
        <v>#VALUE!</v>
      </c>
      <c r="AA30" t="e">
        <f>AND(Plan1!J497,"AAAAAB3f/ho=")</f>
        <v>#VALUE!</v>
      </c>
      <c r="AB30" t="e">
        <f>AND(Plan1!K497,"AAAAAB3f/hs=")</f>
        <v>#VALUE!</v>
      </c>
      <c r="AC30" t="e">
        <f>AND(Plan1!L497,"AAAAAB3f/hw=")</f>
        <v>#VALUE!</v>
      </c>
      <c r="AD30" t="e">
        <f>AND(Plan1!M497,"AAAAAB3f/h0=")</f>
        <v>#VALUE!</v>
      </c>
      <c r="AE30" t="e">
        <f>AND(Plan1!N497,"AAAAAB3f/h4=")</f>
        <v>#VALUE!</v>
      </c>
      <c r="AF30">
        <f>IF(Plan1!498:498,"AAAAAB3f/h8=",0)</f>
        <v>0</v>
      </c>
      <c r="AG30" t="e">
        <f>AND(Plan1!A498,"AAAAAB3f/iA=")</f>
        <v>#VALUE!</v>
      </c>
      <c r="AH30" t="e">
        <f>AND(Plan1!B498,"AAAAAB3f/iE=")</f>
        <v>#VALUE!</v>
      </c>
      <c r="AI30" t="e">
        <f>AND(Plan1!C498,"AAAAAB3f/iI=")</f>
        <v>#VALUE!</v>
      </c>
      <c r="AJ30" t="e">
        <f>AND(Plan1!D498,"AAAAAB3f/iM=")</f>
        <v>#VALUE!</v>
      </c>
      <c r="AK30" t="e">
        <f>AND(Plan1!E498,"AAAAAB3f/iQ=")</f>
        <v>#VALUE!</v>
      </c>
      <c r="AL30" t="e">
        <f>AND(Plan1!F498,"AAAAAB3f/iU=")</f>
        <v>#VALUE!</v>
      </c>
      <c r="AM30" t="e">
        <f>AND(Plan1!G498,"AAAAAB3f/iY=")</f>
        <v>#VALUE!</v>
      </c>
      <c r="AN30" t="e">
        <f>AND(Plan1!H498,"AAAAAB3f/ic=")</f>
        <v>#VALUE!</v>
      </c>
      <c r="AO30" t="e">
        <f>AND(Plan1!I498,"AAAAAB3f/ig=")</f>
        <v>#VALUE!</v>
      </c>
      <c r="AP30" t="e">
        <f>AND(Plan1!J498,"AAAAAB3f/ik=")</f>
        <v>#VALUE!</v>
      </c>
      <c r="AQ30" t="e">
        <f>AND(Plan1!K498,"AAAAAB3f/io=")</f>
        <v>#VALUE!</v>
      </c>
      <c r="AR30" t="e">
        <f>AND(Plan1!L498,"AAAAAB3f/is=")</f>
        <v>#VALUE!</v>
      </c>
      <c r="AS30" t="e">
        <f>AND(Plan1!M498,"AAAAAB3f/iw=")</f>
        <v>#VALUE!</v>
      </c>
      <c r="AT30" t="e">
        <f>AND(Plan1!N498,"AAAAAB3f/i0=")</f>
        <v>#VALUE!</v>
      </c>
      <c r="AU30">
        <f>IF(Plan1!499:499,"AAAAAB3f/i4=",0)</f>
        <v>0</v>
      </c>
      <c r="AV30" t="e">
        <f>AND(Plan1!A499,"AAAAAB3f/i8=")</f>
        <v>#VALUE!</v>
      </c>
      <c r="AW30" t="e">
        <f>AND(Plan1!B499,"AAAAAB3f/jA=")</f>
        <v>#VALUE!</v>
      </c>
      <c r="AX30" t="e">
        <f>AND(Plan1!C499,"AAAAAB3f/jE=")</f>
        <v>#VALUE!</v>
      </c>
      <c r="AY30" t="e">
        <f>AND(Plan1!D499,"AAAAAB3f/jI=")</f>
        <v>#VALUE!</v>
      </c>
      <c r="AZ30" t="e">
        <f>AND(Plan1!E499,"AAAAAB3f/jM=")</f>
        <v>#VALUE!</v>
      </c>
      <c r="BA30" t="e">
        <f>AND(Plan1!F499,"AAAAAB3f/jQ=")</f>
        <v>#VALUE!</v>
      </c>
      <c r="BB30" t="e">
        <f>AND(Plan1!G499,"AAAAAB3f/jU=")</f>
        <v>#VALUE!</v>
      </c>
      <c r="BC30" t="e">
        <f>AND(Plan1!H499,"AAAAAB3f/jY=")</f>
        <v>#VALUE!</v>
      </c>
      <c r="BD30" t="e">
        <f>AND(Plan1!I499,"AAAAAB3f/jc=")</f>
        <v>#VALUE!</v>
      </c>
      <c r="BE30" t="e">
        <f>AND(Plan1!J499,"AAAAAB3f/jg=")</f>
        <v>#VALUE!</v>
      </c>
      <c r="BF30" t="e">
        <f>AND(Plan1!K499,"AAAAAB3f/jk=")</f>
        <v>#VALUE!</v>
      </c>
      <c r="BG30" t="e">
        <f>AND(Plan1!L499,"AAAAAB3f/jo=")</f>
        <v>#VALUE!</v>
      </c>
      <c r="BH30" t="e">
        <f>AND(Plan1!M499,"AAAAAB3f/js=")</f>
        <v>#VALUE!</v>
      </c>
      <c r="BI30" t="e">
        <f>AND(Plan1!N499,"AAAAAB3f/jw=")</f>
        <v>#VALUE!</v>
      </c>
      <c r="BJ30">
        <f>IF(Plan1!500:500,"AAAAAB3f/j0=",0)</f>
        <v>0</v>
      </c>
      <c r="BK30" t="e">
        <f>AND(Plan1!A500,"AAAAAB3f/j4=")</f>
        <v>#VALUE!</v>
      </c>
      <c r="BL30" t="e">
        <f>AND(Plan1!B500,"AAAAAB3f/j8=")</f>
        <v>#VALUE!</v>
      </c>
      <c r="BM30" t="e">
        <f>AND(Plan1!C500,"AAAAAB3f/kA=")</f>
        <v>#VALUE!</v>
      </c>
      <c r="BN30" t="e">
        <f>AND(Plan1!D500,"AAAAAB3f/kE=")</f>
        <v>#VALUE!</v>
      </c>
      <c r="BO30" t="e">
        <f>AND(Plan1!E500,"AAAAAB3f/kI=")</f>
        <v>#VALUE!</v>
      </c>
      <c r="BP30" t="e">
        <f>AND(Plan1!F500,"AAAAAB3f/kM=")</f>
        <v>#VALUE!</v>
      </c>
      <c r="BQ30" t="e">
        <f>AND(Plan1!G500,"AAAAAB3f/kQ=")</f>
        <v>#VALUE!</v>
      </c>
      <c r="BR30" t="e">
        <f>AND(Plan1!H500,"AAAAAB3f/kU=")</f>
        <v>#VALUE!</v>
      </c>
      <c r="BS30" t="e">
        <f>AND(Plan1!I500,"AAAAAB3f/kY=")</f>
        <v>#VALUE!</v>
      </c>
      <c r="BT30" t="e">
        <f>AND(Plan1!J500,"AAAAAB3f/kc=")</f>
        <v>#VALUE!</v>
      </c>
      <c r="BU30" t="e">
        <f>AND(Plan1!K500,"AAAAAB3f/kg=")</f>
        <v>#VALUE!</v>
      </c>
      <c r="BV30" t="e">
        <f>AND(Plan1!L500,"AAAAAB3f/kk=")</f>
        <v>#VALUE!</v>
      </c>
      <c r="BW30" t="e">
        <f>AND(Plan1!M500,"AAAAAB3f/ko=")</f>
        <v>#VALUE!</v>
      </c>
      <c r="BX30" t="e">
        <f>AND(Plan1!N500,"AAAAAB3f/ks=")</f>
        <v>#VALUE!</v>
      </c>
      <c r="BY30">
        <f>IF(Plan1!501:501,"AAAAAB3f/kw=",0)</f>
        <v>0</v>
      </c>
      <c r="BZ30" t="e">
        <f>AND(Plan1!A501,"AAAAAB3f/k0=")</f>
        <v>#VALUE!</v>
      </c>
      <c r="CA30" t="e">
        <f>AND(Plan1!B501,"AAAAAB3f/k4=")</f>
        <v>#VALUE!</v>
      </c>
      <c r="CB30" t="e">
        <f>AND(Plan1!C501,"AAAAAB3f/k8=")</f>
        <v>#VALUE!</v>
      </c>
      <c r="CC30" t="e">
        <f>AND(Plan1!D501,"AAAAAB3f/lA=")</f>
        <v>#VALUE!</v>
      </c>
      <c r="CD30" t="e">
        <f>AND(Plan1!E501,"AAAAAB3f/lE=")</f>
        <v>#VALUE!</v>
      </c>
      <c r="CE30" t="e">
        <f>AND(Plan1!F501,"AAAAAB3f/lI=")</f>
        <v>#VALUE!</v>
      </c>
      <c r="CF30" t="e">
        <f>AND(Plan1!G501,"AAAAAB3f/lM=")</f>
        <v>#VALUE!</v>
      </c>
      <c r="CG30" t="e">
        <f>AND(Plan1!H501,"AAAAAB3f/lQ=")</f>
        <v>#VALUE!</v>
      </c>
      <c r="CH30" t="e">
        <f>AND(Plan1!I501,"AAAAAB3f/lU=")</f>
        <v>#VALUE!</v>
      </c>
      <c r="CI30" t="e">
        <f>AND(Plan1!J501,"AAAAAB3f/lY=")</f>
        <v>#VALUE!</v>
      </c>
      <c r="CJ30" t="e">
        <f>AND(Plan1!K501,"AAAAAB3f/lc=")</f>
        <v>#VALUE!</v>
      </c>
      <c r="CK30" t="e">
        <f>AND(Plan1!L501,"AAAAAB3f/lg=")</f>
        <v>#VALUE!</v>
      </c>
      <c r="CL30" t="e">
        <f>AND(Plan1!M501,"AAAAAB3f/lk=")</f>
        <v>#VALUE!</v>
      </c>
      <c r="CM30" t="e">
        <f>AND(Plan1!N501,"AAAAAB3f/lo=")</f>
        <v>#VALUE!</v>
      </c>
      <c r="CN30">
        <f>IF(Plan1!502:502,"AAAAAB3f/ls=",0)</f>
        <v>0</v>
      </c>
      <c r="CO30" t="e">
        <f>AND(Plan1!A502,"AAAAAB3f/lw=")</f>
        <v>#VALUE!</v>
      </c>
      <c r="CP30" t="e">
        <f>AND(Plan1!B502,"AAAAAB3f/l0=")</f>
        <v>#VALUE!</v>
      </c>
      <c r="CQ30" t="e">
        <f>AND(Plan1!C502,"AAAAAB3f/l4=")</f>
        <v>#VALUE!</v>
      </c>
      <c r="CR30" t="e">
        <f>AND(Plan1!D502,"AAAAAB3f/l8=")</f>
        <v>#VALUE!</v>
      </c>
      <c r="CS30" t="e">
        <f>AND(Plan1!E502,"AAAAAB3f/mA=")</f>
        <v>#VALUE!</v>
      </c>
      <c r="CT30" t="e">
        <f>AND(Plan1!F502,"AAAAAB3f/mE=")</f>
        <v>#VALUE!</v>
      </c>
      <c r="CU30" t="e">
        <f>AND(Plan1!G502,"AAAAAB3f/mI=")</f>
        <v>#VALUE!</v>
      </c>
      <c r="CV30" t="e">
        <f>AND(Plan1!H502,"AAAAAB3f/mM=")</f>
        <v>#VALUE!</v>
      </c>
      <c r="CW30" t="e">
        <f>AND(Plan1!I502,"AAAAAB3f/mQ=")</f>
        <v>#VALUE!</v>
      </c>
      <c r="CX30" t="e">
        <f>AND(Plan1!J502,"AAAAAB3f/mU=")</f>
        <v>#VALUE!</v>
      </c>
      <c r="CY30" t="e">
        <f>AND(Plan1!K502,"AAAAAB3f/mY=")</f>
        <v>#VALUE!</v>
      </c>
      <c r="CZ30" t="e">
        <f>AND(Plan1!L502,"AAAAAB3f/mc=")</f>
        <v>#VALUE!</v>
      </c>
      <c r="DA30" t="e">
        <f>AND(Plan1!M502,"AAAAAB3f/mg=")</f>
        <v>#VALUE!</v>
      </c>
      <c r="DB30" t="e">
        <f>AND(Plan1!N502,"AAAAAB3f/mk=")</f>
        <v>#VALUE!</v>
      </c>
      <c r="DC30">
        <f>IF(Plan1!503:503,"AAAAAB3f/mo=",0)</f>
        <v>0</v>
      </c>
      <c r="DD30" t="e">
        <f>AND(Plan1!A503,"AAAAAB3f/ms=")</f>
        <v>#VALUE!</v>
      </c>
      <c r="DE30" t="e">
        <f>AND(Plan1!B503,"AAAAAB3f/mw=")</f>
        <v>#VALUE!</v>
      </c>
      <c r="DF30" t="e">
        <f>AND(Plan1!C503,"AAAAAB3f/m0=")</f>
        <v>#VALUE!</v>
      </c>
      <c r="DG30" t="e">
        <f>AND(Plan1!D503,"AAAAAB3f/m4=")</f>
        <v>#VALUE!</v>
      </c>
      <c r="DH30" t="e">
        <f>AND(Plan1!E503,"AAAAAB3f/m8=")</f>
        <v>#VALUE!</v>
      </c>
      <c r="DI30" t="e">
        <f>AND(Plan1!F503,"AAAAAB3f/nA=")</f>
        <v>#VALUE!</v>
      </c>
      <c r="DJ30" t="e">
        <f>AND(Plan1!G503,"AAAAAB3f/nE=")</f>
        <v>#VALUE!</v>
      </c>
      <c r="DK30" t="e">
        <f>AND(Plan1!H503,"AAAAAB3f/nI=")</f>
        <v>#VALUE!</v>
      </c>
      <c r="DL30" t="e">
        <f>AND(Plan1!I503,"AAAAAB3f/nM=")</f>
        <v>#VALUE!</v>
      </c>
      <c r="DM30" t="e">
        <f>AND(Plan1!J503,"AAAAAB3f/nQ=")</f>
        <v>#VALUE!</v>
      </c>
      <c r="DN30" t="e">
        <f>AND(Plan1!K503,"AAAAAB3f/nU=")</f>
        <v>#VALUE!</v>
      </c>
      <c r="DO30" t="e">
        <f>AND(Plan1!L503,"AAAAAB3f/nY=")</f>
        <v>#VALUE!</v>
      </c>
      <c r="DP30" t="e">
        <f>AND(Plan1!M503,"AAAAAB3f/nc=")</f>
        <v>#VALUE!</v>
      </c>
      <c r="DQ30" t="e">
        <f>AND(Plan1!N503,"AAAAAB3f/ng=")</f>
        <v>#VALUE!</v>
      </c>
      <c r="DR30">
        <f>IF(Plan1!504:504,"AAAAAB3f/nk=",0)</f>
        <v>0</v>
      </c>
      <c r="DS30" t="e">
        <f>AND(Plan1!A504,"AAAAAB3f/no=")</f>
        <v>#VALUE!</v>
      </c>
      <c r="DT30" t="e">
        <f>AND(Plan1!B504,"AAAAAB3f/ns=")</f>
        <v>#VALUE!</v>
      </c>
      <c r="DU30" t="e">
        <f>AND(Plan1!C504,"AAAAAB3f/nw=")</f>
        <v>#VALUE!</v>
      </c>
      <c r="DV30" t="e">
        <f>AND(Plan1!D504,"AAAAAB3f/n0=")</f>
        <v>#VALUE!</v>
      </c>
      <c r="DW30" t="e">
        <f>AND(Plan1!E504,"AAAAAB3f/n4=")</f>
        <v>#VALUE!</v>
      </c>
      <c r="DX30" t="e">
        <f>AND(Plan1!F504,"AAAAAB3f/n8=")</f>
        <v>#VALUE!</v>
      </c>
      <c r="DY30" t="e">
        <f>AND(Plan1!G504,"AAAAAB3f/oA=")</f>
        <v>#VALUE!</v>
      </c>
      <c r="DZ30" t="e">
        <f>AND(Plan1!H504,"AAAAAB3f/oE=")</f>
        <v>#VALUE!</v>
      </c>
      <c r="EA30" t="e">
        <f>AND(Plan1!I504,"AAAAAB3f/oI=")</f>
        <v>#VALUE!</v>
      </c>
      <c r="EB30" t="e">
        <f>AND(Plan1!J504,"AAAAAB3f/oM=")</f>
        <v>#VALUE!</v>
      </c>
      <c r="EC30" t="e">
        <f>AND(Plan1!K504,"AAAAAB3f/oQ=")</f>
        <v>#VALUE!</v>
      </c>
      <c r="ED30" t="e">
        <f>AND(Plan1!L504,"AAAAAB3f/oU=")</f>
        <v>#VALUE!</v>
      </c>
      <c r="EE30" t="e">
        <f>AND(Plan1!M504,"AAAAAB3f/oY=")</f>
        <v>#VALUE!</v>
      </c>
      <c r="EF30" t="e">
        <f>AND(Plan1!N504,"AAAAAB3f/oc=")</f>
        <v>#VALUE!</v>
      </c>
      <c r="EG30">
        <f>IF(Plan1!505:505,"AAAAAB3f/og=",0)</f>
        <v>0</v>
      </c>
      <c r="EH30" t="e">
        <f>AND(Plan1!A505,"AAAAAB3f/ok=")</f>
        <v>#VALUE!</v>
      </c>
      <c r="EI30" t="e">
        <f>AND(Plan1!B505,"AAAAAB3f/oo=")</f>
        <v>#VALUE!</v>
      </c>
      <c r="EJ30" t="e">
        <f>AND(Plan1!C505,"AAAAAB3f/os=")</f>
        <v>#VALUE!</v>
      </c>
      <c r="EK30" t="e">
        <f>AND(Plan1!D505,"AAAAAB3f/ow=")</f>
        <v>#VALUE!</v>
      </c>
      <c r="EL30" t="e">
        <f>AND(Plan1!E505,"AAAAAB3f/o0=")</f>
        <v>#VALUE!</v>
      </c>
      <c r="EM30" t="e">
        <f>AND(Plan1!F505,"AAAAAB3f/o4=")</f>
        <v>#VALUE!</v>
      </c>
      <c r="EN30" t="e">
        <f>AND(Plan1!G505,"AAAAAB3f/o8=")</f>
        <v>#VALUE!</v>
      </c>
      <c r="EO30" t="e">
        <f>AND(Plan1!H505,"AAAAAB3f/pA=")</f>
        <v>#VALUE!</v>
      </c>
      <c r="EP30" t="e">
        <f>AND(Plan1!I505,"AAAAAB3f/pE=")</f>
        <v>#VALUE!</v>
      </c>
      <c r="EQ30" t="e">
        <f>AND(Plan1!J505,"AAAAAB3f/pI=")</f>
        <v>#VALUE!</v>
      </c>
      <c r="ER30" t="e">
        <f>AND(Plan1!K505,"AAAAAB3f/pM=")</f>
        <v>#VALUE!</v>
      </c>
      <c r="ES30" t="e">
        <f>AND(Plan1!L505,"AAAAAB3f/pQ=")</f>
        <v>#VALUE!</v>
      </c>
      <c r="ET30" t="e">
        <f>AND(Plan1!M505,"AAAAAB3f/pU=")</f>
        <v>#VALUE!</v>
      </c>
      <c r="EU30" t="e">
        <f>AND(Plan1!N505,"AAAAAB3f/pY=")</f>
        <v>#VALUE!</v>
      </c>
      <c r="EV30">
        <f>IF(Plan1!506:506,"AAAAAB3f/pc=",0)</f>
        <v>0</v>
      </c>
      <c r="EW30" t="e">
        <f>AND(Plan1!A506,"AAAAAB3f/pg=")</f>
        <v>#VALUE!</v>
      </c>
      <c r="EX30" t="e">
        <f>AND(Plan1!B506,"AAAAAB3f/pk=")</f>
        <v>#VALUE!</v>
      </c>
      <c r="EY30" t="e">
        <f>AND(Plan1!C506,"AAAAAB3f/po=")</f>
        <v>#VALUE!</v>
      </c>
      <c r="EZ30" t="e">
        <f>AND(Plan1!D506,"AAAAAB3f/ps=")</f>
        <v>#VALUE!</v>
      </c>
      <c r="FA30" t="e">
        <f>AND(Plan1!E506,"AAAAAB3f/pw=")</f>
        <v>#VALUE!</v>
      </c>
      <c r="FB30" t="e">
        <f>AND(Plan1!F506,"AAAAAB3f/p0=")</f>
        <v>#VALUE!</v>
      </c>
      <c r="FC30" t="e">
        <f>AND(Plan1!G506,"AAAAAB3f/p4=")</f>
        <v>#VALUE!</v>
      </c>
      <c r="FD30" t="e">
        <f>AND(Plan1!H506,"AAAAAB3f/p8=")</f>
        <v>#VALUE!</v>
      </c>
      <c r="FE30" t="e">
        <f>AND(Plan1!I506,"AAAAAB3f/qA=")</f>
        <v>#VALUE!</v>
      </c>
      <c r="FF30" t="e">
        <f>AND(Plan1!J506,"AAAAAB3f/qE=")</f>
        <v>#VALUE!</v>
      </c>
      <c r="FG30" t="e">
        <f>AND(Plan1!K506,"AAAAAB3f/qI=")</f>
        <v>#VALUE!</v>
      </c>
      <c r="FH30" t="e">
        <f>AND(Plan1!L506,"AAAAAB3f/qM=")</f>
        <v>#VALUE!</v>
      </c>
      <c r="FI30" t="e">
        <f>AND(Plan1!M506,"AAAAAB3f/qQ=")</f>
        <v>#VALUE!</v>
      </c>
      <c r="FJ30" t="e">
        <f>AND(Plan1!N506,"AAAAAB3f/qU=")</f>
        <v>#VALUE!</v>
      </c>
      <c r="FK30">
        <f>IF(Plan1!507:507,"AAAAAB3f/qY=",0)</f>
        <v>0</v>
      </c>
      <c r="FL30" t="e">
        <f>AND(Plan1!A507,"AAAAAB3f/qc=")</f>
        <v>#VALUE!</v>
      </c>
      <c r="FM30" t="e">
        <f>AND(Plan1!B507,"AAAAAB3f/qg=")</f>
        <v>#VALUE!</v>
      </c>
      <c r="FN30" t="e">
        <f>AND(Plan1!C507,"AAAAAB3f/qk=")</f>
        <v>#VALUE!</v>
      </c>
      <c r="FO30" t="e">
        <f>AND(Plan1!D507,"AAAAAB3f/qo=")</f>
        <v>#VALUE!</v>
      </c>
      <c r="FP30" t="e">
        <f>AND(Plan1!E507,"AAAAAB3f/qs=")</f>
        <v>#VALUE!</v>
      </c>
      <c r="FQ30" t="e">
        <f>AND(Plan1!F507,"AAAAAB3f/qw=")</f>
        <v>#VALUE!</v>
      </c>
      <c r="FR30" t="e">
        <f>AND(Plan1!G507,"AAAAAB3f/q0=")</f>
        <v>#VALUE!</v>
      </c>
      <c r="FS30" t="e">
        <f>AND(Plan1!H507,"AAAAAB3f/q4=")</f>
        <v>#VALUE!</v>
      </c>
      <c r="FT30" t="e">
        <f>AND(Plan1!I507,"AAAAAB3f/q8=")</f>
        <v>#VALUE!</v>
      </c>
      <c r="FU30" t="e">
        <f>AND(Plan1!J507,"AAAAAB3f/rA=")</f>
        <v>#VALUE!</v>
      </c>
      <c r="FV30" t="e">
        <f>AND(Plan1!K507,"AAAAAB3f/rE=")</f>
        <v>#VALUE!</v>
      </c>
      <c r="FW30" t="e">
        <f>AND(Plan1!L507,"AAAAAB3f/rI=")</f>
        <v>#VALUE!</v>
      </c>
      <c r="FX30" t="e">
        <f>AND(Plan1!M507,"AAAAAB3f/rM=")</f>
        <v>#VALUE!</v>
      </c>
      <c r="FY30" t="e">
        <f>AND(Plan1!N507,"AAAAAB3f/rQ=")</f>
        <v>#VALUE!</v>
      </c>
      <c r="FZ30">
        <f>IF(Plan1!508:508,"AAAAAB3f/rU=",0)</f>
        <v>0</v>
      </c>
      <c r="GA30" t="e">
        <f>AND(Plan1!A508,"AAAAAB3f/rY=")</f>
        <v>#VALUE!</v>
      </c>
      <c r="GB30" t="e">
        <f>AND(Plan1!B508,"AAAAAB3f/rc=")</f>
        <v>#VALUE!</v>
      </c>
      <c r="GC30" t="e">
        <f>AND(Plan1!C508,"AAAAAB3f/rg=")</f>
        <v>#VALUE!</v>
      </c>
      <c r="GD30" t="e">
        <f>AND(Plan1!D508,"AAAAAB3f/rk=")</f>
        <v>#VALUE!</v>
      </c>
      <c r="GE30" t="e">
        <f>AND(Plan1!E508,"AAAAAB3f/ro=")</f>
        <v>#VALUE!</v>
      </c>
      <c r="GF30" t="e">
        <f>AND(Plan1!F508,"AAAAAB3f/rs=")</f>
        <v>#VALUE!</v>
      </c>
      <c r="GG30" t="e">
        <f>AND(Plan1!G508,"AAAAAB3f/rw=")</f>
        <v>#VALUE!</v>
      </c>
      <c r="GH30" t="e">
        <f>AND(Plan1!H508,"AAAAAB3f/r0=")</f>
        <v>#VALUE!</v>
      </c>
      <c r="GI30" t="e">
        <f>AND(Plan1!I508,"AAAAAB3f/r4=")</f>
        <v>#VALUE!</v>
      </c>
      <c r="GJ30" t="e">
        <f>AND(Plan1!J508,"AAAAAB3f/r8=")</f>
        <v>#VALUE!</v>
      </c>
      <c r="GK30" t="e">
        <f>AND(Plan1!K508,"AAAAAB3f/sA=")</f>
        <v>#VALUE!</v>
      </c>
      <c r="GL30" t="e">
        <f>AND(Plan1!L508,"AAAAAB3f/sE=")</f>
        <v>#VALUE!</v>
      </c>
      <c r="GM30" t="e">
        <f>AND(Plan1!M508,"AAAAAB3f/sI=")</f>
        <v>#VALUE!</v>
      </c>
      <c r="GN30" t="e">
        <f>AND(Plan1!N508,"AAAAAB3f/sM=")</f>
        <v>#VALUE!</v>
      </c>
      <c r="GO30">
        <f>IF(Plan1!509:509,"AAAAAB3f/sQ=",0)</f>
        <v>0</v>
      </c>
      <c r="GP30" t="e">
        <f>AND(Plan1!A509,"AAAAAB3f/sU=")</f>
        <v>#VALUE!</v>
      </c>
      <c r="GQ30" t="e">
        <f>AND(Plan1!B509,"AAAAAB3f/sY=")</f>
        <v>#VALUE!</v>
      </c>
      <c r="GR30" t="e">
        <f>AND(Plan1!C509,"AAAAAB3f/sc=")</f>
        <v>#VALUE!</v>
      </c>
      <c r="GS30" t="e">
        <f>AND(Plan1!D509,"AAAAAB3f/sg=")</f>
        <v>#VALUE!</v>
      </c>
      <c r="GT30" t="e">
        <f>AND(Plan1!E509,"AAAAAB3f/sk=")</f>
        <v>#VALUE!</v>
      </c>
      <c r="GU30" t="e">
        <f>AND(Plan1!F509,"AAAAAB3f/so=")</f>
        <v>#VALUE!</v>
      </c>
      <c r="GV30" t="e">
        <f>AND(Plan1!G509,"AAAAAB3f/ss=")</f>
        <v>#VALUE!</v>
      </c>
      <c r="GW30" t="e">
        <f>AND(Plan1!H509,"AAAAAB3f/sw=")</f>
        <v>#VALUE!</v>
      </c>
      <c r="GX30" t="e">
        <f>AND(Plan1!I509,"AAAAAB3f/s0=")</f>
        <v>#VALUE!</v>
      </c>
      <c r="GY30" t="e">
        <f>AND(Plan1!J509,"AAAAAB3f/s4=")</f>
        <v>#VALUE!</v>
      </c>
      <c r="GZ30" t="e">
        <f>AND(Plan1!K509,"AAAAAB3f/s8=")</f>
        <v>#VALUE!</v>
      </c>
      <c r="HA30" t="e">
        <f>AND(Plan1!L509,"AAAAAB3f/tA=")</f>
        <v>#VALUE!</v>
      </c>
      <c r="HB30" t="e">
        <f>AND(Plan1!M509,"AAAAAB3f/tE=")</f>
        <v>#VALUE!</v>
      </c>
      <c r="HC30" t="e">
        <f>AND(Plan1!N509,"AAAAAB3f/tI=")</f>
        <v>#VALUE!</v>
      </c>
      <c r="HD30">
        <f>IF(Plan1!510:510,"AAAAAB3f/tM=",0)</f>
        <v>0</v>
      </c>
      <c r="HE30" t="e">
        <f>AND(Plan1!A510,"AAAAAB3f/tQ=")</f>
        <v>#VALUE!</v>
      </c>
      <c r="HF30" t="e">
        <f>AND(Plan1!B510,"AAAAAB3f/tU=")</f>
        <v>#VALUE!</v>
      </c>
      <c r="HG30" t="e">
        <f>AND(Plan1!C510,"AAAAAB3f/tY=")</f>
        <v>#VALUE!</v>
      </c>
      <c r="HH30" t="e">
        <f>AND(Plan1!D510,"AAAAAB3f/tc=")</f>
        <v>#VALUE!</v>
      </c>
      <c r="HI30" t="e">
        <f>AND(Plan1!E510,"AAAAAB3f/tg=")</f>
        <v>#VALUE!</v>
      </c>
      <c r="HJ30" t="e">
        <f>AND(Plan1!F510,"AAAAAB3f/tk=")</f>
        <v>#VALUE!</v>
      </c>
      <c r="HK30" t="e">
        <f>AND(Plan1!G510,"AAAAAB3f/to=")</f>
        <v>#VALUE!</v>
      </c>
      <c r="HL30" t="e">
        <f>AND(Plan1!H510,"AAAAAB3f/ts=")</f>
        <v>#VALUE!</v>
      </c>
      <c r="HM30" t="e">
        <f>AND(Plan1!I510,"AAAAAB3f/tw=")</f>
        <v>#VALUE!</v>
      </c>
      <c r="HN30" t="e">
        <f>AND(Plan1!J510,"AAAAAB3f/t0=")</f>
        <v>#VALUE!</v>
      </c>
      <c r="HO30" t="e">
        <f>AND(Plan1!K510,"AAAAAB3f/t4=")</f>
        <v>#VALUE!</v>
      </c>
      <c r="HP30" t="e">
        <f>AND(Plan1!L510,"AAAAAB3f/t8=")</f>
        <v>#VALUE!</v>
      </c>
      <c r="HQ30" t="e">
        <f>AND(Plan1!M510,"AAAAAB3f/uA=")</f>
        <v>#VALUE!</v>
      </c>
      <c r="HR30" t="e">
        <f>AND(Plan1!N510,"AAAAAB3f/uE=")</f>
        <v>#VALUE!</v>
      </c>
      <c r="HS30">
        <f>IF(Plan1!511:511,"AAAAAB3f/uI=",0)</f>
        <v>0</v>
      </c>
      <c r="HT30" t="e">
        <f>AND(Plan1!A511,"AAAAAB3f/uM=")</f>
        <v>#VALUE!</v>
      </c>
      <c r="HU30" t="e">
        <f>AND(Plan1!B511,"AAAAAB3f/uQ=")</f>
        <v>#VALUE!</v>
      </c>
      <c r="HV30" t="e">
        <f>AND(Plan1!C511,"AAAAAB3f/uU=")</f>
        <v>#VALUE!</v>
      </c>
      <c r="HW30" t="e">
        <f>AND(Plan1!D511,"AAAAAB3f/uY=")</f>
        <v>#VALUE!</v>
      </c>
      <c r="HX30" t="e">
        <f>AND(Plan1!E511,"AAAAAB3f/uc=")</f>
        <v>#VALUE!</v>
      </c>
      <c r="HY30" t="e">
        <f>AND(Plan1!F511,"AAAAAB3f/ug=")</f>
        <v>#VALUE!</v>
      </c>
      <c r="HZ30" t="e">
        <f>AND(Plan1!G511,"AAAAAB3f/uk=")</f>
        <v>#VALUE!</v>
      </c>
      <c r="IA30" t="e">
        <f>AND(Plan1!H511,"AAAAAB3f/uo=")</f>
        <v>#VALUE!</v>
      </c>
      <c r="IB30" t="e">
        <f>AND(Plan1!I511,"AAAAAB3f/us=")</f>
        <v>#VALUE!</v>
      </c>
      <c r="IC30" t="e">
        <f>AND(Plan1!J511,"AAAAAB3f/uw=")</f>
        <v>#VALUE!</v>
      </c>
      <c r="ID30" t="e">
        <f>AND(Plan1!K511,"AAAAAB3f/u0=")</f>
        <v>#VALUE!</v>
      </c>
      <c r="IE30" t="e">
        <f>AND(Plan1!L511,"AAAAAB3f/u4=")</f>
        <v>#VALUE!</v>
      </c>
      <c r="IF30" t="e">
        <f>AND(Plan1!M511,"AAAAAB3f/u8=")</f>
        <v>#VALUE!</v>
      </c>
      <c r="IG30" t="e">
        <f>AND(Plan1!N511,"AAAAAB3f/vA=")</f>
        <v>#VALUE!</v>
      </c>
      <c r="IH30">
        <f>IF(Plan1!512:512,"AAAAAB3f/vE=",0)</f>
        <v>0</v>
      </c>
      <c r="II30" t="e">
        <f>AND(Plan1!A512,"AAAAAB3f/vI=")</f>
        <v>#VALUE!</v>
      </c>
      <c r="IJ30" t="e">
        <f>AND(Plan1!B512,"AAAAAB3f/vM=")</f>
        <v>#VALUE!</v>
      </c>
      <c r="IK30" t="e">
        <f>AND(Plan1!C512,"AAAAAB3f/vQ=")</f>
        <v>#VALUE!</v>
      </c>
      <c r="IL30" t="e">
        <f>AND(Plan1!D512,"AAAAAB3f/vU=")</f>
        <v>#VALUE!</v>
      </c>
      <c r="IM30" t="e">
        <f>AND(Plan1!E512,"AAAAAB3f/vY=")</f>
        <v>#VALUE!</v>
      </c>
      <c r="IN30" t="e">
        <f>AND(Plan1!F512,"AAAAAB3f/vc=")</f>
        <v>#VALUE!</v>
      </c>
      <c r="IO30" t="e">
        <f>AND(Plan1!G512,"AAAAAB3f/vg=")</f>
        <v>#VALUE!</v>
      </c>
      <c r="IP30" t="e">
        <f>AND(Plan1!H512,"AAAAAB3f/vk=")</f>
        <v>#VALUE!</v>
      </c>
      <c r="IQ30" t="e">
        <f>AND(Plan1!I512,"AAAAAB3f/vo=")</f>
        <v>#VALUE!</v>
      </c>
      <c r="IR30" t="e">
        <f>AND(Plan1!J512,"AAAAAB3f/vs=")</f>
        <v>#VALUE!</v>
      </c>
      <c r="IS30" t="e">
        <f>AND(Plan1!K512,"AAAAAB3f/vw=")</f>
        <v>#VALUE!</v>
      </c>
      <c r="IT30" t="e">
        <f>AND(Plan1!L512,"AAAAAB3f/v0=")</f>
        <v>#VALUE!</v>
      </c>
      <c r="IU30" t="e">
        <f>AND(Plan1!M512,"AAAAAB3f/v4=")</f>
        <v>#VALUE!</v>
      </c>
      <c r="IV30" t="e">
        <f>AND(Plan1!N512,"AAAAAB3f/v8=")</f>
        <v>#VALUE!</v>
      </c>
    </row>
    <row r="31" spans="1:256">
      <c r="A31" t="e">
        <f>IF(Plan1!513:513,"AAAAAHhp/wA=",0)</f>
        <v>#VALUE!</v>
      </c>
      <c r="B31" t="e">
        <f>AND(Plan1!A513,"AAAAAHhp/wE=")</f>
        <v>#VALUE!</v>
      </c>
      <c r="C31" t="e">
        <f>AND(Plan1!B513,"AAAAAHhp/wI=")</f>
        <v>#VALUE!</v>
      </c>
      <c r="D31" t="e">
        <f>AND(Plan1!C513,"AAAAAHhp/wM=")</f>
        <v>#VALUE!</v>
      </c>
      <c r="E31" t="e">
        <f>AND(Plan1!D513,"AAAAAHhp/wQ=")</f>
        <v>#VALUE!</v>
      </c>
      <c r="F31" t="e">
        <f>AND(Plan1!E513,"AAAAAHhp/wU=")</f>
        <v>#VALUE!</v>
      </c>
      <c r="G31" t="e">
        <f>AND(Plan1!F513,"AAAAAHhp/wY=")</f>
        <v>#VALUE!</v>
      </c>
      <c r="H31" t="e">
        <f>AND(Plan1!G513,"AAAAAHhp/wc=")</f>
        <v>#VALUE!</v>
      </c>
      <c r="I31" t="e">
        <f>AND(Plan1!H513,"AAAAAHhp/wg=")</f>
        <v>#VALUE!</v>
      </c>
      <c r="J31" t="e">
        <f>AND(Plan1!I513,"AAAAAHhp/wk=")</f>
        <v>#VALUE!</v>
      </c>
      <c r="K31" t="e">
        <f>AND(Plan1!J513,"AAAAAHhp/wo=")</f>
        <v>#VALUE!</v>
      </c>
      <c r="L31" t="e">
        <f>AND(Plan1!K513,"AAAAAHhp/ws=")</f>
        <v>#VALUE!</v>
      </c>
      <c r="M31" t="e">
        <f>AND(Plan1!L513,"AAAAAHhp/ww=")</f>
        <v>#VALUE!</v>
      </c>
      <c r="N31" t="e">
        <f>AND(Plan1!M513,"AAAAAHhp/w0=")</f>
        <v>#VALUE!</v>
      </c>
      <c r="O31" t="e">
        <f>AND(Plan1!N513,"AAAAAHhp/w4=")</f>
        <v>#VALUE!</v>
      </c>
      <c r="P31">
        <f>IF(Plan1!514:514,"AAAAAHhp/w8=",0)</f>
        <v>0</v>
      </c>
      <c r="Q31" t="e">
        <f>AND(Plan1!A514,"AAAAAHhp/xA=")</f>
        <v>#VALUE!</v>
      </c>
      <c r="R31" t="e">
        <f>AND(Plan1!B514,"AAAAAHhp/xE=")</f>
        <v>#VALUE!</v>
      </c>
      <c r="S31" t="e">
        <f>AND(Plan1!C514,"AAAAAHhp/xI=")</f>
        <v>#VALUE!</v>
      </c>
      <c r="T31" t="e">
        <f>AND(Plan1!D514,"AAAAAHhp/xM=")</f>
        <v>#VALUE!</v>
      </c>
      <c r="U31" t="e">
        <f>AND(Plan1!E514,"AAAAAHhp/xQ=")</f>
        <v>#VALUE!</v>
      </c>
      <c r="V31" t="e">
        <f>AND(Plan1!F514,"AAAAAHhp/xU=")</f>
        <v>#VALUE!</v>
      </c>
      <c r="W31" t="e">
        <f>AND(Plan1!G514,"AAAAAHhp/xY=")</f>
        <v>#VALUE!</v>
      </c>
      <c r="X31" t="e">
        <f>AND(Plan1!H514,"AAAAAHhp/xc=")</f>
        <v>#VALUE!</v>
      </c>
      <c r="Y31" t="e">
        <f>AND(Plan1!I514,"AAAAAHhp/xg=")</f>
        <v>#VALUE!</v>
      </c>
      <c r="Z31" t="e">
        <f>AND(Plan1!J514,"AAAAAHhp/xk=")</f>
        <v>#VALUE!</v>
      </c>
      <c r="AA31" t="e">
        <f>AND(Plan1!K514,"AAAAAHhp/xo=")</f>
        <v>#VALUE!</v>
      </c>
      <c r="AB31" t="e">
        <f>AND(Plan1!L514,"AAAAAHhp/xs=")</f>
        <v>#VALUE!</v>
      </c>
      <c r="AC31" t="e">
        <f>AND(Plan1!M514,"AAAAAHhp/xw=")</f>
        <v>#VALUE!</v>
      </c>
      <c r="AD31" t="e">
        <f>AND(Plan1!N514,"AAAAAHhp/x0=")</f>
        <v>#VALUE!</v>
      </c>
      <c r="AE31">
        <f>IF(Plan1!515:515,"AAAAAHhp/x4=",0)</f>
        <v>0</v>
      </c>
      <c r="AF31" t="e">
        <f>AND(Plan1!A515,"AAAAAHhp/x8=")</f>
        <v>#VALUE!</v>
      </c>
      <c r="AG31" t="e">
        <f>AND(Plan1!B515,"AAAAAHhp/yA=")</f>
        <v>#VALUE!</v>
      </c>
      <c r="AH31" t="e">
        <f>AND(Plan1!C515,"AAAAAHhp/yE=")</f>
        <v>#VALUE!</v>
      </c>
      <c r="AI31" t="e">
        <f>AND(Plan1!D515,"AAAAAHhp/yI=")</f>
        <v>#VALUE!</v>
      </c>
      <c r="AJ31" t="e">
        <f>AND(Plan1!E515,"AAAAAHhp/yM=")</f>
        <v>#VALUE!</v>
      </c>
      <c r="AK31" t="e">
        <f>AND(Plan1!F515,"AAAAAHhp/yQ=")</f>
        <v>#VALUE!</v>
      </c>
      <c r="AL31" t="e">
        <f>AND(Plan1!G515,"AAAAAHhp/yU=")</f>
        <v>#VALUE!</v>
      </c>
      <c r="AM31" t="e">
        <f>AND(Plan1!H515,"AAAAAHhp/yY=")</f>
        <v>#VALUE!</v>
      </c>
      <c r="AN31" t="e">
        <f>AND(Plan1!I515,"AAAAAHhp/yc=")</f>
        <v>#VALUE!</v>
      </c>
      <c r="AO31" t="e">
        <f>AND(Plan1!J515,"AAAAAHhp/yg=")</f>
        <v>#VALUE!</v>
      </c>
      <c r="AP31" t="e">
        <f>AND(Plan1!K515,"AAAAAHhp/yk=")</f>
        <v>#VALUE!</v>
      </c>
      <c r="AQ31" t="e">
        <f>AND(Plan1!L515,"AAAAAHhp/yo=")</f>
        <v>#VALUE!</v>
      </c>
      <c r="AR31" t="e">
        <f>AND(Plan1!M515,"AAAAAHhp/ys=")</f>
        <v>#VALUE!</v>
      </c>
      <c r="AS31" t="e">
        <f>AND(Plan1!N515,"AAAAAHhp/yw=")</f>
        <v>#VALUE!</v>
      </c>
      <c r="AT31">
        <f>IF(Plan1!516:516,"AAAAAHhp/y0=",0)</f>
        <v>0</v>
      </c>
      <c r="AU31" t="e">
        <f>AND(Plan1!A516,"AAAAAHhp/y4=")</f>
        <v>#VALUE!</v>
      </c>
      <c r="AV31" t="e">
        <f>AND(Plan1!B516,"AAAAAHhp/y8=")</f>
        <v>#VALUE!</v>
      </c>
      <c r="AW31" t="e">
        <f>AND(Plan1!C516,"AAAAAHhp/zA=")</f>
        <v>#VALUE!</v>
      </c>
      <c r="AX31" t="e">
        <f>AND(Plan1!D516,"AAAAAHhp/zE=")</f>
        <v>#VALUE!</v>
      </c>
      <c r="AY31" t="e">
        <f>AND(Plan1!E516,"AAAAAHhp/zI=")</f>
        <v>#VALUE!</v>
      </c>
      <c r="AZ31" t="e">
        <f>AND(Plan1!F516,"AAAAAHhp/zM=")</f>
        <v>#VALUE!</v>
      </c>
      <c r="BA31" t="e">
        <f>AND(Plan1!G516,"AAAAAHhp/zQ=")</f>
        <v>#VALUE!</v>
      </c>
      <c r="BB31" t="e">
        <f>AND(Plan1!H516,"AAAAAHhp/zU=")</f>
        <v>#VALUE!</v>
      </c>
      <c r="BC31" t="e">
        <f>AND(Plan1!I516,"AAAAAHhp/zY=")</f>
        <v>#VALUE!</v>
      </c>
      <c r="BD31" t="e">
        <f>AND(Plan1!J516,"AAAAAHhp/zc=")</f>
        <v>#VALUE!</v>
      </c>
      <c r="BE31" t="e">
        <f>AND(Plan1!K516,"AAAAAHhp/zg=")</f>
        <v>#VALUE!</v>
      </c>
      <c r="BF31" t="e">
        <f>AND(Plan1!L516,"AAAAAHhp/zk=")</f>
        <v>#VALUE!</v>
      </c>
      <c r="BG31" t="e">
        <f>AND(Plan1!M516,"AAAAAHhp/zo=")</f>
        <v>#VALUE!</v>
      </c>
      <c r="BH31" t="e">
        <f>AND(Plan1!N516,"AAAAAHhp/zs=")</f>
        <v>#VALUE!</v>
      </c>
      <c r="BI31">
        <f>IF(Plan1!517:517,"AAAAAHhp/zw=",0)</f>
        <v>0</v>
      </c>
      <c r="BJ31" t="e">
        <f>AND(Plan1!A517,"AAAAAHhp/z0=")</f>
        <v>#VALUE!</v>
      </c>
      <c r="BK31" t="e">
        <f>AND(Plan1!B517,"AAAAAHhp/z4=")</f>
        <v>#VALUE!</v>
      </c>
      <c r="BL31" t="e">
        <f>AND(Plan1!C517,"AAAAAHhp/z8=")</f>
        <v>#VALUE!</v>
      </c>
      <c r="BM31" t="e">
        <f>AND(Plan1!D517,"AAAAAHhp/0A=")</f>
        <v>#VALUE!</v>
      </c>
      <c r="BN31" t="e">
        <f>AND(Plan1!E517,"AAAAAHhp/0E=")</f>
        <v>#VALUE!</v>
      </c>
      <c r="BO31" t="e">
        <f>AND(Plan1!F517,"AAAAAHhp/0I=")</f>
        <v>#VALUE!</v>
      </c>
      <c r="BP31" t="e">
        <f>AND(Plan1!G517,"AAAAAHhp/0M=")</f>
        <v>#VALUE!</v>
      </c>
      <c r="BQ31" t="e">
        <f>AND(Plan1!H517,"AAAAAHhp/0Q=")</f>
        <v>#VALUE!</v>
      </c>
      <c r="BR31" t="e">
        <f>AND(Plan1!I517,"AAAAAHhp/0U=")</f>
        <v>#VALUE!</v>
      </c>
      <c r="BS31" t="e">
        <f>AND(Plan1!J517,"AAAAAHhp/0Y=")</f>
        <v>#VALUE!</v>
      </c>
      <c r="BT31" t="e">
        <f>AND(Plan1!K517,"AAAAAHhp/0c=")</f>
        <v>#VALUE!</v>
      </c>
      <c r="BU31" t="e">
        <f>AND(Plan1!L517,"AAAAAHhp/0g=")</f>
        <v>#VALUE!</v>
      </c>
      <c r="BV31" t="e">
        <f>AND(Plan1!M517,"AAAAAHhp/0k=")</f>
        <v>#VALUE!</v>
      </c>
      <c r="BW31" t="e">
        <f>AND(Plan1!N517,"AAAAAHhp/0o=")</f>
        <v>#VALUE!</v>
      </c>
      <c r="BX31">
        <f>IF(Plan1!518:518,"AAAAAHhp/0s=",0)</f>
        <v>0</v>
      </c>
      <c r="BY31" t="e">
        <f>AND(Plan1!A518,"AAAAAHhp/0w=")</f>
        <v>#VALUE!</v>
      </c>
      <c r="BZ31" t="e">
        <f>AND(Plan1!B518,"AAAAAHhp/00=")</f>
        <v>#VALUE!</v>
      </c>
      <c r="CA31" t="e">
        <f>AND(Plan1!C518,"AAAAAHhp/04=")</f>
        <v>#VALUE!</v>
      </c>
      <c r="CB31" t="e">
        <f>AND(Plan1!D518,"AAAAAHhp/08=")</f>
        <v>#VALUE!</v>
      </c>
      <c r="CC31" t="e">
        <f>AND(Plan1!E518,"AAAAAHhp/1A=")</f>
        <v>#VALUE!</v>
      </c>
      <c r="CD31" t="e">
        <f>AND(Plan1!F518,"AAAAAHhp/1E=")</f>
        <v>#VALUE!</v>
      </c>
      <c r="CE31" t="e">
        <f>AND(Plan1!G518,"AAAAAHhp/1I=")</f>
        <v>#VALUE!</v>
      </c>
      <c r="CF31" t="e">
        <f>AND(Plan1!H518,"AAAAAHhp/1M=")</f>
        <v>#VALUE!</v>
      </c>
      <c r="CG31" t="e">
        <f>AND(Plan1!I518,"AAAAAHhp/1Q=")</f>
        <v>#VALUE!</v>
      </c>
      <c r="CH31" t="e">
        <f>AND(Plan1!J518,"AAAAAHhp/1U=")</f>
        <v>#VALUE!</v>
      </c>
      <c r="CI31" t="e">
        <f>AND(Plan1!K518,"AAAAAHhp/1Y=")</f>
        <v>#VALUE!</v>
      </c>
      <c r="CJ31" t="e">
        <f>AND(Plan1!L518,"AAAAAHhp/1c=")</f>
        <v>#VALUE!</v>
      </c>
      <c r="CK31" t="e">
        <f>AND(Plan1!M518,"AAAAAHhp/1g=")</f>
        <v>#VALUE!</v>
      </c>
      <c r="CL31" t="e">
        <f>AND(Plan1!N518,"AAAAAHhp/1k=")</f>
        <v>#VALUE!</v>
      </c>
      <c r="CM31">
        <f>IF(Plan1!519:519,"AAAAAHhp/1o=",0)</f>
        <v>0</v>
      </c>
      <c r="CN31" t="e">
        <f>AND(Plan1!A519,"AAAAAHhp/1s=")</f>
        <v>#VALUE!</v>
      </c>
      <c r="CO31" t="e">
        <f>AND(Plan1!B519,"AAAAAHhp/1w=")</f>
        <v>#VALUE!</v>
      </c>
      <c r="CP31" t="e">
        <f>AND(Plan1!C519,"AAAAAHhp/10=")</f>
        <v>#VALUE!</v>
      </c>
      <c r="CQ31" t="e">
        <f>AND(Plan1!D519,"AAAAAHhp/14=")</f>
        <v>#VALUE!</v>
      </c>
      <c r="CR31" t="e">
        <f>AND(Plan1!E519,"AAAAAHhp/18=")</f>
        <v>#VALUE!</v>
      </c>
      <c r="CS31" t="e">
        <f>AND(Plan1!F519,"AAAAAHhp/2A=")</f>
        <v>#VALUE!</v>
      </c>
      <c r="CT31" t="e">
        <f>AND(Plan1!G519,"AAAAAHhp/2E=")</f>
        <v>#VALUE!</v>
      </c>
      <c r="CU31" t="e">
        <f>AND(Plan1!H519,"AAAAAHhp/2I=")</f>
        <v>#VALUE!</v>
      </c>
      <c r="CV31" t="e">
        <f>AND(Plan1!I519,"AAAAAHhp/2M=")</f>
        <v>#VALUE!</v>
      </c>
      <c r="CW31" t="e">
        <f>AND(Plan1!J519,"AAAAAHhp/2Q=")</f>
        <v>#VALUE!</v>
      </c>
      <c r="CX31" t="e">
        <f>AND(Plan1!K519,"AAAAAHhp/2U=")</f>
        <v>#VALUE!</v>
      </c>
      <c r="CY31" t="e">
        <f>AND(Plan1!L519,"AAAAAHhp/2Y=")</f>
        <v>#VALUE!</v>
      </c>
      <c r="CZ31" t="e">
        <f>AND(Plan1!M519,"AAAAAHhp/2c=")</f>
        <v>#VALUE!</v>
      </c>
      <c r="DA31" t="e">
        <f>AND(Plan1!N519,"AAAAAHhp/2g=")</f>
        <v>#VALUE!</v>
      </c>
      <c r="DB31">
        <f>IF(Plan1!520:520,"AAAAAHhp/2k=",0)</f>
        <v>0</v>
      </c>
      <c r="DC31" t="e">
        <f>AND(Plan1!A520,"AAAAAHhp/2o=")</f>
        <v>#VALUE!</v>
      </c>
      <c r="DD31" t="e">
        <f>AND(Plan1!B520,"AAAAAHhp/2s=")</f>
        <v>#VALUE!</v>
      </c>
      <c r="DE31" t="e">
        <f>AND(Plan1!C520,"AAAAAHhp/2w=")</f>
        <v>#VALUE!</v>
      </c>
      <c r="DF31" t="e">
        <f>AND(Plan1!D520,"AAAAAHhp/20=")</f>
        <v>#VALUE!</v>
      </c>
      <c r="DG31" t="e">
        <f>AND(Plan1!E520,"AAAAAHhp/24=")</f>
        <v>#VALUE!</v>
      </c>
      <c r="DH31" t="e">
        <f>AND(Plan1!F520,"AAAAAHhp/28=")</f>
        <v>#VALUE!</v>
      </c>
      <c r="DI31" t="e">
        <f>AND(Plan1!G520,"AAAAAHhp/3A=")</f>
        <v>#VALUE!</v>
      </c>
      <c r="DJ31" t="e">
        <f>AND(Plan1!H520,"AAAAAHhp/3E=")</f>
        <v>#VALUE!</v>
      </c>
      <c r="DK31" t="e">
        <f>AND(Plan1!I520,"AAAAAHhp/3I=")</f>
        <v>#VALUE!</v>
      </c>
      <c r="DL31" t="e">
        <f>AND(Plan1!J520,"AAAAAHhp/3M=")</f>
        <v>#VALUE!</v>
      </c>
      <c r="DM31" t="e">
        <f>AND(Plan1!K520,"AAAAAHhp/3Q=")</f>
        <v>#VALUE!</v>
      </c>
      <c r="DN31" t="e">
        <f>AND(Plan1!L520,"AAAAAHhp/3U=")</f>
        <v>#VALUE!</v>
      </c>
      <c r="DO31" t="e">
        <f>AND(Plan1!M520,"AAAAAHhp/3Y=")</f>
        <v>#VALUE!</v>
      </c>
      <c r="DP31" t="e">
        <f>AND(Plan1!N520,"AAAAAHhp/3c=")</f>
        <v>#VALUE!</v>
      </c>
      <c r="DQ31">
        <f>IF(Plan1!521:521,"AAAAAHhp/3g=",0)</f>
        <v>0</v>
      </c>
      <c r="DR31" t="e">
        <f>AND(Plan1!A521,"AAAAAHhp/3k=")</f>
        <v>#VALUE!</v>
      </c>
      <c r="DS31" t="e">
        <f>AND(Plan1!B521,"AAAAAHhp/3o=")</f>
        <v>#VALUE!</v>
      </c>
      <c r="DT31" t="e">
        <f>AND(Plan1!C521,"AAAAAHhp/3s=")</f>
        <v>#VALUE!</v>
      </c>
      <c r="DU31" t="e">
        <f>AND(Plan1!D521,"AAAAAHhp/3w=")</f>
        <v>#VALUE!</v>
      </c>
      <c r="DV31" t="e">
        <f>AND(Plan1!E521,"AAAAAHhp/30=")</f>
        <v>#VALUE!</v>
      </c>
      <c r="DW31" t="e">
        <f>AND(Plan1!F521,"AAAAAHhp/34=")</f>
        <v>#VALUE!</v>
      </c>
      <c r="DX31" t="e">
        <f>AND(Plan1!G521,"AAAAAHhp/38=")</f>
        <v>#VALUE!</v>
      </c>
      <c r="DY31" t="e">
        <f>AND(Plan1!H521,"AAAAAHhp/4A=")</f>
        <v>#VALUE!</v>
      </c>
      <c r="DZ31" t="e">
        <f>AND(Plan1!I521,"AAAAAHhp/4E=")</f>
        <v>#VALUE!</v>
      </c>
      <c r="EA31" t="e">
        <f>AND(Plan1!J521,"AAAAAHhp/4I=")</f>
        <v>#VALUE!</v>
      </c>
      <c r="EB31" t="e">
        <f>AND(Plan1!K521,"AAAAAHhp/4M=")</f>
        <v>#VALUE!</v>
      </c>
      <c r="EC31" t="e">
        <f>AND(Plan1!L521,"AAAAAHhp/4Q=")</f>
        <v>#VALUE!</v>
      </c>
      <c r="ED31" t="e">
        <f>AND(Plan1!M521,"AAAAAHhp/4U=")</f>
        <v>#VALUE!</v>
      </c>
      <c r="EE31" t="e">
        <f>AND(Plan1!N521,"AAAAAHhp/4Y=")</f>
        <v>#VALUE!</v>
      </c>
      <c r="EF31">
        <f>IF(Plan1!522:522,"AAAAAHhp/4c=",0)</f>
        <v>0</v>
      </c>
      <c r="EG31" t="e">
        <f>AND(Plan1!A522,"AAAAAHhp/4g=")</f>
        <v>#VALUE!</v>
      </c>
      <c r="EH31" t="e">
        <f>AND(Plan1!B522,"AAAAAHhp/4k=")</f>
        <v>#VALUE!</v>
      </c>
      <c r="EI31" t="e">
        <f>AND(Plan1!C522,"AAAAAHhp/4o=")</f>
        <v>#VALUE!</v>
      </c>
      <c r="EJ31" t="e">
        <f>AND(Plan1!D522,"AAAAAHhp/4s=")</f>
        <v>#VALUE!</v>
      </c>
      <c r="EK31" t="e">
        <f>AND(Plan1!E522,"AAAAAHhp/4w=")</f>
        <v>#VALUE!</v>
      </c>
      <c r="EL31" t="e">
        <f>AND(Plan1!F522,"AAAAAHhp/40=")</f>
        <v>#VALUE!</v>
      </c>
      <c r="EM31" t="e">
        <f>AND(Plan1!G522,"AAAAAHhp/44=")</f>
        <v>#VALUE!</v>
      </c>
      <c r="EN31" t="e">
        <f>AND(Plan1!H522,"AAAAAHhp/48=")</f>
        <v>#VALUE!</v>
      </c>
      <c r="EO31" t="e">
        <f>AND(Plan1!I522,"AAAAAHhp/5A=")</f>
        <v>#VALUE!</v>
      </c>
      <c r="EP31" t="e">
        <f>AND(Plan1!J522,"AAAAAHhp/5E=")</f>
        <v>#VALUE!</v>
      </c>
      <c r="EQ31" t="e">
        <f>AND(Plan1!K522,"AAAAAHhp/5I=")</f>
        <v>#VALUE!</v>
      </c>
      <c r="ER31" t="e">
        <f>AND(Plan1!L522,"AAAAAHhp/5M=")</f>
        <v>#VALUE!</v>
      </c>
      <c r="ES31" t="e">
        <f>AND(Plan1!M522,"AAAAAHhp/5Q=")</f>
        <v>#VALUE!</v>
      </c>
      <c r="ET31" t="e">
        <f>AND(Plan1!N522,"AAAAAHhp/5U=")</f>
        <v>#VALUE!</v>
      </c>
      <c r="EU31">
        <f>IF(Plan1!523:523,"AAAAAHhp/5Y=",0)</f>
        <v>0</v>
      </c>
      <c r="EV31" t="e">
        <f>AND(Plan1!A523,"AAAAAHhp/5c=")</f>
        <v>#VALUE!</v>
      </c>
      <c r="EW31" t="e">
        <f>AND(Plan1!B523,"AAAAAHhp/5g=")</f>
        <v>#VALUE!</v>
      </c>
      <c r="EX31" t="e">
        <f>AND(Plan1!C523,"AAAAAHhp/5k=")</f>
        <v>#VALUE!</v>
      </c>
      <c r="EY31" t="e">
        <f>AND(Plan1!D523,"AAAAAHhp/5o=")</f>
        <v>#VALUE!</v>
      </c>
      <c r="EZ31" t="e">
        <f>AND(Plan1!E523,"AAAAAHhp/5s=")</f>
        <v>#VALUE!</v>
      </c>
      <c r="FA31" t="e">
        <f>AND(Plan1!F523,"AAAAAHhp/5w=")</f>
        <v>#VALUE!</v>
      </c>
      <c r="FB31" t="e">
        <f>AND(Plan1!G523,"AAAAAHhp/50=")</f>
        <v>#VALUE!</v>
      </c>
      <c r="FC31" t="e">
        <f>AND(Plan1!H523,"AAAAAHhp/54=")</f>
        <v>#VALUE!</v>
      </c>
      <c r="FD31" t="e">
        <f>AND(Plan1!I523,"AAAAAHhp/58=")</f>
        <v>#VALUE!</v>
      </c>
      <c r="FE31" t="e">
        <f>AND(Plan1!J523,"AAAAAHhp/6A=")</f>
        <v>#VALUE!</v>
      </c>
      <c r="FF31" t="e">
        <f>AND(Plan1!K523,"AAAAAHhp/6E=")</f>
        <v>#VALUE!</v>
      </c>
      <c r="FG31" t="e">
        <f>AND(Plan1!L523,"AAAAAHhp/6I=")</f>
        <v>#VALUE!</v>
      </c>
      <c r="FH31" t="e">
        <f>AND(Plan1!M523,"AAAAAHhp/6M=")</f>
        <v>#VALUE!</v>
      </c>
      <c r="FI31" t="e">
        <f>AND(Plan1!N523,"AAAAAHhp/6Q=")</f>
        <v>#VALUE!</v>
      </c>
      <c r="FJ31">
        <f>IF(Plan1!524:524,"AAAAAHhp/6U=",0)</f>
        <v>0</v>
      </c>
      <c r="FK31" t="e">
        <f>AND(Plan1!A524,"AAAAAHhp/6Y=")</f>
        <v>#VALUE!</v>
      </c>
      <c r="FL31" t="e">
        <f>AND(Plan1!B524,"AAAAAHhp/6c=")</f>
        <v>#VALUE!</v>
      </c>
      <c r="FM31" t="e">
        <f>AND(Plan1!C524,"AAAAAHhp/6g=")</f>
        <v>#VALUE!</v>
      </c>
      <c r="FN31" t="e">
        <f>AND(Plan1!D524,"AAAAAHhp/6k=")</f>
        <v>#VALUE!</v>
      </c>
      <c r="FO31" t="e">
        <f>AND(Plan1!E524,"AAAAAHhp/6o=")</f>
        <v>#VALUE!</v>
      </c>
      <c r="FP31" t="e">
        <f>AND(Plan1!F524,"AAAAAHhp/6s=")</f>
        <v>#VALUE!</v>
      </c>
      <c r="FQ31" t="e">
        <f>AND(Plan1!G524,"AAAAAHhp/6w=")</f>
        <v>#VALUE!</v>
      </c>
      <c r="FR31" t="e">
        <f>AND(Plan1!H524,"AAAAAHhp/60=")</f>
        <v>#VALUE!</v>
      </c>
      <c r="FS31" t="e">
        <f>AND(Plan1!I524,"AAAAAHhp/64=")</f>
        <v>#VALUE!</v>
      </c>
      <c r="FT31" t="e">
        <f>AND(Plan1!J524,"AAAAAHhp/68=")</f>
        <v>#VALUE!</v>
      </c>
      <c r="FU31" t="e">
        <f>AND(Plan1!K524,"AAAAAHhp/7A=")</f>
        <v>#VALUE!</v>
      </c>
      <c r="FV31" t="e">
        <f>AND(Plan1!L524,"AAAAAHhp/7E=")</f>
        <v>#VALUE!</v>
      </c>
      <c r="FW31" t="e">
        <f>AND(Plan1!M524,"AAAAAHhp/7I=")</f>
        <v>#VALUE!</v>
      </c>
      <c r="FX31" t="e">
        <f>AND(Plan1!N524,"AAAAAHhp/7M=")</f>
        <v>#VALUE!</v>
      </c>
      <c r="FY31">
        <f>IF(Plan1!525:525,"AAAAAHhp/7Q=",0)</f>
        <v>0</v>
      </c>
      <c r="FZ31" t="e">
        <f>AND(Plan1!A525,"AAAAAHhp/7U=")</f>
        <v>#VALUE!</v>
      </c>
      <c r="GA31" t="e">
        <f>AND(Plan1!B525,"AAAAAHhp/7Y=")</f>
        <v>#VALUE!</v>
      </c>
      <c r="GB31" t="e">
        <f>AND(Plan1!C525,"AAAAAHhp/7c=")</f>
        <v>#VALUE!</v>
      </c>
      <c r="GC31" t="e">
        <f>AND(Plan1!D525,"AAAAAHhp/7g=")</f>
        <v>#VALUE!</v>
      </c>
      <c r="GD31" t="e">
        <f>AND(Plan1!E525,"AAAAAHhp/7k=")</f>
        <v>#VALUE!</v>
      </c>
      <c r="GE31" t="e">
        <f>AND(Plan1!F525,"AAAAAHhp/7o=")</f>
        <v>#VALUE!</v>
      </c>
      <c r="GF31" t="e">
        <f>AND(Plan1!G525,"AAAAAHhp/7s=")</f>
        <v>#VALUE!</v>
      </c>
      <c r="GG31" t="e">
        <f>AND(Plan1!H525,"AAAAAHhp/7w=")</f>
        <v>#VALUE!</v>
      </c>
      <c r="GH31" t="e">
        <f>AND(Plan1!I525,"AAAAAHhp/70=")</f>
        <v>#VALUE!</v>
      </c>
      <c r="GI31" t="e">
        <f>AND(Plan1!J525,"AAAAAHhp/74=")</f>
        <v>#VALUE!</v>
      </c>
      <c r="GJ31" t="e">
        <f>AND(Plan1!K525,"AAAAAHhp/78=")</f>
        <v>#VALUE!</v>
      </c>
      <c r="GK31" t="e">
        <f>AND(Plan1!L525,"AAAAAHhp/8A=")</f>
        <v>#VALUE!</v>
      </c>
      <c r="GL31" t="e">
        <f>AND(Plan1!M525,"AAAAAHhp/8E=")</f>
        <v>#VALUE!</v>
      </c>
      <c r="GM31" t="e">
        <f>AND(Plan1!N525,"AAAAAHhp/8I=")</f>
        <v>#VALUE!</v>
      </c>
      <c r="GN31">
        <f>IF(Plan1!526:526,"AAAAAHhp/8M=",0)</f>
        <v>0</v>
      </c>
      <c r="GO31" t="e">
        <f>AND(Plan1!A526,"AAAAAHhp/8Q=")</f>
        <v>#VALUE!</v>
      </c>
      <c r="GP31" t="e">
        <f>AND(Plan1!B526,"AAAAAHhp/8U=")</f>
        <v>#VALUE!</v>
      </c>
      <c r="GQ31" t="e">
        <f>AND(Plan1!C526,"AAAAAHhp/8Y=")</f>
        <v>#VALUE!</v>
      </c>
      <c r="GR31" t="e">
        <f>AND(Plan1!D526,"AAAAAHhp/8c=")</f>
        <v>#VALUE!</v>
      </c>
      <c r="GS31" t="e">
        <f>AND(Plan1!E526,"AAAAAHhp/8g=")</f>
        <v>#VALUE!</v>
      </c>
      <c r="GT31" t="e">
        <f>AND(Plan1!F526,"AAAAAHhp/8k=")</f>
        <v>#VALUE!</v>
      </c>
      <c r="GU31" t="e">
        <f>AND(Plan1!G526,"AAAAAHhp/8o=")</f>
        <v>#VALUE!</v>
      </c>
      <c r="GV31" t="e">
        <f>AND(Plan1!H526,"AAAAAHhp/8s=")</f>
        <v>#VALUE!</v>
      </c>
      <c r="GW31" t="e">
        <f>AND(Plan1!I526,"AAAAAHhp/8w=")</f>
        <v>#VALUE!</v>
      </c>
      <c r="GX31" t="e">
        <f>AND(Plan1!J526,"AAAAAHhp/80=")</f>
        <v>#VALUE!</v>
      </c>
      <c r="GY31" t="e">
        <f>AND(Plan1!K526,"AAAAAHhp/84=")</f>
        <v>#VALUE!</v>
      </c>
      <c r="GZ31" t="e">
        <f>AND(Plan1!L526,"AAAAAHhp/88=")</f>
        <v>#VALUE!</v>
      </c>
      <c r="HA31" t="e">
        <f>AND(Plan1!M526,"AAAAAHhp/9A=")</f>
        <v>#VALUE!</v>
      </c>
      <c r="HB31" t="e">
        <f>AND(Plan1!N526,"AAAAAHhp/9E=")</f>
        <v>#VALUE!</v>
      </c>
      <c r="HC31">
        <f>IF(Plan1!527:527,"AAAAAHhp/9I=",0)</f>
        <v>0</v>
      </c>
      <c r="HD31" t="e">
        <f>AND(Plan1!A527,"AAAAAHhp/9M=")</f>
        <v>#VALUE!</v>
      </c>
      <c r="HE31" t="e">
        <f>AND(Plan1!B527,"AAAAAHhp/9Q=")</f>
        <v>#VALUE!</v>
      </c>
      <c r="HF31" t="e">
        <f>AND(Plan1!C527,"AAAAAHhp/9U=")</f>
        <v>#VALUE!</v>
      </c>
      <c r="HG31" t="e">
        <f>AND(Plan1!D527,"AAAAAHhp/9Y=")</f>
        <v>#VALUE!</v>
      </c>
      <c r="HH31" t="e">
        <f>AND(Plan1!E527,"AAAAAHhp/9c=")</f>
        <v>#VALUE!</v>
      </c>
      <c r="HI31" t="e">
        <f>AND(Plan1!F527,"AAAAAHhp/9g=")</f>
        <v>#VALUE!</v>
      </c>
      <c r="HJ31" t="e">
        <f>AND(Plan1!G527,"AAAAAHhp/9k=")</f>
        <v>#VALUE!</v>
      </c>
      <c r="HK31" t="e">
        <f>AND(Plan1!H527,"AAAAAHhp/9o=")</f>
        <v>#VALUE!</v>
      </c>
      <c r="HL31" t="e">
        <f>AND(Plan1!I527,"AAAAAHhp/9s=")</f>
        <v>#VALUE!</v>
      </c>
      <c r="HM31" t="e">
        <f>AND(Plan1!J527,"AAAAAHhp/9w=")</f>
        <v>#VALUE!</v>
      </c>
      <c r="HN31" t="e">
        <f>AND(Plan1!K527,"AAAAAHhp/90=")</f>
        <v>#VALUE!</v>
      </c>
      <c r="HO31" t="e">
        <f>AND(Plan1!L527,"AAAAAHhp/94=")</f>
        <v>#VALUE!</v>
      </c>
      <c r="HP31" t="e">
        <f>AND(Plan1!M527,"AAAAAHhp/98=")</f>
        <v>#VALUE!</v>
      </c>
      <c r="HQ31" t="e">
        <f>AND(Plan1!N527,"AAAAAHhp/+A=")</f>
        <v>#VALUE!</v>
      </c>
      <c r="HR31">
        <f>IF(Plan1!528:528,"AAAAAHhp/+E=",0)</f>
        <v>0</v>
      </c>
      <c r="HS31" t="e">
        <f>AND(Plan1!A528,"AAAAAHhp/+I=")</f>
        <v>#VALUE!</v>
      </c>
      <c r="HT31" t="e">
        <f>AND(Plan1!B528,"AAAAAHhp/+M=")</f>
        <v>#VALUE!</v>
      </c>
      <c r="HU31" t="e">
        <f>AND(Plan1!C528,"AAAAAHhp/+Q=")</f>
        <v>#VALUE!</v>
      </c>
      <c r="HV31" t="e">
        <f>AND(Plan1!D528,"AAAAAHhp/+U=")</f>
        <v>#VALUE!</v>
      </c>
      <c r="HW31" t="e">
        <f>AND(Plan1!E528,"AAAAAHhp/+Y=")</f>
        <v>#VALUE!</v>
      </c>
      <c r="HX31" t="e">
        <f>AND(Plan1!F528,"AAAAAHhp/+c=")</f>
        <v>#VALUE!</v>
      </c>
      <c r="HY31" t="e">
        <f>AND(Plan1!G528,"AAAAAHhp/+g=")</f>
        <v>#VALUE!</v>
      </c>
      <c r="HZ31" t="e">
        <f>AND(Plan1!H528,"AAAAAHhp/+k=")</f>
        <v>#VALUE!</v>
      </c>
      <c r="IA31" t="e">
        <f>AND(Plan1!I528,"AAAAAHhp/+o=")</f>
        <v>#VALUE!</v>
      </c>
      <c r="IB31" t="e">
        <f>AND(Plan1!J528,"AAAAAHhp/+s=")</f>
        <v>#VALUE!</v>
      </c>
      <c r="IC31" t="e">
        <f>AND(Plan1!K528,"AAAAAHhp/+w=")</f>
        <v>#VALUE!</v>
      </c>
      <c r="ID31" t="e">
        <f>AND(Plan1!L528,"AAAAAHhp/+0=")</f>
        <v>#VALUE!</v>
      </c>
      <c r="IE31" t="e">
        <f>AND(Plan1!M528,"AAAAAHhp/+4=")</f>
        <v>#VALUE!</v>
      </c>
      <c r="IF31" t="e">
        <f>AND(Plan1!N528,"AAAAAHhp/+8=")</f>
        <v>#VALUE!</v>
      </c>
      <c r="IG31">
        <f>IF(Plan1!529:529,"AAAAAHhp//A=",0)</f>
        <v>0</v>
      </c>
      <c r="IH31" t="e">
        <f>AND(Plan1!A529,"AAAAAHhp//E=")</f>
        <v>#VALUE!</v>
      </c>
      <c r="II31" t="e">
        <f>AND(Plan1!B529,"AAAAAHhp//I=")</f>
        <v>#VALUE!</v>
      </c>
      <c r="IJ31" t="e">
        <f>AND(Plan1!C529,"AAAAAHhp//M=")</f>
        <v>#VALUE!</v>
      </c>
      <c r="IK31" t="e">
        <f>AND(Plan1!D529,"AAAAAHhp//Q=")</f>
        <v>#VALUE!</v>
      </c>
      <c r="IL31" t="e">
        <f>AND(Plan1!E529,"AAAAAHhp//U=")</f>
        <v>#VALUE!</v>
      </c>
      <c r="IM31" t="e">
        <f>AND(Plan1!F529,"AAAAAHhp//Y=")</f>
        <v>#VALUE!</v>
      </c>
      <c r="IN31" t="e">
        <f>AND(Plan1!G529,"AAAAAHhp//c=")</f>
        <v>#VALUE!</v>
      </c>
      <c r="IO31" t="e">
        <f>AND(Plan1!H529,"AAAAAHhp//g=")</f>
        <v>#VALUE!</v>
      </c>
      <c r="IP31" t="e">
        <f>AND(Plan1!I529,"AAAAAHhp//k=")</f>
        <v>#VALUE!</v>
      </c>
      <c r="IQ31" t="e">
        <f>AND(Plan1!J529,"AAAAAHhp//o=")</f>
        <v>#VALUE!</v>
      </c>
      <c r="IR31" t="e">
        <f>AND(Plan1!K529,"AAAAAHhp//s=")</f>
        <v>#VALUE!</v>
      </c>
      <c r="IS31" t="e">
        <f>AND(Plan1!L529,"AAAAAHhp//w=")</f>
        <v>#VALUE!</v>
      </c>
      <c r="IT31" t="e">
        <f>AND(Plan1!M529,"AAAAAHhp//0=")</f>
        <v>#VALUE!</v>
      </c>
      <c r="IU31" t="e">
        <f>AND(Plan1!N529,"AAAAAHhp//4=")</f>
        <v>#VALUE!</v>
      </c>
      <c r="IV31">
        <f>IF(Plan1!530:530,"AAAAAHhp//8=",0)</f>
        <v>0</v>
      </c>
    </row>
    <row r="32" spans="1:256">
      <c r="A32" t="e">
        <f>AND(Plan1!A530,"AAAAAFM9egA=")</f>
        <v>#VALUE!</v>
      </c>
      <c r="B32" t="e">
        <f>AND(Plan1!B530,"AAAAAFM9egE=")</f>
        <v>#VALUE!</v>
      </c>
      <c r="C32" t="e">
        <f>AND(Plan1!C530,"AAAAAFM9egI=")</f>
        <v>#VALUE!</v>
      </c>
      <c r="D32" t="e">
        <f>AND(Plan1!D530,"AAAAAFM9egM=")</f>
        <v>#VALUE!</v>
      </c>
      <c r="E32" t="e">
        <f>AND(Plan1!E530,"AAAAAFM9egQ=")</f>
        <v>#VALUE!</v>
      </c>
      <c r="F32" t="e">
        <f>AND(Plan1!F530,"AAAAAFM9egU=")</f>
        <v>#VALUE!</v>
      </c>
      <c r="G32" t="e">
        <f>AND(Plan1!G530,"AAAAAFM9egY=")</f>
        <v>#VALUE!</v>
      </c>
      <c r="H32" t="e">
        <f>AND(Plan1!H530,"AAAAAFM9egc=")</f>
        <v>#VALUE!</v>
      </c>
      <c r="I32" t="e">
        <f>AND(Plan1!I530,"AAAAAFM9egg=")</f>
        <v>#VALUE!</v>
      </c>
      <c r="J32" t="e">
        <f>AND(Plan1!J530,"AAAAAFM9egk=")</f>
        <v>#VALUE!</v>
      </c>
      <c r="K32" t="e">
        <f>AND(Plan1!K530,"AAAAAFM9ego=")</f>
        <v>#VALUE!</v>
      </c>
      <c r="L32" t="e">
        <f>AND(Plan1!L530,"AAAAAFM9egs=")</f>
        <v>#VALUE!</v>
      </c>
      <c r="M32" t="e">
        <f>AND(Plan1!M530,"AAAAAFM9egw=")</f>
        <v>#VALUE!</v>
      </c>
      <c r="N32" t="e">
        <f>AND(Plan1!N530,"AAAAAFM9eg0=")</f>
        <v>#VALUE!</v>
      </c>
      <c r="O32">
        <f>IF(Plan1!531:531,"AAAAAFM9eg4=",0)</f>
        <v>0</v>
      </c>
      <c r="P32" t="e">
        <f>AND(Plan1!A531,"AAAAAFM9eg8=")</f>
        <v>#VALUE!</v>
      </c>
      <c r="Q32" t="e">
        <f>AND(Plan1!B531,"AAAAAFM9ehA=")</f>
        <v>#VALUE!</v>
      </c>
      <c r="R32" t="e">
        <f>AND(Plan1!C531,"AAAAAFM9ehE=")</f>
        <v>#VALUE!</v>
      </c>
      <c r="S32" t="e">
        <f>AND(Plan1!D531,"AAAAAFM9ehI=")</f>
        <v>#VALUE!</v>
      </c>
      <c r="T32" t="e">
        <f>AND(Plan1!E531,"AAAAAFM9ehM=")</f>
        <v>#VALUE!</v>
      </c>
      <c r="U32" t="e">
        <f>AND(Plan1!F531,"AAAAAFM9ehQ=")</f>
        <v>#VALUE!</v>
      </c>
      <c r="V32" t="e">
        <f>AND(Plan1!G531,"AAAAAFM9ehU=")</f>
        <v>#VALUE!</v>
      </c>
      <c r="W32" t="e">
        <f>AND(Plan1!H531,"AAAAAFM9ehY=")</f>
        <v>#VALUE!</v>
      </c>
      <c r="X32" t="e">
        <f>AND(Plan1!I531,"AAAAAFM9ehc=")</f>
        <v>#VALUE!</v>
      </c>
      <c r="Y32" t="e">
        <f>AND(Plan1!J531,"AAAAAFM9ehg=")</f>
        <v>#VALUE!</v>
      </c>
      <c r="Z32" t="e">
        <f>AND(Plan1!K531,"AAAAAFM9ehk=")</f>
        <v>#VALUE!</v>
      </c>
      <c r="AA32" t="e">
        <f>AND(Plan1!L531,"AAAAAFM9eho=")</f>
        <v>#VALUE!</v>
      </c>
      <c r="AB32" t="e">
        <f>AND(Plan1!M531,"AAAAAFM9ehs=")</f>
        <v>#VALUE!</v>
      </c>
      <c r="AC32" t="e">
        <f>AND(Plan1!N531,"AAAAAFM9ehw=")</f>
        <v>#VALUE!</v>
      </c>
      <c r="AD32">
        <f>IF(Plan1!532:532,"AAAAAFM9eh0=",0)</f>
        <v>0</v>
      </c>
      <c r="AE32" t="e">
        <f>AND(Plan1!A532,"AAAAAFM9eh4=")</f>
        <v>#VALUE!</v>
      </c>
      <c r="AF32" t="e">
        <f>AND(Plan1!B532,"AAAAAFM9eh8=")</f>
        <v>#VALUE!</v>
      </c>
      <c r="AG32" t="e">
        <f>AND(Plan1!C532,"AAAAAFM9eiA=")</f>
        <v>#VALUE!</v>
      </c>
      <c r="AH32" t="e">
        <f>AND(Plan1!D532,"AAAAAFM9eiE=")</f>
        <v>#VALUE!</v>
      </c>
      <c r="AI32" t="e">
        <f>AND(Plan1!E532,"AAAAAFM9eiI=")</f>
        <v>#VALUE!</v>
      </c>
      <c r="AJ32" t="e">
        <f>AND(Plan1!F532,"AAAAAFM9eiM=")</f>
        <v>#VALUE!</v>
      </c>
      <c r="AK32" t="e">
        <f>AND(Plan1!G532,"AAAAAFM9eiQ=")</f>
        <v>#VALUE!</v>
      </c>
      <c r="AL32" t="e">
        <f>AND(Plan1!H532,"AAAAAFM9eiU=")</f>
        <v>#VALUE!</v>
      </c>
      <c r="AM32" t="e">
        <f>AND(Plan1!I532,"AAAAAFM9eiY=")</f>
        <v>#VALUE!</v>
      </c>
      <c r="AN32" t="e">
        <f>AND(Plan1!J532,"AAAAAFM9eic=")</f>
        <v>#VALUE!</v>
      </c>
      <c r="AO32" t="e">
        <f>AND(Plan1!K532,"AAAAAFM9eig=")</f>
        <v>#VALUE!</v>
      </c>
      <c r="AP32" t="e">
        <f>AND(Plan1!L532,"AAAAAFM9eik=")</f>
        <v>#VALUE!</v>
      </c>
      <c r="AQ32" t="e">
        <f>AND(Plan1!M532,"AAAAAFM9eio=")</f>
        <v>#VALUE!</v>
      </c>
      <c r="AR32" t="e">
        <f>AND(Plan1!N532,"AAAAAFM9eis=")</f>
        <v>#VALUE!</v>
      </c>
      <c r="AS32">
        <f>IF(Plan1!533:533,"AAAAAFM9eiw=",0)</f>
        <v>0</v>
      </c>
      <c r="AT32" t="e">
        <f>AND(Plan1!A533,"AAAAAFM9ei0=")</f>
        <v>#VALUE!</v>
      </c>
      <c r="AU32" t="e">
        <f>AND(Plan1!B533,"AAAAAFM9ei4=")</f>
        <v>#VALUE!</v>
      </c>
      <c r="AV32" t="e">
        <f>AND(Plan1!C533,"AAAAAFM9ei8=")</f>
        <v>#VALUE!</v>
      </c>
      <c r="AW32" t="e">
        <f>AND(Plan1!D533,"AAAAAFM9ejA=")</f>
        <v>#VALUE!</v>
      </c>
      <c r="AX32" t="e">
        <f>AND(Plan1!E533,"AAAAAFM9ejE=")</f>
        <v>#VALUE!</v>
      </c>
      <c r="AY32" t="e">
        <f>AND(Plan1!F533,"AAAAAFM9ejI=")</f>
        <v>#VALUE!</v>
      </c>
      <c r="AZ32" t="e">
        <f>AND(Plan1!G533,"AAAAAFM9ejM=")</f>
        <v>#VALUE!</v>
      </c>
      <c r="BA32" t="e">
        <f>AND(Plan1!H533,"AAAAAFM9ejQ=")</f>
        <v>#VALUE!</v>
      </c>
      <c r="BB32" t="e">
        <f>AND(Plan1!I533,"AAAAAFM9ejU=")</f>
        <v>#VALUE!</v>
      </c>
      <c r="BC32" t="e">
        <f>AND(Plan1!J533,"AAAAAFM9ejY=")</f>
        <v>#VALUE!</v>
      </c>
      <c r="BD32" t="e">
        <f>AND(Plan1!K533,"AAAAAFM9ejc=")</f>
        <v>#VALUE!</v>
      </c>
      <c r="BE32" t="e">
        <f>AND(Plan1!L533,"AAAAAFM9ejg=")</f>
        <v>#VALUE!</v>
      </c>
      <c r="BF32" t="e">
        <f>AND(Plan1!M533,"AAAAAFM9ejk=")</f>
        <v>#VALUE!</v>
      </c>
      <c r="BG32" t="e">
        <f>AND(Plan1!N533,"AAAAAFM9ejo=")</f>
        <v>#VALUE!</v>
      </c>
      <c r="BH32">
        <f>IF(Plan1!534:534,"AAAAAFM9ejs=",0)</f>
        <v>0</v>
      </c>
      <c r="BI32" t="e">
        <f>AND(Plan1!A534,"AAAAAFM9ejw=")</f>
        <v>#VALUE!</v>
      </c>
      <c r="BJ32" t="e">
        <f>AND(Plan1!B534,"AAAAAFM9ej0=")</f>
        <v>#VALUE!</v>
      </c>
      <c r="BK32" t="e">
        <f>AND(Plan1!C534,"AAAAAFM9ej4=")</f>
        <v>#VALUE!</v>
      </c>
      <c r="BL32" t="e">
        <f>AND(Plan1!D534,"AAAAAFM9ej8=")</f>
        <v>#VALUE!</v>
      </c>
      <c r="BM32" t="e">
        <f>AND(Plan1!E534,"AAAAAFM9ekA=")</f>
        <v>#VALUE!</v>
      </c>
      <c r="BN32" t="e">
        <f>AND(Plan1!F534,"AAAAAFM9ekE=")</f>
        <v>#VALUE!</v>
      </c>
      <c r="BO32" t="e">
        <f>AND(Plan1!G534,"AAAAAFM9ekI=")</f>
        <v>#VALUE!</v>
      </c>
      <c r="BP32" t="e">
        <f>AND(Plan1!H534,"AAAAAFM9ekM=")</f>
        <v>#VALUE!</v>
      </c>
      <c r="BQ32" t="e">
        <f>AND(Plan1!I534,"AAAAAFM9ekQ=")</f>
        <v>#VALUE!</v>
      </c>
      <c r="BR32" t="e">
        <f>AND(Plan1!J534,"AAAAAFM9ekU=")</f>
        <v>#VALUE!</v>
      </c>
      <c r="BS32" t="e">
        <f>AND(Plan1!K534,"AAAAAFM9ekY=")</f>
        <v>#VALUE!</v>
      </c>
      <c r="BT32" t="e">
        <f>AND(Plan1!L534,"AAAAAFM9ekc=")</f>
        <v>#VALUE!</v>
      </c>
      <c r="BU32" t="e">
        <f>AND(Plan1!M534,"AAAAAFM9ekg=")</f>
        <v>#VALUE!</v>
      </c>
      <c r="BV32" t="e">
        <f>AND(Plan1!N534,"AAAAAFM9ekk=")</f>
        <v>#VALUE!</v>
      </c>
      <c r="BW32">
        <f>IF(Plan1!535:535,"AAAAAFM9eko=",0)</f>
        <v>0</v>
      </c>
      <c r="BX32" t="e">
        <f>AND(Plan1!A535,"AAAAAFM9eks=")</f>
        <v>#VALUE!</v>
      </c>
      <c r="BY32" t="e">
        <f>AND(Plan1!B535,"AAAAAFM9ekw=")</f>
        <v>#VALUE!</v>
      </c>
      <c r="BZ32" t="e">
        <f>AND(Plan1!C535,"AAAAAFM9ek0=")</f>
        <v>#VALUE!</v>
      </c>
      <c r="CA32" t="e">
        <f>AND(Plan1!D535,"AAAAAFM9ek4=")</f>
        <v>#VALUE!</v>
      </c>
      <c r="CB32" t="e">
        <f>AND(Plan1!E535,"AAAAAFM9ek8=")</f>
        <v>#VALUE!</v>
      </c>
      <c r="CC32" t="e">
        <f>AND(Plan1!F535,"AAAAAFM9elA=")</f>
        <v>#VALUE!</v>
      </c>
      <c r="CD32" t="e">
        <f>AND(Plan1!G535,"AAAAAFM9elE=")</f>
        <v>#VALUE!</v>
      </c>
      <c r="CE32" t="e">
        <f>AND(Plan1!H535,"AAAAAFM9elI=")</f>
        <v>#VALUE!</v>
      </c>
      <c r="CF32" t="e">
        <f>AND(Plan1!I535,"AAAAAFM9elM=")</f>
        <v>#VALUE!</v>
      </c>
      <c r="CG32" t="e">
        <f>AND(Plan1!J535,"AAAAAFM9elQ=")</f>
        <v>#VALUE!</v>
      </c>
      <c r="CH32" t="e">
        <f>AND(Plan1!K535,"AAAAAFM9elU=")</f>
        <v>#VALUE!</v>
      </c>
      <c r="CI32" t="e">
        <f>AND(Plan1!L535,"AAAAAFM9elY=")</f>
        <v>#VALUE!</v>
      </c>
      <c r="CJ32" t="e">
        <f>AND(Plan1!M535,"AAAAAFM9elc=")</f>
        <v>#VALUE!</v>
      </c>
      <c r="CK32" t="e">
        <f>AND(Plan1!N535,"AAAAAFM9elg=")</f>
        <v>#VALUE!</v>
      </c>
      <c r="CL32">
        <f>IF(Plan1!536:536,"AAAAAFM9elk=",0)</f>
        <v>0</v>
      </c>
      <c r="CM32" t="e">
        <f>AND(Plan1!A536,"AAAAAFM9elo=")</f>
        <v>#VALUE!</v>
      </c>
      <c r="CN32" t="e">
        <f>AND(Plan1!B536,"AAAAAFM9els=")</f>
        <v>#VALUE!</v>
      </c>
      <c r="CO32" t="e">
        <f>AND(Plan1!C536,"AAAAAFM9elw=")</f>
        <v>#VALUE!</v>
      </c>
      <c r="CP32" t="e">
        <f>AND(Plan1!D536,"AAAAAFM9el0=")</f>
        <v>#VALUE!</v>
      </c>
      <c r="CQ32" t="e">
        <f>AND(Plan1!E536,"AAAAAFM9el4=")</f>
        <v>#VALUE!</v>
      </c>
      <c r="CR32" t="e">
        <f>AND(Plan1!F536,"AAAAAFM9el8=")</f>
        <v>#VALUE!</v>
      </c>
      <c r="CS32" t="e">
        <f>AND(Plan1!G536,"AAAAAFM9emA=")</f>
        <v>#VALUE!</v>
      </c>
      <c r="CT32" t="e">
        <f>AND(Plan1!H536,"AAAAAFM9emE=")</f>
        <v>#VALUE!</v>
      </c>
      <c r="CU32" t="e">
        <f>AND(Plan1!I536,"AAAAAFM9emI=")</f>
        <v>#VALUE!</v>
      </c>
      <c r="CV32" t="e">
        <f>AND(Plan1!J536,"AAAAAFM9emM=")</f>
        <v>#VALUE!</v>
      </c>
      <c r="CW32" t="e">
        <f>AND(Plan1!K536,"AAAAAFM9emQ=")</f>
        <v>#VALUE!</v>
      </c>
      <c r="CX32" t="e">
        <f>AND(Plan1!L536,"AAAAAFM9emU=")</f>
        <v>#VALUE!</v>
      </c>
      <c r="CY32" t="e">
        <f>AND(Plan1!M536,"AAAAAFM9emY=")</f>
        <v>#VALUE!</v>
      </c>
      <c r="CZ32" t="e">
        <f>AND(Plan1!N536,"AAAAAFM9emc=")</f>
        <v>#VALUE!</v>
      </c>
      <c r="DA32">
        <f>IF(Plan1!537:537,"AAAAAFM9emg=",0)</f>
        <v>0</v>
      </c>
      <c r="DB32" t="e">
        <f>AND(Plan1!A537,"AAAAAFM9emk=")</f>
        <v>#VALUE!</v>
      </c>
      <c r="DC32" t="e">
        <f>AND(Plan1!B537,"AAAAAFM9emo=")</f>
        <v>#VALUE!</v>
      </c>
      <c r="DD32" t="e">
        <f>AND(Plan1!C537,"AAAAAFM9ems=")</f>
        <v>#VALUE!</v>
      </c>
      <c r="DE32" t="e">
        <f>AND(Plan1!D537,"AAAAAFM9emw=")</f>
        <v>#VALUE!</v>
      </c>
      <c r="DF32" t="e">
        <f>AND(Plan1!E537,"AAAAAFM9em0=")</f>
        <v>#VALUE!</v>
      </c>
      <c r="DG32" t="e">
        <f>AND(Plan1!F537,"AAAAAFM9em4=")</f>
        <v>#VALUE!</v>
      </c>
      <c r="DH32" t="e">
        <f>AND(Plan1!G537,"AAAAAFM9em8=")</f>
        <v>#VALUE!</v>
      </c>
      <c r="DI32" t="e">
        <f>AND(Plan1!H537,"AAAAAFM9enA=")</f>
        <v>#VALUE!</v>
      </c>
      <c r="DJ32" t="e">
        <f>AND(Plan1!I537,"AAAAAFM9enE=")</f>
        <v>#VALUE!</v>
      </c>
      <c r="DK32" t="e">
        <f>AND(Plan1!J537,"AAAAAFM9enI=")</f>
        <v>#VALUE!</v>
      </c>
      <c r="DL32" t="e">
        <f>AND(Plan1!K537,"AAAAAFM9enM=")</f>
        <v>#VALUE!</v>
      </c>
      <c r="DM32" t="e">
        <f>AND(Plan1!L537,"AAAAAFM9enQ=")</f>
        <v>#VALUE!</v>
      </c>
      <c r="DN32" t="e">
        <f>AND(Plan1!M537,"AAAAAFM9enU=")</f>
        <v>#VALUE!</v>
      </c>
      <c r="DO32" t="e">
        <f>AND(Plan1!N537,"AAAAAFM9enY=")</f>
        <v>#VALUE!</v>
      </c>
      <c r="DP32">
        <f>IF(Plan1!538:538,"AAAAAFM9enc=",0)</f>
        <v>0</v>
      </c>
      <c r="DQ32" t="e">
        <f>AND(Plan1!A538,"AAAAAFM9eng=")</f>
        <v>#VALUE!</v>
      </c>
      <c r="DR32" t="e">
        <f>AND(Plan1!B538,"AAAAAFM9enk=")</f>
        <v>#VALUE!</v>
      </c>
      <c r="DS32" t="e">
        <f>AND(Plan1!C538,"AAAAAFM9eno=")</f>
        <v>#VALUE!</v>
      </c>
      <c r="DT32" t="e">
        <f>AND(Plan1!D538,"AAAAAFM9ens=")</f>
        <v>#VALUE!</v>
      </c>
      <c r="DU32" t="e">
        <f>AND(Plan1!E538,"AAAAAFM9enw=")</f>
        <v>#VALUE!</v>
      </c>
      <c r="DV32" t="e">
        <f>AND(Plan1!F538,"AAAAAFM9en0=")</f>
        <v>#VALUE!</v>
      </c>
      <c r="DW32" t="e">
        <f>AND(Plan1!G538,"AAAAAFM9en4=")</f>
        <v>#VALUE!</v>
      </c>
      <c r="DX32" t="e">
        <f>AND(Plan1!H538,"AAAAAFM9en8=")</f>
        <v>#VALUE!</v>
      </c>
      <c r="DY32" t="e">
        <f>AND(Plan1!I538,"AAAAAFM9eoA=")</f>
        <v>#VALUE!</v>
      </c>
      <c r="DZ32" t="e">
        <f>AND(Plan1!J538,"AAAAAFM9eoE=")</f>
        <v>#VALUE!</v>
      </c>
      <c r="EA32" t="e">
        <f>AND(Plan1!K538,"AAAAAFM9eoI=")</f>
        <v>#VALUE!</v>
      </c>
      <c r="EB32" t="e">
        <f>AND(Plan1!L538,"AAAAAFM9eoM=")</f>
        <v>#VALUE!</v>
      </c>
      <c r="EC32" t="e">
        <f>AND(Plan1!M538,"AAAAAFM9eoQ=")</f>
        <v>#VALUE!</v>
      </c>
      <c r="ED32" t="e">
        <f>AND(Plan1!N538,"AAAAAFM9eoU=")</f>
        <v>#VALUE!</v>
      </c>
      <c r="EE32">
        <f>IF(Plan1!539:539,"AAAAAFM9eoY=",0)</f>
        <v>0</v>
      </c>
      <c r="EF32" t="e">
        <f>AND(Plan1!A539,"AAAAAFM9eoc=")</f>
        <v>#VALUE!</v>
      </c>
      <c r="EG32" t="e">
        <f>AND(Plan1!B539,"AAAAAFM9eog=")</f>
        <v>#VALUE!</v>
      </c>
      <c r="EH32" t="e">
        <f>AND(Plan1!C539,"AAAAAFM9eok=")</f>
        <v>#VALUE!</v>
      </c>
      <c r="EI32" t="e">
        <f>AND(Plan1!D539,"AAAAAFM9eoo=")</f>
        <v>#VALUE!</v>
      </c>
      <c r="EJ32" t="e">
        <f>AND(Plan1!E539,"AAAAAFM9eos=")</f>
        <v>#VALUE!</v>
      </c>
      <c r="EK32" t="e">
        <f>AND(Plan1!F539,"AAAAAFM9eow=")</f>
        <v>#VALUE!</v>
      </c>
      <c r="EL32" t="e">
        <f>AND(Plan1!G539,"AAAAAFM9eo0=")</f>
        <v>#VALUE!</v>
      </c>
      <c r="EM32" t="e">
        <f>AND(Plan1!H539,"AAAAAFM9eo4=")</f>
        <v>#VALUE!</v>
      </c>
      <c r="EN32" t="e">
        <f>AND(Plan1!I539,"AAAAAFM9eo8=")</f>
        <v>#VALUE!</v>
      </c>
      <c r="EO32" t="e">
        <f>AND(Plan1!J539,"AAAAAFM9epA=")</f>
        <v>#VALUE!</v>
      </c>
      <c r="EP32" t="e">
        <f>AND(Plan1!K539,"AAAAAFM9epE=")</f>
        <v>#VALUE!</v>
      </c>
      <c r="EQ32" t="e">
        <f>AND(Plan1!L539,"AAAAAFM9epI=")</f>
        <v>#VALUE!</v>
      </c>
      <c r="ER32" t="e">
        <f>AND(Plan1!M539,"AAAAAFM9epM=")</f>
        <v>#VALUE!</v>
      </c>
      <c r="ES32" t="e">
        <f>AND(Plan1!N539,"AAAAAFM9epQ=")</f>
        <v>#VALUE!</v>
      </c>
      <c r="ET32">
        <f>IF(Plan1!540:540,"AAAAAFM9epU=",0)</f>
        <v>0</v>
      </c>
      <c r="EU32" t="e">
        <f>AND(Plan1!A540,"AAAAAFM9epY=")</f>
        <v>#VALUE!</v>
      </c>
      <c r="EV32" t="e">
        <f>AND(Plan1!B540,"AAAAAFM9epc=")</f>
        <v>#VALUE!</v>
      </c>
      <c r="EW32" t="e">
        <f>AND(Plan1!C540,"AAAAAFM9epg=")</f>
        <v>#VALUE!</v>
      </c>
      <c r="EX32" t="e">
        <f>AND(Plan1!D540,"AAAAAFM9epk=")</f>
        <v>#VALUE!</v>
      </c>
      <c r="EY32" t="e">
        <f>AND(Plan1!E540,"AAAAAFM9epo=")</f>
        <v>#VALUE!</v>
      </c>
      <c r="EZ32" t="e">
        <f>AND(Plan1!F540,"AAAAAFM9eps=")</f>
        <v>#VALUE!</v>
      </c>
      <c r="FA32" t="e">
        <f>AND(Plan1!G540,"AAAAAFM9epw=")</f>
        <v>#VALUE!</v>
      </c>
      <c r="FB32" t="e">
        <f>AND(Plan1!H540,"AAAAAFM9ep0=")</f>
        <v>#VALUE!</v>
      </c>
      <c r="FC32" t="e">
        <f>AND(Plan1!I540,"AAAAAFM9ep4=")</f>
        <v>#VALUE!</v>
      </c>
      <c r="FD32" t="e">
        <f>AND(Plan1!J540,"AAAAAFM9ep8=")</f>
        <v>#VALUE!</v>
      </c>
      <c r="FE32" t="e">
        <f>AND(Plan1!K540,"AAAAAFM9eqA=")</f>
        <v>#VALUE!</v>
      </c>
      <c r="FF32" t="e">
        <f>AND(Plan1!L540,"AAAAAFM9eqE=")</f>
        <v>#VALUE!</v>
      </c>
      <c r="FG32" t="e">
        <f>AND(Plan1!M540,"AAAAAFM9eqI=")</f>
        <v>#VALUE!</v>
      </c>
      <c r="FH32" t="e">
        <f>AND(Plan1!N540,"AAAAAFM9eqM=")</f>
        <v>#VALUE!</v>
      </c>
      <c r="FI32">
        <f>IF(Plan1!541:541,"AAAAAFM9eqQ=",0)</f>
        <v>0</v>
      </c>
      <c r="FJ32" t="e">
        <f>AND(Plan1!A541,"AAAAAFM9eqU=")</f>
        <v>#VALUE!</v>
      </c>
      <c r="FK32" t="e">
        <f>AND(Plan1!B541,"AAAAAFM9eqY=")</f>
        <v>#VALUE!</v>
      </c>
      <c r="FL32" t="e">
        <f>AND(Plan1!C541,"AAAAAFM9eqc=")</f>
        <v>#VALUE!</v>
      </c>
      <c r="FM32" t="e">
        <f>AND(Plan1!D541,"AAAAAFM9eqg=")</f>
        <v>#VALUE!</v>
      </c>
      <c r="FN32" t="e">
        <f>AND(Plan1!E541,"AAAAAFM9eqk=")</f>
        <v>#VALUE!</v>
      </c>
      <c r="FO32" t="e">
        <f>AND(Plan1!F541,"AAAAAFM9eqo=")</f>
        <v>#VALUE!</v>
      </c>
      <c r="FP32" t="e">
        <f>AND(Plan1!G541,"AAAAAFM9eqs=")</f>
        <v>#VALUE!</v>
      </c>
      <c r="FQ32" t="e">
        <f>AND(Plan1!H541,"AAAAAFM9eqw=")</f>
        <v>#VALUE!</v>
      </c>
      <c r="FR32" t="e">
        <f>AND(Plan1!I541,"AAAAAFM9eq0=")</f>
        <v>#VALUE!</v>
      </c>
      <c r="FS32" t="e">
        <f>AND(Plan1!J541,"AAAAAFM9eq4=")</f>
        <v>#VALUE!</v>
      </c>
      <c r="FT32" t="e">
        <f>AND(Plan1!K541,"AAAAAFM9eq8=")</f>
        <v>#VALUE!</v>
      </c>
      <c r="FU32" t="e">
        <f>AND(Plan1!L541,"AAAAAFM9erA=")</f>
        <v>#VALUE!</v>
      </c>
      <c r="FV32" t="e">
        <f>AND(Plan1!M541,"AAAAAFM9erE=")</f>
        <v>#VALUE!</v>
      </c>
      <c r="FW32" t="e">
        <f>AND(Plan1!N541,"AAAAAFM9erI=")</f>
        <v>#VALUE!</v>
      </c>
      <c r="FX32">
        <f>IF(Plan1!542:542,"AAAAAFM9erM=",0)</f>
        <v>0</v>
      </c>
      <c r="FY32" t="e">
        <f>AND(Plan1!A542,"AAAAAFM9erQ=")</f>
        <v>#VALUE!</v>
      </c>
      <c r="FZ32" t="e">
        <f>AND(Plan1!B542,"AAAAAFM9erU=")</f>
        <v>#VALUE!</v>
      </c>
      <c r="GA32" t="e">
        <f>AND(Plan1!C542,"AAAAAFM9erY=")</f>
        <v>#VALUE!</v>
      </c>
      <c r="GB32" t="e">
        <f>AND(Plan1!D542,"AAAAAFM9erc=")</f>
        <v>#VALUE!</v>
      </c>
      <c r="GC32" t="e">
        <f>AND(Plan1!E542,"AAAAAFM9erg=")</f>
        <v>#VALUE!</v>
      </c>
      <c r="GD32" t="e">
        <f>AND(Plan1!F542,"AAAAAFM9erk=")</f>
        <v>#VALUE!</v>
      </c>
      <c r="GE32" t="e">
        <f>AND(Plan1!G542,"AAAAAFM9ero=")</f>
        <v>#VALUE!</v>
      </c>
      <c r="GF32" t="e">
        <f>AND(Plan1!H542,"AAAAAFM9ers=")</f>
        <v>#VALUE!</v>
      </c>
      <c r="GG32" t="e">
        <f>AND(Plan1!I542,"AAAAAFM9erw=")</f>
        <v>#VALUE!</v>
      </c>
      <c r="GH32" t="e">
        <f>AND(Plan1!J542,"AAAAAFM9er0=")</f>
        <v>#VALUE!</v>
      </c>
      <c r="GI32" t="e">
        <f>AND(Plan1!K542,"AAAAAFM9er4=")</f>
        <v>#VALUE!</v>
      </c>
      <c r="GJ32" t="e">
        <f>AND(Plan1!L542,"AAAAAFM9er8=")</f>
        <v>#VALUE!</v>
      </c>
      <c r="GK32" t="e">
        <f>AND(Plan1!M542,"AAAAAFM9esA=")</f>
        <v>#VALUE!</v>
      </c>
      <c r="GL32" t="e">
        <f>AND(Plan1!N542,"AAAAAFM9esE=")</f>
        <v>#VALUE!</v>
      </c>
      <c r="GM32">
        <f>IF(Plan1!543:543,"AAAAAFM9esI=",0)</f>
        <v>0</v>
      </c>
      <c r="GN32" t="e">
        <f>AND(Plan1!A543,"AAAAAFM9esM=")</f>
        <v>#VALUE!</v>
      </c>
      <c r="GO32" t="e">
        <f>AND(Plan1!B543,"AAAAAFM9esQ=")</f>
        <v>#VALUE!</v>
      </c>
      <c r="GP32" t="e">
        <f>AND(Plan1!C543,"AAAAAFM9esU=")</f>
        <v>#VALUE!</v>
      </c>
      <c r="GQ32" t="e">
        <f>AND(Plan1!D543,"AAAAAFM9esY=")</f>
        <v>#VALUE!</v>
      </c>
      <c r="GR32" t="e">
        <f>AND(Plan1!E543,"AAAAAFM9esc=")</f>
        <v>#VALUE!</v>
      </c>
      <c r="GS32" t="e">
        <f>AND(Plan1!F543,"AAAAAFM9esg=")</f>
        <v>#VALUE!</v>
      </c>
      <c r="GT32" t="e">
        <f>AND(Plan1!G543,"AAAAAFM9esk=")</f>
        <v>#VALUE!</v>
      </c>
      <c r="GU32" t="e">
        <f>AND(Plan1!H543,"AAAAAFM9eso=")</f>
        <v>#VALUE!</v>
      </c>
      <c r="GV32" t="e">
        <f>AND(Plan1!I543,"AAAAAFM9ess=")</f>
        <v>#VALUE!</v>
      </c>
      <c r="GW32" t="e">
        <f>AND(Plan1!J543,"AAAAAFM9esw=")</f>
        <v>#VALUE!</v>
      </c>
      <c r="GX32" t="e">
        <f>AND(Plan1!K543,"AAAAAFM9es0=")</f>
        <v>#VALUE!</v>
      </c>
      <c r="GY32" t="e">
        <f>AND(Plan1!L543,"AAAAAFM9es4=")</f>
        <v>#VALUE!</v>
      </c>
      <c r="GZ32" t="e">
        <f>AND(Plan1!M543,"AAAAAFM9es8=")</f>
        <v>#VALUE!</v>
      </c>
      <c r="HA32" t="e">
        <f>AND(Plan1!N543,"AAAAAFM9etA=")</f>
        <v>#VALUE!</v>
      </c>
      <c r="HB32">
        <f>IF(Plan1!544:544,"AAAAAFM9etE=",0)</f>
        <v>0</v>
      </c>
      <c r="HC32" t="e">
        <f>AND(Plan1!A544,"AAAAAFM9etI=")</f>
        <v>#VALUE!</v>
      </c>
      <c r="HD32" t="e">
        <f>AND(Plan1!B544,"AAAAAFM9etM=")</f>
        <v>#VALUE!</v>
      </c>
      <c r="HE32" t="e">
        <f>AND(Plan1!C544,"AAAAAFM9etQ=")</f>
        <v>#VALUE!</v>
      </c>
      <c r="HF32" t="e">
        <f>AND(Plan1!D544,"AAAAAFM9etU=")</f>
        <v>#VALUE!</v>
      </c>
      <c r="HG32" t="e">
        <f>AND(Plan1!E544,"AAAAAFM9etY=")</f>
        <v>#VALUE!</v>
      </c>
      <c r="HH32" t="e">
        <f>AND(Plan1!F544,"AAAAAFM9etc=")</f>
        <v>#VALUE!</v>
      </c>
      <c r="HI32" t="e">
        <f>AND(Plan1!G544,"AAAAAFM9etg=")</f>
        <v>#VALUE!</v>
      </c>
      <c r="HJ32" t="e">
        <f>AND(Plan1!H544,"AAAAAFM9etk=")</f>
        <v>#VALUE!</v>
      </c>
      <c r="HK32" t="e">
        <f>AND(Plan1!I544,"AAAAAFM9eto=")</f>
        <v>#VALUE!</v>
      </c>
      <c r="HL32" t="e">
        <f>AND(Plan1!J544,"AAAAAFM9ets=")</f>
        <v>#VALUE!</v>
      </c>
      <c r="HM32" t="e">
        <f>AND(Plan1!K544,"AAAAAFM9etw=")</f>
        <v>#VALUE!</v>
      </c>
      <c r="HN32" t="e">
        <f>AND(Plan1!L544,"AAAAAFM9et0=")</f>
        <v>#VALUE!</v>
      </c>
      <c r="HO32" t="e">
        <f>AND(Plan1!M544,"AAAAAFM9et4=")</f>
        <v>#VALUE!</v>
      </c>
      <c r="HP32" t="e">
        <f>AND(Plan1!N544,"AAAAAFM9et8=")</f>
        <v>#VALUE!</v>
      </c>
      <c r="HQ32">
        <f>IF(Plan1!545:545,"AAAAAFM9euA=",0)</f>
        <v>0</v>
      </c>
      <c r="HR32" t="e">
        <f>AND(Plan1!A545,"AAAAAFM9euE=")</f>
        <v>#VALUE!</v>
      </c>
      <c r="HS32" t="e">
        <f>AND(Plan1!B545,"AAAAAFM9euI=")</f>
        <v>#VALUE!</v>
      </c>
      <c r="HT32" t="e">
        <f>AND(Plan1!C545,"AAAAAFM9euM=")</f>
        <v>#VALUE!</v>
      </c>
      <c r="HU32" t="e">
        <f>AND(Plan1!D545,"AAAAAFM9euQ=")</f>
        <v>#VALUE!</v>
      </c>
      <c r="HV32" t="e">
        <f>AND(Plan1!E545,"AAAAAFM9euU=")</f>
        <v>#VALUE!</v>
      </c>
      <c r="HW32" t="e">
        <f>AND(Plan1!F545,"AAAAAFM9euY=")</f>
        <v>#VALUE!</v>
      </c>
      <c r="HX32" t="e">
        <f>AND(Plan1!G545,"AAAAAFM9euc=")</f>
        <v>#VALUE!</v>
      </c>
      <c r="HY32" t="e">
        <f>AND(Plan1!H545,"AAAAAFM9eug=")</f>
        <v>#VALUE!</v>
      </c>
      <c r="HZ32" t="e">
        <f>AND(Plan1!I545,"AAAAAFM9euk=")</f>
        <v>#VALUE!</v>
      </c>
      <c r="IA32" t="e">
        <f>AND(Plan1!J545,"AAAAAFM9euo=")</f>
        <v>#VALUE!</v>
      </c>
      <c r="IB32" t="e">
        <f>AND(Plan1!K545,"AAAAAFM9eus=")</f>
        <v>#VALUE!</v>
      </c>
      <c r="IC32" t="e">
        <f>AND(Plan1!L545,"AAAAAFM9euw=")</f>
        <v>#VALUE!</v>
      </c>
      <c r="ID32" t="e">
        <f>AND(Plan1!M545,"AAAAAFM9eu0=")</f>
        <v>#VALUE!</v>
      </c>
      <c r="IE32" t="e">
        <f>AND(Plan1!N545,"AAAAAFM9eu4=")</f>
        <v>#VALUE!</v>
      </c>
      <c r="IF32">
        <f>IF(Plan1!546:546,"AAAAAFM9eu8=",0)</f>
        <v>0</v>
      </c>
      <c r="IG32" t="e">
        <f>AND(Plan1!A546,"AAAAAFM9evA=")</f>
        <v>#VALUE!</v>
      </c>
      <c r="IH32" t="e">
        <f>AND(Plan1!B546,"AAAAAFM9evE=")</f>
        <v>#VALUE!</v>
      </c>
      <c r="II32" t="e">
        <f>AND(Plan1!C546,"AAAAAFM9evI=")</f>
        <v>#VALUE!</v>
      </c>
      <c r="IJ32" t="e">
        <f>AND(Plan1!D546,"AAAAAFM9evM=")</f>
        <v>#VALUE!</v>
      </c>
      <c r="IK32" t="e">
        <f>AND(Plan1!E546,"AAAAAFM9evQ=")</f>
        <v>#VALUE!</v>
      </c>
      <c r="IL32" t="e">
        <f>AND(Plan1!F546,"AAAAAFM9evU=")</f>
        <v>#VALUE!</v>
      </c>
      <c r="IM32" t="e">
        <f>AND(Plan1!G546,"AAAAAFM9evY=")</f>
        <v>#VALUE!</v>
      </c>
      <c r="IN32" t="e">
        <f>AND(Plan1!H546,"AAAAAFM9evc=")</f>
        <v>#VALUE!</v>
      </c>
      <c r="IO32" t="e">
        <f>AND(Plan1!I546,"AAAAAFM9evg=")</f>
        <v>#VALUE!</v>
      </c>
      <c r="IP32" t="e">
        <f>AND(Plan1!J546,"AAAAAFM9evk=")</f>
        <v>#VALUE!</v>
      </c>
      <c r="IQ32" t="e">
        <f>AND(Plan1!K546,"AAAAAFM9evo=")</f>
        <v>#VALUE!</v>
      </c>
      <c r="IR32" t="e">
        <f>AND(Plan1!L546,"AAAAAFM9evs=")</f>
        <v>#VALUE!</v>
      </c>
      <c r="IS32" t="e">
        <f>AND(Plan1!M546,"AAAAAFM9evw=")</f>
        <v>#VALUE!</v>
      </c>
      <c r="IT32" t="e">
        <f>AND(Plan1!N546,"AAAAAFM9ev0=")</f>
        <v>#VALUE!</v>
      </c>
      <c r="IU32">
        <f>IF(Plan1!547:547,"AAAAAFM9ev4=",0)</f>
        <v>0</v>
      </c>
      <c r="IV32" t="e">
        <f>AND(Plan1!A547,"AAAAAFM9ev8=")</f>
        <v>#VALUE!</v>
      </c>
    </row>
    <row r="33" spans="1:256">
      <c r="A33" t="e">
        <f>AND(Plan1!B547,"AAAAAGt93wA=")</f>
        <v>#VALUE!</v>
      </c>
      <c r="B33" t="e">
        <f>AND(Plan1!C547,"AAAAAGt93wE=")</f>
        <v>#VALUE!</v>
      </c>
      <c r="C33" t="e">
        <f>AND(Plan1!D547,"AAAAAGt93wI=")</f>
        <v>#VALUE!</v>
      </c>
      <c r="D33" t="e">
        <f>AND(Plan1!E547,"AAAAAGt93wM=")</f>
        <v>#VALUE!</v>
      </c>
      <c r="E33" t="e">
        <f>AND(Plan1!F547,"AAAAAGt93wQ=")</f>
        <v>#VALUE!</v>
      </c>
      <c r="F33" t="e">
        <f>AND(Plan1!G547,"AAAAAGt93wU=")</f>
        <v>#VALUE!</v>
      </c>
      <c r="G33" t="e">
        <f>AND(Plan1!H547,"AAAAAGt93wY=")</f>
        <v>#VALUE!</v>
      </c>
      <c r="H33" t="e">
        <f>AND(Plan1!I547,"AAAAAGt93wc=")</f>
        <v>#VALUE!</v>
      </c>
      <c r="I33" t="e">
        <f>AND(Plan1!J547,"AAAAAGt93wg=")</f>
        <v>#VALUE!</v>
      </c>
      <c r="J33" t="e">
        <f>AND(Plan1!K547,"AAAAAGt93wk=")</f>
        <v>#VALUE!</v>
      </c>
      <c r="K33" t="e">
        <f>AND(Plan1!L547,"AAAAAGt93wo=")</f>
        <v>#VALUE!</v>
      </c>
      <c r="L33" t="e">
        <f>AND(Plan1!M547,"AAAAAGt93ws=")</f>
        <v>#VALUE!</v>
      </c>
      <c r="M33" t="e">
        <f>AND(Plan1!N547,"AAAAAGt93ww=")</f>
        <v>#VALUE!</v>
      </c>
      <c r="N33" t="e">
        <f>IF(Plan1!548:548,"AAAAAGt93w0=",0)</f>
        <v>#VALUE!</v>
      </c>
      <c r="O33" t="e">
        <f>AND(Plan1!A548,"AAAAAGt93w4=")</f>
        <v>#VALUE!</v>
      </c>
      <c r="P33" t="e">
        <f>AND(Plan1!B548,"AAAAAGt93w8=")</f>
        <v>#VALUE!</v>
      </c>
      <c r="Q33" t="e">
        <f>AND(Plan1!C548,"AAAAAGt93xA=")</f>
        <v>#VALUE!</v>
      </c>
      <c r="R33" t="e">
        <f>AND(Plan1!D548,"AAAAAGt93xE=")</f>
        <v>#VALUE!</v>
      </c>
      <c r="S33" t="e">
        <f>AND(Plan1!E548,"AAAAAGt93xI=")</f>
        <v>#VALUE!</v>
      </c>
      <c r="T33" t="e">
        <f>AND(Plan1!F548,"AAAAAGt93xM=")</f>
        <v>#VALUE!</v>
      </c>
      <c r="U33" t="e">
        <f>AND(Plan1!G548,"AAAAAGt93xQ=")</f>
        <v>#VALUE!</v>
      </c>
      <c r="V33" t="e">
        <f>AND(Plan1!H548,"AAAAAGt93xU=")</f>
        <v>#VALUE!</v>
      </c>
      <c r="W33" t="e">
        <f>AND(Plan1!I548,"AAAAAGt93xY=")</f>
        <v>#VALUE!</v>
      </c>
      <c r="X33" t="e">
        <f>AND(Plan1!J548,"AAAAAGt93xc=")</f>
        <v>#VALUE!</v>
      </c>
      <c r="Y33" t="e">
        <f>AND(Plan1!K548,"AAAAAGt93xg=")</f>
        <v>#VALUE!</v>
      </c>
      <c r="Z33" t="e">
        <f>AND(Plan1!L548,"AAAAAGt93xk=")</f>
        <v>#VALUE!</v>
      </c>
      <c r="AA33" t="e">
        <f>AND(Plan1!M548,"AAAAAGt93xo=")</f>
        <v>#VALUE!</v>
      </c>
      <c r="AB33" t="e">
        <f>AND(Plan1!N548,"AAAAAGt93xs=")</f>
        <v>#VALUE!</v>
      </c>
      <c r="AC33">
        <f>IF(Plan1!549:549,"AAAAAGt93xw=",0)</f>
        <v>0</v>
      </c>
      <c r="AD33" t="e">
        <f>AND(Plan1!A549,"AAAAAGt93x0=")</f>
        <v>#VALUE!</v>
      </c>
      <c r="AE33" t="e">
        <f>AND(Plan1!B549,"AAAAAGt93x4=")</f>
        <v>#VALUE!</v>
      </c>
      <c r="AF33" t="e">
        <f>AND(Plan1!C549,"AAAAAGt93x8=")</f>
        <v>#VALUE!</v>
      </c>
      <c r="AG33" t="e">
        <f>AND(Plan1!D549,"AAAAAGt93yA=")</f>
        <v>#VALUE!</v>
      </c>
      <c r="AH33" t="e">
        <f>AND(Plan1!E549,"AAAAAGt93yE=")</f>
        <v>#VALUE!</v>
      </c>
      <c r="AI33" t="e">
        <f>AND(Plan1!F549,"AAAAAGt93yI=")</f>
        <v>#VALUE!</v>
      </c>
      <c r="AJ33" t="e">
        <f>AND(Plan1!G549,"AAAAAGt93yM=")</f>
        <v>#VALUE!</v>
      </c>
      <c r="AK33" t="e">
        <f>AND(Plan1!H549,"AAAAAGt93yQ=")</f>
        <v>#VALUE!</v>
      </c>
      <c r="AL33" t="e">
        <f>AND(Plan1!I549,"AAAAAGt93yU=")</f>
        <v>#VALUE!</v>
      </c>
      <c r="AM33" t="e">
        <f>AND(Plan1!J549,"AAAAAGt93yY=")</f>
        <v>#VALUE!</v>
      </c>
      <c r="AN33" t="e">
        <f>AND(Plan1!K549,"AAAAAGt93yc=")</f>
        <v>#VALUE!</v>
      </c>
      <c r="AO33" t="e">
        <f>AND(Plan1!L549,"AAAAAGt93yg=")</f>
        <v>#VALUE!</v>
      </c>
      <c r="AP33" t="e">
        <f>AND(Plan1!M549,"AAAAAGt93yk=")</f>
        <v>#VALUE!</v>
      </c>
      <c r="AQ33" t="e">
        <f>AND(Plan1!N549,"AAAAAGt93yo=")</f>
        <v>#VALUE!</v>
      </c>
      <c r="AR33">
        <f>IF(Plan1!550:550,"AAAAAGt93ys=",0)</f>
        <v>0</v>
      </c>
      <c r="AS33" t="e">
        <f>AND(Plan1!A550,"AAAAAGt93yw=")</f>
        <v>#VALUE!</v>
      </c>
      <c r="AT33" t="e">
        <f>AND(Plan1!B550,"AAAAAGt93y0=")</f>
        <v>#VALUE!</v>
      </c>
      <c r="AU33" t="e">
        <f>AND(Plan1!C550,"AAAAAGt93y4=")</f>
        <v>#VALUE!</v>
      </c>
      <c r="AV33" t="e">
        <f>AND(Plan1!D550,"AAAAAGt93y8=")</f>
        <v>#VALUE!</v>
      </c>
      <c r="AW33" t="e">
        <f>AND(Plan1!E550,"AAAAAGt93zA=")</f>
        <v>#VALUE!</v>
      </c>
      <c r="AX33" t="e">
        <f>AND(Plan1!F550,"AAAAAGt93zE=")</f>
        <v>#VALUE!</v>
      </c>
      <c r="AY33" t="e">
        <f>AND(Plan1!G550,"AAAAAGt93zI=")</f>
        <v>#VALUE!</v>
      </c>
      <c r="AZ33" t="e">
        <f>AND(Plan1!H550,"AAAAAGt93zM=")</f>
        <v>#VALUE!</v>
      </c>
      <c r="BA33" t="e">
        <f>AND(Plan1!I550,"AAAAAGt93zQ=")</f>
        <v>#VALUE!</v>
      </c>
      <c r="BB33" t="e">
        <f>AND(Plan1!J550,"AAAAAGt93zU=")</f>
        <v>#VALUE!</v>
      </c>
      <c r="BC33" t="e">
        <f>AND(Plan1!K550,"AAAAAGt93zY=")</f>
        <v>#VALUE!</v>
      </c>
      <c r="BD33" t="e">
        <f>AND(Plan1!L550,"AAAAAGt93zc=")</f>
        <v>#VALUE!</v>
      </c>
      <c r="BE33" t="e">
        <f>AND(Plan1!M550,"AAAAAGt93zg=")</f>
        <v>#VALUE!</v>
      </c>
      <c r="BF33" t="e">
        <f>AND(Plan1!N550,"AAAAAGt93zk=")</f>
        <v>#VALUE!</v>
      </c>
      <c r="BG33">
        <f>IF(Plan1!551:551,"AAAAAGt93zo=",0)</f>
        <v>0</v>
      </c>
      <c r="BH33" t="e">
        <f>AND(Plan1!A551,"AAAAAGt93zs=")</f>
        <v>#VALUE!</v>
      </c>
      <c r="BI33" t="e">
        <f>AND(Plan1!B551,"AAAAAGt93zw=")</f>
        <v>#VALUE!</v>
      </c>
      <c r="BJ33" t="e">
        <f>AND(Plan1!C551,"AAAAAGt93z0=")</f>
        <v>#VALUE!</v>
      </c>
      <c r="BK33" t="e">
        <f>AND(Plan1!D551,"AAAAAGt93z4=")</f>
        <v>#VALUE!</v>
      </c>
      <c r="BL33" t="e">
        <f>AND(Plan1!E551,"AAAAAGt93z8=")</f>
        <v>#VALUE!</v>
      </c>
      <c r="BM33" t="e">
        <f>AND(Plan1!F551,"AAAAAGt930A=")</f>
        <v>#VALUE!</v>
      </c>
      <c r="BN33" t="e">
        <f>AND(Plan1!G551,"AAAAAGt930E=")</f>
        <v>#VALUE!</v>
      </c>
      <c r="BO33" t="e">
        <f>AND(Plan1!H551,"AAAAAGt930I=")</f>
        <v>#VALUE!</v>
      </c>
      <c r="BP33" t="e">
        <f>AND(Plan1!I551,"AAAAAGt930M=")</f>
        <v>#VALUE!</v>
      </c>
      <c r="BQ33" t="e">
        <f>AND(Plan1!J551,"AAAAAGt930Q=")</f>
        <v>#VALUE!</v>
      </c>
      <c r="BR33" t="e">
        <f>AND(Plan1!K551,"AAAAAGt930U=")</f>
        <v>#VALUE!</v>
      </c>
      <c r="BS33" t="e">
        <f>AND(Plan1!L551,"AAAAAGt930Y=")</f>
        <v>#VALUE!</v>
      </c>
      <c r="BT33" t="e">
        <f>AND(Plan1!M551,"AAAAAGt930c=")</f>
        <v>#VALUE!</v>
      </c>
      <c r="BU33" t="e">
        <f>AND(Plan1!N551,"AAAAAGt930g=")</f>
        <v>#VALUE!</v>
      </c>
      <c r="BV33">
        <f>IF(Plan1!552:552,"AAAAAGt930k=",0)</f>
        <v>0</v>
      </c>
      <c r="BW33" t="e">
        <f>AND(Plan1!A552,"AAAAAGt930o=")</f>
        <v>#VALUE!</v>
      </c>
      <c r="BX33" t="e">
        <f>AND(Plan1!B552,"AAAAAGt930s=")</f>
        <v>#VALUE!</v>
      </c>
      <c r="BY33" t="e">
        <f>AND(Plan1!C552,"AAAAAGt930w=")</f>
        <v>#VALUE!</v>
      </c>
      <c r="BZ33" t="e">
        <f>AND(Plan1!D552,"AAAAAGt9300=")</f>
        <v>#VALUE!</v>
      </c>
      <c r="CA33" t="e">
        <f>AND(Plan1!E552,"AAAAAGt9304=")</f>
        <v>#VALUE!</v>
      </c>
      <c r="CB33" t="e">
        <f>AND(Plan1!F552,"AAAAAGt9308=")</f>
        <v>#VALUE!</v>
      </c>
      <c r="CC33" t="e">
        <f>AND(Plan1!G552,"AAAAAGt931A=")</f>
        <v>#VALUE!</v>
      </c>
      <c r="CD33" t="e">
        <f>AND(Plan1!H552,"AAAAAGt931E=")</f>
        <v>#VALUE!</v>
      </c>
      <c r="CE33" t="e">
        <f>AND(Plan1!I552,"AAAAAGt931I=")</f>
        <v>#VALUE!</v>
      </c>
      <c r="CF33" t="e">
        <f>AND(Plan1!J552,"AAAAAGt931M=")</f>
        <v>#VALUE!</v>
      </c>
      <c r="CG33" t="e">
        <f>AND(Plan1!K552,"AAAAAGt931Q=")</f>
        <v>#VALUE!</v>
      </c>
      <c r="CH33" t="e">
        <f>AND(Plan1!L552,"AAAAAGt931U=")</f>
        <v>#VALUE!</v>
      </c>
      <c r="CI33" t="e">
        <f>AND(Plan1!M552,"AAAAAGt931Y=")</f>
        <v>#VALUE!</v>
      </c>
      <c r="CJ33" t="e">
        <f>AND(Plan1!N552,"AAAAAGt931c=")</f>
        <v>#VALUE!</v>
      </c>
      <c r="CK33">
        <f>IF(Plan1!553:553,"AAAAAGt931g=",0)</f>
        <v>0</v>
      </c>
      <c r="CL33" t="e">
        <f>AND(Plan1!A553,"AAAAAGt931k=")</f>
        <v>#VALUE!</v>
      </c>
      <c r="CM33" t="e">
        <f>AND(Plan1!B553,"AAAAAGt931o=")</f>
        <v>#VALUE!</v>
      </c>
      <c r="CN33" t="e">
        <f>AND(Plan1!C553,"AAAAAGt931s=")</f>
        <v>#VALUE!</v>
      </c>
      <c r="CO33" t="e">
        <f>AND(Plan1!D553,"AAAAAGt931w=")</f>
        <v>#VALUE!</v>
      </c>
      <c r="CP33" t="e">
        <f>AND(Plan1!E553,"AAAAAGt9310=")</f>
        <v>#VALUE!</v>
      </c>
      <c r="CQ33" t="e">
        <f>AND(Plan1!F553,"AAAAAGt9314=")</f>
        <v>#VALUE!</v>
      </c>
      <c r="CR33" t="e">
        <f>AND(Plan1!G553,"AAAAAGt9318=")</f>
        <v>#VALUE!</v>
      </c>
      <c r="CS33" t="e">
        <f>AND(Plan1!H553,"AAAAAGt932A=")</f>
        <v>#VALUE!</v>
      </c>
      <c r="CT33" t="e">
        <f>AND(Plan1!I553,"AAAAAGt932E=")</f>
        <v>#VALUE!</v>
      </c>
      <c r="CU33" t="e">
        <f>AND(Plan1!J553,"AAAAAGt932I=")</f>
        <v>#VALUE!</v>
      </c>
      <c r="CV33" t="e">
        <f>AND(Plan1!K553,"AAAAAGt932M=")</f>
        <v>#VALUE!</v>
      </c>
      <c r="CW33" t="e">
        <f>AND(Plan1!L553,"AAAAAGt932Q=")</f>
        <v>#VALUE!</v>
      </c>
      <c r="CX33" t="e">
        <f>AND(Plan1!M553,"AAAAAGt932U=")</f>
        <v>#VALUE!</v>
      </c>
      <c r="CY33" t="e">
        <f>AND(Plan1!N553,"AAAAAGt932Y=")</f>
        <v>#VALUE!</v>
      </c>
      <c r="CZ33">
        <f>IF(Plan1!554:554,"AAAAAGt932c=",0)</f>
        <v>0</v>
      </c>
      <c r="DA33" t="e">
        <f>AND(Plan1!A554,"AAAAAGt932g=")</f>
        <v>#VALUE!</v>
      </c>
      <c r="DB33" t="e">
        <f>AND(Plan1!B554,"AAAAAGt932k=")</f>
        <v>#VALUE!</v>
      </c>
      <c r="DC33" t="e">
        <f>AND(Plan1!C554,"AAAAAGt932o=")</f>
        <v>#VALUE!</v>
      </c>
      <c r="DD33" t="e">
        <f>AND(Plan1!D554,"AAAAAGt932s=")</f>
        <v>#VALUE!</v>
      </c>
      <c r="DE33" t="e">
        <f>AND(Plan1!E554,"AAAAAGt932w=")</f>
        <v>#VALUE!</v>
      </c>
      <c r="DF33" t="e">
        <f>AND(Plan1!F554,"AAAAAGt9320=")</f>
        <v>#VALUE!</v>
      </c>
      <c r="DG33" t="e">
        <f>AND(Plan1!G554,"AAAAAGt9324=")</f>
        <v>#VALUE!</v>
      </c>
      <c r="DH33" t="e">
        <f>AND(Plan1!H554,"AAAAAGt9328=")</f>
        <v>#VALUE!</v>
      </c>
      <c r="DI33" t="e">
        <f>AND(Plan1!I554,"AAAAAGt933A=")</f>
        <v>#VALUE!</v>
      </c>
      <c r="DJ33" t="e">
        <f>AND(Plan1!J554,"AAAAAGt933E=")</f>
        <v>#VALUE!</v>
      </c>
      <c r="DK33" t="e">
        <f>AND(Plan1!K554,"AAAAAGt933I=")</f>
        <v>#VALUE!</v>
      </c>
      <c r="DL33" t="e">
        <f>AND(Plan1!L554,"AAAAAGt933M=")</f>
        <v>#VALUE!</v>
      </c>
      <c r="DM33" t="e">
        <f>AND(Plan1!M554,"AAAAAGt933Q=")</f>
        <v>#VALUE!</v>
      </c>
      <c r="DN33" t="e">
        <f>AND(Plan1!N554,"AAAAAGt933U=")</f>
        <v>#VALUE!</v>
      </c>
      <c r="DO33">
        <f>IF(Plan1!555:555,"AAAAAGt933Y=",0)</f>
        <v>0</v>
      </c>
      <c r="DP33" t="e">
        <f>AND(Plan1!A555,"AAAAAGt933c=")</f>
        <v>#VALUE!</v>
      </c>
      <c r="DQ33" t="e">
        <f>AND(Plan1!B555,"AAAAAGt933g=")</f>
        <v>#VALUE!</v>
      </c>
      <c r="DR33" t="e">
        <f>AND(Plan1!C555,"AAAAAGt933k=")</f>
        <v>#VALUE!</v>
      </c>
      <c r="DS33" t="e">
        <f>AND(Plan1!D555,"AAAAAGt933o=")</f>
        <v>#VALUE!</v>
      </c>
      <c r="DT33" t="e">
        <f>AND(Plan1!E555,"AAAAAGt933s=")</f>
        <v>#VALUE!</v>
      </c>
      <c r="DU33" t="e">
        <f>AND(Plan1!F555,"AAAAAGt933w=")</f>
        <v>#VALUE!</v>
      </c>
      <c r="DV33" t="e">
        <f>AND(Plan1!G555,"AAAAAGt9330=")</f>
        <v>#VALUE!</v>
      </c>
      <c r="DW33" t="e">
        <f>AND(Plan1!H555,"AAAAAGt9334=")</f>
        <v>#VALUE!</v>
      </c>
      <c r="DX33" t="e">
        <f>AND(Plan1!I555,"AAAAAGt9338=")</f>
        <v>#VALUE!</v>
      </c>
      <c r="DY33" t="e">
        <f>AND(Plan1!J555,"AAAAAGt934A=")</f>
        <v>#VALUE!</v>
      </c>
      <c r="DZ33" t="e">
        <f>AND(Plan1!K555,"AAAAAGt934E=")</f>
        <v>#VALUE!</v>
      </c>
      <c r="EA33" t="e">
        <f>AND(Plan1!L555,"AAAAAGt934I=")</f>
        <v>#VALUE!</v>
      </c>
      <c r="EB33" t="e">
        <f>AND(Plan1!M555,"AAAAAGt934M=")</f>
        <v>#VALUE!</v>
      </c>
      <c r="EC33" t="e">
        <f>AND(Plan1!N555,"AAAAAGt934Q=")</f>
        <v>#VALUE!</v>
      </c>
      <c r="ED33">
        <f>IF(Plan1!556:556,"AAAAAGt934U=",0)</f>
        <v>0</v>
      </c>
      <c r="EE33" t="e">
        <f>AND(Plan1!A556,"AAAAAGt934Y=")</f>
        <v>#VALUE!</v>
      </c>
      <c r="EF33" t="e">
        <f>AND(Plan1!B556,"AAAAAGt934c=")</f>
        <v>#VALUE!</v>
      </c>
      <c r="EG33" t="e">
        <f>AND(Plan1!C556,"AAAAAGt934g=")</f>
        <v>#VALUE!</v>
      </c>
      <c r="EH33" t="e">
        <f>AND(Plan1!D556,"AAAAAGt934k=")</f>
        <v>#VALUE!</v>
      </c>
      <c r="EI33" t="e">
        <f>AND(Plan1!E556,"AAAAAGt934o=")</f>
        <v>#VALUE!</v>
      </c>
      <c r="EJ33" t="e">
        <f>AND(Plan1!F556,"AAAAAGt934s=")</f>
        <v>#VALUE!</v>
      </c>
      <c r="EK33" t="e">
        <f>AND(Plan1!G556,"AAAAAGt934w=")</f>
        <v>#VALUE!</v>
      </c>
      <c r="EL33" t="e">
        <f>AND(Plan1!H556,"AAAAAGt9340=")</f>
        <v>#VALUE!</v>
      </c>
      <c r="EM33" t="e">
        <f>AND(Plan1!I556,"AAAAAGt9344=")</f>
        <v>#VALUE!</v>
      </c>
      <c r="EN33" t="e">
        <f>AND(Plan1!J556,"AAAAAGt9348=")</f>
        <v>#VALUE!</v>
      </c>
      <c r="EO33" t="e">
        <f>AND(Plan1!K556,"AAAAAGt935A=")</f>
        <v>#VALUE!</v>
      </c>
      <c r="EP33" t="e">
        <f>AND(Plan1!L556,"AAAAAGt935E=")</f>
        <v>#VALUE!</v>
      </c>
      <c r="EQ33" t="e">
        <f>AND(Plan1!M556,"AAAAAGt935I=")</f>
        <v>#VALUE!</v>
      </c>
      <c r="ER33" t="e">
        <f>AND(Plan1!N556,"AAAAAGt935M=")</f>
        <v>#VALUE!</v>
      </c>
      <c r="ES33">
        <f>IF(Plan1!557:557,"AAAAAGt935Q=",0)</f>
        <v>0</v>
      </c>
      <c r="ET33" t="e">
        <f>AND(Plan1!A557,"AAAAAGt935U=")</f>
        <v>#VALUE!</v>
      </c>
      <c r="EU33" t="e">
        <f>AND(Plan1!B557,"AAAAAGt935Y=")</f>
        <v>#VALUE!</v>
      </c>
      <c r="EV33" t="e">
        <f>AND(Plan1!C557,"AAAAAGt935c=")</f>
        <v>#VALUE!</v>
      </c>
      <c r="EW33" t="e">
        <f>AND(Plan1!D557,"AAAAAGt935g=")</f>
        <v>#VALUE!</v>
      </c>
      <c r="EX33" t="e">
        <f>AND(Plan1!E557,"AAAAAGt935k=")</f>
        <v>#VALUE!</v>
      </c>
      <c r="EY33" t="e">
        <f>AND(Plan1!F557,"AAAAAGt935o=")</f>
        <v>#VALUE!</v>
      </c>
      <c r="EZ33" t="e">
        <f>AND(Plan1!G557,"AAAAAGt935s=")</f>
        <v>#VALUE!</v>
      </c>
      <c r="FA33" t="e">
        <f>AND(Plan1!H557,"AAAAAGt935w=")</f>
        <v>#VALUE!</v>
      </c>
      <c r="FB33" t="e">
        <f>AND(Plan1!I557,"AAAAAGt9350=")</f>
        <v>#VALUE!</v>
      </c>
      <c r="FC33" t="e">
        <f>AND(Plan1!J557,"AAAAAGt9354=")</f>
        <v>#VALUE!</v>
      </c>
      <c r="FD33" t="e">
        <f>AND(Plan1!K557,"AAAAAGt9358=")</f>
        <v>#VALUE!</v>
      </c>
      <c r="FE33" t="e">
        <f>AND(Plan1!L557,"AAAAAGt936A=")</f>
        <v>#VALUE!</v>
      </c>
      <c r="FF33" t="e">
        <f>AND(Plan1!M557,"AAAAAGt936E=")</f>
        <v>#VALUE!</v>
      </c>
      <c r="FG33" t="e">
        <f>AND(Plan1!N557,"AAAAAGt936I=")</f>
        <v>#VALUE!</v>
      </c>
      <c r="FH33">
        <f>IF(Plan1!558:558,"AAAAAGt936M=",0)</f>
        <v>0</v>
      </c>
      <c r="FI33" t="e">
        <f>AND(Plan1!A558,"AAAAAGt936Q=")</f>
        <v>#VALUE!</v>
      </c>
      <c r="FJ33" t="e">
        <f>AND(Plan1!B558,"AAAAAGt936U=")</f>
        <v>#VALUE!</v>
      </c>
      <c r="FK33" t="e">
        <f>AND(Plan1!C558,"AAAAAGt936Y=")</f>
        <v>#VALUE!</v>
      </c>
      <c r="FL33" t="e">
        <f>AND(Plan1!D558,"AAAAAGt936c=")</f>
        <v>#VALUE!</v>
      </c>
      <c r="FM33" t="e">
        <f>AND(Plan1!E558,"AAAAAGt936g=")</f>
        <v>#VALUE!</v>
      </c>
      <c r="FN33" t="e">
        <f>AND(Plan1!F558,"AAAAAGt936k=")</f>
        <v>#VALUE!</v>
      </c>
      <c r="FO33" t="e">
        <f>AND(Plan1!G558,"AAAAAGt936o=")</f>
        <v>#VALUE!</v>
      </c>
      <c r="FP33" t="e">
        <f>AND(Plan1!H558,"AAAAAGt936s=")</f>
        <v>#VALUE!</v>
      </c>
      <c r="FQ33" t="e">
        <f>AND(Plan1!I558,"AAAAAGt936w=")</f>
        <v>#VALUE!</v>
      </c>
      <c r="FR33" t="e">
        <f>AND(Plan1!J558,"AAAAAGt9360=")</f>
        <v>#VALUE!</v>
      </c>
      <c r="FS33" t="e">
        <f>AND(Plan1!K558,"AAAAAGt9364=")</f>
        <v>#VALUE!</v>
      </c>
      <c r="FT33" t="e">
        <f>AND(Plan1!L558,"AAAAAGt9368=")</f>
        <v>#VALUE!</v>
      </c>
      <c r="FU33" t="e">
        <f>AND(Plan1!M558,"AAAAAGt937A=")</f>
        <v>#VALUE!</v>
      </c>
      <c r="FV33" t="e">
        <f>AND(Plan1!N558,"AAAAAGt937E=")</f>
        <v>#VALUE!</v>
      </c>
      <c r="FW33">
        <f>IF(Plan1!559:559,"AAAAAGt937I=",0)</f>
        <v>0</v>
      </c>
      <c r="FX33" t="e">
        <f>AND(Plan1!A559,"AAAAAGt937M=")</f>
        <v>#VALUE!</v>
      </c>
      <c r="FY33" t="e">
        <f>AND(Plan1!B559,"AAAAAGt937Q=")</f>
        <v>#VALUE!</v>
      </c>
      <c r="FZ33" t="e">
        <f>AND(Plan1!C559,"AAAAAGt937U=")</f>
        <v>#VALUE!</v>
      </c>
      <c r="GA33" t="e">
        <f>AND(Plan1!D559,"AAAAAGt937Y=")</f>
        <v>#VALUE!</v>
      </c>
      <c r="GB33" t="e">
        <f>AND(Plan1!E559,"AAAAAGt937c=")</f>
        <v>#VALUE!</v>
      </c>
      <c r="GC33" t="e">
        <f>AND(Plan1!F559,"AAAAAGt937g=")</f>
        <v>#VALUE!</v>
      </c>
      <c r="GD33" t="e">
        <f>AND(Plan1!G559,"AAAAAGt937k=")</f>
        <v>#VALUE!</v>
      </c>
      <c r="GE33" t="e">
        <f>AND(Plan1!H559,"AAAAAGt937o=")</f>
        <v>#VALUE!</v>
      </c>
      <c r="GF33" t="e">
        <f>AND(Plan1!I559,"AAAAAGt937s=")</f>
        <v>#VALUE!</v>
      </c>
      <c r="GG33" t="e">
        <f>AND(Plan1!J559,"AAAAAGt937w=")</f>
        <v>#VALUE!</v>
      </c>
      <c r="GH33" t="e">
        <f>AND(Plan1!K559,"AAAAAGt9370=")</f>
        <v>#VALUE!</v>
      </c>
      <c r="GI33" t="e">
        <f>AND(Plan1!L559,"AAAAAGt9374=")</f>
        <v>#VALUE!</v>
      </c>
      <c r="GJ33" t="e">
        <f>AND(Plan1!M559,"AAAAAGt9378=")</f>
        <v>#VALUE!</v>
      </c>
      <c r="GK33" t="e">
        <f>AND(Plan1!N559,"AAAAAGt938A=")</f>
        <v>#VALUE!</v>
      </c>
      <c r="GL33">
        <f>IF(Plan1!560:560,"AAAAAGt938E=",0)</f>
        <v>0</v>
      </c>
      <c r="GM33" t="e">
        <f>AND(Plan1!A560,"AAAAAGt938I=")</f>
        <v>#VALUE!</v>
      </c>
      <c r="GN33" t="e">
        <f>AND(Plan1!B560,"AAAAAGt938M=")</f>
        <v>#VALUE!</v>
      </c>
      <c r="GO33" t="e">
        <f>AND(Plan1!C560,"AAAAAGt938Q=")</f>
        <v>#VALUE!</v>
      </c>
      <c r="GP33" t="e">
        <f>AND(Plan1!D560,"AAAAAGt938U=")</f>
        <v>#VALUE!</v>
      </c>
      <c r="GQ33" t="e">
        <f>AND(Plan1!E560,"AAAAAGt938Y=")</f>
        <v>#VALUE!</v>
      </c>
      <c r="GR33" t="e">
        <f>AND(Plan1!F560,"AAAAAGt938c=")</f>
        <v>#VALUE!</v>
      </c>
      <c r="GS33" t="e">
        <f>AND(Plan1!G560,"AAAAAGt938g=")</f>
        <v>#VALUE!</v>
      </c>
      <c r="GT33" t="e">
        <f>AND(Plan1!H560,"AAAAAGt938k=")</f>
        <v>#VALUE!</v>
      </c>
      <c r="GU33" t="e">
        <f>AND(Plan1!I560,"AAAAAGt938o=")</f>
        <v>#VALUE!</v>
      </c>
      <c r="GV33" t="e">
        <f>AND(Plan1!J560,"AAAAAGt938s=")</f>
        <v>#VALUE!</v>
      </c>
      <c r="GW33" t="e">
        <f>AND(Plan1!K560,"AAAAAGt938w=")</f>
        <v>#VALUE!</v>
      </c>
      <c r="GX33" t="e">
        <f>AND(Plan1!L560,"AAAAAGt9380=")</f>
        <v>#VALUE!</v>
      </c>
      <c r="GY33" t="e">
        <f>AND(Plan1!M560,"AAAAAGt9384=")</f>
        <v>#VALUE!</v>
      </c>
      <c r="GZ33" t="e">
        <f>AND(Plan1!N560,"AAAAAGt9388=")</f>
        <v>#VALUE!</v>
      </c>
      <c r="HA33">
        <f>IF(Plan1!561:561,"AAAAAGt939A=",0)</f>
        <v>0</v>
      </c>
      <c r="HB33" t="e">
        <f>AND(Plan1!A561,"AAAAAGt939E=")</f>
        <v>#VALUE!</v>
      </c>
      <c r="HC33" t="e">
        <f>AND(Plan1!B561,"AAAAAGt939I=")</f>
        <v>#VALUE!</v>
      </c>
      <c r="HD33" t="e">
        <f>AND(Plan1!C561,"AAAAAGt939M=")</f>
        <v>#VALUE!</v>
      </c>
      <c r="HE33" t="e">
        <f>AND(Plan1!D561,"AAAAAGt939Q=")</f>
        <v>#VALUE!</v>
      </c>
      <c r="HF33" t="e">
        <f>AND(Plan1!E561,"AAAAAGt939U=")</f>
        <v>#VALUE!</v>
      </c>
      <c r="HG33" t="e">
        <f>AND(Plan1!F561,"AAAAAGt939Y=")</f>
        <v>#VALUE!</v>
      </c>
      <c r="HH33" t="e">
        <f>AND(Plan1!G561,"AAAAAGt939c=")</f>
        <v>#VALUE!</v>
      </c>
      <c r="HI33" t="e">
        <f>AND(Plan1!H561,"AAAAAGt939g=")</f>
        <v>#VALUE!</v>
      </c>
      <c r="HJ33" t="e">
        <f>AND(Plan1!I561,"AAAAAGt939k=")</f>
        <v>#VALUE!</v>
      </c>
      <c r="HK33" t="e">
        <f>AND(Plan1!J561,"AAAAAGt939o=")</f>
        <v>#VALUE!</v>
      </c>
      <c r="HL33" t="e">
        <f>AND(Plan1!K561,"AAAAAGt939s=")</f>
        <v>#VALUE!</v>
      </c>
      <c r="HM33" t="e">
        <f>AND(Plan1!L561,"AAAAAGt939w=")</f>
        <v>#VALUE!</v>
      </c>
      <c r="HN33" t="e">
        <f>AND(Plan1!M561,"AAAAAGt9390=")</f>
        <v>#VALUE!</v>
      </c>
      <c r="HO33" t="e">
        <f>AND(Plan1!N561,"AAAAAGt9394=")</f>
        <v>#VALUE!</v>
      </c>
      <c r="HP33">
        <f>IF(Plan1!562:562,"AAAAAGt9398=",0)</f>
        <v>0</v>
      </c>
      <c r="HQ33" t="e">
        <f>AND(Plan1!A562,"AAAAAGt93+A=")</f>
        <v>#VALUE!</v>
      </c>
      <c r="HR33" t="e">
        <f>AND(Plan1!B562,"AAAAAGt93+E=")</f>
        <v>#VALUE!</v>
      </c>
      <c r="HS33" t="e">
        <f>AND(Plan1!C562,"AAAAAGt93+I=")</f>
        <v>#VALUE!</v>
      </c>
      <c r="HT33" t="e">
        <f>AND(Plan1!D562,"AAAAAGt93+M=")</f>
        <v>#VALUE!</v>
      </c>
      <c r="HU33" t="e">
        <f>AND(Plan1!E562,"AAAAAGt93+Q=")</f>
        <v>#VALUE!</v>
      </c>
      <c r="HV33" t="e">
        <f>AND(Plan1!F562,"AAAAAGt93+U=")</f>
        <v>#VALUE!</v>
      </c>
      <c r="HW33" t="e">
        <f>AND(Plan1!G562,"AAAAAGt93+Y=")</f>
        <v>#VALUE!</v>
      </c>
      <c r="HX33" t="e">
        <f>AND(Plan1!H562,"AAAAAGt93+c=")</f>
        <v>#VALUE!</v>
      </c>
      <c r="HY33" t="e">
        <f>AND(Plan1!I562,"AAAAAGt93+g=")</f>
        <v>#VALUE!</v>
      </c>
      <c r="HZ33" t="e">
        <f>AND(Plan1!J562,"AAAAAGt93+k=")</f>
        <v>#VALUE!</v>
      </c>
      <c r="IA33" t="e">
        <f>AND(Plan1!K562,"AAAAAGt93+o=")</f>
        <v>#VALUE!</v>
      </c>
      <c r="IB33" t="e">
        <f>AND(Plan1!L562,"AAAAAGt93+s=")</f>
        <v>#VALUE!</v>
      </c>
      <c r="IC33" t="e">
        <f>AND(Plan1!M562,"AAAAAGt93+w=")</f>
        <v>#VALUE!</v>
      </c>
      <c r="ID33" t="e">
        <f>AND(Plan1!N562,"AAAAAGt93+0=")</f>
        <v>#VALUE!</v>
      </c>
      <c r="IE33">
        <f>IF(Plan1!563:563,"AAAAAGt93+4=",0)</f>
        <v>0</v>
      </c>
      <c r="IF33" t="e">
        <f>AND(Plan1!A563,"AAAAAGt93+8=")</f>
        <v>#VALUE!</v>
      </c>
      <c r="IG33" t="e">
        <f>AND(Plan1!B563,"AAAAAGt93/A=")</f>
        <v>#VALUE!</v>
      </c>
      <c r="IH33" t="e">
        <f>AND(Plan1!C563,"AAAAAGt93/E=")</f>
        <v>#VALUE!</v>
      </c>
      <c r="II33" t="e">
        <f>AND(Plan1!D563,"AAAAAGt93/I=")</f>
        <v>#VALUE!</v>
      </c>
      <c r="IJ33" t="e">
        <f>AND(Plan1!E563,"AAAAAGt93/M=")</f>
        <v>#VALUE!</v>
      </c>
      <c r="IK33" t="e">
        <f>AND(Plan1!F563,"AAAAAGt93/Q=")</f>
        <v>#VALUE!</v>
      </c>
      <c r="IL33" t="e">
        <f>AND(Plan1!G563,"AAAAAGt93/U=")</f>
        <v>#VALUE!</v>
      </c>
      <c r="IM33" t="e">
        <f>AND(Plan1!H563,"AAAAAGt93/Y=")</f>
        <v>#VALUE!</v>
      </c>
      <c r="IN33" t="e">
        <f>AND(Plan1!I563,"AAAAAGt93/c=")</f>
        <v>#VALUE!</v>
      </c>
      <c r="IO33" t="e">
        <f>AND(Plan1!J563,"AAAAAGt93/g=")</f>
        <v>#VALUE!</v>
      </c>
      <c r="IP33" t="e">
        <f>AND(Plan1!K563,"AAAAAGt93/k=")</f>
        <v>#VALUE!</v>
      </c>
      <c r="IQ33" t="e">
        <f>AND(Plan1!L563,"AAAAAGt93/o=")</f>
        <v>#VALUE!</v>
      </c>
      <c r="IR33" t="e">
        <f>AND(Plan1!M563,"AAAAAGt93/s=")</f>
        <v>#VALUE!</v>
      </c>
      <c r="IS33" t="e">
        <f>AND(Plan1!N563,"AAAAAGt93/w=")</f>
        <v>#VALUE!</v>
      </c>
      <c r="IT33">
        <f>IF(Plan1!564:564,"AAAAAGt93/0=",0)</f>
        <v>0</v>
      </c>
      <c r="IU33" t="e">
        <f>AND(Plan1!A564,"AAAAAGt93/4=")</f>
        <v>#VALUE!</v>
      </c>
      <c r="IV33" t="e">
        <f>AND(Plan1!B564,"AAAAAGt93/8=")</f>
        <v>#VALUE!</v>
      </c>
    </row>
    <row r="34" spans="1:256">
      <c r="A34" t="e">
        <f>AND(Plan1!C564,"AAAAAB+/7gA=")</f>
        <v>#VALUE!</v>
      </c>
      <c r="B34" t="e">
        <f>AND(Plan1!D564,"AAAAAB+/7gE=")</f>
        <v>#VALUE!</v>
      </c>
      <c r="C34" t="e">
        <f>AND(Plan1!E564,"AAAAAB+/7gI=")</f>
        <v>#VALUE!</v>
      </c>
      <c r="D34" t="e">
        <f>AND(Plan1!F564,"AAAAAB+/7gM=")</f>
        <v>#VALUE!</v>
      </c>
      <c r="E34" t="e">
        <f>AND(Plan1!G564,"AAAAAB+/7gQ=")</f>
        <v>#VALUE!</v>
      </c>
      <c r="F34" t="e">
        <f>AND(Plan1!H564,"AAAAAB+/7gU=")</f>
        <v>#VALUE!</v>
      </c>
      <c r="G34" t="e">
        <f>AND(Plan1!I564,"AAAAAB+/7gY=")</f>
        <v>#VALUE!</v>
      </c>
      <c r="H34" t="e">
        <f>AND(Plan1!J564,"AAAAAB+/7gc=")</f>
        <v>#VALUE!</v>
      </c>
      <c r="I34" t="e">
        <f>AND(Plan1!K564,"AAAAAB+/7gg=")</f>
        <v>#VALUE!</v>
      </c>
      <c r="J34" t="e">
        <f>AND(Plan1!L564,"AAAAAB+/7gk=")</f>
        <v>#VALUE!</v>
      </c>
      <c r="K34" t="e">
        <f>AND(Plan1!M564,"AAAAAB+/7go=")</f>
        <v>#VALUE!</v>
      </c>
      <c r="L34" t="e">
        <f>AND(Plan1!N564,"AAAAAB+/7gs=")</f>
        <v>#VALUE!</v>
      </c>
      <c r="M34" t="e">
        <f>IF(Plan1!565:565,"AAAAAB+/7gw=",0)</f>
        <v>#VALUE!</v>
      </c>
      <c r="N34" t="e">
        <f>AND(Plan1!A565,"AAAAAB+/7g0=")</f>
        <v>#VALUE!</v>
      </c>
      <c r="O34" t="e">
        <f>AND(Plan1!B565,"AAAAAB+/7g4=")</f>
        <v>#VALUE!</v>
      </c>
      <c r="P34" t="e">
        <f>AND(Plan1!C565,"AAAAAB+/7g8=")</f>
        <v>#VALUE!</v>
      </c>
      <c r="Q34" t="e">
        <f>AND(Plan1!D565,"AAAAAB+/7hA=")</f>
        <v>#VALUE!</v>
      </c>
      <c r="R34" t="e">
        <f>AND(Plan1!E565,"AAAAAB+/7hE=")</f>
        <v>#VALUE!</v>
      </c>
      <c r="S34" t="e">
        <f>AND(Plan1!F565,"AAAAAB+/7hI=")</f>
        <v>#VALUE!</v>
      </c>
      <c r="T34" t="e">
        <f>AND(Plan1!G565,"AAAAAB+/7hM=")</f>
        <v>#VALUE!</v>
      </c>
      <c r="U34" t="e">
        <f>AND(Plan1!H565,"AAAAAB+/7hQ=")</f>
        <v>#VALUE!</v>
      </c>
      <c r="V34" t="e">
        <f>AND(Plan1!I565,"AAAAAB+/7hU=")</f>
        <v>#VALUE!</v>
      </c>
      <c r="W34" t="e">
        <f>AND(Plan1!J565,"AAAAAB+/7hY=")</f>
        <v>#VALUE!</v>
      </c>
      <c r="X34" t="e">
        <f>AND(Plan1!K565,"AAAAAB+/7hc=")</f>
        <v>#VALUE!</v>
      </c>
      <c r="Y34" t="e">
        <f>AND(Plan1!L565,"AAAAAB+/7hg=")</f>
        <v>#VALUE!</v>
      </c>
      <c r="Z34" t="e">
        <f>AND(Plan1!M565,"AAAAAB+/7hk=")</f>
        <v>#VALUE!</v>
      </c>
      <c r="AA34" t="e">
        <f>AND(Plan1!N565,"AAAAAB+/7ho=")</f>
        <v>#VALUE!</v>
      </c>
      <c r="AB34">
        <f>IF(Plan1!566:566,"AAAAAB+/7hs=",0)</f>
        <v>0</v>
      </c>
      <c r="AC34" t="e">
        <f>AND(Plan1!A566,"AAAAAB+/7hw=")</f>
        <v>#VALUE!</v>
      </c>
      <c r="AD34" t="e">
        <f>AND(Plan1!B566,"AAAAAB+/7h0=")</f>
        <v>#VALUE!</v>
      </c>
      <c r="AE34" t="e">
        <f>AND(Plan1!C566,"AAAAAB+/7h4=")</f>
        <v>#VALUE!</v>
      </c>
      <c r="AF34" t="e">
        <f>AND(Plan1!D566,"AAAAAB+/7h8=")</f>
        <v>#VALUE!</v>
      </c>
      <c r="AG34" t="e">
        <f>AND(Plan1!E566,"AAAAAB+/7iA=")</f>
        <v>#VALUE!</v>
      </c>
      <c r="AH34" t="e">
        <f>AND(Plan1!F566,"AAAAAB+/7iE=")</f>
        <v>#VALUE!</v>
      </c>
      <c r="AI34" t="e">
        <f>AND(Plan1!G566,"AAAAAB+/7iI=")</f>
        <v>#VALUE!</v>
      </c>
      <c r="AJ34" t="e">
        <f>AND(Plan1!H566,"AAAAAB+/7iM=")</f>
        <v>#VALUE!</v>
      </c>
      <c r="AK34" t="e">
        <f>AND(Plan1!I566,"AAAAAB+/7iQ=")</f>
        <v>#VALUE!</v>
      </c>
      <c r="AL34" t="e">
        <f>AND(Plan1!J566,"AAAAAB+/7iU=")</f>
        <v>#VALUE!</v>
      </c>
      <c r="AM34" t="e">
        <f>AND(Plan1!K566,"AAAAAB+/7iY=")</f>
        <v>#VALUE!</v>
      </c>
      <c r="AN34" t="e">
        <f>AND(Plan1!L566,"AAAAAB+/7ic=")</f>
        <v>#VALUE!</v>
      </c>
      <c r="AO34" t="e">
        <f>AND(Plan1!M566,"AAAAAB+/7ig=")</f>
        <v>#VALUE!</v>
      </c>
      <c r="AP34" t="e">
        <f>AND(Plan1!N566,"AAAAAB+/7ik=")</f>
        <v>#VALUE!</v>
      </c>
      <c r="AQ34">
        <f>IF(Plan1!567:567,"AAAAAB+/7io=",0)</f>
        <v>0</v>
      </c>
      <c r="AR34" t="e">
        <f>AND(Plan1!A567,"AAAAAB+/7is=")</f>
        <v>#VALUE!</v>
      </c>
      <c r="AS34" t="e">
        <f>AND(Plan1!B567,"AAAAAB+/7iw=")</f>
        <v>#VALUE!</v>
      </c>
      <c r="AT34" t="e">
        <f>AND(Plan1!C567,"AAAAAB+/7i0=")</f>
        <v>#VALUE!</v>
      </c>
      <c r="AU34" t="e">
        <f>AND(Plan1!D567,"AAAAAB+/7i4=")</f>
        <v>#VALUE!</v>
      </c>
      <c r="AV34" t="e">
        <f>AND(Plan1!E567,"AAAAAB+/7i8=")</f>
        <v>#VALUE!</v>
      </c>
      <c r="AW34" t="e">
        <f>AND(Plan1!F567,"AAAAAB+/7jA=")</f>
        <v>#VALUE!</v>
      </c>
      <c r="AX34" t="e">
        <f>AND(Plan1!G567,"AAAAAB+/7jE=")</f>
        <v>#VALUE!</v>
      </c>
      <c r="AY34" t="e">
        <f>AND(Plan1!H567,"AAAAAB+/7jI=")</f>
        <v>#VALUE!</v>
      </c>
      <c r="AZ34" t="e">
        <f>AND(Plan1!I567,"AAAAAB+/7jM=")</f>
        <v>#VALUE!</v>
      </c>
      <c r="BA34" t="e">
        <f>AND(Plan1!J567,"AAAAAB+/7jQ=")</f>
        <v>#VALUE!</v>
      </c>
      <c r="BB34" t="e">
        <f>AND(Plan1!K567,"AAAAAB+/7jU=")</f>
        <v>#VALUE!</v>
      </c>
      <c r="BC34" t="e">
        <f>AND(Plan1!L567,"AAAAAB+/7jY=")</f>
        <v>#VALUE!</v>
      </c>
      <c r="BD34" t="e">
        <f>AND(Plan1!M567,"AAAAAB+/7jc=")</f>
        <v>#VALUE!</v>
      </c>
      <c r="BE34" t="e">
        <f>AND(Plan1!N567,"AAAAAB+/7jg=")</f>
        <v>#VALUE!</v>
      </c>
      <c r="BF34">
        <f>IF(Plan1!568:568,"AAAAAB+/7jk=",0)</f>
        <v>0</v>
      </c>
      <c r="BG34" t="e">
        <f>AND(Plan1!A568,"AAAAAB+/7jo=")</f>
        <v>#VALUE!</v>
      </c>
      <c r="BH34" t="e">
        <f>AND(Plan1!B568,"AAAAAB+/7js=")</f>
        <v>#VALUE!</v>
      </c>
      <c r="BI34" t="e">
        <f>AND(Plan1!C568,"AAAAAB+/7jw=")</f>
        <v>#VALUE!</v>
      </c>
      <c r="BJ34" t="e">
        <f>AND(Plan1!D568,"AAAAAB+/7j0=")</f>
        <v>#VALUE!</v>
      </c>
      <c r="BK34" t="e">
        <f>AND(Plan1!E568,"AAAAAB+/7j4=")</f>
        <v>#VALUE!</v>
      </c>
      <c r="BL34" t="e">
        <f>AND(Plan1!F568,"AAAAAB+/7j8=")</f>
        <v>#VALUE!</v>
      </c>
      <c r="BM34" t="e">
        <f>AND(Plan1!G568,"AAAAAB+/7kA=")</f>
        <v>#VALUE!</v>
      </c>
      <c r="BN34" t="e">
        <f>AND(Plan1!H568,"AAAAAB+/7kE=")</f>
        <v>#VALUE!</v>
      </c>
      <c r="BO34" t="e">
        <f>AND(Plan1!I568,"AAAAAB+/7kI=")</f>
        <v>#VALUE!</v>
      </c>
      <c r="BP34" t="e">
        <f>AND(Plan1!J568,"AAAAAB+/7kM=")</f>
        <v>#VALUE!</v>
      </c>
      <c r="BQ34" t="e">
        <f>AND(Plan1!K568,"AAAAAB+/7kQ=")</f>
        <v>#VALUE!</v>
      </c>
      <c r="BR34" t="e">
        <f>AND(Plan1!L568,"AAAAAB+/7kU=")</f>
        <v>#VALUE!</v>
      </c>
      <c r="BS34" t="e">
        <f>AND(Plan1!M568,"AAAAAB+/7kY=")</f>
        <v>#VALUE!</v>
      </c>
      <c r="BT34" t="e">
        <f>AND(Plan1!N568,"AAAAAB+/7kc=")</f>
        <v>#VALUE!</v>
      </c>
      <c r="BU34">
        <f>IF(Plan1!569:569,"AAAAAB+/7kg=",0)</f>
        <v>0</v>
      </c>
      <c r="BV34" t="e">
        <f>AND(Plan1!A569,"AAAAAB+/7kk=")</f>
        <v>#VALUE!</v>
      </c>
      <c r="BW34" t="e">
        <f>AND(Plan1!B569,"AAAAAB+/7ko=")</f>
        <v>#VALUE!</v>
      </c>
      <c r="BX34" t="e">
        <f>AND(Plan1!C569,"AAAAAB+/7ks=")</f>
        <v>#VALUE!</v>
      </c>
      <c r="BY34" t="e">
        <f>AND(Plan1!D569,"AAAAAB+/7kw=")</f>
        <v>#VALUE!</v>
      </c>
      <c r="BZ34" t="e">
        <f>AND(Plan1!E569,"AAAAAB+/7k0=")</f>
        <v>#VALUE!</v>
      </c>
      <c r="CA34" t="e">
        <f>AND(Plan1!F569,"AAAAAB+/7k4=")</f>
        <v>#VALUE!</v>
      </c>
      <c r="CB34" t="e">
        <f>AND(Plan1!G569,"AAAAAB+/7k8=")</f>
        <v>#VALUE!</v>
      </c>
      <c r="CC34" t="e">
        <f>AND(Plan1!H569,"AAAAAB+/7lA=")</f>
        <v>#VALUE!</v>
      </c>
      <c r="CD34" t="e">
        <f>AND(Plan1!I569,"AAAAAB+/7lE=")</f>
        <v>#VALUE!</v>
      </c>
      <c r="CE34" t="e">
        <f>AND(Plan1!J569,"AAAAAB+/7lI=")</f>
        <v>#VALUE!</v>
      </c>
      <c r="CF34" t="e">
        <f>AND(Plan1!K569,"AAAAAB+/7lM=")</f>
        <v>#VALUE!</v>
      </c>
      <c r="CG34" t="e">
        <f>AND(Plan1!L569,"AAAAAB+/7lQ=")</f>
        <v>#VALUE!</v>
      </c>
      <c r="CH34" t="e">
        <f>AND(Plan1!M569,"AAAAAB+/7lU=")</f>
        <v>#VALUE!</v>
      </c>
      <c r="CI34" t="e">
        <f>AND(Plan1!N569,"AAAAAB+/7lY=")</f>
        <v>#VALUE!</v>
      </c>
      <c r="CJ34">
        <f>IF(Plan1!570:570,"AAAAAB+/7lc=",0)</f>
        <v>0</v>
      </c>
      <c r="CK34" t="e">
        <f>AND(Plan1!A570,"AAAAAB+/7lg=")</f>
        <v>#VALUE!</v>
      </c>
      <c r="CL34" t="e">
        <f>AND(Plan1!B570,"AAAAAB+/7lk=")</f>
        <v>#VALUE!</v>
      </c>
      <c r="CM34" t="e">
        <f>AND(Plan1!C570,"AAAAAB+/7lo=")</f>
        <v>#VALUE!</v>
      </c>
      <c r="CN34" t="e">
        <f>AND(Plan1!D570,"AAAAAB+/7ls=")</f>
        <v>#VALUE!</v>
      </c>
      <c r="CO34" t="e">
        <f>AND(Plan1!E570,"AAAAAB+/7lw=")</f>
        <v>#VALUE!</v>
      </c>
      <c r="CP34" t="e">
        <f>AND(Plan1!F570,"AAAAAB+/7l0=")</f>
        <v>#VALUE!</v>
      </c>
      <c r="CQ34" t="e">
        <f>AND(Plan1!G570,"AAAAAB+/7l4=")</f>
        <v>#VALUE!</v>
      </c>
      <c r="CR34" t="e">
        <f>AND(Plan1!H570,"AAAAAB+/7l8=")</f>
        <v>#VALUE!</v>
      </c>
      <c r="CS34" t="e">
        <f>AND(Plan1!I570,"AAAAAB+/7mA=")</f>
        <v>#VALUE!</v>
      </c>
      <c r="CT34" t="e">
        <f>AND(Plan1!J570,"AAAAAB+/7mE=")</f>
        <v>#VALUE!</v>
      </c>
      <c r="CU34" t="e">
        <f>AND(Plan1!K570,"AAAAAB+/7mI=")</f>
        <v>#VALUE!</v>
      </c>
      <c r="CV34" t="e">
        <f>AND(Plan1!L570,"AAAAAB+/7mM=")</f>
        <v>#VALUE!</v>
      </c>
      <c r="CW34" t="e">
        <f>AND(Plan1!M570,"AAAAAB+/7mQ=")</f>
        <v>#VALUE!</v>
      </c>
      <c r="CX34" t="e">
        <f>AND(Plan1!N570,"AAAAAB+/7mU=")</f>
        <v>#VALUE!</v>
      </c>
      <c r="CY34">
        <f>IF(Plan1!571:571,"AAAAAB+/7mY=",0)</f>
        <v>0</v>
      </c>
      <c r="CZ34" t="e">
        <f>AND(Plan1!A571,"AAAAAB+/7mc=")</f>
        <v>#VALUE!</v>
      </c>
      <c r="DA34" t="e">
        <f>AND(Plan1!B571,"AAAAAB+/7mg=")</f>
        <v>#VALUE!</v>
      </c>
      <c r="DB34" t="e">
        <f>AND(Plan1!C571,"AAAAAB+/7mk=")</f>
        <v>#VALUE!</v>
      </c>
      <c r="DC34" t="e">
        <f>AND(Plan1!D571,"AAAAAB+/7mo=")</f>
        <v>#VALUE!</v>
      </c>
      <c r="DD34" t="e">
        <f>AND(Plan1!E571,"AAAAAB+/7ms=")</f>
        <v>#VALUE!</v>
      </c>
      <c r="DE34" t="e">
        <f>AND(Plan1!F571,"AAAAAB+/7mw=")</f>
        <v>#VALUE!</v>
      </c>
      <c r="DF34" t="e">
        <f>AND(Plan1!G571,"AAAAAB+/7m0=")</f>
        <v>#VALUE!</v>
      </c>
      <c r="DG34" t="e">
        <f>AND(Plan1!H571,"AAAAAB+/7m4=")</f>
        <v>#VALUE!</v>
      </c>
      <c r="DH34" t="e">
        <f>AND(Plan1!I571,"AAAAAB+/7m8=")</f>
        <v>#VALUE!</v>
      </c>
      <c r="DI34" t="e">
        <f>AND(Plan1!J571,"AAAAAB+/7nA=")</f>
        <v>#VALUE!</v>
      </c>
      <c r="DJ34" t="e">
        <f>AND(Plan1!K571,"AAAAAB+/7nE=")</f>
        <v>#VALUE!</v>
      </c>
      <c r="DK34" t="e">
        <f>AND(Plan1!L571,"AAAAAB+/7nI=")</f>
        <v>#VALUE!</v>
      </c>
      <c r="DL34" t="e">
        <f>AND(Plan1!M571,"AAAAAB+/7nM=")</f>
        <v>#VALUE!</v>
      </c>
      <c r="DM34" t="e">
        <f>AND(Plan1!N571,"AAAAAB+/7nQ=")</f>
        <v>#VALUE!</v>
      </c>
      <c r="DN34">
        <f>IF(Plan1!572:572,"AAAAAB+/7nU=",0)</f>
        <v>0</v>
      </c>
      <c r="DO34" t="e">
        <f>AND(Plan1!A572,"AAAAAB+/7nY=")</f>
        <v>#VALUE!</v>
      </c>
      <c r="DP34" t="e">
        <f>AND(Plan1!B572,"AAAAAB+/7nc=")</f>
        <v>#VALUE!</v>
      </c>
      <c r="DQ34" t="e">
        <f>AND(Plan1!C572,"AAAAAB+/7ng=")</f>
        <v>#VALUE!</v>
      </c>
      <c r="DR34" t="e">
        <f>AND(Plan1!D572,"AAAAAB+/7nk=")</f>
        <v>#VALUE!</v>
      </c>
      <c r="DS34" t="e">
        <f>AND(Plan1!E572,"AAAAAB+/7no=")</f>
        <v>#VALUE!</v>
      </c>
      <c r="DT34" t="e">
        <f>AND(Plan1!F572,"AAAAAB+/7ns=")</f>
        <v>#VALUE!</v>
      </c>
      <c r="DU34" t="e">
        <f>AND(Plan1!G572,"AAAAAB+/7nw=")</f>
        <v>#VALUE!</v>
      </c>
      <c r="DV34" t="e">
        <f>AND(Plan1!H572,"AAAAAB+/7n0=")</f>
        <v>#VALUE!</v>
      </c>
      <c r="DW34" t="e">
        <f>AND(Plan1!I572,"AAAAAB+/7n4=")</f>
        <v>#VALUE!</v>
      </c>
      <c r="DX34" t="e">
        <f>AND(Plan1!J572,"AAAAAB+/7n8=")</f>
        <v>#VALUE!</v>
      </c>
      <c r="DY34" t="e">
        <f>AND(Plan1!K572,"AAAAAB+/7oA=")</f>
        <v>#VALUE!</v>
      </c>
      <c r="DZ34" t="e">
        <f>AND(Plan1!L572,"AAAAAB+/7oE=")</f>
        <v>#VALUE!</v>
      </c>
      <c r="EA34" t="e">
        <f>AND(Plan1!M572,"AAAAAB+/7oI=")</f>
        <v>#VALUE!</v>
      </c>
      <c r="EB34" t="e">
        <f>AND(Plan1!N572,"AAAAAB+/7oM=")</f>
        <v>#VALUE!</v>
      </c>
      <c r="EC34">
        <f>IF(Plan1!573:573,"AAAAAB+/7oQ=",0)</f>
        <v>0</v>
      </c>
      <c r="ED34" t="e">
        <f>AND(Plan1!A573,"AAAAAB+/7oU=")</f>
        <v>#VALUE!</v>
      </c>
      <c r="EE34" t="e">
        <f>AND(Plan1!B573,"AAAAAB+/7oY=")</f>
        <v>#VALUE!</v>
      </c>
      <c r="EF34" t="e">
        <f>AND(Plan1!C573,"AAAAAB+/7oc=")</f>
        <v>#VALUE!</v>
      </c>
      <c r="EG34" t="e">
        <f>AND(Plan1!D573,"AAAAAB+/7og=")</f>
        <v>#VALUE!</v>
      </c>
      <c r="EH34" t="e">
        <f>AND(Plan1!E573,"AAAAAB+/7ok=")</f>
        <v>#VALUE!</v>
      </c>
      <c r="EI34" t="e">
        <f>AND(Plan1!F573,"AAAAAB+/7oo=")</f>
        <v>#VALUE!</v>
      </c>
      <c r="EJ34" t="e">
        <f>AND(Plan1!G573,"AAAAAB+/7os=")</f>
        <v>#VALUE!</v>
      </c>
      <c r="EK34" t="e">
        <f>AND(Plan1!H573,"AAAAAB+/7ow=")</f>
        <v>#VALUE!</v>
      </c>
      <c r="EL34" t="e">
        <f>AND(Plan1!I573,"AAAAAB+/7o0=")</f>
        <v>#VALUE!</v>
      </c>
      <c r="EM34" t="e">
        <f>AND(Plan1!J573,"AAAAAB+/7o4=")</f>
        <v>#VALUE!</v>
      </c>
      <c r="EN34" t="e">
        <f>AND(Plan1!K573,"AAAAAB+/7o8=")</f>
        <v>#VALUE!</v>
      </c>
      <c r="EO34" t="e">
        <f>AND(Plan1!L573,"AAAAAB+/7pA=")</f>
        <v>#VALUE!</v>
      </c>
      <c r="EP34" t="e">
        <f>AND(Plan1!M573,"AAAAAB+/7pE=")</f>
        <v>#VALUE!</v>
      </c>
      <c r="EQ34" t="e">
        <f>AND(Plan1!N573,"AAAAAB+/7pI=")</f>
        <v>#VALUE!</v>
      </c>
      <c r="ER34">
        <f>IF(Plan1!574:574,"AAAAAB+/7pM=",0)</f>
        <v>0</v>
      </c>
      <c r="ES34" t="e">
        <f>AND(Plan1!A574,"AAAAAB+/7pQ=")</f>
        <v>#VALUE!</v>
      </c>
      <c r="ET34" t="e">
        <f>AND(Plan1!B574,"AAAAAB+/7pU=")</f>
        <v>#VALUE!</v>
      </c>
      <c r="EU34" t="e">
        <f>AND(Plan1!C574,"AAAAAB+/7pY=")</f>
        <v>#VALUE!</v>
      </c>
      <c r="EV34" t="e">
        <f>AND(Plan1!D574,"AAAAAB+/7pc=")</f>
        <v>#VALUE!</v>
      </c>
      <c r="EW34" t="e">
        <f>AND(Plan1!E574,"AAAAAB+/7pg=")</f>
        <v>#VALUE!</v>
      </c>
      <c r="EX34" t="e">
        <f>AND(Plan1!F574,"AAAAAB+/7pk=")</f>
        <v>#VALUE!</v>
      </c>
      <c r="EY34" t="e">
        <f>AND(Plan1!G574,"AAAAAB+/7po=")</f>
        <v>#VALUE!</v>
      </c>
      <c r="EZ34" t="e">
        <f>AND(Plan1!H574,"AAAAAB+/7ps=")</f>
        <v>#VALUE!</v>
      </c>
      <c r="FA34" t="e">
        <f>AND(Plan1!I574,"AAAAAB+/7pw=")</f>
        <v>#VALUE!</v>
      </c>
      <c r="FB34" t="e">
        <f>AND(Plan1!J574,"AAAAAB+/7p0=")</f>
        <v>#VALUE!</v>
      </c>
      <c r="FC34" t="e">
        <f>AND(Plan1!K574,"AAAAAB+/7p4=")</f>
        <v>#VALUE!</v>
      </c>
      <c r="FD34" t="e">
        <f>AND(Plan1!L574,"AAAAAB+/7p8=")</f>
        <v>#VALUE!</v>
      </c>
      <c r="FE34" t="e">
        <f>AND(Plan1!M574,"AAAAAB+/7qA=")</f>
        <v>#VALUE!</v>
      </c>
      <c r="FF34" t="e">
        <f>AND(Plan1!N574,"AAAAAB+/7qE=")</f>
        <v>#VALUE!</v>
      </c>
      <c r="FG34">
        <f>IF(Plan1!575:575,"AAAAAB+/7qI=",0)</f>
        <v>0</v>
      </c>
      <c r="FH34" t="e">
        <f>AND(Plan1!A575,"AAAAAB+/7qM=")</f>
        <v>#VALUE!</v>
      </c>
      <c r="FI34" t="e">
        <f>AND(Plan1!B575,"AAAAAB+/7qQ=")</f>
        <v>#VALUE!</v>
      </c>
      <c r="FJ34" t="e">
        <f>AND(Plan1!C575,"AAAAAB+/7qU=")</f>
        <v>#VALUE!</v>
      </c>
      <c r="FK34" t="e">
        <f>AND(Plan1!D575,"AAAAAB+/7qY=")</f>
        <v>#VALUE!</v>
      </c>
      <c r="FL34" t="e">
        <f>AND(Plan1!E575,"AAAAAB+/7qc=")</f>
        <v>#VALUE!</v>
      </c>
      <c r="FM34" t="e">
        <f>AND(Plan1!F575,"AAAAAB+/7qg=")</f>
        <v>#VALUE!</v>
      </c>
      <c r="FN34" t="e">
        <f>AND(Plan1!G575,"AAAAAB+/7qk=")</f>
        <v>#VALUE!</v>
      </c>
      <c r="FO34" t="e">
        <f>AND(Plan1!H575,"AAAAAB+/7qo=")</f>
        <v>#VALUE!</v>
      </c>
      <c r="FP34" t="e">
        <f>AND(Plan1!I575,"AAAAAB+/7qs=")</f>
        <v>#VALUE!</v>
      </c>
      <c r="FQ34" t="e">
        <f>AND(Plan1!J575,"AAAAAB+/7qw=")</f>
        <v>#VALUE!</v>
      </c>
      <c r="FR34" t="e">
        <f>AND(Plan1!K575,"AAAAAB+/7q0=")</f>
        <v>#VALUE!</v>
      </c>
      <c r="FS34" t="e">
        <f>AND(Plan1!L575,"AAAAAB+/7q4=")</f>
        <v>#VALUE!</v>
      </c>
      <c r="FT34" t="e">
        <f>AND(Plan1!M575,"AAAAAB+/7q8=")</f>
        <v>#VALUE!</v>
      </c>
      <c r="FU34" t="e">
        <f>AND(Plan1!N575,"AAAAAB+/7rA=")</f>
        <v>#VALUE!</v>
      </c>
      <c r="FV34">
        <f>IF(Plan1!576:576,"AAAAAB+/7rE=",0)</f>
        <v>0</v>
      </c>
      <c r="FW34" t="e">
        <f>AND(Plan1!A576,"AAAAAB+/7rI=")</f>
        <v>#VALUE!</v>
      </c>
      <c r="FX34" t="e">
        <f>AND(Plan1!B576,"AAAAAB+/7rM=")</f>
        <v>#VALUE!</v>
      </c>
      <c r="FY34" t="e">
        <f>AND(Plan1!C576,"AAAAAB+/7rQ=")</f>
        <v>#VALUE!</v>
      </c>
      <c r="FZ34" t="e">
        <f>AND(Plan1!D576,"AAAAAB+/7rU=")</f>
        <v>#VALUE!</v>
      </c>
      <c r="GA34" t="e">
        <f>AND(Plan1!E576,"AAAAAB+/7rY=")</f>
        <v>#VALUE!</v>
      </c>
      <c r="GB34" t="e">
        <f>AND(Plan1!F576,"AAAAAB+/7rc=")</f>
        <v>#VALUE!</v>
      </c>
      <c r="GC34" t="e">
        <f>AND(Plan1!G576,"AAAAAB+/7rg=")</f>
        <v>#VALUE!</v>
      </c>
      <c r="GD34" t="e">
        <f>AND(Plan1!H576,"AAAAAB+/7rk=")</f>
        <v>#VALUE!</v>
      </c>
      <c r="GE34" t="e">
        <f>AND(Plan1!I576,"AAAAAB+/7ro=")</f>
        <v>#VALUE!</v>
      </c>
      <c r="GF34" t="e">
        <f>AND(Plan1!J576,"AAAAAB+/7rs=")</f>
        <v>#VALUE!</v>
      </c>
      <c r="GG34" t="e">
        <f>AND(Plan1!K576,"AAAAAB+/7rw=")</f>
        <v>#VALUE!</v>
      </c>
      <c r="GH34" t="e">
        <f>AND(Plan1!L576,"AAAAAB+/7r0=")</f>
        <v>#VALUE!</v>
      </c>
      <c r="GI34" t="e">
        <f>AND(Plan1!M576,"AAAAAB+/7r4=")</f>
        <v>#VALUE!</v>
      </c>
      <c r="GJ34" t="e">
        <f>AND(Plan1!N576,"AAAAAB+/7r8=")</f>
        <v>#VALUE!</v>
      </c>
      <c r="GK34">
        <f>IF(Plan1!577:577,"AAAAAB+/7sA=",0)</f>
        <v>0</v>
      </c>
      <c r="GL34" t="e">
        <f>AND(Plan1!A577,"AAAAAB+/7sE=")</f>
        <v>#VALUE!</v>
      </c>
      <c r="GM34" t="e">
        <f>AND(Plan1!B577,"AAAAAB+/7sI=")</f>
        <v>#VALUE!</v>
      </c>
      <c r="GN34" t="e">
        <f>AND(Plan1!C577,"AAAAAB+/7sM=")</f>
        <v>#VALUE!</v>
      </c>
      <c r="GO34" t="e">
        <f>AND(Plan1!D577,"AAAAAB+/7sQ=")</f>
        <v>#VALUE!</v>
      </c>
      <c r="GP34" t="e">
        <f>AND(Plan1!E577,"AAAAAB+/7sU=")</f>
        <v>#VALUE!</v>
      </c>
      <c r="GQ34" t="e">
        <f>AND(Plan1!F577,"AAAAAB+/7sY=")</f>
        <v>#VALUE!</v>
      </c>
      <c r="GR34" t="e">
        <f>AND(Plan1!G577,"AAAAAB+/7sc=")</f>
        <v>#VALUE!</v>
      </c>
      <c r="GS34" t="e">
        <f>AND(Plan1!H577,"AAAAAB+/7sg=")</f>
        <v>#VALUE!</v>
      </c>
      <c r="GT34" t="e">
        <f>AND(Plan1!I577,"AAAAAB+/7sk=")</f>
        <v>#VALUE!</v>
      </c>
      <c r="GU34" t="e">
        <f>AND(Plan1!J577,"AAAAAB+/7so=")</f>
        <v>#VALUE!</v>
      </c>
      <c r="GV34" t="e">
        <f>AND(Plan1!K577,"AAAAAB+/7ss=")</f>
        <v>#VALUE!</v>
      </c>
      <c r="GW34" t="e">
        <f>AND(Plan1!L577,"AAAAAB+/7sw=")</f>
        <v>#VALUE!</v>
      </c>
      <c r="GX34" t="e">
        <f>AND(Plan1!M577,"AAAAAB+/7s0=")</f>
        <v>#VALUE!</v>
      </c>
      <c r="GY34" t="e">
        <f>AND(Plan1!N577,"AAAAAB+/7s4=")</f>
        <v>#VALUE!</v>
      </c>
      <c r="GZ34">
        <f>IF(Plan1!578:578,"AAAAAB+/7s8=",0)</f>
        <v>0</v>
      </c>
      <c r="HA34" t="e">
        <f>AND(Plan1!A578,"AAAAAB+/7tA=")</f>
        <v>#VALUE!</v>
      </c>
      <c r="HB34" t="e">
        <f>AND(Plan1!B578,"AAAAAB+/7tE=")</f>
        <v>#VALUE!</v>
      </c>
      <c r="HC34" t="e">
        <f>AND(Plan1!C578,"AAAAAB+/7tI=")</f>
        <v>#VALUE!</v>
      </c>
      <c r="HD34" t="e">
        <f>AND(Plan1!D578,"AAAAAB+/7tM=")</f>
        <v>#VALUE!</v>
      </c>
      <c r="HE34" t="e">
        <f>AND(Plan1!E578,"AAAAAB+/7tQ=")</f>
        <v>#VALUE!</v>
      </c>
      <c r="HF34" t="e">
        <f>AND(Plan1!F578,"AAAAAB+/7tU=")</f>
        <v>#VALUE!</v>
      </c>
      <c r="HG34" t="e">
        <f>AND(Plan1!G578,"AAAAAB+/7tY=")</f>
        <v>#VALUE!</v>
      </c>
      <c r="HH34" t="e">
        <f>AND(Plan1!H578,"AAAAAB+/7tc=")</f>
        <v>#VALUE!</v>
      </c>
      <c r="HI34" t="e">
        <f>AND(Plan1!I578,"AAAAAB+/7tg=")</f>
        <v>#VALUE!</v>
      </c>
      <c r="HJ34" t="e">
        <f>AND(Plan1!J578,"AAAAAB+/7tk=")</f>
        <v>#VALUE!</v>
      </c>
      <c r="HK34" t="e">
        <f>AND(Plan1!K578,"AAAAAB+/7to=")</f>
        <v>#VALUE!</v>
      </c>
      <c r="HL34" t="e">
        <f>AND(Plan1!L578,"AAAAAB+/7ts=")</f>
        <v>#VALUE!</v>
      </c>
      <c r="HM34" t="e">
        <f>AND(Plan1!M578,"AAAAAB+/7tw=")</f>
        <v>#VALUE!</v>
      </c>
      <c r="HN34" t="e">
        <f>AND(Plan1!N578,"AAAAAB+/7t0=")</f>
        <v>#VALUE!</v>
      </c>
      <c r="HO34">
        <f>IF(Plan1!579:579,"AAAAAB+/7t4=",0)</f>
        <v>0</v>
      </c>
      <c r="HP34" t="e">
        <f>AND(Plan1!A579,"AAAAAB+/7t8=")</f>
        <v>#VALUE!</v>
      </c>
      <c r="HQ34" t="e">
        <f>AND(Plan1!B579,"AAAAAB+/7uA=")</f>
        <v>#VALUE!</v>
      </c>
      <c r="HR34" t="e">
        <f>AND(Plan1!C579,"AAAAAB+/7uE=")</f>
        <v>#VALUE!</v>
      </c>
      <c r="HS34" t="e">
        <f>AND(Plan1!D579,"AAAAAB+/7uI=")</f>
        <v>#VALUE!</v>
      </c>
      <c r="HT34" t="e">
        <f>AND(Plan1!E579,"AAAAAB+/7uM=")</f>
        <v>#VALUE!</v>
      </c>
      <c r="HU34" t="e">
        <f>AND(Plan1!F579,"AAAAAB+/7uQ=")</f>
        <v>#VALUE!</v>
      </c>
      <c r="HV34" t="e">
        <f>AND(Plan1!G579,"AAAAAB+/7uU=")</f>
        <v>#VALUE!</v>
      </c>
      <c r="HW34" t="e">
        <f>AND(Plan1!H579,"AAAAAB+/7uY=")</f>
        <v>#VALUE!</v>
      </c>
      <c r="HX34" t="e">
        <f>AND(Plan1!I579,"AAAAAB+/7uc=")</f>
        <v>#VALUE!</v>
      </c>
      <c r="HY34" t="e">
        <f>AND(Plan1!J579,"AAAAAB+/7ug=")</f>
        <v>#VALUE!</v>
      </c>
      <c r="HZ34" t="e">
        <f>AND(Plan1!K579,"AAAAAB+/7uk=")</f>
        <v>#VALUE!</v>
      </c>
      <c r="IA34" t="e">
        <f>AND(Plan1!L579,"AAAAAB+/7uo=")</f>
        <v>#VALUE!</v>
      </c>
      <c r="IB34" t="e">
        <f>AND(Plan1!M579,"AAAAAB+/7us=")</f>
        <v>#VALUE!</v>
      </c>
      <c r="IC34" t="e">
        <f>AND(Plan1!N579,"AAAAAB+/7uw=")</f>
        <v>#VALUE!</v>
      </c>
      <c r="ID34">
        <f>IF(Plan1!580:580,"AAAAAB+/7u0=",0)</f>
        <v>0</v>
      </c>
      <c r="IE34" t="e">
        <f>AND(Plan1!A580,"AAAAAB+/7u4=")</f>
        <v>#VALUE!</v>
      </c>
      <c r="IF34" t="e">
        <f>AND(Plan1!B580,"AAAAAB+/7u8=")</f>
        <v>#VALUE!</v>
      </c>
      <c r="IG34" t="e">
        <f>AND(Plan1!C580,"AAAAAB+/7vA=")</f>
        <v>#VALUE!</v>
      </c>
      <c r="IH34" t="e">
        <f>AND(Plan1!D580,"AAAAAB+/7vE=")</f>
        <v>#VALUE!</v>
      </c>
      <c r="II34" t="e">
        <f>AND(Plan1!E580,"AAAAAB+/7vI=")</f>
        <v>#VALUE!</v>
      </c>
      <c r="IJ34" t="e">
        <f>AND(Plan1!F580,"AAAAAB+/7vM=")</f>
        <v>#VALUE!</v>
      </c>
      <c r="IK34" t="e">
        <f>AND(Plan1!G580,"AAAAAB+/7vQ=")</f>
        <v>#VALUE!</v>
      </c>
      <c r="IL34" t="e">
        <f>AND(Plan1!H580,"AAAAAB+/7vU=")</f>
        <v>#VALUE!</v>
      </c>
      <c r="IM34" t="e">
        <f>AND(Plan1!I580,"AAAAAB+/7vY=")</f>
        <v>#VALUE!</v>
      </c>
      <c r="IN34" t="e">
        <f>AND(Plan1!J580,"AAAAAB+/7vc=")</f>
        <v>#VALUE!</v>
      </c>
      <c r="IO34" t="e">
        <f>AND(Plan1!K580,"AAAAAB+/7vg=")</f>
        <v>#VALUE!</v>
      </c>
      <c r="IP34" t="e">
        <f>AND(Plan1!L580,"AAAAAB+/7vk=")</f>
        <v>#VALUE!</v>
      </c>
      <c r="IQ34" t="e">
        <f>AND(Plan1!M580,"AAAAAB+/7vo=")</f>
        <v>#VALUE!</v>
      </c>
      <c r="IR34" t="e">
        <f>AND(Plan1!N580,"AAAAAB+/7vs=")</f>
        <v>#VALUE!</v>
      </c>
      <c r="IS34">
        <f>IF(Plan1!581:581,"AAAAAB+/7vw=",0)</f>
        <v>0</v>
      </c>
      <c r="IT34" t="e">
        <f>AND(Plan1!A581,"AAAAAB+/7v0=")</f>
        <v>#VALUE!</v>
      </c>
      <c r="IU34" t="e">
        <f>AND(Plan1!B581,"AAAAAB+/7v4=")</f>
        <v>#VALUE!</v>
      </c>
      <c r="IV34" t="e">
        <f>AND(Plan1!C581,"AAAAAB+/7v8=")</f>
        <v>#VALUE!</v>
      </c>
    </row>
    <row r="35" spans="1:256">
      <c r="A35" t="e">
        <f>AND(Plan1!D581,"AAAAAGc7vwA=")</f>
        <v>#VALUE!</v>
      </c>
      <c r="B35" t="e">
        <f>AND(Plan1!E581,"AAAAAGc7vwE=")</f>
        <v>#VALUE!</v>
      </c>
      <c r="C35" t="e">
        <f>AND(Plan1!F581,"AAAAAGc7vwI=")</f>
        <v>#VALUE!</v>
      </c>
      <c r="D35" t="e">
        <f>AND(Plan1!G581,"AAAAAGc7vwM=")</f>
        <v>#VALUE!</v>
      </c>
      <c r="E35" t="e">
        <f>AND(Plan1!H581,"AAAAAGc7vwQ=")</f>
        <v>#VALUE!</v>
      </c>
      <c r="F35" t="e">
        <f>AND(Plan1!I581,"AAAAAGc7vwU=")</f>
        <v>#VALUE!</v>
      </c>
      <c r="G35" t="e">
        <f>AND(Plan1!J581,"AAAAAGc7vwY=")</f>
        <v>#VALUE!</v>
      </c>
      <c r="H35" t="e">
        <f>AND(Plan1!K581,"AAAAAGc7vwc=")</f>
        <v>#VALUE!</v>
      </c>
      <c r="I35" t="e">
        <f>AND(Plan1!L581,"AAAAAGc7vwg=")</f>
        <v>#VALUE!</v>
      </c>
      <c r="J35" t="e">
        <f>AND(Plan1!M581,"AAAAAGc7vwk=")</f>
        <v>#VALUE!</v>
      </c>
      <c r="K35" t="e">
        <f>AND(Plan1!N581,"AAAAAGc7vwo=")</f>
        <v>#VALUE!</v>
      </c>
      <c r="L35" t="e">
        <f>IF(Plan1!582:582,"AAAAAGc7vws=",0)</f>
        <v>#VALUE!</v>
      </c>
      <c r="M35" t="e">
        <f>AND(Plan1!A582,"AAAAAGc7vww=")</f>
        <v>#VALUE!</v>
      </c>
      <c r="N35" t="e">
        <f>AND(Plan1!B582,"AAAAAGc7vw0=")</f>
        <v>#VALUE!</v>
      </c>
      <c r="O35" t="e">
        <f>AND(Plan1!C582,"AAAAAGc7vw4=")</f>
        <v>#VALUE!</v>
      </c>
      <c r="P35" t="e">
        <f>AND(Plan1!D582,"AAAAAGc7vw8=")</f>
        <v>#VALUE!</v>
      </c>
      <c r="Q35" t="e">
        <f>AND(Plan1!E582,"AAAAAGc7vxA=")</f>
        <v>#VALUE!</v>
      </c>
      <c r="R35" t="e">
        <f>AND(Plan1!F582,"AAAAAGc7vxE=")</f>
        <v>#VALUE!</v>
      </c>
      <c r="S35" t="e">
        <f>AND(Plan1!G582,"AAAAAGc7vxI=")</f>
        <v>#VALUE!</v>
      </c>
      <c r="T35" t="e">
        <f>AND(Plan1!H582,"AAAAAGc7vxM=")</f>
        <v>#VALUE!</v>
      </c>
      <c r="U35" t="e">
        <f>AND(Plan1!I582,"AAAAAGc7vxQ=")</f>
        <v>#VALUE!</v>
      </c>
      <c r="V35" t="e">
        <f>AND(Plan1!J582,"AAAAAGc7vxU=")</f>
        <v>#VALUE!</v>
      </c>
      <c r="W35" t="e">
        <f>AND(Plan1!K582,"AAAAAGc7vxY=")</f>
        <v>#VALUE!</v>
      </c>
      <c r="X35" t="e">
        <f>AND(Plan1!L582,"AAAAAGc7vxc=")</f>
        <v>#VALUE!</v>
      </c>
      <c r="Y35" t="e">
        <f>AND(Plan1!M582,"AAAAAGc7vxg=")</f>
        <v>#VALUE!</v>
      </c>
      <c r="Z35" t="e">
        <f>AND(Plan1!N582,"AAAAAGc7vxk=")</f>
        <v>#VALUE!</v>
      </c>
      <c r="AA35">
        <f>IF(Plan1!583:583,"AAAAAGc7vxo=",0)</f>
        <v>0</v>
      </c>
      <c r="AB35" t="e">
        <f>AND(Plan1!A583,"AAAAAGc7vxs=")</f>
        <v>#VALUE!</v>
      </c>
      <c r="AC35" t="e">
        <f>AND(Plan1!B583,"AAAAAGc7vxw=")</f>
        <v>#VALUE!</v>
      </c>
      <c r="AD35" t="e">
        <f>AND(Plan1!C583,"AAAAAGc7vx0=")</f>
        <v>#VALUE!</v>
      </c>
      <c r="AE35" t="e">
        <f>AND(Plan1!D583,"AAAAAGc7vx4=")</f>
        <v>#VALUE!</v>
      </c>
      <c r="AF35" t="e">
        <f>AND(Plan1!E583,"AAAAAGc7vx8=")</f>
        <v>#VALUE!</v>
      </c>
      <c r="AG35" t="e">
        <f>AND(Plan1!F583,"AAAAAGc7vyA=")</f>
        <v>#VALUE!</v>
      </c>
      <c r="AH35" t="e">
        <f>AND(Plan1!G583,"AAAAAGc7vyE=")</f>
        <v>#VALUE!</v>
      </c>
      <c r="AI35" t="e">
        <f>AND(Plan1!H583,"AAAAAGc7vyI=")</f>
        <v>#VALUE!</v>
      </c>
      <c r="AJ35" t="e">
        <f>AND(Plan1!I583,"AAAAAGc7vyM=")</f>
        <v>#VALUE!</v>
      </c>
      <c r="AK35" t="e">
        <f>AND(Plan1!J583,"AAAAAGc7vyQ=")</f>
        <v>#VALUE!</v>
      </c>
      <c r="AL35" t="e">
        <f>AND(Plan1!K583,"AAAAAGc7vyU=")</f>
        <v>#VALUE!</v>
      </c>
      <c r="AM35" t="e">
        <f>AND(Plan1!L583,"AAAAAGc7vyY=")</f>
        <v>#VALUE!</v>
      </c>
      <c r="AN35" t="e">
        <f>AND(Plan1!M583,"AAAAAGc7vyc=")</f>
        <v>#VALUE!</v>
      </c>
      <c r="AO35" t="e">
        <f>AND(Plan1!N583,"AAAAAGc7vyg=")</f>
        <v>#VALUE!</v>
      </c>
      <c r="AP35">
        <f>IF(Plan1!584:584,"AAAAAGc7vyk=",0)</f>
        <v>0</v>
      </c>
      <c r="AQ35" t="e">
        <f>AND(Plan1!A584,"AAAAAGc7vyo=")</f>
        <v>#VALUE!</v>
      </c>
      <c r="AR35" t="e">
        <f>AND(Plan1!B584,"AAAAAGc7vys=")</f>
        <v>#VALUE!</v>
      </c>
      <c r="AS35" t="e">
        <f>AND(Plan1!C584,"AAAAAGc7vyw=")</f>
        <v>#VALUE!</v>
      </c>
      <c r="AT35" t="e">
        <f>AND(Plan1!D584,"AAAAAGc7vy0=")</f>
        <v>#VALUE!</v>
      </c>
      <c r="AU35" t="e">
        <f>AND(Plan1!E584,"AAAAAGc7vy4=")</f>
        <v>#VALUE!</v>
      </c>
      <c r="AV35" t="e">
        <f>AND(Plan1!F584,"AAAAAGc7vy8=")</f>
        <v>#VALUE!</v>
      </c>
      <c r="AW35" t="e">
        <f>AND(Plan1!G584,"AAAAAGc7vzA=")</f>
        <v>#VALUE!</v>
      </c>
      <c r="AX35" t="e">
        <f>AND(Plan1!H584,"AAAAAGc7vzE=")</f>
        <v>#VALUE!</v>
      </c>
      <c r="AY35" t="e">
        <f>AND(Plan1!I584,"AAAAAGc7vzI=")</f>
        <v>#VALUE!</v>
      </c>
      <c r="AZ35" t="e">
        <f>AND(Plan1!J584,"AAAAAGc7vzM=")</f>
        <v>#VALUE!</v>
      </c>
      <c r="BA35" t="e">
        <f>AND(Plan1!K584,"AAAAAGc7vzQ=")</f>
        <v>#VALUE!</v>
      </c>
      <c r="BB35" t="e">
        <f>AND(Plan1!L584,"AAAAAGc7vzU=")</f>
        <v>#VALUE!</v>
      </c>
      <c r="BC35" t="e">
        <f>AND(Plan1!M584,"AAAAAGc7vzY=")</f>
        <v>#VALUE!</v>
      </c>
      <c r="BD35" t="e">
        <f>AND(Plan1!N584,"AAAAAGc7vzc=")</f>
        <v>#VALUE!</v>
      </c>
      <c r="BE35">
        <f>IF(Plan1!585:585,"AAAAAGc7vzg=",0)</f>
        <v>0</v>
      </c>
      <c r="BF35" t="e">
        <f>AND(Plan1!A585,"AAAAAGc7vzk=")</f>
        <v>#VALUE!</v>
      </c>
      <c r="BG35" t="e">
        <f>AND(Plan1!B585,"AAAAAGc7vzo=")</f>
        <v>#VALUE!</v>
      </c>
      <c r="BH35" t="e">
        <f>AND(Plan1!C585,"AAAAAGc7vzs=")</f>
        <v>#VALUE!</v>
      </c>
      <c r="BI35" t="e">
        <f>AND(Plan1!D585,"AAAAAGc7vzw=")</f>
        <v>#VALUE!</v>
      </c>
      <c r="BJ35" t="e">
        <f>AND(Plan1!E585,"AAAAAGc7vz0=")</f>
        <v>#VALUE!</v>
      </c>
      <c r="BK35" t="e">
        <f>AND(Plan1!F585,"AAAAAGc7vz4=")</f>
        <v>#VALUE!</v>
      </c>
      <c r="BL35" t="e">
        <f>AND(Plan1!G585,"AAAAAGc7vz8=")</f>
        <v>#VALUE!</v>
      </c>
      <c r="BM35" t="e">
        <f>AND(Plan1!H585,"AAAAAGc7v0A=")</f>
        <v>#VALUE!</v>
      </c>
      <c r="BN35" t="e">
        <f>AND(Plan1!I585,"AAAAAGc7v0E=")</f>
        <v>#VALUE!</v>
      </c>
      <c r="BO35" t="e">
        <f>AND(Plan1!J585,"AAAAAGc7v0I=")</f>
        <v>#VALUE!</v>
      </c>
      <c r="BP35" t="e">
        <f>AND(Plan1!K585,"AAAAAGc7v0M=")</f>
        <v>#VALUE!</v>
      </c>
      <c r="BQ35" t="e">
        <f>AND(Plan1!L585,"AAAAAGc7v0Q=")</f>
        <v>#VALUE!</v>
      </c>
      <c r="BR35" t="e">
        <f>AND(Plan1!M585,"AAAAAGc7v0U=")</f>
        <v>#VALUE!</v>
      </c>
      <c r="BS35" t="e">
        <f>AND(Plan1!N585,"AAAAAGc7v0Y=")</f>
        <v>#VALUE!</v>
      </c>
      <c r="BT35">
        <f>IF(Plan1!586:586,"AAAAAGc7v0c=",0)</f>
        <v>0</v>
      </c>
      <c r="BU35" t="e">
        <f>AND(Plan1!A586,"AAAAAGc7v0g=")</f>
        <v>#VALUE!</v>
      </c>
      <c r="BV35" t="e">
        <f>AND(Plan1!B586,"AAAAAGc7v0k=")</f>
        <v>#VALUE!</v>
      </c>
      <c r="BW35" t="e">
        <f>AND(Plan1!C586,"AAAAAGc7v0o=")</f>
        <v>#VALUE!</v>
      </c>
      <c r="BX35" t="e">
        <f>AND(Plan1!D586,"AAAAAGc7v0s=")</f>
        <v>#VALUE!</v>
      </c>
      <c r="BY35" t="e">
        <f>AND(Plan1!E586,"AAAAAGc7v0w=")</f>
        <v>#VALUE!</v>
      </c>
      <c r="BZ35" t="e">
        <f>AND(Plan1!F586,"AAAAAGc7v00=")</f>
        <v>#VALUE!</v>
      </c>
      <c r="CA35" t="e">
        <f>AND(Plan1!G586,"AAAAAGc7v04=")</f>
        <v>#VALUE!</v>
      </c>
      <c r="CB35" t="e">
        <f>AND(Plan1!H586,"AAAAAGc7v08=")</f>
        <v>#VALUE!</v>
      </c>
      <c r="CC35" t="e">
        <f>AND(Plan1!I586,"AAAAAGc7v1A=")</f>
        <v>#VALUE!</v>
      </c>
      <c r="CD35" t="e">
        <f>AND(Plan1!J586,"AAAAAGc7v1E=")</f>
        <v>#VALUE!</v>
      </c>
      <c r="CE35" t="e">
        <f>AND(Plan1!K586,"AAAAAGc7v1I=")</f>
        <v>#VALUE!</v>
      </c>
      <c r="CF35" t="e">
        <f>AND(Plan1!L586,"AAAAAGc7v1M=")</f>
        <v>#VALUE!</v>
      </c>
      <c r="CG35" t="e">
        <f>AND(Plan1!M586,"AAAAAGc7v1Q=")</f>
        <v>#VALUE!</v>
      </c>
      <c r="CH35" t="e">
        <f>AND(Plan1!N586,"AAAAAGc7v1U=")</f>
        <v>#VALUE!</v>
      </c>
      <c r="CI35">
        <f>IF(Plan1!587:587,"AAAAAGc7v1Y=",0)</f>
        <v>0</v>
      </c>
      <c r="CJ35" t="e">
        <f>AND(Plan1!A587,"AAAAAGc7v1c=")</f>
        <v>#VALUE!</v>
      </c>
      <c r="CK35" t="e">
        <f>AND(Plan1!B587,"AAAAAGc7v1g=")</f>
        <v>#VALUE!</v>
      </c>
      <c r="CL35" t="e">
        <f>AND(Plan1!C587,"AAAAAGc7v1k=")</f>
        <v>#VALUE!</v>
      </c>
      <c r="CM35" t="e">
        <f>AND(Plan1!D587,"AAAAAGc7v1o=")</f>
        <v>#VALUE!</v>
      </c>
      <c r="CN35" t="e">
        <f>AND(Plan1!E587,"AAAAAGc7v1s=")</f>
        <v>#VALUE!</v>
      </c>
      <c r="CO35" t="e">
        <f>AND(Plan1!F587,"AAAAAGc7v1w=")</f>
        <v>#VALUE!</v>
      </c>
      <c r="CP35" t="e">
        <f>AND(Plan1!G587,"AAAAAGc7v10=")</f>
        <v>#VALUE!</v>
      </c>
      <c r="CQ35" t="e">
        <f>AND(Plan1!H587,"AAAAAGc7v14=")</f>
        <v>#VALUE!</v>
      </c>
      <c r="CR35" t="e">
        <f>AND(Plan1!I587,"AAAAAGc7v18=")</f>
        <v>#VALUE!</v>
      </c>
      <c r="CS35" t="e">
        <f>AND(Plan1!J587,"AAAAAGc7v2A=")</f>
        <v>#VALUE!</v>
      </c>
      <c r="CT35" t="e">
        <f>AND(Plan1!K587,"AAAAAGc7v2E=")</f>
        <v>#VALUE!</v>
      </c>
      <c r="CU35" t="e">
        <f>AND(Plan1!L587,"AAAAAGc7v2I=")</f>
        <v>#VALUE!</v>
      </c>
      <c r="CV35" t="e">
        <f>AND(Plan1!M587,"AAAAAGc7v2M=")</f>
        <v>#VALUE!</v>
      </c>
      <c r="CW35" t="e">
        <f>AND(Plan1!N587,"AAAAAGc7v2Q=")</f>
        <v>#VALUE!</v>
      </c>
      <c r="CX35">
        <f>IF(Plan1!588:588,"AAAAAGc7v2U=",0)</f>
        <v>0</v>
      </c>
      <c r="CY35" t="e">
        <f>AND(Plan1!A588,"AAAAAGc7v2Y=")</f>
        <v>#VALUE!</v>
      </c>
      <c r="CZ35" t="e">
        <f>AND(Plan1!B588,"AAAAAGc7v2c=")</f>
        <v>#VALUE!</v>
      </c>
      <c r="DA35" t="e">
        <f>AND(Plan1!C588,"AAAAAGc7v2g=")</f>
        <v>#VALUE!</v>
      </c>
      <c r="DB35" t="e">
        <f>AND(Plan1!D588,"AAAAAGc7v2k=")</f>
        <v>#VALUE!</v>
      </c>
      <c r="DC35" t="e">
        <f>AND(Plan1!E588,"AAAAAGc7v2o=")</f>
        <v>#VALUE!</v>
      </c>
      <c r="DD35" t="e">
        <f>AND(Plan1!F588,"AAAAAGc7v2s=")</f>
        <v>#VALUE!</v>
      </c>
      <c r="DE35" t="e">
        <f>AND(Plan1!G588,"AAAAAGc7v2w=")</f>
        <v>#VALUE!</v>
      </c>
      <c r="DF35" t="e">
        <f>AND(Plan1!H588,"AAAAAGc7v20=")</f>
        <v>#VALUE!</v>
      </c>
      <c r="DG35" t="e">
        <f>AND(Plan1!I588,"AAAAAGc7v24=")</f>
        <v>#VALUE!</v>
      </c>
      <c r="DH35" t="e">
        <f>AND(Plan1!J588,"AAAAAGc7v28=")</f>
        <v>#VALUE!</v>
      </c>
      <c r="DI35" t="e">
        <f>AND(Plan1!K588,"AAAAAGc7v3A=")</f>
        <v>#VALUE!</v>
      </c>
      <c r="DJ35" t="e">
        <f>AND(Plan1!L588,"AAAAAGc7v3E=")</f>
        <v>#VALUE!</v>
      </c>
      <c r="DK35" t="e">
        <f>AND(Plan1!M588,"AAAAAGc7v3I=")</f>
        <v>#VALUE!</v>
      </c>
      <c r="DL35" t="e">
        <f>AND(Plan1!N588,"AAAAAGc7v3M=")</f>
        <v>#VALUE!</v>
      </c>
      <c r="DM35">
        <f>IF(Plan1!589:589,"AAAAAGc7v3Q=",0)</f>
        <v>0</v>
      </c>
      <c r="DN35" t="e">
        <f>AND(Plan1!A589,"AAAAAGc7v3U=")</f>
        <v>#VALUE!</v>
      </c>
      <c r="DO35" t="e">
        <f>AND(Plan1!B589,"AAAAAGc7v3Y=")</f>
        <v>#VALUE!</v>
      </c>
      <c r="DP35" t="e">
        <f>AND(Plan1!C589,"AAAAAGc7v3c=")</f>
        <v>#VALUE!</v>
      </c>
      <c r="DQ35" t="e">
        <f>AND(Plan1!D589,"AAAAAGc7v3g=")</f>
        <v>#VALUE!</v>
      </c>
      <c r="DR35" t="e">
        <f>AND(Plan1!E589,"AAAAAGc7v3k=")</f>
        <v>#VALUE!</v>
      </c>
      <c r="DS35" t="e">
        <f>AND(Plan1!F589,"AAAAAGc7v3o=")</f>
        <v>#VALUE!</v>
      </c>
      <c r="DT35" t="e">
        <f>AND(Plan1!G589,"AAAAAGc7v3s=")</f>
        <v>#VALUE!</v>
      </c>
      <c r="DU35" t="e">
        <f>AND(Plan1!H589,"AAAAAGc7v3w=")</f>
        <v>#VALUE!</v>
      </c>
      <c r="DV35" t="e">
        <f>AND(Plan1!I589,"AAAAAGc7v30=")</f>
        <v>#VALUE!</v>
      </c>
      <c r="DW35" t="e">
        <f>AND(Plan1!J589,"AAAAAGc7v34=")</f>
        <v>#VALUE!</v>
      </c>
      <c r="DX35" t="e">
        <f>AND(Plan1!K589,"AAAAAGc7v38=")</f>
        <v>#VALUE!</v>
      </c>
      <c r="DY35" t="e">
        <f>AND(Plan1!L589,"AAAAAGc7v4A=")</f>
        <v>#VALUE!</v>
      </c>
      <c r="DZ35" t="e">
        <f>AND(Plan1!M589,"AAAAAGc7v4E=")</f>
        <v>#VALUE!</v>
      </c>
      <c r="EA35" t="e">
        <f>AND(Plan1!N589,"AAAAAGc7v4I=")</f>
        <v>#VALUE!</v>
      </c>
      <c r="EB35">
        <f>IF(Plan1!590:590,"AAAAAGc7v4M=",0)</f>
        <v>0</v>
      </c>
      <c r="EC35" t="e">
        <f>AND(Plan1!A590,"AAAAAGc7v4Q=")</f>
        <v>#VALUE!</v>
      </c>
      <c r="ED35" t="e">
        <f>AND(Plan1!B590,"AAAAAGc7v4U=")</f>
        <v>#VALUE!</v>
      </c>
      <c r="EE35" t="e">
        <f>AND(Plan1!C590,"AAAAAGc7v4Y=")</f>
        <v>#VALUE!</v>
      </c>
      <c r="EF35" t="e">
        <f>AND(Plan1!D590,"AAAAAGc7v4c=")</f>
        <v>#VALUE!</v>
      </c>
      <c r="EG35" t="e">
        <f>AND(Plan1!E590,"AAAAAGc7v4g=")</f>
        <v>#VALUE!</v>
      </c>
      <c r="EH35" t="e">
        <f>AND(Plan1!F590,"AAAAAGc7v4k=")</f>
        <v>#VALUE!</v>
      </c>
      <c r="EI35" t="e">
        <f>AND(Plan1!G590,"AAAAAGc7v4o=")</f>
        <v>#VALUE!</v>
      </c>
      <c r="EJ35" t="e">
        <f>AND(Plan1!H590,"AAAAAGc7v4s=")</f>
        <v>#VALUE!</v>
      </c>
      <c r="EK35" t="e">
        <f>AND(Plan1!I590,"AAAAAGc7v4w=")</f>
        <v>#VALUE!</v>
      </c>
      <c r="EL35" t="e">
        <f>AND(Plan1!J590,"AAAAAGc7v40=")</f>
        <v>#VALUE!</v>
      </c>
      <c r="EM35" t="e">
        <f>AND(Plan1!K590,"AAAAAGc7v44=")</f>
        <v>#VALUE!</v>
      </c>
      <c r="EN35" t="e">
        <f>AND(Plan1!L590,"AAAAAGc7v48=")</f>
        <v>#VALUE!</v>
      </c>
      <c r="EO35" t="e">
        <f>AND(Plan1!M590,"AAAAAGc7v5A=")</f>
        <v>#VALUE!</v>
      </c>
      <c r="EP35" t="e">
        <f>AND(Plan1!N590,"AAAAAGc7v5E=")</f>
        <v>#VALUE!</v>
      </c>
      <c r="EQ35">
        <f>IF(Plan1!591:591,"AAAAAGc7v5I=",0)</f>
        <v>0</v>
      </c>
      <c r="ER35" t="e">
        <f>AND(Plan1!A591,"AAAAAGc7v5M=")</f>
        <v>#VALUE!</v>
      </c>
      <c r="ES35" t="e">
        <f>AND(Plan1!B591,"AAAAAGc7v5Q=")</f>
        <v>#VALUE!</v>
      </c>
      <c r="ET35" t="e">
        <f>AND(Plan1!C591,"AAAAAGc7v5U=")</f>
        <v>#VALUE!</v>
      </c>
      <c r="EU35" t="e">
        <f>AND(Plan1!D591,"AAAAAGc7v5Y=")</f>
        <v>#VALUE!</v>
      </c>
      <c r="EV35" t="e">
        <f>AND(Plan1!E591,"AAAAAGc7v5c=")</f>
        <v>#VALUE!</v>
      </c>
      <c r="EW35" t="e">
        <f>AND(Plan1!F591,"AAAAAGc7v5g=")</f>
        <v>#VALUE!</v>
      </c>
      <c r="EX35" t="e">
        <f>AND(Plan1!G591,"AAAAAGc7v5k=")</f>
        <v>#VALUE!</v>
      </c>
      <c r="EY35" t="e">
        <f>AND(Plan1!H591,"AAAAAGc7v5o=")</f>
        <v>#VALUE!</v>
      </c>
      <c r="EZ35" t="e">
        <f>AND(Plan1!I591,"AAAAAGc7v5s=")</f>
        <v>#VALUE!</v>
      </c>
      <c r="FA35" t="e">
        <f>AND(Plan1!J591,"AAAAAGc7v5w=")</f>
        <v>#VALUE!</v>
      </c>
      <c r="FB35" t="e">
        <f>AND(Plan1!K591,"AAAAAGc7v50=")</f>
        <v>#VALUE!</v>
      </c>
      <c r="FC35" t="e">
        <f>AND(Plan1!L591,"AAAAAGc7v54=")</f>
        <v>#VALUE!</v>
      </c>
      <c r="FD35" t="e">
        <f>AND(Plan1!M591,"AAAAAGc7v58=")</f>
        <v>#VALUE!</v>
      </c>
      <c r="FE35" t="e">
        <f>AND(Plan1!N591,"AAAAAGc7v6A=")</f>
        <v>#VALUE!</v>
      </c>
      <c r="FF35">
        <f>IF(Plan1!592:592,"AAAAAGc7v6E=",0)</f>
        <v>0</v>
      </c>
      <c r="FG35" t="e">
        <f>AND(Plan1!A592,"AAAAAGc7v6I=")</f>
        <v>#VALUE!</v>
      </c>
      <c r="FH35" t="e">
        <f>AND(Plan1!B592,"AAAAAGc7v6M=")</f>
        <v>#VALUE!</v>
      </c>
      <c r="FI35" t="e">
        <f>AND(Plan1!C592,"AAAAAGc7v6Q=")</f>
        <v>#VALUE!</v>
      </c>
      <c r="FJ35" t="e">
        <f>AND(Plan1!D592,"AAAAAGc7v6U=")</f>
        <v>#VALUE!</v>
      </c>
      <c r="FK35" t="e">
        <f>AND(Plan1!E592,"AAAAAGc7v6Y=")</f>
        <v>#VALUE!</v>
      </c>
      <c r="FL35" t="e">
        <f>AND(Plan1!F592,"AAAAAGc7v6c=")</f>
        <v>#VALUE!</v>
      </c>
      <c r="FM35" t="e">
        <f>AND(Plan1!G592,"AAAAAGc7v6g=")</f>
        <v>#VALUE!</v>
      </c>
      <c r="FN35" t="e">
        <f>AND(Plan1!H592,"AAAAAGc7v6k=")</f>
        <v>#VALUE!</v>
      </c>
      <c r="FO35" t="e">
        <f>AND(Plan1!I592,"AAAAAGc7v6o=")</f>
        <v>#VALUE!</v>
      </c>
      <c r="FP35" t="e">
        <f>AND(Plan1!J592,"AAAAAGc7v6s=")</f>
        <v>#VALUE!</v>
      </c>
      <c r="FQ35" t="e">
        <f>AND(Plan1!K592,"AAAAAGc7v6w=")</f>
        <v>#VALUE!</v>
      </c>
      <c r="FR35" t="e">
        <f>AND(Plan1!L592,"AAAAAGc7v60=")</f>
        <v>#VALUE!</v>
      </c>
      <c r="FS35" t="e">
        <f>AND(Plan1!M592,"AAAAAGc7v64=")</f>
        <v>#VALUE!</v>
      </c>
      <c r="FT35" t="e">
        <f>AND(Plan1!N592,"AAAAAGc7v68=")</f>
        <v>#VALUE!</v>
      </c>
      <c r="FU35">
        <f>IF(Plan1!593:593,"AAAAAGc7v7A=",0)</f>
        <v>0</v>
      </c>
      <c r="FV35" t="e">
        <f>AND(Plan1!A593,"AAAAAGc7v7E=")</f>
        <v>#VALUE!</v>
      </c>
      <c r="FW35" t="e">
        <f>AND(Plan1!B593,"AAAAAGc7v7I=")</f>
        <v>#VALUE!</v>
      </c>
      <c r="FX35" t="e">
        <f>AND(Plan1!C593,"AAAAAGc7v7M=")</f>
        <v>#VALUE!</v>
      </c>
      <c r="FY35" t="e">
        <f>AND(Plan1!D593,"AAAAAGc7v7Q=")</f>
        <v>#VALUE!</v>
      </c>
      <c r="FZ35" t="e">
        <f>AND(Plan1!E593,"AAAAAGc7v7U=")</f>
        <v>#VALUE!</v>
      </c>
      <c r="GA35" t="e">
        <f>AND(Plan1!F593,"AAAAAGc7v7Y=")</f>
        <v>#VALUE!</v>
      </c>
      <c r="GB35" t="e">
        <f>AND(Plan1!G593,"AAAAAGc7v7c=")</f>
        <v>#VALUE!</v>
      </c>
      <c r="GC35" t="e">
        <f>AND(Plan1!H593,"AAAAAGc7v7g=")</f>
        <v>#VALUE!</v>
      </c>
      <c r="GD35" t="e">
        <f>AND(Plan1!I593,"AAAAAGc7v7k=")</f>
        <v>#VALUE!</v>
      </c>
      <c r="GE35" t="e">
        <f>AND(Plan1!J593,"AAAAAGc7v7o=")</f>
        <v>#VALUE!</v>
      </c>
      <c r="GF35" t="e">
        <f>AND(Plan1!K593,"AAAAAGc7v7s=")</f>
        <v>#VALUE!</v>
      </c>
      <c r="GG35" t="e">
        <f>AND(Plan1!L593,"AAAAAGc7v7w=")</f>
        <v>#VALUE!</v>
      </c>
      <c r="GH35" t="e">
        <f>AND(Plan1!M593,"AAAAAGc7v70=")</f>
        <v>#VALUE!</v>
      </c>
      <c r="GI35" t="e">
        <f>AND(Plan1!N593,"AAAAAGc7v74=")</f>
        <v>#VALUE!</v>
      </c>
      <c r="GJ35">
        <f>IF(Plan1!594:594,"AAAAAGc7v78=",0)</f>
        <v>0</v>
      </c>
      <c r="GK35" t="e">
        <f>AND(Plan1!A594,"AAAAAGc7v8A=")</f>
        <v>#VALUE!</v>
      </c>
      <c r="GL35" t="e">
        <f>AND(Plan1!B594,"AAAAAGc7v8E=")</f>
        <v>#VALUE!</v>
      </c>
      <c r="GM35" t="e">
        <f>AND(Plan1!C594,"AAAAAGc7v8I=")</f>
        <v>#VALUE!</v>
      </c>
      <c r="GN35" t="e">
        <f>AND(Plan1!D594,"AAAAAGc7v8M=")</f>
        <v>#VALUE!</v>
      </c>
      <c r="GO35" t="e">
        <f>AND(Plan1!E594,"AAAAAGc7v8Q=")</f>
        <v>#VALUE!</v>
      </c>
      <c r="GP35" t="e">
        <f>AND(Plan1!F594,"AAAAAGc7v8U=")</f>
        <v>#VALUE!</v>
      </c>
      <c r="GQ35" t="e">
        <f>AND(Plan1!G594,"AAAAAGc7v8Y=")</f>
        <v>#VALUE!</v>
      </c>
      <c r="GR35" t="e">
        <f>AND(Plan1!H594,"AAAAAGc7v8c=")</f>
        <v>#VALUE!</v>
      </c>
      <c r="GS35" t="e">
        <f>AND(Plan1!I594,"AAAAAGc7v8g=")</f>
        <v>#VALUE!</v>
      </c>
      <c r="GT35" t="e">
        <f>AND(Plan1!J594,"AAAAAGc7v8k=")</f>
        <v>#VALUE!</v>
      </c>
      <c r="GU35" t="e">
        <f>AND(Plan1!K594,"AAAAAGc7v8o=")</f>
        <v>#VALUE!</v>
      </c>
      <c r="GV35" t="e">
        <f>AND(Plan1!L594,"AAAAAGc7v8s=")</f>
        <v>#VALUE!</v>
      </c>
      <c r="GW35" t="e">
        <f>AND(Plan1!M594,"AAAAAGc7v8w=")</f>
        <v>#VALUE!</v>
      </c>
      <c r="GX35" t="e">
        <f>AND(Plan1!N594,"AAAAAGc7v80=")</f>
        <v>#VALUE!</v>
      </c>
      <c r="GY35">
        <f>IF(Plan1!595:595,"AAAAAGc7v84=",0)</f>
        <v>0</v>
      </c>
      <c r="GZ35" t="e">
        <f>AND(Plan1!A595,"AAAAAGc7v88=")</f>
        <v>#VALUE!</v>
      </c>
      <c r="HA35" t="e">
        <f>AND(Plan1!B595,"AAAAAGc7v9A=")</f>
        <v>#VALUE!</v>
      </c>
      <c r="HB35" t="e">
        <f>AND(Plan1!C595,"AAAAAGc7v9E=")</f>
        <v>#VALUE!</v>
      </c>
      <c r="HC35" t="e">
        <f>AND(Plan1!D595,"AAAAAGc7v9I=")</f>
        <v>#VALUE!</v>
      </c>
      <c r="HD35" t="e">
        <f>AND(Plan1!E595,"AAAAAGc7v9M=")</f>
        <v>#VALUE!</v>
      </c>
      <c r="HE35" t="e">
        <f>AND(Plan1!F595,"AAAAAGc7v9Q=")</f>
        <v>#VALUE!</v>
      </c>
      <c r="HF35" t="e">
        <f>AND(Plan1!G595,"AAAAAGc7v9U=")</f>
        <v>#VALUE!</v>
      </c>
      <c r="HG35" t="e">
        <f>AND(Plan1!H595,"AAAAAGc7v9Y=")</f>
        <v>#VALUE!</v>
      </c>
      <c r="HH35" t="e">
        <f>AND(Plan1!I595,"AAAAAGc7v9c=")</f>
        <v>#VALUE!</v>
      </c>
      <c r="HI35" t="e">
        <f>AND(Plan1!J595,"AAAAAGc7v9g=")</f>
        <v>#VALUE!</v>
      </c>
      <c r="HJ35" t="e">
        <f>AND(Plan1!K595,"AAAAAGc7v9k=")</f>
        <v>#VALUE!</v>
      </c>
      <c r="HK35" t="e">
        <f>AND(Plan1!L595,"AAAAAGc7v9o=")</f>
        <v>#VALUE!</v>
      </c>
      <c r="HL35" t="e">
        <f>AND(Plan1!M595,"AAAAAGc7v9s=")</f>
        <v>#VALUE!</v>
      </c>
      <c r="HM35" t="e">
        <f>AND(Plan1!N595,"AAAAAGc7v9w=")</f>
        <v>#VALUE!</v>
      </c>
      <c r="HN35">
        <f>IF(Plan1!596:596,"AAAAAGc7v90=",0)</f>
        <v>0</v>
      </c>
      <c r="HO35" t="e">
        <f>AND(Plan1!A596,"AAAAAGc7v94=")</f>
        <v>#VALUE!</v>
      </c>
      <c r="HP35" t="e">
        <f>AND(Plan1!B596,"AAAAAGc7v98=")</f>
        <v>#VALUE!</v>
      </c>
      <c r="HQ35" t="e">
        <f>AND(Plan1!C596,"AAAAAGc7v+A=")</f>
        <v>#VALUE!</v>
      </c>
      <c r="HR35" t="e">
        <f>AND(Plan1!D596,"AAAAAGc7v+E=")</f>
        <v>#VALUE!</v>
      </c>
      <c r="HS35" t="e">
        <f>AND(Plan1!E596,"AAAAAGc7v+I=")</f>
        <v>#VALUE!</v>
      </c>
      <c r="HT35" t="e">
        <f>AND(Plan1!F596,"AAAAAGc7v+M=")</f>
        <v>#VALUE!</v>
      </c>
      <c r="HU35" t="e">
        <f>AND(Plan1!G596,"AAAAAGc7v+Q=")</f>
        <v>#VALUE!</v>
      </c>
      <c r="HV35" t="e">
        <f>AND(Plan1!H596,"AAAAAGc7v+U=")</f>
        <v>#VALUE!</v>
      </c>
      <c r="HW35" t="e">
        <f>AND(Plan1!I596,"AAAAAGc7v+Y=")</f>
        <v>#VALUE!</v>
      </c>
      <c r="HX35" t="e">
        <f>AND(Plan1!J596,"AAAAAGc7v+c=")</f>
        <v>#VALUE!</v>
      </c>
      <c r="HY35" t="e">
        <f>AND(Plan1!K596,"AAAAAGc7v+g=")</f>
        <v>#VALUE!</v>
      </c>
      <c r="HZ35" t="e">
        <f>AND(Plan1!L596,"AAAAAGc7v+k=")</f>
        <v>#VALUE!</v>
      </c>
      <c r="IA35" t="e">
        <f>AND(Plan1!M596,"AAAAAGc7v+o=")</f>
        <v>#VALUE!</v>
      </c>
      <c r="IB35" t="e">
        <f>AND(Plan1!N596,"AAAAAGc7v+s=")</f>
        <v>#VALUE!</v>
      </c>
      <c r="IC35">
        <f>IF(Plan1!597:597,"AAAAAGc7v+w=",0)</f>
        <v>0</v>
      </c>
      <c r="ID35" t="e">
        <f>AND(Plan1!A597,"AAAAAGc7v+0=")</f>
        <v>#VALUE!</v>
      </c>
      <c r="IE35" t="e">
        <f>AND(Plan1!B597,"AAAAAGc7v+4=")</f>
        <v>#VALUE!</v>
      </c>
      <c r="IF35" t="e">
        <f>AND(Plan1!C597,"AAAAAGc7v+8=")</f>
        <v>#VALUE!</v>
      </c>
      <c r="IG35" t="e">
        <f>AND(Plan1!D597,"AAAAAGc7v/A=")</f>
        <v>#VALUE!</v>
      </c>
      <c r="IH35" t="e">
        <f>AND(Plan1!E597,"AAAAAGc7v/E=")</f>
        <v>#VALUE!</v>
      </c>
      <c r="II35" t="e">
        <f>AND(Plan1!F597,"AAAAAGc7v/I=")</f>
        <v>#VALUE!</v>
      </c>
      <c r="IJ35" t="e">
        <f>AND(Plan1!G597,"AAAAAGc7v/M=")</f>
        <v>#VALUE!</v>
      </c>
      <c r="IK35" t="e">
        <f>AND(Plan1!H597,"AAAAAGc7v/Q=")</f>
        <v>#VALUE!</v>
      </c>
      <c r="IL35" t="e">
        <f>AND(Plan1!I597,"AAAAAGc7v/U=")</f>
        <v>#VALUE!</v>
      </c>
      <c r="IM35" t="e">
        <f>AND(Plan1!J597,"AAAAAGc7v/Y=")</f>
        <v>#VALUE!</v>
      </c>
      <c r="IN35" t="e">
        <f>AND(Plan1!K597,"AAAAAGc7v/c=")</f>
        <v>#VALUE!</v>
      </c>
      <c r="IO35" t="e">
        <f>AND(Plan1!L597,"AAAAAGc7v/g=")</f>
        <v>#VALUE!</v>
      </c>
      <c r="IP35" t="e">
        <f>AND(Plan1!M597,"AAAAAGc7v/k=")</f>
        <v>#VALUE!</v>
      </c>
      <c r="IQ35" t="e">
        <f>AND(Plan1!N597,"AAAAAGc7v/o=")</f>
        <v>#VALUE!</v>
      </c>
      <c r="IR35">
        <f>IF(Plan1!598:598,"AAAAAGc7v/s=",0)</f>
        <v>0</v>
      </c>
      <c r="IS35" t="e">
        <f>AND(Plan1!A598,"AAAAAGc7v/w=")</f>
        <v>#VALUE!</v>
      </c>
      <c r="IT35" t="e">
        <f>AND(Plan1!B598,"AAAAAGc7v/0=")</f>
        <v>#VALUE!</v>
      </c>
      <c r="IU35" t="e">
        <f>AND(Plan1!C598,"AAAAAGc7v/4=")</f>
        <v>#VALUE!</v>
      </c>
      <c r="IV35" t="e">
        <f>AND(Plan1!D598,"AAAAAGc7v/8=")</f>
        <v>#VALUE!</v>
      </c>
    </row>
    <row r="36" spans="1:256">
      <c r="A36" t="e">
        <f>AND(Plan1!E598,"AAAAAD/vtgA=")</f>
        <v>#VALUE!</v>
      </c>
      <c r="B36" t="e">
        <f>AND(Plan1!F598,"AAAAAD/vtgE=")</f>
        <v>#VALUE!</v>
      </c>
      <c r="C36" t="e">
        <f>AND(Plan1!G598,"AAAAAD/vtgI=")</f>
        <v>#VALUE!</v>
      </c>
      <c r="D36" t="e">
        <f>AND(Plan1!H598,"AAAAAD/vtgM=")</f>
        <v>#VALUE!</v>
      </c>
      <c r="E36" t="e">
        <f>AND(Plan1!I598,"AAAAAD/vtgQ=")</f>
        <v>#VALUE!</v>
      </c>
      <c r="F36" t="e">
        <f>AND(Plan1!J598,"AAAAAD/vtgU=")</f>
        <v>#VALUE!</v>
      </c>
      <c r="G36" t="e">
        <f>AND(Plan1!K598,"AAAAAD/vtgY=")</f>
        <v>#VALUE!</v>
      </c>
      <c r="H36" t="e">
        <f>AND(Plan1!L598,"AAAAAD/vtgc=")</f>
        <v>#VALUE!</v>
      </c>
      <c r="I36" t="e">
        <f>AND(Plan1!M598,"AAAAAD/vtgg=")</f>
        <v>#VALUE!</v>
      </c>
      <c r="J36" t="e">
        <f>AND(Plan1!N598,"AAAAAD/vtgk=")</f>
        <v>#VALUE!</v>
      </c>
      <c r="K36">
        <f>IF(Plan1!599:599,"AAAAAD/vtgo=",0)</f>
        <v>0</v>
      </c>
      <c r="L36" t="e">
        <f>AND(Plan1!A599,"AAAAAD/vtgs=")</f>
        <v>#VALUE!</v>
      </c>
      <c r="M36" t="e">
        <f>AND(Plan1!B599,"AAAAAD/vtgw=")</f>
        <v>#VALUE!</v>
      </c>
      <c r="N36" t="e">
        <f>AND(Plan1!C599,"AAAAAD/vtg0=")</f>
        <v>#VALUE!</v>
      </c>
      <c r="O36" t="e">
        <f>AND(Plan1!D599,"AAAAAD/vtg4=")</f>
        <v>#VALUE!</v>
      </c>
      <c r="P36" t="e">
        <f>AND(Plan1!E599,"AAAAAD/vtg8=")</f>
        <v>#VALUE!</v>
      </c>
      <c r="Q36" t="e">
        <f>AND(Plan1!F599,"AAAAAD/vthA=")</f>
        <v>#VALUE!</v>
      </c>
      <c r="R36" t="e">
        <f>AND(Plan1!G599,"AAAAAD/vthE=")</f>
        <v>#VALUE!</v>
      </c>
      <c r="S36" t="e">
        <f>AND(Plan1!H599,"AAAAAD/vthI=")</f>
        <v>#VALUE!</v>
      </c>
      <c r="T36" t="e">
        <f>AND(Plan1!I599,"AAAAAD/vthM=")</f>
        <v>#VALUE!</v>
      </c>
      <c r="U36" t="e">
        <f>AND(Plan1!J599,"AAAAAD/vthQ=")</f>
        <v>#VALUE!</v>
      </c>
      <c r="V36" t="e">
        <f>AND(Plan1!K599,"AAAAAD/vthU=")</f>
        <v>#VALUE!</v>
      </c>
      <c r="W36" t="e">
        <f>AND(Plan1!L599,"AAAAAD/vthY=")</f>
        <v>#VALUE!</v>
      </c>
      <c r="X36" t="e">
        <f>AND(Plan1!M599,"AAAAAD/vthc=")</f>
        <v>#VALUE!</v>
      </c>
      <c r="Y36" t="e">
        <f>AND(Plan1!N599,"AAAAAD/vthg=")</f>
        <v>#VALUE!</v>
      </c>
      <c r="Z36">
        <f>IF(Plan1!600:600,"AAAAAD/vthk=",0)</f>
        <v>0</v>
      </c>
      <c r="AA36" t="e">
        <f>AND(Plan1!A600,"AAAAAD/vtho=")</f>
        <v>#VALUE!</v>
      </c>
      <c r="AB36" t="e">
        <f>AND(Plan1!B600,"AAAAAD/vths=")</f>
        <v>#VALUE!</v>
      </c>
      <c r="AC36" t="e">
        <f>AND(Plan1!C600,"AAAAAD/vthw=")</f>
        <v>#VALUE!</v>
      </c>
      <c r="AD36" t="e">
        <f>AND(Plan1!D600,"AAAAAD/vth0=")</f>
        <v>#VALUE!</v>
      </c>
      <c r="AE36" t="e">
        <f>AND(Plan1!E600,"AAAAAD/vth4=")</f>
        <v>#VALUE!</v>
      </c>
      <c r="AF36" t="e">
        <f>AND(Plan1!F600,"AAAAAD/vth8=")</f>
        <v>#VALUE!</v>
      </c>
      <c r="AG36" t="e">
        <f>AND(Plan1!G600,"AAAAAD/vtiA=")</f>
        <v>#VALUE!</v>
      </c>
      <c r="AH36" t="e">
        <f>AND(Plan1!H600,"AAAAAD/vtiE=")</f>
        <v>#VALUE!</v>
      </c>
      <c r="AI36" t="e">
        <f>AND(Plan1!I600,"AAAAAD/vtiI=")</f>
        <v>#VALUE!</v>
      </c>
      <c r="AJ36" t="e">
        <f>AND(Plan1!J600,"AAAAAD/vtiM=")</f>
        <v>#VALUE!</v>
      </c>
      <c r="AK36" t="e">
        <f>AND(Plan1!K600,"AAAAAD/vtiQ=")</f>
        <v>#VALUE!</v>
      </c>
      <c r="AL36" t="e">
        <f>AND(Plan1!L600,"AAAAAD/vtiU=")</f>
        <v>#VALUE!</v>
      </c>
      <c r="AM36" t="e">
        <f>AND(Plan1!M600,"AAAAAD/vtiY=")</f>
        <v>#VALUE!</v>
      </c>
      <c r="AN36" t="e">
        <f>AND(Plan1!N600,"AAAAAD/vtic=")</f>
        <v>#VALUE!</v>
      </c>
      <c r="AO36">
        <f>IF(Plan1!601:601,"AAAAAD/vtig=",0)</f>
        <v>0</v>
      </c>
      <c r="AP36" t="e">
        <f>AND(Plan1!A601,"AAAAAD/vtik=")</f>
        <v>#VALUE!</v>
      </c>
      <c r="AQ36" t="e">
        <f>AND(Plan1!B601,"AAAAAD/vtio=")</f>
        <v>#VALUE!</v>
      </c>
      <c r="AR36" t="e">
        <f>AND(Plan1!C601,"AAAAAD/vtis=")</f>
        <v>#VALUE!</v>
      </c>
      <c r="AS36" t="e">
        <f>AND(Plan1!D601,"AAAAAD/vtiw=")</f>
        <v>#VALUE!</v>
      </c>
      <c r="AT36" t="e">
        <f>AND(Plan1!E601,"AAAAAD/vti0=")</f>
        <v>#VALUE!</v>
      </c>
      <c r="AU36" t="e">
        <f>AND(Plan1!F601,"AAAAAD/vti4=")</f>
        <v>#VALUE!</v>
      </c>
      <c r="AV36" t="e">
        <f>AND(Plan1!G601,"AAAAAD/vti8=")</f>
        <v>#VALUE!</v>
      </c>
      <c r="AW36" t="e">
        <f>AND(Plan1!H601,"AAAAAD/vtjA=")</f>
        <v>#VALUE!</v>
      </c>
      <c r="AX36" t="e">
        <f>AND(Plan1!I601,"AAAAAD/vtjE=")</f>
        <v>#VALUE!</v>
      </c>
      <c r="AY36" t="e">
        <f>AND(Plan1!J601,"AAAAAD/vtjI=")</f>
        <v>#VALUE!</v>
      </c>
      <c r="AZ36" t="e">
        <f>AND(Plan1!K601,"AAAAAD/vtjM=")</f>
        <v>#VALUE!</v>
      </c>
      <c r="BA36" t="e">
        <f>AND(Plan1!L601,"AAAAAD/vtjQ=")</f>
        <v>#VALUE!</v>
      </c>
      <c r="BB36" t="e">
        <f>AND(Plan1!M601,"AAAAAD/vtjU=")</f>
        <v>#VALUE!</v>
      </c>
      <c r="BC36" t="e">
        <f>AND(Plan1!N601,"AAAAAD/vtjY=")</f>
        <v>#VALUE!</v>
      </c>
      <c r="BD36">
        <f>IF(Plan1!602:602,"AAAAAD/vtjc=",0)</f>
        <v>0</v>
      </c>
      <c r="BE36" t="e">
        <f>AND(Plan1!A602,"AAAAAD/vtjg=")</f>
        <v>#VALUE!</v>
      </c>
      <c r="BF36" t="e">
        <f>AND(Plan1!B602,"AAAAAD/vtjk=")</f>
        <v>#VALUE!</v>
      </c>
      <c r="BG36" t="e">
        <f>AND(Plan1!C602,"AAAAAD/vtjo=")</f>
        <v>#VALUE!</v>
      </c>
      <c r="BH36" t="e">
        <f>AND(Plan1!D602,"AAAAAD/vtjs=")</f>
        <v>#VALUE!</v>
      </c>
      <c r="BI36" t="e">
        <f>AND(Plan1!E602,"AAAAAD/vtjw=")</f>
        <v>#VALUE!</v>
      </c>
      <c r="BJ36" t="e">
        <f>AND(Plan1!F602,"AAAAAD/vtj0=")</f>
        <v>#VALUE!</v>
      </c>
      <c r="BK36" t="e">
        <f>AND(Plan1!G602,"AAAAAD/vtj4=")</f>
        <v>#VALUE!</v>
      </c>
      <c r="BL36" t="e">
        <f>AND(Plan1!H602,"AAAAAD/vtj8=")</f>
        <v>#VALUE!</v>
      </c>
      <c r="BM36" t="e">
        <f>AND(Plan1!I602,"AAAAAD/vtkA=")</f>
        <v>#VALUE!</v>
      </c>
      <c r="BN36" t="e">
        <f>AND(Plan1!J602,"AAAAAD/vtkE=")</f>
        <v>#VALUE!</v>
      </c>
      <c r="BO36" t="e">
        <f>AND(Plan1!K602,"AAAAAD/vtkI=")</f>
        <v>#VALUE!</v>
      </c>
      <c r="BP36" t="e">
        <f>AND(Plan1!L602,"AAAAAD/vtkM=")</f>
        <v>#VALUE!</v>
      </c>
      <c r="BQ36" t="e">
        <f>AND(Plan1!M602,"AAAAAD/vtkQ=")</f>
        <v>#VALUE!</v>
      </c>
      <c r="BR36" t="e">
        <f>AND(Plan1!N602,"AAAAAD/vtkU=")</f>
        <v>#VALUE!</v>
      </c>
      <c r="BS36">
        <f>IF(Plan1!603:603,"AAAAAD/vtkY=",0)</f>
        <v>0</v>
      </c>
      <c r="BT36" t="e">
        <f>AND(Plan1!A603,"AAAAAD/vtkc=")</f>
        <v>#VALUE!</v>
      </c>
      <c r="BU36" t="e">
        <f>AND(Plan1!B603,"AAAAAD/vtkg=")</f>
        <v>#VALUE!</v>
      </c>
      <c r="BV36" t="e">
        <f>AND(Plan1!C603,"AAAAAD/vtkk=")</f>
        <v>#VALUE!</v>
      </c>
      <c r="BW36" t="e">
        <f>AND(Plan1!D603,"AAAAAD/vtko=")</f>
        <v>#VALUE!</v>
      </c>
      <c r="BX36" t="e">
        <f>AND(Plan1!E603,"AAAAAD/vtks=")</f>
        <v>#VALUE!</v>
      </c>
      <c r="BY36" t="e">
        <f>AND(Plan1!F603,"AAAAAD/vtkw=")</f>
        <v>#VALUE!</v>
      </c>
      <c r="BZ36" t="e">
        <f>AND(Plan1!G603,"AAAAAD/vtk0=")</f>
        <v>#VALUE!</v>
      </c>
      <c r="CA36" t="e">
        <f>AND(Plan1!H603,"AAAAAD/vtk4=")</f>
        <v>#VALUE!</v>
      </c>
      <c r="CB36" t="e">
        <f>AND(Plan1!I603,"AAAAAD/vtk8=")</f>
        <v>#VALUE!</v>
      </c>
      <c r="CC36" t="e">
        <f>AND(Plan1!J603,"AAAAAD/vtlA=")</f>
        <v>#VALUE!</v>
      </c>
      <c r="CD36" t="e">
        <f>AND(Plan1!K603,"AAAAAD/vtlE=")</f>
        <v>#VALUE!</v>
      </c>
      <c r="CE36" t="e">
        <f>AND(Plan1!L603,"AAAAAD/vtlI=")</f>
        <v>#VALUE!</v>
      </c>
      <c r="CF36" t="e">
        <f>AND(Plan1!M603,"AAAAAD/vtlM=")</f>
        <v>#VALUE!</v>
      </c>
      <c r="CG36" t="e">
        <f>AND(Plan1!N603,"AAAAAD/vtlQ=")</f>
        <v>#VALUE!</v>
      </c>
      <c r="CH36">
        <f>IF(Plan1!604:604,"AAAAAD/vtlU=",0)</f>
        <v>0</v>
      </c>
      <c r="CI36" t="e">
        <f>AND(Plan1!A604,"AAAAAD/vtlY=")</f>
        <v>#VALUE!</v>
      </c>
      <c r="CJ36" t="e">
        <f>AND(Plan1!B604,"AAAAAD/vtlc=")</f>
        <v>#VALUE!</v>
      </c>
      <c r="CK36" t="e">
        <f>AND(Plan1!C604,"AAAAAD/vtlg=")</f>
        <v>#VALUE!</v>
      </c>
      <c r="CL36" t="e">
        <f>AND(Plan1!D604,"AAAAAD/vtlk=")</f>
        <v>#VALUE!</v>
      </c>
      <c r="CM36" t="e">
        <f>AND(Plan1!E604,"AAAAAD/vtlo=")</f>
        <v>#VALUE!</v>
      </c>
      <c r="CN36" t="e">
        <f>AND(Plan1!F604,"AAAAAD/vtls=")</f>
        <v>#VALUE!</v>
      </c>
      <c r="CO36" t="e">
        <f>AND(Plan1!G604,"AAAAAD/vtlw=")</f>
        <v>#VALUE!</v>
      </c>
      <c r="CP36" t="e">
        <f>AND(Plan1!H604,"AAAAAD/vtl0=")</f>
        <v>#VALUE!</v>
      </c>
      <c r="CQ36" t="e">
        <f>AND(Plan1!I604,"AAAAAD/vtl4=")</f>
        <v>#VALUE!</v>
      </c>
      <c r="CR36" t="e">
        <f>AND(Plan1!J604,"AAAAAD/vtl8=")</f>
        <v>#VALUE!</v>
      </c>
      <c r="CS36" t="e">
        <f>AND(Plan1!K604,"AAAAAD/vtmA=")</f>
        <v>#VALUE!</v>
      </c>
      <c r="CT36" t="e">
        <f>AND(Plan1!L604,"AAAAAD/vtmE=")</f>
        <v>#VALUE!</v>
      </c>
      <c r="CU36" t="e">
        <f>AND(Plan1!M604,"AAAAAD/vtmI=")</f>
        <v>#VALUE!</v>
      </c>
      <c r="CV36" t="e">
        <f>AND(Plan1!N604,"AAAAAD/vtmM=")</f>
        <v>#VALUE!</v>
      </c>
      <c r="CW36">
        <f>IF(Plan1!605:605,"AAAAAD/vtmQ=",0)</f>
        <v>0</v>
      </c>
      <c r="CX36" t="e">
        <f>AND(Plan1!A605,"AAAAAD/vtmU=")</f>
        <v>#VALUE!</v>
      </c>
      <c r="CY36" t="e">
        <f>AND(Plan1!B605,"AAAAAD/vtmY=")</f>
        <v>#VALUE!</v>
      </c>
      <c r="CZ36" t="e">
        <f>AND(Plan1!C605,"AAAAAD/vtmc=")</f>
        <v>#VALUE!</v>
      </c>
      <c r="DA36" t="e">
        <f>AND(Plan1!D605,"AAAAAD/vtmg=")</f>
        <v>#VALUE!</v>
      </c>
      <c r="DB36" t="e">
        <f>AND(Plan1!E605,"AAAAAD/vtmk=")</f>
        <v>#VALUE!</v>
      </c>
      <c r="DC36" t="e">
        <f>AND(Plan1!F605,"AAAAAD/vtmo=")</f>
        <v>#VALUE!</v>
      </c>
      <c r="DD36" t="e">
        <f>AND(Plan1!G605,"AAAAAD/vtms=")</f>
        <v>#VALUE!</v>
      </c>
      <c r="DE36" t="e">
        <f>AND(Plan1!H605,"AAAAAD/vtmw=")</f>
        <v>#VALUE!</v>
      </c>
      <c r="DF36" t="e">
        <f>AND(Plan1!I605,"AAAAAD/vtm0=")</f>
        <v>#VALUE!</v>
      </c>
      <c r="DG36" t="e">
        <f>AND(Plan1!J605,"AAAAAD/vtm4=")</f>
        <v>#VALUE!</v>
      </c>
      <c r="DH36" t="e">
        <f>AND(Plan1!K605,"AAAAAD/vtm8=")</f>
        <v>#VALUE!</v>
      </c>
      <c r="DI36" t="e">
        <f>AND(Plan1!L605,"AAAAAD/vtnA=")</f>
        <v>#VALUE!</v>
      </c>
      <c r="DJ36" t="e">
        <f>AND(Plan1!M605,"AAAAAD/vtnE=")</f>
        <v>#VALUE!</v>
      </c>
      <c r="DK36" t="e">
        <f>AND(Plan1!N605,"AAAAAD/vtnI=")</f>
        <v>#VALUE!</v>
      </c>
      <c r="DL36">
        <f>IF(Plan1!606:606,"AAAAAD/vtnM=",0)</f>
        <v>0</v>
      </c>
      <c r="DM36" t="e">
        <f>AND(Plan1!A606,"AAAAAD/vtnQ=")</f>
        <v>#VALUE!</v>
      </c>
      <c r="DN36" t="e">
        <f>AND(Plan1!B606,"AAAAAD/vtnU=")</f>
        <v>#VALUE!</v>
      </c>
      <c r="DO36" t="e">
        <f>AND(Plan1!C606,"AAAAAD/vtnY=")</f>
        <v>#VALUE!</v>
      </c>
      <c r="DP36" t="e">
        <f>AND(Plan1!D606,"AAAAAD/vtnc=")</f>
        <v>#VALUE!</v>
      </c>
      <c r="DQ36" t="e">
        <f>AND(Plan1!E606,"AAAAAD/vtng=")</f>
        <v>#VALUE!</v>
      </c>
      <c r="DR36" t="e">
        <f>AND(Plan1!F606,"AAAAAD/vtnk=")</f>
        <v>#VALUE!</v>
      </c>
      <c r="DS36" t="e">
        <f>AND(Plan1!G606,"AAAAAD/vtno=")</f>
        <v>#VALUE!</v>
      </c>
      <c r="DT36" t="e">
        <f>AND(Plan1!H606,"AAAAAD/vtns=")</f>
        <v>#VALUE!</v>
      </c>
      <c r="DU36" t="e">
        <f>AND(Plan1!I606,"AAAAAD/vtnw=")</f>
        <v>#VALUE!</v>
      </c>
      <c r="DV36" t="e">
        <f>AND(Plan1!J606,"AAAAAD/vtn0=")</f>
        <v>#VALUE!</v>
      </c>
      <c r="DW36" t="e">
        <f>AND(Plan1!K606,"AAAAAD/vtn4=")</f>
        <v>#VALUE!</v>
      </c>
      <c r="DX36" t="e">
        <f>AND(Plan1!L606,"AAAAAD/vtn8=")</f>
        <v>#VALUE!</v>
      </c>
      <c r="DY36" t="e">
        <f>AND(Plan1!M606,"AAAAAD/vtoA=")</f>
        <v>#VALUE!</v>
      </c>
      <c r="DZ36" t="e">
        <f>AND(Plan1!N606,"AAAAAD/vtoE=")</f>
        <v>#VALUE!</v>
      </c>
      <c r="EA36">
        <f>IF(Plan1!607:607,"AAAAAD/vtoI=",0)</f>
        <v>0</v>
      </c>
      <c r="EB36" t="e">
        <f>AND(Plan1!A607,"AAAAAD/vtoM=")</f>
        <v>#VALUE!</v>
      </c>
      <c r="EC36" t="e">
        <f>AND(Plan1!B607,"AAAAAD/vtoQ=")</f>
        <v>#VALUE!</v>
      </c>
      <c r="ED36" t="e">
        <f>AND(Plan1!C607,"AAAAAD/vtoU=")</f>
        <v>#VALUE!</v>
      </c>
      <c r="EE36" t="e">
        <f>AND(Plan1!D607,"AAAAAD/vtoY=")</f>
        <v>#VALUE!</v>
      </c>
      <c r="EF36" t="e">
        <f>AND(Plan1!E607,"AAAAAD/vtoc=")</f>
        <v>#VALUE!</v>
      </c>
      <c r="EG36" t="e">
        <f>AND(Plan1!F607,"AAAAAD/vtog=")</f>
        <v>#VALUE!</v>
      </c>
      <c r="EH36" t="e">
        <f>AND(Plan1!G607,"AAAAAD/vtok=")</f>
        <v>#VALUE!</v>
      </c>
      <c r="EI36" t="e">
        <f>AND(Plan1!H607,"AAAAAD/vtoo=")</f>
        <v>#VALUE!</v>
      </c>
      <c r="EJ36" t="e">
        <f>AND(Plan1!I607,"AAAAAD/vtos=")</f>
        <v>#VALUE!</v>
      </c>
      <c r="EK36" t="e">
        <f>AND(Plan1!J607,"AAAAAD/vtow=")</f>
        <v>#VALUE!</v>
      </c>
      <c r="EL36" t="e">
        <f>AND(Plan1!K607,"AAAAAD/vto0=")</f>
        <v>#VALUE!</v>
      </c>
      <c r="EM36" t="e">
        <f>AND(Plan1!L607,"AAAAAD/vto4=")</f>
        <v>#VALUE!</v>
      </c>
      <c r="EN36" t="e">
        <f>AND(Plan1!M607,"AAAAAD/vto8=")</f>
        <v>#VALUE!</v>
      </c>
      <c r="EO36" t="e">
        <f>AND(Plan1!N607,"AAAAAD/vtpA=")</f>
        <v>#VALUE!</v>
      </c>
      <c r="EP36">
        <f>IF(Plan1!608:608,"AAAAAD/vtpE=",0)</f>
        <v>0</v>
      </c>
      <c r="EQ36" t="e">
        <f>AND(Plan1!A608,"AAAAAD/vtpI=")</f>
        <v>#VALUE!</v>
      </c>
      <c r="ER36" t="e">
        <f>AND(Plan1!B608,"AAAAAD/vtpM=")</f>
        <v>#VALUE!</v>
      </c>
      <c r="ES36" t="e">
        <f>AND(Plan1!C608,"AAAAAD/vtpQ=")</f>
        <v>#VALUE!</v>
      </c>
      <c r="ET36" t="e">
        <f>AND(Plan1!D608,"AAAAAD/vtpU=")</f>
        <v>#VALUE!</v>
      </c>
      <c r="EU36" t="e">
        <f>AND(Plan1!E608,"AAAAAD/vtpY=")</f>
        <v>#VALUE!</v>
      </c>
      <c r="EV36" t="e">
        <f>AND(Plan1!F608,"AAAAAD/vtpc=")</f>
        <v>#VALUE!</v>
      </c>
      <c r="EW36" t="e">
        <f>AND(Plan1!G608,"AAAAAD/vtpg=")</f>
        <v>#VALUE!</v>
      </c>
      <c r="EX36" t="e">
        <f>AND(Plan1!H608,"AAAAAD/vtpk=")</f>
        <v>#VALUE!</v>
      </c>
      <c r="EY36" t="e">
        <f>AND(Plan1!I608,"AAAAAD/vtpo=")</f>
        <v>#VALUE!</v>
      </c>
      <c r="EZ36" t="e">
        <f>AND(Plan1!J608,"AAAAAD/vtps=")</f>
        <v>#VALUE!</v>
      </c>
      <c r="FA36" t="e">
        <f>AND(Plan1!K608,"AAAAAD/vtpw=")</f>
        <v>#VALUE!</v>
      </c>
      <c r="FB36" t="e">
        <f>AND(Plan1!L608,"AAAAAD/vtp0=")</f>
        <v>#VALUE!</v>
      </c>
      <c r="FC36" t="e">
        <f>AND(Plan1!M608,"AAAAAD/vtp4=")</f>
        <v>#VALUE!</v>
      </c>
      <c r="FD36" t="e">
        <f>AND(Plan1!N608,"AAAAAD/vtp8=")</f>
        <v>#VALUE!</v>
      </c>
      <c r="FE36">
        <f>IF(Plan1!609:609,"AAAAAD/vtqA=",0)</f>
        <v>0</v>
      </c>
      <c r="FF36" t="e">
        <f>AND(Plan1!A609,"AAAAAD/vtqE=")</f>
        <v>#VALUE!</v>
      </c>
      <c r="FG36" t="e">
        <f>AND(Plan1!B609,"AAAAAD/vtqI=")</f>
        <v>#VALUE!</v>
      </c>
      <c r="FH36" t="e">
        <f>AND(Plan1!C609,"AAAAAD/vtqM=")</f>
        <v>#VALUE!</v>
      </c>
      <c r="FI36" t="e">
        <f>AND(Plan1!D609,"AAAAAD/vtqQ=")</f>
        <v>#VALUE!</v>
      </c>
      <c r="FJ36" t="e">
        <f>AND(Plan1!E609,"AAAAAD/vtqU=")</f>
        <v>#VALUE!</v>
      </c>
      <c r="FK36" t="e">
        <f>AND(Plan1!F609,"AAAAAD/vtqY=")</f>
        <v>#VALUE!</v>
      </c>
      <c r="FL36" t="e">
        <f>AND(Plan1!G609,"AAAAAD/vtqc=")</f>
        <v>#VALUE!</v>
      </c>
      <c r="FM36" t="e">
        <f>AND(Plan1!H609,"AAAAAD/vtqg=")</f>
        <v>#VALUE!</v>
      </c>
      <c r="FN36" t="e">
        <f>AND(Plan1!I609,"AAAAAD/vtqk=")</f>
        <v>#VALUE!</v>
      </c>
      <c r="FO36" t="e">
        <f>AND(Plan1!J609,"AAAAAD/vtqo=")</f>
        <v>#VALUE!</v>
      </c>
      <c r="FP36" t="e">
        <f>AND(Plan1!K609,"AAAAAD/vtqs=")</f>
        <v>#VALUE!</v>
      </c>
      <c r="FQ36" t="e">
        <f>AND(Plan1!L609,"AAAAAD/vtqw=")</f>
        <v>#VALUE!</v>
      </c>
      <c r="FR36" t="e">
        <f>AND(Plan1!M609,"AAAAAD/vtq0=")</f>
        <v>#VALUE!</v>
      </c>
      <c r="FS36" t="e">
        <f>AND(Plan1!N609,"AAAAAD/vtq4=")</f>
        <v>#VALUE!</v>
      </c>
      <c r="FT36">
        <f>IF(Plan1!610:610,"AAAAAD/vtq8=",0)</f>
        <v>0</v>
      </c>
      <c r="FU36" t="e">
        <f>AND(Plan1!A610,"AAAAAD/vtrA=")</f>
        <v>#VALUE!</v>
      </c>
      <c r="FV36" t="e">
        <f>AND(Plan1!B610,"AAAAAD/vtrE=")</f>
        <v>#VALUE!</v>
      </c>
      <c r="FW36" t="e">
        <f>AND(Plan1!C610,"AAAAAD/vtrI=")</f>
        <v>#VALUE!</v>
      </c>
      <c r="FX36" t="e">
        <f>AND(Plan1!D610,"AAAAAD/vtrM=")</f>
        <v>#VALUE!</v>
      </c>
      <c r="FY36" t="e">
        <f>AND(Plan1!E610,"AAAAAD/vtrQ=")</f>
        <v>#VALUE!</v>
      </c>
      <c r="FZ36" t="e">
        <f>AND(Plan1!F610,"AAAAAD/vtrU=")</f>
        <v>#VALUE!</v>
      </c>
      <c r="GA36" t="e">
        <f>AND(Plan1!G610,"AAAAAD/vtrY=")</f>
        <v>#VALUE!</v>
      </c>
      <c r="GB36" t="e">
        <f>AND(Plan1!H610,"AAAAAD/vtrc=")</f>
        <v>#VALUE!</v>
      </c>
      <c r="GC36" t="e">
        <f>AND(Plan1!I610,"AAAAAD/vtrg=")</f>
        <v>#VALUE!</v>
      </c>
      <c r="GD36" t="e">
        <f>AND(Plan1!J610,"AAAAAD/vtrk=")</f>
        <v>#VALUE!</v>
      </c>
      <c r="GE36" t="e">
        <f>AND(Plan1!K610,"AAAAAD/vtro=")</f>
        <v>#VALUE!</v>
      </c>
      <c r="GF36" t="e">
        <f>AND(Plan1!L610,"AAAAAD/vtrs=")</f>
        <v>#VALUE!</v>
      </c>
      <c r="GG36" t="e">
        <f>AND(Plan1!M610,"AAAAAD/vtrw=")</f>
        <v>#VALUE!</v>
      </c>
      <c r="GH36" t="e">
        <f>AND(Plan1!N610,"AAAAAD/vtr0=")</f>
        <v>#VALUE!</v>
      </c>
      <c r="GI36">
        <f>IF(Plan1!611:611,"AAAAAD/vtr4=",0)</f>
        <v>0</v>
      </c>
      <c r="GJ36" t="e">
        <f>AND(Plan1!A611,"AAAAAD/vtr8=")</f>
        <v>#VALUE!</v>
      </c>
      <c r="GK36" t="e">
        <f>AND(Plan1!B611,"AAAAAD/vtsA=")</f>
        <v>#VALUE!</v>
      </c>
      <c r="GL36" t="e">
        <f>AND(Plan1!C611,"AAAAAD/vtsE=")</f>
        <v>#VALUE!</v>
      </c>
      <c r="GM36" t="e">
        <f>AND(Plan1!D611,"AAAAAD/vtsI=")</f>
        <v>#VALUE!</v>
      </c>
      <c r="GN36" t="e">
        <f>AND(Plan1!E611,"AAAAAD/vtsM=")</f>
        <v>#VALUE!</v>
      </c>
      <c r="GO36" t="e">
        <f>AND(Plan1!F611,"AAAAAD/vtsQ=")</f>
        <v>#VALUE!</v>
      </c>
      <c r="GP36" t="e">
        <f>AND(Plan1!G611,"AAAAAD/vtsU=")</f>
        <v>#VALUE!</v>
      </c>
      <c r="GQ36" t="e">
        <f>AND(Plan1!H611,"AAAAAD/vtsY=")</f>
        <v>#VALUE!</v>
      </c>
      <c r="GR36" t="e">
        <f>AND(Plan1!I611,"AAAAAD/vtsc=")</f>
        <v>#VALUE!</v>
      </c>
      <c r="GS36" t="e">
        <f>AND(Plan1!J611,"AAAAAD/vtsg=")</f>
        <v>#VALUE!</v>
      </c>
      <c r="GT36" t="e">
        <f>AND(Plan1!K611,"AAAAAD/vtsk=")</f>
        <v>#VALUE!</v>
      </c>
      <c r="GU36" t="e">
        <f>AND(Plan1!L611,"AAAAAD/vtso=")</f>
        <v>#VALUE!</v>
      </c>
      <c r="GV36" t="e">
        <f>AND(Plan1!M611,"AAAAAD/vtss=")</f>
        <v>#VALUE!</v>
      </c>
      <c r="GW36" t="e">
        <f>AND(Plan1!N611,"AAAAAD/vtsw=")</f>
        <v>#VALUE!</v>
      </c>
      <c r="GX36">
        <f>IF(Plan1!612:612,"AAAAAD/vts0=",0)</f>
        <v>0</v>
      </c>
      <c r="GY36" t="e">
        <f>AND(Plan1!A612,"AAAAAD/vts4=")</f>
        <v>#VALUE!</v>
      </c>
      <c r="GZ36" t="e">
        <f>AND(Plan1!B612,"AAAAAD/vts8=")</f>
        <v>#VALUE!</v>
      </c>
      <c r="HA36" t="e">
        <f>AND(Plan1!C612,"AAAAAD/vttA=")</f>
        <v>#VALUE!</v>
      </c>
      <c r="HB36" t="e">
        <f>AND(Plan1!D612,"AAAAAD/vttE=")</f>
        <v>#VALUE!</v>
      </c>
      <c r="HC36" t="e">
        <f>AND(Plan1!E612,"AAAAAD/vttI=")</f>
        <v>#VALUE!</v>
      </c>
      <c r="HD36" t="e">
        <f>AND(Plan1!F612,"AAAAAD/vttM=")</f>
        <v>#VALUE!</v>
      </c>
      <c r="HE36" t="e">
        <f>AND(Plan1!G612,"AAAAAD/vttQ=")</f>
        <v>#VALUE!</v>
      </c>
      <c r="HF36" t="e">
        <f>AND(Plan1!H612,"AAAAAD/vttU=")</f>
        <v>#VALUE!</v>
      </c>
      <c r="HG36" t="e">
        <f>AND(Plan1!I612,"AAAAAD/vttY=")</f>
        <v>#VALUE!</v>
      </c>
      <c r="HH36" t="e">
        <f>AND(Plan1!J612,"AAAAAD/vttc=")</f>
        <v>#VALUE!</v>
      </c>
      <c r="HI36" t="e">
        <f>AND(Plan1!K612,"AAAAAD/vttg=")</f>
        <v>#VALUE!</v>
      </c>
      <c r="HJ36" t="e">
        <f>AND(Plan1!L612,"AAAAAD/vttk=")</f>
        <v>#VALUE!</v>
      </c>
      <c r="HK36" t="e">
        <f>AND(Plan1!M612,"AAAAAD/vtto=")</f>
        <v>#VALUE!</v>
      </c>
      <c r="HL36" t="e">
        <f>AND(Plan1!N612,"AAAAAD/vtts=")</f>
        <v>#VALUE!</v>
      </c>
      <c r="HM36">
        <f>IF(Plan1!613:613,"AAAAAD/vttw=",0)</f>
        <v>0</v>
      </c>
      <c r="HN36" t="e">
        <f>AND(Plan1!A613,"AAAAAD/vtt0=")</f>
        <v>#VALUE!</v>
      </c>
      <c r="HO36" t="e">
        <f>AND(Plan1!B613,"AAAAAD/vtt4=")</f>
        <v>#VALUE!</v>
      </c>
      <c r="HP36" t="e">
        <f>AND(Plan1!C613,"AAAAAD/vtt8=")</f>
        <v>#VALUE!</v>
      </c>
      <c r="HQ36" t="e">
        <f>AND(Plan1!D613,"AAAAAD/vtuA=")</f>
        <v>#VALUE!</v>
      </c>
      <c r="HR36" t="e">
        <f>AND(Plan1!E613,"AAAAAD/vtuE=")</f>
        <v>#VALUE!</v>
      </c>
      <c r="HS36" t="e">
        <f>AND(Plan1!F613,"AAAAAD/vtuI=")</f>
        <v>#VALUE!</v>
      </c>
      <c r="HT36" t="e">
        <f>AND(Plan1!G613,"AAAAAD/vtuM=")</f>
        <v>#VALUE!</v>
      </c>
      <c r="HU36" t="e">
        <f>AND(Plan1!H613,"AAAAAD/vtuQ=")</f>
        <v>#VALUE!</v>
      </c>
      <c r="HV36" t="e">
        <f>AND(Plan1!I613,"AAAAAD/vtuU=")</f>
        <v>#VALUE!</v>
      </c>
      <c r="HW36" t="e">
        <f>AND(Plan1!J613,"AAAAAD/vtuY=")</f>
        <v>#VALUE!</v>
      </c>
      <c r="HX36" t="e">
        <f>AND(Plan1!K613,"AAAAAD/vtuc=")</f>
        <v>#VALUE!</v>
      </c>
      <c r="HY36" t="e">
        <f>AND(Plan1!L613,"AAAAAD/vtug=")</f>
        <v>#VALUE!</v>
      </c>
      <c r="HZ36" t="e">
        <f>AND(Plan1!M613,"AAAAAD/vtuk=")</f>
        <v>#VALUE!</v>
      </c>
      <c r="IA36" t="e">
        <f>AND(Plan1!N613,"AAAAAD/vtuo=")</f>
        <v>#VALUE!</v>
      </c>
      <c r="IB36">
        <f>IF(Plan1!614:614,"AAAAAD/vtus=",0)</f>
        <v>0</v>
      </c>
      <c r="IC36" t="e">
        <f>AND(Plan1!A614,"AAAAAD/vtuw=")</f>
        <v>#VALUE!</v>
      </c>
      <c r="ID36" t="e">
        <f>AND(Plan1!B614,"AAAAAD/vtu0=")</f>
        <v>#VALUE!</v>
      </c>
      <c r="IE36" t="e">
        <f>AND(Plan1!C614,"AAAAAD/vtu4=")</f>
        <v>#VALUE!</v>
      </c>
      <c r="IF36" t="e">
        <f>AND(Plan1!D614,"AAAAAD/vtu8=")</f>
        <v>#VALUE!</v>
      </c>
      <c r="IG36" t="e">
        <f>AND(Plan1!E614,"AAAAAD/vtvA=")</f>
        <v>#VALUE!</v>
      </c>
      <c r="IH36" t="e">
        <f>AND(Plan1!F614,"AAAAAD/vtvE=")</f>
        <v>#VALUE!</v>
      </c>
      <c r="II36" t="e">
        <f>AND(Plan1!G614,"AAAAAD/vtvI=")</f>
        <v>#VALUE!</v>
      </c>
      <c r="IJ36" t="e">
        <f>AND(Plan1!H614,"AAAAAD/vtvM=")</f>
        <v>#VALUE!</v>
      </c>
      <c r="IK36" t="e">
        <f>AND(Plan1!I614,"AAAAAD/vtvQ=")</f>
        <v>#VALUE!</v>
      </c>
      <c r="IL36" t="e">
        <f>AND(Plan1!J614,"AAAAAD/vtvU=")</f>
        <v>#VALUE!</v>
      </c>
      <c r="IM36" t="e">
        <f>AND(Plan1!K614,"AAAAAD/vtvY=")</f>
        <v>#VALUE!</v>
      </c>
      <c r="IN36" t="e">
        <f>AND(Plan1!L614,"AAAAAD/vtvc=")</f>
        <v>#VALUE!</v>
      </c>
      <c r="IO36" t="e">
        <f>AND(Plan1!M614,"AAAAAD/vtvg=")</f>
        <v>#VALUE!</v>
      </c>
      <c r="IP36" t="e">
        <f>AND(Plan1!N614,"AAAAAD/vtvk=")</f>
        <v>#VALUE!</v>
      </c>
      <c r="IQ36">
        <f>IF(Plan1!615:615,"AAAAAD/vtvo=",0)</f>
        <v>0</v>
      </c>
      <c r="IR36" t="e">
        <f>AND(Plan1!A615,"AAAAAD/vtvs=")</f>
        <v>#VALUE!</v>
      </c>
      <c r="IS36" t="e">
        <f>AND(Plan1!B615,"AAAAAD/vtvw=")</f>
        <v>#VALUE!</v>
      </c>
      <c r="IT36" t="e">
        <f>AND(Plan1!C615,"AAAAAD/vtv0=")</f>
        <v>#VALUE!</v>
      </c>
      <c r="IU36" t="e">
        <f>AND(Plan1!D615,"AAAAAD/vtv4=")</f>
        <v>#VALUE!</v>
      </c>
      <c r="IV36" t="e">
        <f>AND(Plan1!E615,"AAAAAD/vtv8=")</f>
        <v>#VALUE!</v>
      </c>
    </row>
    <row r="37" spans="1:256">
      <c r="A37" t="e">
        <f>AND(Plan1!F615,"AAAAAHbfuwA=")</f>
        <v>#VALUE!</v>
      </c>
      <c r="B37" t="e">
        <f>AND(Plan1!G615,"AAAAAHbfuwE=")</f>
        <v>#VALUE!</v>
      </c>
      <c r="C37" t="e">
        <f>AND(Plan1!H615,"AAAAAHbfuwI=")</f>
        <v>#VALUE!</v>
      </c>
      <c r="D37" t="e">
        <f>AND(Plan1!I615,"AAAAAHbfuwM=")</f>
        <v>#VALUE!</v>
      </c>
      <c r="E37" t="e">
        <f>AND(Plan1!J615,"AAAAAHbfuwQ=")</f>
        <v>#VALUE!</v>
      </c>
      <c r="F37" t="e">
        <f>AND(Plan1!K615,"AAAAAHbfuwU=")</f>
        <v>#VALUE!</v>
      </c>
      <c r="G37" t="e">
        <f>AND(Plan1!L615,"AAAAAHbfuwY=")</f>
        <v>#VALUE!</v>
      </c>
      <c r="H37" t="e">
        <f>AND(Plan1!M615,"AAAAAHbfuwc=")</f>
        <v>#VALUE!</v>
      </c>
      <c r="I37" t="e">
        <f>AND(Plan1!N615,"AAAAAHbfuwg=")</f>
        <v>#VALUE!</v>
      </c>
      <c r="J37">
        <f>IF(Plan1!616:616,"AAAAAHbfuwk=",0)</f>
        <v>0</v>
      </c>
      <c r="K37" t="e">
        <f>AND(Plan1!A616,"AAAAAHbfuwo=")</f>
        <v>#VALUE!</v>
      </c>
      <c r="L37" t="e">
        <f>AND(Plan1!B616,"AAAAAHbfuws=")</f>
        <v>#VALUE!</v>
      </c>
      <c r="M37" t="e">
        <f>AND(Plan1!C616,"AAAAAHbfuww=")</f>
        <v>#VALUE!</v>
      </c>
      <c r="N37" t="e">
        <f>AND(Plan1!D616,"AAAAAHbfuw0=")</f>
        <v>#VALUE!</v>
      </c>
      <c r="O37" t="e">
        <f>AND(Plan1!E616,"AAAAAHbfuw4=")</f>
        <v>#VALUE!</v>
      </c>
      <c r="P37" t="e">
        <f>AND(Plan1!F616,"AAAAAHbfuw8=")</f>
        <v>#VALUE!</v>
      </c>
      <c r="Q37" t="e">
        <f>AND(Plan1!G616,"AAAAAHbfuxA=")</f>
        <v>#VALUE!</v>
      </c>
      <c r="R37" t="e">
        <f>AND(Plan1!H616,"AAAAAHbfuxE=")</f>
        <v>#VALUE!</v>
      </c>
      <c r="S37" t="e">
        <f>AND(Plan1!I616,"AAAAAHbfuxI=")</f>
        <v>#VALUE!</v>
      </c>
      <c r="T37" t="e">
        <f>AND(Plan1!J616,"AAAAAHbfuxM=")</f>
        <v>#VALUE!</v>
      </c>
      <c r="U37" t="e">
        <f>AND(Plan1!K616,"AAAAAHbfuxQ=")</f>
        <v>#VALUE!</v>
      </c>
      <c r="V37" t="e">
        <f>AND(Plan1!L616,"AAAAAHbfuxU=")</f>
        <v>#VALUE!</v>
      </c>
      <c r="W37" t="e">
        <f>AND(Plan1!M616,"AAAAAHbfuxY=")</f>
        <v>#VALUE!</v>
      </c>
      <c r="X37" t="e">
        <f>AND(Plan1!N616,"AAAAAHbfuxc=")</f>
        <v>#VALUE!</v>
      </c>
      <c r="Y37">
        <f>IF(Plan1!617:617,"AAAAAHbfuxg=",0)</f>
        <v>0</v>
      </c>
      <c r="Z37" t="e">
        <f>AND(Plan1!A617,"AAAAAHbfuxk=")</f>
        <v>#VALUE!</v>
      </c>
      <c r="AA37" t="e">
        <f>AND(Plan1!B617,"AAAAAHbfuxo=")</f>
        <v>#VALUE!</v>
      </c>
      <c r="AB37" t="e">
        <f>AND(Plan1!C617,"AAAAAHbfuxs=")</f>
        <v>#VALUE!</v>
      </c>
      <c r="AC37" t="e">
        <f>AND(Plan1!D617,"AAAAAHbfuxw=")</f>
        <v>#VALUE!</v>
      </c>
      <c r="AD37" t="e">
        <f>AND(Plan1!E617,"AAAAAHbfux0=")</f>
        <v>#VALUE!</v>
      </c>
      <c r="AE37" t="e">
        <f>AND(Plan1!F617,"AAAAAHbfux4=")</f>
        <v>#VALUE!</v>
      </c>
      <c r="AF37" t="e">
        <f>AND(Plan1!G617,"AAAAAHbfux8=")</f>
        <v>#VALUE!</v>
      </c>
      <c r="AG37" t="e">
        <f>AND(Plan1!H617,"AAAAAHbfuyA=")</f>
        <v>#VALUE!</v>
      </c>
      <c r="AH37" t="e">
        <f>AND(Plan1!I617,"AAAAAHbfuyE=")</f>
        <v>#VALUE!</v>
      </c>
      <c r="AI37" t="e">
        <f>AND(Plan1!J617,"AAAAAHbfuyI=")</f>
        <v>#VALUE!</v>
      </c>
      <c r="AJ37" t="e">
        <f>AND(Plan1!K617,"AAAAAHbfuyM=")</f>
        <v>#VALUE!</v>
      </c>
      <c r="AK37" t="e">
        <f>AND(Plan1!L617,"AAAAAHbfuyQ=")</f>
        <v>#VALUE!</v>
      </c>
      <c r="AL37" t="e">
        <f>AND(Plan1!M617,"AAAAAHbfuyU=")</f>
        <v>#VALUE!</v>
      </c>
      <c r="AM37" t="e">
        <f>AND(Plan1!N617,"AAAAAHbfuyY=")</f>
        <v>#VALUE!</v>
      </c>
      <c r="AN37">
        <f>IF(Plan1!618:618,"AAAAAHbfuyc=",0)</f>
        <v>0</v>
      </c>
      <c r="AO37" t="e">
        <f>AND(Plan1!A618,"AAAAAHbfuyg=")</f>
        <v>#VALUE!</v>
      </c>
      <c r="AP37" t="e">
        <f>AND(Plan1!B618,"AAAAAHbfuyk=")</f>
        <v>#VALUE!</v>
      </c>
      <c r="AQ37" t="e">
        <f>AND(Plan1!C618,"AAAAAHbfuyo=")</f>
        <v>#VALUE!</v>
      </c>
      <c r="AR37" t="e">
        <f>AND(Plan1!D618,"AAAAAHbfuys=")</f>
        <v>#VALUE!</v>
      </c>
      <c r="AS37" t="e">
        <f>AND(Plan1!E618,"AAAAAHbfuyw=")</f>
        <v>#VALUE!</v>
      </c>
      <c r="AT37" t="e">
        <f>AND(Plan1!F618,"AAAAAHbfuy0=")</f>
        <v>#VALUE!</v>
      </c>
      <c r="AU37" t="e">
        <f>AND(Plan1!G618,"AAAAAHbfuy4=")</f>
        <v>#VALUE!</v>
      </c>
      <c r="AV37" t="e">
        <f>AND(Plan1!H618,"AAAAAHbfuy8=")</f>
        <v>#VALUE!</v>
      </c>
      <c r="AW37" t="e">
        <f>AND(Plan1!I618,"AAAAAHbfuzA=")</f>
        <v>#VALUE!</v>
      </c>
      <c r="AX37" t="e">
        <f>AND(Plan1!J618,"AAAAAHbfuzE=")</f>
        <v>#VALUE!</v>
      </c>
      <c r="AY37" t="e">
        <f>AND(Plan1!K618,"AAAAAHbfuzI=")</f>
        <v>#VALUE!</v>
      </c>
      <c r="AZ37" t="e">
        <f>AND(Plan1!L618,"AAAAAHbfuzM=")</f>
        <v>#VALUE!</v>
      </c>
      <c r="BA37" t="e">
        <f>AND(Plan1!M618,"AAAAAHbfuzQ=")</f>
        <v>#VALUE!</v>
      </c>
      <c r="BB37" t="e">
        <f>AND(Plan1!N618,"AAAAAHbfuzU=")</f>
        <v>#VALUE!</v>
      </c>
      <c r="BC37">
        <f>IF(Plan1!619:619,"AAAAAHbfuzY=",0)</f>
        <v>0</v>
      </c>
      <c r="BD37" t="e">
        <f>AND(Plan1!A619,"AAAAAHbfuzc=")</f>
        <v>#VALUE!</v>
      </c>
      <c r="BE37" t="e">
        <f>AND(Plan1!B619,"AAAAAHbfuzg=")</f>
        <v>#VALUE!</v>
      </c>
      <c r="BF37" t="e">
        <f>AND(Plan1!C619,"AAAAAHbfuzk=")</f>
        <v>#VALUE!</v>
      </c>
      <c r="BG37" t="e">
        <f>AND(Plan1!D619,"AAAAAHbfuzo=")</f>
        <v>#VALUE!</v>
      </c>
      <c r="BH37" t="e">
        <f>AND(Plan1!E619,"AAAAAHbfuzs=")</f>
        <v>#VALUE!</v>
      </c>
      <c r="BI37" t="e">
        <f>AND(Plan1!F619,"AAAAAHbfuzw=")</f>
        <v>#VALUE!</v>
      </c>
      <c r="BJ37" t="e">
        <f>AND(Plan1!G619,"AAAAAHbfuz0=")</f>
        <v>#VALUE!</v>
      </c>
      <c r="BK37" t="e">
        <f>AND(Plan1!H619,"AAAAAHbfuz4=")</f>
        <v>#VALUE!</v>
      </c>
      <c r="BL37" t="e">
        <f>AND(Plan1!I619,"AAAAAHbfuz8=")</f>
        <v>#VALUE!</v>
      </c>
      <c r="BM37" t="e">
        <f>AND(Plan1!J619,"AAAAAHbfu0A=")</f>
        <v>#VALUE!</v>
      </c>
      <c r="BN37" t="e">
        <f>AND(Plan1!K619,"AAAAAHbfu0E=")</f>
        <v>#VALUE!</v>
      </c>
      <c r="BO37" t="e">
        <f>AND(Plan1!L619,"AAAAAHbfu0I=")</f>
        <v>#VALUE!</v>
      </c>
      <c r="BP37" t="e">
        <f>AND(Plan1!M619,"AAAAAHbfu0M=")</f>
        <v>#VALUE!</v>
      </c>
      <c r="BQ37" t="e">
        <f>AND(Plan1!N619,"AAAAAHbfu0Q=")</f>
        <v>#VALUE!</v>
      </c>
      <c r="BR37">
        <f>IF(Plan1!620:620,"AAAAAHbfu0U=",0)</f>
        <v>0</v>
      </c>
      <c r="BS37" t="e">
        <f>AND(Plan1!A620,"AAAAAHbfu0Y=")</f>
        <v>#VALUE!</v>
      </c>
      <c r="BT37" t="e">
        <f>AND(Plan1!B620,"AAAAAHbfu0c=")</f>
        <v>#VALUE!</v>
      </c>
      <c r="BU37" t="e">
        <f>AND(Plan1!C620,"AAAAAHbfu0g=")</f>
        <v>#VALUE!</v>
      </c>
      <c r="BV37" t="e">
        <f>AND(Plan1!D620,"AAAAAHbfu0k=")</f>
        <v>#VALUE!</v>
      </c>
      <c r="BW37" t="e">
        <f>AND(Plan1!E620,"AAAAAHbfu0o=")</f>
        <v>#VALUE!</v>
      </c>
      <c r="BX37" t="e">
        <f>AND(Plan1!F620,"AAAAAHbfu0s=")</f>
        <v>#VALUE!</v>
      </c>
      <c r="BY37" t="e">
        <f>AND(Plan1!G620,"AAAAAHbfu0w=")</f>
        <v>#VALUE!</v>
      </c>
      <c r="BZ37" t="e">
        <f>AND(Plan1!H620,"AAAAAHbfu00=")</f>
        <v>#VALUE!</v>
      </c>
      <c r="CA37" t="e">
        <f>AND(Plan1!I620,"AAAAAHbfu04=")</f>
        <v>#VALUE!</v>
      </c>
      <c r="CB37" t="e">
        <f>AND(Plan1!J620,"AAAAAHbfu08=")</f>
        <v>#VALUE!</v>
      </c>
      <c r="CC37" t="e">
        <f>AND(Plan1!K620,"AAAAAHbfu1A=")</f>
        <v>#VALUE!</v>
      </c>
      <c r="CD37" t="e">
        <f>AND(Plan1!L620,"AAAAAHbfu1E=")</f>
        <v>#VALUE!</v>
      </c>
      <c r="CE37" t="e">
        <f>AND(Plan1!M620,"AAAAAHbfu1I=")</f>
        <v>#VALUE!</v>
      </c>
      <c r="CF37" t="e">
        <f>AND(Plan1!N620,"AAAAAHbfu1M=")</f>
        <v>#VALUE!</v>
      </c>
      <c r="CG37">
        <f>IF(Plan1!621:621,"AAAAAHbfu1Q=",0)</f>
        <v>0</v>
      </c>
      <c r="CH37" t="e">
        <f>AND(Plan1!A621,"AAAAAHbfu1U=")</f>
        <v>#VALUE!</v>
      </c>
      <c r="CI37" t="e">
        <f>AND(Plan1!B621,"AAAAAHbfu1Y=")</f>
        <v>#VALUE!</v>
      </c>
      <c r="CJ37" t="e">
        <f>AND(Plan1!C621,"AAAAAHbfu1c=")</f>
        <v>#VALUE!</v>
      </c>
      <c r="CK37" t="e">
        <f>AND(Plan1!D621,"AAAAAHbfu1g=")</f>
        <v>#VALUE!</v>
      </c>
      <c r="CL37" t="e">
        <f>AND(Plan1!E621,"AAAAAHbfu1k=")</f>
        <v>#VALUE!</v>
      </c>
      <c r="CM37" t="e">
        <f>AND(Plan1!F621,"AAAAAHbfu1o=")</f>
        <v>#VALUE!</v>
      </c>
      <c r="CN37" t="e">
        <f>AND(Plan1!G621,"AAAAAHbfu1s=")</f>
        <v>#VALUE!</v>
      </c>
      <c r="CO37" t="e">
        <f>AND(Plan1!H621,"AAAAAHbfu1w=")</f>
        <v>#VALUE!</v>
      </c>
      <c r="CP37" t="e">
        <f>AND(Plan1!I621,"AAAAAHbfu10=")</f>
        <v>#VALUE!</v>
      </c>
      <c r="CQ37" t="e">
        <f>AND(Plan1!J621,"AAAAAHbfu14=")</f>
        <v>#VALUE!</v>
      </c>
      <c r="CR37" t="e">
        <f>AND(Plan1!K621,"AAAAAHbfu18=")</f>
        <v>#VALUE!</v>
      </c>
      <c r="CS37" t="e">
        <f>AND(Plan1!L621,"AAAAAHbfu2A=")</f>
        <v>#VALUE!</v>
      </c>
      <c r="CT37" t="e">
        <f>AND(Plan1!M621,"AAAAAHbfu2E=")</f>
        <v>#VALUE!</v>
      </c>
      <c r="CU37" t="e">
        <f>AND(Plan1!N621,"AAAAAHbfu2I=")</f>
        <v>#VALUE!</v>
      </c>
      <c r="CV37">
        <f>IF(Plan1!622:622,"AAAAAHbfu2M=",0)</f>
        <v>0</v>
      </c>
      <c r="CW37" t="e">
        <f>AND(Plan1!A622,"AAAAAHbfu2Q=")</f>
        <v>#VALUE!</v>
      </c>
      <c r="CX37" t="e">
        <f>AND(Plan1!B622,"AAAAAHbfu2U=")</f>
        <v>#VALUE!</v>
      </c>
      <c r="CY37" t="e">
        <f>AND(Plan1!C622,"AAAAAHbfu2Y=")</f>
        <v>#VALUE!</v>
      </c>
      <c r="CZ37" t="e">
        <f>AND(Plan1!D622,"AAAAAHbfu2c=")</f>
        <v>#VALUE!</v>
      </c>
      <c r="DA37" t="e">
        <f>AND(Plan1!E622,"AAAAAHbfu2g=")</f>
        <v>#VALUE!</v>
      </c>
      <c r="DB37" t="e">
        <f>AND(Plan1!F622,"AAAAAHbfu2k=")</f>
        <v>#VALUE!</v>
      </c>
      <c r="DC37" t="e">
        <f>AND(Plan1!G622,"AAAAAHbfu2o=")</f>
        <v>#VALUE!</v>
      </c>
      <c r="DD37" t="e">
        <f>AND(Plan1!H622,"AAAAAHbfu2s=")</f>
        <v>#VALUE!</v>
      </c>
      <c r="DE37" t="e">
        <f>AND(Plan1!I622,"AAAAAHbfu2w=")</f>
        <v>#VALUE!</v>
      </c>
      <c r="DF37" t="e">
        <f>AND(Plan1!J622,"AAAAAHbfu20=")</f>
        <v>#VALUE!</v>
      </c>
      <c r="DG37" t="e">
        <f>AND(Plan1!K622,"AAAAAHbfu24=")</f>
        <v>#VALUE!</v>
      </c>
      <c r="DH37" t="e">
        <f>AND(Plan1!L622,"AAAAAHbfu28=")</f>
        <v>#VALUE!</v>
      </c>
      <c r="DI37" t="e">
        <f>AND(Plan1!M622,"AAAAAHbfu3A=")</f>
        <v>#VALUE!</v>
      </c>
      <c r="DJ37" t="e">
        <f>AND(Plan1!N622,"AAAAAHbfu3E=")</f>
        <v>#VALUE!</v>
      </c>
      <c r="DK37">
        <f>IF(Plan1!623:623,"AAAAAHbfu3I=",0)</f>
        <v>0</v>
      </c>
      <c r="DL37" t="e">
        <f>AND(Plan1!A623,"AAAAAHbfu3M=")</f>
        <v>#VALUE!</v>
      </c>
      <c r="DM37" t="e">
        <f>AND(Plan1!B623,"AAAAAHbfu3Q=")</f>
        <v>#VALUE!</v>
      </c>
      <c r="DN37" t="e">
        <f>AND(Plan1!C623,"AAAAAHbfu3U=")</f>
        <v>#VALUE!</v>
      </c>
      <c r="DO37" t="e">
        <f>AND(Plan1!D623,"AAAAAHbfu3Y=")</f>
        <v>#VALUE!</v>
      </c>
      <c r="DP37" t="e">
        <f>AND(Plan1!E623,"AAAAAHbfu3c=")</f>
        <v>#VALUE!</v>
      </c>
      <c r="DQ37" t="e">
        <f>AND(Plan1!F623,"AAAAAHbfu3g=")</f>
        <v>#VALUE!</v>
      </c>
      <c r="DR37" t="e">
        <f>AND(Plan1!G623,"AAAAAHbfu3k=")</f>
        <v>#VALUE!</v>
      </c>
      <c r="DS37" t="e">
        <f>AND(Plan1!H623,"AAAAAHbfu3o=")</f>
        <v>#VALUE!</v>
      </c>
      <c r="DT37" t="e">
        <f>AND(Plan1!I623,"AAAAAHbfu3s=")</f>
        <v>#VALUE!</v>
      </c>
      <c r="DU37" t="e">
        <f>AND(Plan1!J623,"AAAAAHbfu3w=")</f>
        <v>#VALUE!</v>
      </c>
      <c r="DV37" t="e">
        <f>AND(Plan1!K623,"AAAAAHbfu30=")</f>
        <v>#VALUE!</v>
      </c>
      <c r="DW37" t="e">
        <f>AND(Plan1!L623,"AAAAAHbfu34=")</f>
        <v>#VALUE!</v>
      </c>
      <c r="DX37" t="e">
        <f>AND(Plan1!M623,"AAAAAHbfu38=")</f>
        <v>#VALUE!</v>
      </c>
      <c r="DY37" t="e">
        <f>AND(Plan1!N623,"AAAAAHbfu4A=")</f>
        <v>#VALUE!</v>
      </c>
      <c r="DZ37">
        <f>IF(Plan1!624:624,"AAAAAHbfu4E=",0)</f>
        <v>0</v>
      </c>
      <c r="EA37" t="e">
        <f>AND(Plan1!A624,"AAAAAHbfu4I=")</f>
        <v>#VALUE!</v>
      </c>
      <c r="EB37" t="e">
        <f>AND(Plan1!B624,"AAAAAHbfu4M=")</f>
        <v>#VALUE!</v>
      </c>
      <c r="EC37" t="e">
        <f>AND(Plan1!C624,"AAAAAHbfu4Q=")</f>
        <v>#VALUE!</v>
      </c>
      <c r="ED37" t="e">
        <f>AND(Plan1!D624,"AAAAAHbfu4U=")</f>
        <v>#VALUE!</v>
      </c>
      <c r="EE37" t="e">
        <f>AND(Plan1!E624,"AAAAAHbfu4Y=")</f>
        <v>#VALUE!</v>
      </c>
      <c r="EF37" t="e">
        <f>AND(Plan1!F624,"AAAAAHbfu4c=")</f>
        <v>#VALUE!</v>
      </c>
      <c r="EG37" t="e">
        <f>AND(Plan1!G624,"AAAAAHbfu4g=")</f>
        <v>#VALUE!</v>
      </c>
      <c r="EH37" t="e">
        <f>AND(Plan1!H624,"AAAAAHbfu4k=")</f>
        <v>#VALUE!</v>
      </c>
      <c r="EI37" t="e">
        <f>AND(Plan1!I624,"AAAAAHbfu4o=")</f>
        <v>#VALUE!</v>
      </c>
      <c r="EJ37" t="e">
        <f>AND(Plan1!J624,"AAAAAHbfu4s=")</f>
        <v>#VALUE!</v>
      </c>
      <c r="EK37" t="e">
        <f>AND(Plan1!K624,"AAAAAHbfu4w=")</f>
        <v>#VALUE!</v>
      </c>
      <c r="EL37" t="e">
        <f>AND(Plan1!L624,"AAAAAHbfu40=")</f>
        <v>#VALUE!</v>
      </c>
      <c r="EM37" t="e">
        <f>AND(Plan1!M624,"AAAAAHbfu44=")</f>
        <v>#VALUE!</v>
      </c>
      <c r="EN37" t="e">
        <f>AND(Plan1!N624,"AAAAAHbfu48=")</f>
        <v>#VALUE!</v>
      </c>
      <c r="EO37">
        <f>IF(Plan1!625:625,"AAAAAHbfu5A=",0)</f>
        <v>0</v>
      </c>
      <c r="EP37" t="e">
        <f>AND(Plan1!A625,"AAAAAHbfu5E=")</f>
        <v>#VALUE!</v>
      </c>
      <c r="EQ37" t="e">
        <f>AND(Plan1!B625,"AAAAAHbfu5I=")</f>
        <v>#VALUE!</v>
      </c>
      <c r="ER37" t="e">
        <f>AND(Plan1!C625,"AAAAAHbfu5M=")</f>
        <v>#VALUE!</v>
      </c>
      <c r="ES37" t="e">
        <f>AND(Plan1!D625,"AAAAAHbfu5Q=")</f>
        <v>#VALUE!</v>
      </c>
      <c r="ET37" t="e">
        <f>AND(Plan1!E625,"AAAAAHbfu5U=")</f>
        <v>#VALUE!</v>
      </c>
      <c r="EU37" t="e">
        <f>AND(Plan1!F625,"AAAAAHbfu5Y=")</f>
        <v>#VALUE!</v>
      </c>
      <c r="EV37" t="e">
        <f>AND(Plan1!G625,"AAAAAHbfu5c=")</f>
        <v>#VALUE!</v>
      </c>
      <c r="EW37" t="e">
        <f>AND(Plan1!H625,"AAAAAHbfu5g=")</f>
        <v>#VALUE!</v>
      </c>
      <c r="EX37" t="e">
        <f>AND(Plan1!I625,"AAAAAHbfu5k=")</f>
        <v>#VALUE!</v>
      </c>
      <c r="EY37" t="e">
        <f>AND(Plan1!J625,"AAAAAHbfu5o=")</f>
        <v>#VALUE!</v>
      </c>
      <c r="EZ37" t="e">
        <f>AND(Plan1!K625,"AAAAAHbfu5s=")</f>
        <v>#VALUE!</v>
      </c>
      <c r="FA37" t="e">
        <f>AND(Plan1!L625,"AAAAAHbfu5w=")</f>
        <v>#VALUE!</v>
      </c>
      <c r="FB37" t="e">
        <f>AND(Plan1!M625,"AAAAAHbfu50=")</f>
        <v>#VALUE!</v>
      </c>
      <c r="FC37" t="e">
        <f>AND(Plan1!N625,"AAAAAHbfu54=")</f>
        <v>#VALUE!</v>
      </c>
      <c r="FD37">
        <f>IF(Plan1!626:626,"AAAAAHbfu58=",0)</f>
        <v>0</v>
      </c>
      <c r="FE37" t="e">
        <f>AND(Plan1!A626,"AAAAAHbfu6A=")</f>
        <v>#VALUE!</v>
      </c>
      <c r="FF37" t="e">
        <f>AND(Plan1!B626,"AAAAAHbfu6E=")</f>
        <v>#VALUE!</v>
      </c>
      <c r="FG37" t="e">
        <f>AND(Plan1!C626,"AAAAAHbfu6I=")</f>
        <v>#VALUE!</v>
      </c>
      <c r="FH37" t="e">
        <f>AND(Plan1!D626,"AAAAAHbfu6M=")</f>
        <v>#VALUE!</v>
      </c>
      <c r="FI37" t="e">
        <f>AND(Plan1!E626,"AAAAAHbfu6Q=")</f>
        <v>#VALUE!</v>
      </c>
      <c r="FJ37" t="e">
        <f>AND(Plan1!F626,"AAAAAHbfu6U=")</f>
        <v>#VALUE!</v>
      </c>
      <c r="FK37" t="e">
        <f>AND(Plan1!G626,"AAAAAHbfu6Y=")</f>
        <v>#VALUE!</v>
      </c>
      <c r="FL37" t="e">
        <f>AND(Plan1!H626,"AAAAAHbfu6c=")</f>
        <v>#VALUE!</v>
      </c>
      <c r="FM37" t="e">
        <f>AND(Plan1!I626,"AAAAAHbfu6g=")</f>
        <v>#VALUE!</v>
      </c>
      <c r="FN37" t="e">
        <f>AND(Plan1!J626,"AAAAAHbfu6k=")</f>
        <v>#VALUE!</v>
      </c>
      <c r="FO37" t="e">
        <f>AND(Plan1!K626,"AAAAAHbfu6o=")</f>
        <v>#VALUE!</v>
      </c>
      <c r="FP37" t="e">
        <f>AND(Plan1!L626,"AAAAAHbfu6s=")</f>
        <v>#VALUE!</v>
      </c>
      <c r="FQ37" t="e">
        <f>AND(Plan1!M626,"AAAAAHbfu6w=")</f>
        <v>#VALUE!</v>
      </c>
      <c r="FR37" t="e">
        <f>AND(Plan1!N626,"AAAAAHbfu60=")</f>
        <v>#VALUE!</v>
      </c>
      <c r="FS37">
        <f>IF(Plan1!627:627,"AAAAAHbfu64=",0)</f>
        <v>0</v>
      </c>
      <c r="FT37" t="e">
        <f>AND(Plan1!A627,"AAAAAHbfu68=")</f>
        <v>#VALUE!</v>
      </c>
      <c r="FU37" t="e">
        <f>AND(Plan1!B627,"AAAAAHbfu7A=")</f>
        <v>#VALUE!</v>
      </c>
      <c r="FV37" t="e">
        <f>AND(Plan1!C627,"AAAAAHbfu7E=")</f>
        <v>#VALUE!</v>
      </c>
      <c r="FW37" t="e">
        <f>AND(Plan1!D627,"AAAAAHbfu7I=")</f>
        <v>#VALUE!</v>
      </c>
      <c r="FX37" t="e">
        <f>AND(Plan1!E627,"AAAAAHbfu7M=")</f>
        <v>#VALUE!</v>
      </c>
      <c r="FY37" t="e">
        <f>AND(Plan1!F627,"AAAAAHbfu7Q=")</f>
        <v>#VALUE!</v>
      </c>
      <c r="FZ37" t="e">
        <f>AND(Plan1!G627,"AAAAAHbfu7U=")</f>
        <v>#VALUE!</v>
      </c>
      <c r="GA37" t="e">
        <f>AND(Plan1!H627,"AAAAAHbfu7Y=")</f>
        <v>#VALUE!</v>
      </c>
      <c r="GB37" t="e">
        <f>AND(Plan1!I627,"AAAAAHbfu7c=")</f>
        <v>#VALUE!</v>
      </c>
      <c r="GC37" t="e">
        <f>AND(Plan1!J627,"AAAAAHbfu7g=")</f>
        <v>#VALUE!</v>
      </c>
      <c r="GD37" t="e">
        <f>AND(Plan1!K627,"AAAAAHbfu7k=")</f>
        <v>#VALUE!</v>
      </c>
      <c r="GE37" t="e">
        <f>AND(Plan1!L627,"AAAAAHbfu7o=")</f>
        <v>#VALUE!</v>
      </c>
      <c r="GF37" t="e">
        <f>AND(Plan1!M627,"AAAAAHbfu7s=")</f>
        <v>#VALUE!</v>
      </c>
      <c r="GG37" t="e">
        <f>AND(Plan1!N627,"AAAAAHbfu7w=")</f>
        <v>#VALUE!</v>
      </c>
      <c r="GH37">
        <f>IF(Plan1!628:628,"AAAAAHbfu70=",0)</f>
        <v>0</v>
      </c>
      <c r="GI37" t="e">
        <f>AND(Plan1!A628,"AAAAAHbfu74=")</f>
        <v>#VALUE!</v>
      </c>
      <c r="GJ37" t="e">
        <f>AND(Plan1!B628,"AAAAAHbfu78=")</f>
        <v>#VALUE!</v>
      </c>
      <c r="GK37" t="e">
        <f>AND(Plan1!C628,"AAAAAHbfu8A=")</f>
        <v>#VALUE!</v>
      </c>
      <c r="GL37" t="e">
        <f>AND(Plan1!D628,"AAAAAHbfu8E=")</f>
        <v>#VALUE!</v>
      </c>
      <c r="GM37" t="e">
        <f>AND(Plan1!E628,"AAAAAHbfu8I=")</f>
        <v>#VALUE!</v>
      </c>
      <c r="GN37" t="e">
        <f>AND(Plan1!F628,"AAAAAHbfu8M=")</f>
        <v>#VALUE!</v>
      </c>
      <c r="GO37" t="e">
        <f>AND(Plan1!G628,"AAAAAHbfu8Q=")</f>
        <v>#VALUE!</v>
      </c>
      <c r="GP37" t="e">
        <f>AND(Plan1!H628,"AAAAAHbfu8U=")</f>
        <v>#VALUE!</v>
      </c>
      <c r="GQ37" t="e">
        <f>AND(Plan1!I628,"AAAAAHbfu8Y=")</f>
        <v>#VALUE!</v>
      </c>
      <c r="GR37" t="e">
        <f>AND(Plan1!J628,"AAAAAHbfu8c=")</f>
        <v>#VALUE!</v>
      </c>
      <c r="GS37" t="e">
        <f>AND(Plan1!K628,"AAAAAHbfu8g=")</f>
        <v>#VALUE!</v>
      </c>
      <c r="GT37" t="e">
        <f>AND(Plan1!L628,"AAAAAHbfu8k=")</f>
        <v>#VALUE!</v>
      </c>
      <c r="GU37" t="e">
        <f>AND(Plan1!M628,"AAAAAHbfu8o=")</f>
        <v>#VALUE!</v>
      </c>
      <c r="GV37" t="e">
        <f>AND(Plan1!N628,"AAAAAHbfu8s=")</f>
        <v>#VALUE!</v>
      </c>
      <c r="GW37">
        <f>IF(Plan1!629:629,"AAAAAHbfu8w=",0)</f>
        <v>0</v>
      </c>
      <c r="GX37" t="e">
        <f>AND(Plan1!A629,"AAAAAHbfu80=")</f>
        <v>#VALUE!</v>
      </c>
      <c r="GY37" t="e">
        <f>AND(Plan1!B629,"AAAAAHbfu84=")</f>
        <v>#VALUE!</v>
      </c>
      <c r="GZ37" t="e">
        <f>AND(Plan1!C629,"AAAAAHbfu88=")</f>
        <v>#VALUE!</v>
      </c>
      <c r="HA37" t="e">
        <f>AND(Plan1!D629,"AAAAAHbfu9A=")</f>
        <v>#VALUE!</v>
      </c>
      <c r="HB37" t="e">
        <f>AND(Plan1!E629,"AAAAAHbfu9E=")</f>
        <v>#VALUE!</v>
      </c>
      <c r="HC37" t="e">
        <f>AND(Plan1!F629,"AAAAAHbfu9I=")</f>
        <v>#VALUE!</v>
      </c>
      <c r="HD37" t="e">
        <f>AND(Plan1!G629,"AAAAAHbfu9M=")</f>
        <v>#VALUE!</v>
      </c>
      <c r="HE37" t="e">
        <f>AND(Plan1!H629,"AAAAAHbfu9Q=")</f>
        <v>#VALUE!</v>
      </c>
      <c r="HF37" t="e">
        <f>AND(Plan1!I629,"AAAAAHbfu9U=")</f>
        <v>#VALUE!</v>
      </c>
      <c r="HG37" t="e">
        <f>AND(Plan1!J629,"AAAAAHbfu9Y=")</f>
        <v>#VALUE!</v>
      </c>
      <c r="HH37" t="e">
        <f>AND(Plan1!K629,"AAAAAHbfu9c=")</f>
        <v>#VALUE!</v>
      </c>
      <c r="HI37" t="e">
        <f>AND(Plan1!L629,"AAAAAHbfu9g=")</f>
        <v>#VALUE!</v>
      </c>
      <c r="HJ37" t="e">
        <f>AND(Plan1!M629,"AAAAAHbfu9k=")</f>
        <v>#VALUE!</v>
      </c>
      <c r="HK37" t="e">
        <f>AND(Plan1!N629,"AAAAAHbfu9o=")</f>
        <v>#VALUE!</v>
      </c>
      <c r="HL37">
        <f>IF(Plan1!630:630,"AAAAAHbfu9s=",0)</f>
        <v>0</v>
      </c>
      <c r="HM37" t="e">
        <f>AND(Plan1!A630,"AAAAAHbfu9w=")</f>
        <v>#VALUE!</v>
      </c>
      <c r="HN37" t="e">
        <f>AND(Plan1!B630,"AAAAAHbfu90=")</f>
        <v>#VALUE!</v>
      </c>
      <c r="HO37" t="e">
        <f>AND(Plan1!C630,"AAAAAHbfu94=")</f>
        <v>#VALUE!</v>
      </c>
      <c r="HP37" t="e">
        <f>AND(Plan1!D630,"AAAAAHbfu98=")</f>
        <v>#VALUE!</v>
      </c>
      <c r="HQ37" t="e">
        <f>AND(Plan1!E630,"AAAAAHbfu+A=")</f>
        <v>#VALUE!</v>
      </c>
      <c r="HR37" t="e">
        <f>AND(Plan1!F630,"AAAAAHbfu+E=")</f>
        <v>#VALUE!</v>
      </c>
      <c r="HS37" t="e">
        <f>AND(Plan1!G630,"AAAAAHbfu+I=")</f>
        <v>#VALUE!</v>
      </c>
      <c r="HT37" t="e">
        <f>AND(Plan1!H630,"AAAAAHbfu+M=")</f>
        <v>#VALUE!</v>
      </c>
      <c r="HU37" t="e">
        <f>AND(Plan1!I630,"AAAAAHbfu+Q=")</f>
        <v>#VALUE!</v>
      </c>
      <c r="HV37" t="e">
        <f>AND(Plan1!J630,"AAAAAHbfu+U=")</f>
        <v>#VALUE!</v>
      </c>
      <c r="HW37" t="e">
        <f>AND(Plan1!K630,"AAAAAHbfu+Y=")</f>
        <v>#VALUE!</v>
      </c>
      <c r="HX37" t="e">
        <f>AND(Plan1!L630,"AAAAAHbfu+c=")</f>
        <v>#VALUE!</v>
      </c>
      <c r="HY37" t="e">
        <f>AND(Plan1!M630,"AAAAAHbfu+g=")</f>
        <v>#VALUE!</v>
      </c>
      <c r="HZ37" t="e">
        <f>AND(Plan1!N630,"AAAAAHbfu+k=")</f>
        <v>#VALUE!</v>
      </c>
      <c r="IA37">
        <f>IF(Plan1!631:631,"AAAAAHbfu+o=",0)</f>
        <v>0</v>
      </c>
      <c r="IB37" t="e">
        <f>AND(Plan1!A631,"AAAAAHbfu+s=")</f>
        <v>#VALUE!</v>
      </c>
      <c r="IC37" t="e">
        <f>AND(Plan1!B631,"AAAAAHbfu+w=")</f>
        <v>#VALUE!</v>
      </c>
      <c r="ID37" t="e">
        <f>AND(Plan1!C631,"AAAAAHbfu+0=")</f>
        <v>#VALUE!</v>
      </c>
      <c r="IE37" t="e">
        <f>AND(Plan1!D631,"AAAAAHbfu+4=")</f>
        <v>#VALUE!</v>
      </c>
      <c r="IF37" t="e">
        <f>AND(Plan1!E631,"AAAAAHbfu+8=")</f>
        <v>#VALUE!</v>
      </c>
      <c r="IG37" t="e">
        <f>AND(Plan1!F631,"AAAAAHbfu/A=")</f>
        <v>#VALUE!</v>
      </c>
      <c r="IH37" t="e">
        <f>AND(Plan1!G631,"AAAAAHbfu/E=")</f>
        <v>#VALUE!</v>
      </c>
      <c r="II37" t="e">
        <f>AND(Plan1!H631,"AAAAAHbfu/I=")</f>
        <v>#VALUE!</v>
      </c>
      <c r="IJ37" t="e">
        <f>AND(Plan1!I631,"AAAAAHbfu/M=")</f>
        <v>#VALUE!</v>
      </c>
      <c r="IK37" t="e">
        <f>AND(Plan1!J631,"AAAAAHbfu/Q=")</f>
        <v>#VALUE!</v>
      </c>
      <c r="IL37" t="e">
        <f>AND(Plan1!K631,"AAAAAHbfu/U=")</f>
        <v>#VALUE!</v>
      </c>
      <c r="IM37" t="e">
        <f>AND(Plan1!L631,"AAAAAHbfu/Y=")</f>
        <v>#VALUE!</v>
      </c>
      <c r="IN37" t="e">
        <f>AND(Plan1!M631,"AAAAAHbfu/c=")</f>
        <v>#VALUE!</v>
      </c>
      <c r="IO37" t="e">
        <f>AND(Plan1!N631,"AAAAAHbfu/g=")</f>
        <v>#VALUE!</v>
      </c>
      <c r="IP37">
        <f>IF(Plan1!632:632,"AAAAAHbfu/k=",0)</f>
        <v>0</v>
      </c>
      <c r="IQ37" t="e">
        <f>AND(Plan1!A632,"AAAAAHbfu/o=")</f>
        <v>#VALUE!</v>
      </c>
      <c r="IR37" t="e">
        <f>AND(Plan1!B632,"AAAAAHbfu/s=")</f>
        <v>#VALUE!</v>
      </c>
      <c r="IS37" t="e">
        <f>AND(Plan1!C632,"AAAAAHbfu/w=")</f>
        <v>#VALUE!</v>
      </c>
      <c r="IT37" t="e">
        <f>AND(Plan1!D632,"AAAAAHbfu/0=")</f>
        <v>#VALUE!</v>
      </c>
      <c r="IU37" t="e">
        <f>AND(Plan1!E632,"AAAAAHbfu/4=")</f>
        <v>#VALUE!</v>
      </c>
      <c r="IV37" t="e">
        <f>AND(Plan1!F632,"AAAAAHbfu/8=")</f>
        <v>#VALUE!</v>
      </c>
    </row>
    <row r="38" spans="1:256">
      <c r="A38" t="e">
        <f>AND(Plan1!G632,"AAAAAHX3agA=")</f>
        <v>#VALUE!</v>
      </c>
      <c r="B38" t="e">
        <f>AND(Plan1!H632,"AAAAAHX3agE=")</f>
        <v>#VALUE!</v>
      </c>
      <c r="C38" t="e">
        <f>AND(Plan1!I632,"AAAAAHX3agI=")</f>
        <v>#VALUE!</v>
      </c>
      <c r="D38" t="e">
        <f>AND(Plan1!J632,"AAAAAHX3agM=")</f>
        <v>#VALUE!</v>
      </c>
      <c r="E38" t="e">
        <f>AND(Plan1!K632,"AAAAAHX3agQ=")</f>
        <v>#VALUE!</v>
      </c>
      <c r="F38" t="e">
        <f>AND(Plan1!L632,"AAAAAHX3agU=")</f>
        <v>#VALUE!</v>
      </c>
      <c r="G38" t="e">
        <f>AND(Plan1!M632,"AAAAAHX3agY=")</f>
        <v>#VALUE!</v>
      </c>
      <c r="H38" t="e">
        <f>AND(Plan1!N632,"AAAAAHX3agc=")</f>
        <v>#VALUE!</v>
      </c>
      <c r="I38" t="str">
        <f>IF(Plan1!633:633,"AAAAAHX3agg=",0)</f>
        <v>AAAAAHX3agg=</v>
      </c>
      <c r="J38" t="e">
        <f>AND(Plan1!A633,"AAAAAHX3agk=")</f>
        <v>#VALUE!</v>
      </c>
      <c r="K38" t="e">
        <f>AND(Plan1!B633,"AAAAAHX3ago=")</f>
        <v>#VALUE!</v>
      </c>
      <c r="L38" t="e">
        <f>AND(Plan1!C633,"AAAAAHX3ags=")</f>
        <v>#VALUE!</v>
      </c>
      <c r="M38" t="e">
        <f>AND(Plan1!D633,"AAAAAHX3agw=")</f>
        <v>#VALUE!</v>
      </c>
      <c r="N38" t="e">
        <f>AND(Plan1!E633,"AAAAAHX3ag0=")</f>
        <v>#VALUE!</v>
      </c>
      <c r="O38" t="e">
        <f>AND(Plan1!F633,"AAAAAHX3ag4=")</f>
        <v>#VALUE!</v>
      </c>
      <c r="P38" t="e">
        <f>AND(Plan1!G633,"AAAAAHX3ag8=")</f>
        <v>#VALUE!</v>
      </c>
      <c r="Q38" t="e">
        <f>AND(Plan1!H633,"AAAAAHX3ahA=")</f>
        <v>#VALUE!</v>
      </c>
      <c r="R38" t="e">
        <f>AND(Plan1!I633,"AAAAAHX3ahE=")</f>
        <v>#VALUE!</v>
      </c>
      <c r="S38" t="e">
        <f>AND(Plan1!J633,"AAAAAHX3ahI=")</f>
        <v>#VALUE!</v>
      </c>
      <c r="T38" t="e">
        <f>AND(Plan1!K633,"AAAAAHX3ahM=")</f>
        <v>#VALUE!</v>
      </c>
      <c r="U38" t="e">
        <f>AND(Plan1!L633,"AAAAAHX3ahQ=")</f>
        <v>#VALUE!</v>
      </c>
      <c r="V38" t="e">
        <f>AND(Plan1!M633,"AAAAAHX3ahU=")</f>
        <v>#VALUE!</v>
      </c>
      <c r="W38" t="e">
        <f>AND(Plan1!N633,"AAAAAHX3ahY=")</f>
        <v>#VALUE!</v>
      </c>
      <c r="X38">
        <f>IF(Plan1!634:634,"AAAAAHX3ahc=",0)</f>
        <v>0</v>
      </c>
      <c r="Y38" t="e">
        <f>AND(Plan1!A634,"AAAAAHX3ahg=")</f>
        <v>#VALUE!</v>
      </c>
      <c r="Z38" t="e">
        <f>AND(Plan1!B634,"AAAAAHX3ahk=")</f>
        <v>#VALUE!</v>
      </c>
      <c r="AA38" t="e">
        <f>AND(Plan1!C634,"AAAAAHX3aho=")</f>
        <v>#VALUE!</v>
      </c>
      <c r="AB38" t="e">
        <f>AND(Plan1!D634,"AAAAAHX3ahs=")</f>
        <v>#VALUE!</v>
      </c>
      <c r="AC38" t="e">
        <f>AND(Plan1!E634,"AAAAAHX3ahw=")</f>
        <v>#VALUE!</v>
      </c>
      <c r="AD38" t="e">
        <f>AND(Plan1!F634,"AAAAAHX3ah0=")</f>
        <v>#VALUE!</v>
      </c>
      <c r="AE38" t="e">
        <f>AND(Plan1!G634,"AAAAAHX3ah4=")</f>
        <v>#VALUE!</v>
      </c>
      <c r="AF38" t="e">
        <f>AND(Plan1!H634,"AAAAAHX3ah8=")</f>
        <v>#VALUE!</v>
      </c>
      <c r="AG38" t="e">
        <f>AND(Plan1!I634,"AAAAAHX3aiA=")</f>
        <v>#VALUE!</v>
      </c>
      <c r="AH38" t="e">
        <f>AND(Plan1!J634,"AAAAAHX3aiE=")</f>
        <v>#VALUE!</v>
      </c>
      <c r="AI38" t="e">
        <f>AND(Plan1!K634,"AAAAAHX3aiI=")</f>
        <v>#VALUE!</v>
      </c>
      <c r="AJ38" t="e">
        <f>AND(Plan1!L634,"AAAAAHX3aiM=")</f>
        <v>#VALUE!</v>
      </c>
      <c r="AK38" t="e">
        <f>AND(Plan1!M634,"AAAAAHX3aiQ=")</f>
        <v>#VALUE!</v>
      </c>
      <c r="AL38" t="e">
        <f>AND(Plan1!N634,"AAAAAHX3aiU=")</f>
        <v>#VALUE!</v>
      </c>
      <c r="AM38">
        <f>IF(Plan1!635:635,"AAAAAHX3aiY=",0)</f>
        <v>0</v>
      </c>
      <c r="AN38" t="e">
        <f>AND(Plan1!A635,"AAAAAHX3aic=")</f>
        <v>#VALUE!</v>
      </c>
      <c r="AO38" t="e">
        <f>AND(Plan1!B635,"AAAAAHX3aig=")</f>
        <v>#VALUE!</v>
      </c>
      <c r="AP38" t="e">
        <f>AND(Plan1!C635,"AAAAAHX3aik=")</f>
        <v>#VALUE!</v>
      </c>
      <c r="AQ38" t="e">
        <f>AND(Plan1!D635,"AAAAAHX3aio=")</f>
        <v>#VALUE!</v>
      </c>
      <c r="AR38" t="e">
        <f>AND(Plan1!E635,"AAAAAHX3ais=")</f>
        <v>#VALUE!</v>
      </c>
      <c r="AS38" t="e">
        <f>AND(Plan1!F635,"AAAAAHX3aiw=")</f>
        <v>#VALUE!</v>
      </c>
      <c r="AT38" t="e">
        <f>AND(Plan1!G635,"AAAAAHX3ai0=")</f>
        <v>#VALUE!</v>
      </c>
      <c r="AU38" t="e">
        <f>AND(Plan1!H635,"AAAAAHX3ai4=")</f>
        <v>#VALUE!</v>
      </c>
      <c r="AV38" t="e">
        <f>AND(Plan1!I635,"AAAAAHX3ai8=")</f>
        <v>#VALUE!</v>
      </c>
      <c r="AW38" t="e">
        <f>AND(Plan1!J635,"AAAAAHX3ajA=")</f>
        <v>#VALUE!</v>
      </c>
      <c r="AX38" t="e">
        <f>AND(Plan1!K635,"AAAAAHX3ajE=")</f>
        <v>#VALUE!</v>
      </c>
      <c r="AY38" t="e">
        <f>AND(Plan1!L635,"AAAAAHX3ajI=")</f>
        <v>#VALUE!</v>
      </c>
      <c r="AZ38" t="e">
        <f>AND(Plan1!M635,"AAAAAHX3ajM=")</f>
        <v>#VALUE!</v>
      </c>
      <c r="BA38" t="e">
        <f>AND(Plan1!N635,"AAAAAHX3ajQ=")</f>
        <v>#VALUE!</v>
      </c>
      <c r="BB38">
        <f>IF(Plan1!636:636,"AAAAAHX3ajU=",0)</f>
        <v>0</v>
      </c>
      <c r="BC38" t="e">
        <f>AND(Plan1!A636,"AAAAAHX3ajY=")</f>
        <v>#VALUE!</v>
      </c>
      <c r="BD38" t="e">
        <f>AND(Plan1!B636,"AAAAAHX3ajc=")</f>
        <v>#VALUE!</v>
      </c>
      <c r="BE38" t="e">
        <f>AND(Plan1!C636,"AAAAAHX3ajg=")</f>
        <v>#VALUE!</v>
      </c>
      <c r="BF38" t="e">
        <f>AND(Plan1!D636,"AAAAAHX3ajk=")</f>
        <v>#VALUE!</v>
      </c>
      <c r="BG38" t="e">
        <f>AND(Plan1!E636,"AAAAAHX3ajo=")</f>
        <v>#VALUE!</v>
      </c>
      <c r="BH38" t="e">
        <f>AND(Plan1!F636,"AAAAAHX3ajs=")</f>
        <v>#VALUE!</v>
      </c>
      <c r="BI38" t="e">
        <f>AND(Plan1!G636,"AAAAAHX3ajw=")</f>
        <v>#VALUE!</v>
      </c>
      <c r="BJ38" t="e">
        <f>AND(Plan1!H636,"AAAAAHX3aj0=")</f>
        <v>#VALUE!</v>
      </c>
      <c r="BK38" t="e">
        <f>AND(Plan1!I636,"AAAAAHX3aj4=")</f>
        <v>#VALUE!</v>
      </c>
      <c r="BL38" t="e">
        <f>AND(Plan1!J636,"AAAAAHX3aj8=")</f>
        <v>#VALUE!</v>
      </c>
      <c r="BM38" t="e">
        <f>AND(Plan1!K636,"AAAAAHX3akA=")</f>
        <v>#VALUE!</v>
      </c>
      <c r="BN38" t="e">
        <f>AND(Plan1!L636,"AAAAAHX3akE=")</f>
        <v>#VALUE!</v>
      </c>
      <c r="BO38" t="e">
        <f>AND(Plan1!M636,"AAAAAHX3akI=")</f>
        <v>#VALUE!</v>
      </c>
      <c r="BP38" t="e">
        <f>AND(Plan1!N636,"AAAAAHX3akM=")</f>
        <v>#VALUE!</v>
      </c>
      <c r="BQ38">
        <f>IF(Plan1!637:637,"AAAAAHX3akQ=",0)</f>
        <v>0</v>
      </c>
      <c r="BR38" t="e">
        <f>AND(Plan1!A637,"AAAAAHX3akU=")</f>
        <v>#VALUE!</v>
      </c>
      <c r="BS38" t="e">
        <f>AND(Plan1!B637,"AAAAAHX3akY=")</f>
        <v>#VALUE!</v>
      </c>
      <c r="BT38" t="e">
        <f>AND(Plan1!C637,"AAAAAHX3akc=")</f>
        <v>#VALUE!</v>
      </c>
      <c r="BU38" t="e">
        <f>AND(Plan1!D637,"AAAAAHX3akg=")</f>
        <v>#VALUE!</v>
      </c>
      <c r="BV38" t="e">
        <f>AND(Plan1!E637,"AAAAAHX3akk=")</f>
        <v>#VALUE!</v>
      </c>
      <c r="BW38" t="e">
        <f>AND(Plan1!F637,"AAAAAHX3ako=")</f>
        <v>#VALUE!</v>
      </c>
      <c r="BX38" t="e">
        <f>AND(Plan1!G637,"AAAAAHX3aks=")</f>
        <v>#VALUE!</v>
      </c>
      <c r="BY38" t="e">
        <f>AND(Plan1!H637,"AAAAAHX3akw=")</f>
        <v>#VALUE!</v>
      </c>
      <c r="BZ38" t="e">
        <f>AND(Plan1!I637,"AAAAAHX3ak0=")</f>
        <v>#VALUE!</v>
      </c>
      <c r="CA38" t="e">
        <f>AND(Plan1!J637,"AAAAAHX3ak4=")</f>
        <v>#VALUE!</v>
      </c>
      <c r="CB38" t="e">
        <f>AND(Plan1!K637,"AAAAAHX3ak8=")</f>
        <v>#VALUE!</v>
      </c>
      <c r="CC38" t="e">
        <f>AND(Plan1!L637,"AAAAAHX3alA=")</f>
        <v>#VALUE!</v>
      </c>
      <c r="CD38" t="e">
        <f>AND(Plan1!M637,"AAAAAHX3alE=")</f>
        <v>#VALUE!</v>
      </c>
      <c r="CE38" t="e">
        <f>AND(Plan1!N637,"AAAAAHX3alI=")</f>
        <v>#VALUE!</v>
      </c>
      <c r="CF38">
        <f>IF(Plan1!638:638,"AAAAAHX3alM=",0)</f>
        <v>0</v>
      </c>
      <c r="CG38" t="e">
        <f>AND(Plan1!A638,"AAAAAHX3alQ=")</f>
        <v>#VALUE!</v>
      </c>
      <c r="CH38" t="e">
        <f>AND(Plan1!B638,"AAAAAHX3alU=")</f>
        <v>#VALUE!</v>
      </c>
      <c r="CI38" t="e">
        <f>AND(Plan1!C638,"AAAAAHX3alY=")</f>
        <v>#VALUE!</v>
      </c>
      <c r="CJ38" t="e">
        <f>AND(Plan1!D638,"AAAAAHX3alc=")</f>
        <v>#VALUE!</v>
      </c>
      <c r="CK38" t="e">
        <f>AND(Plan1!E638,"AAAAAHX3alg=")</f>
        <v>#VALUE!</v>
      </c>
      <c r="CL38" t="e">
        <f>AND(Plan1!F638,"AAAAAHX3alk=")</f>
        <v>#VALUE!</v>
      </c>
      <c r="CM38" t="e">
        <f>AND(Plan1!G638,"AAAAAHX3alo=")</f>
        <v>#VALUE!</v>
      </c>
      <c r="CN38" t="e">
        <f>AND(Plan1!H638,"AAAAAHX3als=")</f>
        <v>#VALUE!</v>
      </c>
      <c r="CO38" t="e">
        <f>AND(Plan1!I638,"AAAAAHX3alw=")</f>
        <v>#VALUE!</v>
      </c>
      <c r="CP38" t="e">
        <f>AND(Plan1!J638,"AAAAAHX3al0=")</f>
        <v>#VALUE!</v>
      </c>
      <c r="CQ38" t="e">
        <f>AND(Plan1!K638,"AAAAAHX3al4=")</f>
        <v>#VALUE!</v>
      </c>
      <c r="CR38" t="e">
        <f>AND(Plan1!L638,"AAAAAHX3al8=")</f>
        <v>#VALUE!</v>
      </c>
      <c r="CS38" t="e">
        <f>AND(Plan1!M638,"AAAAAHX3amA=")</f>
        <v>#VALUE!</v>
      </c>
      <c r="CT38" t="e">
        <f>AND(Plan1!N638,"AAAAAHX3amE=")</f>
        <v>#VALUE!</v>
      </c>
      <c r="CU38">
        <f>IF(Plan1!639:639,"AAAAAHX3amI=",0)</f>
        <v>0</v>
      </c>
      <c r="CV38" t="e">
        <f>AND(Plan1!A639,"AAAAAHX3amM=")</f>
        <v>#VALUE!</v>
      </c>
      <c r="CW38" t="e">
        <f>AND(Plan1!B639,"AAAAAHX3amQ=")</f>
        <v>#VALUE!</v>
      </c>
      <c r="CX38" t="e">
        <f>AND(Plan1!C639,"AAAAAHX3amU=")</f>
        <v>#VALUE!</v>
      </c>
      <c r="CY38" t="e">
        <f>AND(Plan1!D639,"AAAAAHX3amY=")</f>
        <v>#VALUE!</v>
      </c>
      <c r="CZ38" t="e">
        <f>AND(Plan1!E639,"AAAAAHX3amc=")</f>
        <v>#VALUE!</v>
      </c>
      <c r="DA38" t="e">
        <f>AND(Plan1!F639,"AAAAAHX3amg=")</f>
        <v>#VALUE!</v>
      </c>
      <c r="DB38" t="e">
        <f>AND(Plan1!G639,"AAAAAHX3amk=")</f>
        <v>#VALUE!</v>
      </c>
      <c r="DC38" t="e">
        <f>AND(Plan1!H639,"AAAAAHX3amo=")</f>
        <v>#VALUE!</v>
      </c>
      <c r="DD38" t="e">
        <f>AND(Plan1!I639,"AAAAAHX3ams=")</f>
        <v>#VALUE!</v>
      </c>
      <c r="DE38" t="e">
        <f>AND(Plan1!J639,"AAAAAHX3amw=")</f>
        <v>#VALUE!</v>
      </c>
      <c r="DF38" t="e">
        <f>AND(Plan1!K639,"AAAAAHX3am0=")</f>
        <v>#VALUE!</v>
      </c>
      <c r="DG38" t="e">
        <f>AND(Plan1!L639,"AAAAAHX3am4=")</f>
        <v>#VALUE!</v>
      </c>
      <c r="DH38" t="e">
        <f>AND(Plan1!M639,"AAAAAHX3am8=")</f>
        <v>#VALUE!</v>
      </c>
      <c r="DI38" t="e">
        <f>AND(Plan1!N639,"AAAAAHX3anA=")</f>
        <v>#VALUE!</v>
      </c>
      <c r="DJ38">
        <f>IF(Plan1!640:640,"AAAAAHX3anE=",0)</f>
        <v>0</v>
      </c>
      <c r="DK38" t="e">
        <f>AND(Plan1!A640,"AAAAAHX3anI=")</f>
        <v>#VALUE!</v>
      </c>
      <c r="DL38" t="e">
        <f>AND(Plan1!B640,"AAAAAHX3anM=")</f>
        <v>#VALUE!</v>
      </c>
      <c r="DM38" t="e">
        <f>AND(Plan1!C640,"AAAAAHX3anQ=")</f>
        <v>#VALUE!</v>
      </c>
      <c r="DN38" t="e">
        <f>AND(Plan1!D640,"AAAAAHX3anU=")</f>
        <v>#VALUE!</v>
      </c>
      <c r="DO38" t="e">
        <f>AND(Plan1!E640,"AAAAAHX3anY=")</f>
        <v>#VALUE!</v>
      </c>
      <c r="DP38" t="e">
        <f>AND(Plan1!F640,"AAAAAHX3anc=")</f>
        <v>#VALUE!</v>
      </c>
      <c r="DQ38" t="e">
        <f>AND(Plan1!G640,"AAAAAHX3ang=")</f>
        <v>#VALUE!</v>
      </c>
      <c r="DR38" t="e">
        <f>AND(Plan1!H640,"AAAAAHX3ank=")</f>
        <v>#VALUE!</v>
      </c>
      <c r="DS38" t="e">
        <f>AND(Plan1!I640,"AAAAAHX3ano=")</f>
        <v>#VALUE!</v>
      </c>
      <c r="DT38" t="e">
        <f>AND(Plan1!J640,"AAAAAHX3ans=")</f>
        <v>#VALUE!</v>
      </c>
      <c r="DU38" t="e">
        <f>AND(Plan1!K640,"AAAAAHX3anw=")</f>
        <v>#VALUE!</v>
      </c>
      <c r="DV38" t="e">
        <f>AND(Plan1!L640,"AAAAAHX3an0=")</f>
        <v>#VALUE!</v>
      </c>
      <c r="DW38" t="e">
        <f>AND(Plan1!M640,"AAAAAHX3an4=")</f>
        <v>#VALUE!</v>
      </c>
      <c r="DX38" t="e">
        <f>AND(Plan1!N640,"AAAAAHX3an8=")</f>
        <v>#VALUE!</v>
      </c>
      <c r="DY38">
        <f>IF(Plan1!641:641,"AAAAAHX3aoA=",0)</f>
        <v>0</v>
      </c>
      <c r="DZ38" t="e">
        <f>AND(Plan1!A641,"AAAAAHX3aoE=")</f>
        <v>#VALUE!</v>
      </c>
      <c r="EA38" t="e">
        <f>AND(Plan1!B641,"AAAAAHX3aoI=")</f>
        <v>#VALUE!</v>
      </c>
      <c r="EB38" t="e">
        <f>AND(Plan1!C641,"AAAAAHX3aoM=")</f>
        <v>#VALUE!</v>
      </c>
      <c r="EC38" t="e">
        <f>AND(Plan1!D641,"AAAAAHX3aoQ=")</f>
        <v>#VALUE!</v>
      </c>
      <c r="ED38" t="e">
        <f>AND(Plan1!E641,"AAAAAHX3aoU=")</f>
        <v>#VALUE!</v>
      </c>
      <c r="EE38" t="e">
        <f>AND(Plan1!F641,"AAAAAHX3aoY=")</f>
        <v>#VALUE!</v>
      </c>
      <c r="EF38" t="e">
        <f>AND(Plan1!G641,"AAAAAHX3aoc=")</f>
        <v>#VALUE!</v>
      </c>
      <c r="EG38" t="e">
        <f>AND(Plan1!H641,"AAAAAHX3aog=")</f>
        <v>#VALUE!</v>
      </c>
      <c r="EH38" t="e">
        <f>AND(Plan1!I641,"AAAAAHX3aok=")</f>
        <v>#VALUE!</v>
      </c>
      <c r="EI38" t="e">
        <f>AND(Plan1!J641,"AAAAAHX3aoo=")</f>
        <v>#VALUE!</v>
      </c>
      <c r="EJ38" t="e">
        <f>AND(Plan1!K641,"AAAAAHX3aos=")</f>
        <v>#VALUE!</v>
      </c>
      <c r="EK38" t="e">
        <f>AND(Plan1!L641,"AAAAAHX3aow=")</f>
        <v>#VALUE!</v>
      </c>
      <c r="EL38" t="e">
        <f>AND(Plan1!M641,"AAAAAHX3ao0=")</f>
        <v>#VALUE!</v>
      </c>
      <c r="EM38" t="e">
        <f>AND(Plan1!N641,"AAAAAHX3ao4=")</f>
        <v>#VALUE!</v>
      </c>
      <c r="EN38">
        <f>IF(Plan1!642:642,"AAAAAHX3ao8=",0)</f>
        <v>0</v>
      </c>
      <c r="EO38" t="e">
        <f>AND(Plan1!A642,"AAAAAHX3apA=")</f>
        <v>#VALUE!</v>
      </c>
      <c r="EP38" t="e">
        <f>AND(Plan1!B642,"AAAAAHX3apE=")</f>
        <v>#VALUE!</v>
      </c>
      <c r="EQ38" t="e">
        <f>AND(Plan1!C642,"AAAAAHX3apI=")</f>
        <v>#VALUE!</v>
      </c>
      <c r="ER38" t="e">
        <f>AND(Plan1!D642,"AAAAAHX3apM=")</f>
        <v>#VALUE!</v>
      </c>
      <c r="ES38" t="e">
        <f>AND(Plan1!E642,"AAAAAHX3apQ=")</f>
        <v>#VALUE!</v>
      </c>
      <c r="ET38" t="e">
        <f>AND(Plan1!F642,"AAAAAHX3apU=")</f>
        <v>#VALUE!</v>
      </c>
      <c r="EU38" t="e">
        <f>AND(Plan1!G642,"AAAAAHX3apY=")</f>
        <v>#VALUE!</v>
      </c>
      <c r="EV38" t="e">
        <f>AND(Plan1!H642,"AAAAAHX3apc=")</f>
        <v>#VALUE!</v>
      </c>
      <c r="EW38" t="e">
        <f>AND(Plan1!I642,"AAAAAHX3apg=")</f>
        <v>#VALUE!</v>
      </c>
      <c r="EX38" t="e">
        <f>AND(Plan1!J642,"AAAAAHX3apk=")</f>
        <v>#VALUE!</v>
      </c>
      <c r="EY38" t="e">
        <f>AND(Plan1!K642,"AAAAAHX3apo=")</f>
        <v>#VALUE!</v>
      </c>
      <c r="EZ38" t="e">
        <f>AND(Plan1!L642,"AAAAAHX3aps=")</f>
        <v>#VALUE!</v>
      </c>
      <c r="FA38" t="e">
        <f>AND(Plan1!M642,"AAAAAHX3apw=")</f>
        <v>#VALUE!</v>
      </c>
      <c r="FB38" t="e">
        <f>AND(Plan1!N642,"AAAAAHX3ap0=")</f>
        <v>#VALUE!</v>
      </c>
      <c r="FC38">
        <f>IF(Plan1!643:643,"AAAAAHX3ap4=",0)</f>
        <v>0</v>
      </c>
      <c r="FD38" t="e">
        <f>AND(Plan1!A643,"AAAAAHX3ap8=")</f>
        <v>#VALUE!</v>
      </c>
      <c r="FE38" t="e">
        <f>AND(Plan1!B643,"AAAAAHX3aqA=")</f>
        <v>#VALUE!</v>
      </c>
      <c r="FF38" t="e">
        <f>AND(Plan1!C643,"AAAAAHX3aqE=")</f>
        <v>#VALUE!</v>
      </c>
      <c r="FG38" t="e">
        <f>AND(Plan1!D643,"AAAAAHX3aqI=")</f>
        <v>#VALUE!</v>
      </c>
      <c r="FH38" t="e">
        <f>AND(Plan1!E643,"AAAAAHX3aqM=")</f>
        <v>#VALUE!</v>
      </c>
      <c r="FI38" t="e">
        <f>AND(Plan1!F643,"AAAAAHX3aqQ=")</f>
        <v>#VALUE!</v>
      </c>
      <c r="FJ38" t="e">
        <f>AND(Plan1!G643,"AAAAAHX3aqU=")</f>
        <v>#VALUE!</v>
      </c>
      <c r="FK38" t="e">
        <f>AND(Plan1!H643,"AAAAAHX3aqY=")</f>
        <v>#VALUE!</v>
      </c>
      <c r="FL38" t="e">
        <f>AND(Plan1!I643,"AAAAAHX3aqc=")</f>
        <v>#VALUE!</v>
      </c>
      <c r="FM38" t="e">
        <f>AND(Plan1!J643,"AAAAAHX3aqg=")</f>
        <v>#VALUE!</v>
      </c>
      <c r="FN38" t="e">
        <f>AND(Plan1!K643,"AAAAAHX3aqk=")</f>
        <v>#VALUE!</v>
      </c>
      <c r="FO38" t="e">
        <f>AND(Plan1!L643,"AAAAAHX3aqo=")</f>
        <v>#VALUE!</v>
      </c>
      <c r="FP38" t="e">
        <f>AND(Plan1!M643,"AAAAAHX3aqs=")</f>
        <v>#VALUE!</v>
      </c>
      <c r="FQ38" t="e">
        <f>AND(Plan1!N643,"AAAAAHX3aqw=")</f>
        <v>#VALUE!</v>
      </c>
      <c r="FR38">
        <f>IF(Plan1!644:644,"AAAAAHX3aq0=",0)</f>
        <v>0</v>
      </c>
      <c r="FS38" t="e">
        <f>AND(Plan1!A644,"AAAAAHX3aq4=")</f>
        <v>#VALUE!</v>
      </c>
      <c r="FT38" t="e">
        <f>AND(Plan1!B644,"AAAAAHX3aq8=")</f>
        <v>#VALUE!</v>
      </c>
      <c r="FU38" t="e">
        <f>AND(Plan1!C644,"AAAAAHX3arA=")</f>
        <v>#VALUE!</v>
      </c>
      <c r="FV38" t="e">
        <f>AND(Plan1!D644,"AAAAAHX3arE=")</f>
        <v>#VALUE!</v>
      </c>
      <c r="FW38" t="e">
        <f>AND(Plan1!E644,"AAAAAHX3arI=")</f>
        <v>#VALUE!</v>
      </c>
      <c r="FX38" t="e">
        <f>AND(Plan1!F644,"AAAAAHX3arM=")</f>
        <v>#VALUE!</v>
      </c>
      <c r="FY38" t="e">
        <f>AND(Plan1!G644,"AAAAAHX3arQ=")</f>
        <v>#VALUE!</v>
      </c>
      <c r="FZ38" t="e">
        <f>AND(Plan1!H644,"AAAAAHX3arU=")</f>
        <v>#VALUE!</v>
      </c>
      <c r="GA38" t="e">
        <f>AND(Plan1!I644,"AAAAAHX3arY=")</f>
        <v>#VALUE!</v>
      </c>
      <c r="GB38" t="e">
        <f>AND(Plan1!J644,"AAAAAHX3arc=")</f>
        <v>#VALUE!</v>
      </c>
      <c r="GC38" t="e">
        <f>AND(Plan1!K644,"AAAAAHX3arg=")</f>
        <v>#VALUE!</v>
      </c>
      <c r="GD38" t="e">
        <f>AND(Plan1!L644,"AAAAAHX3ark=")</f>
        <v>#VALUE!</v>
      </c>
      <c r="GE38" t="e">
        <f>AND(Plan1!M644,"AAAAAHX3aro=")</f>
        <v>#VALUE!</v>
      </c>
      <c r="GF38" t="e">
        <f>AND(Plan1!N644,"AAAAAHX3ars=")</f>
        <v>#VALUE!</v>
      </c>
      <c r="GG38">
        <f>IF(Plan1!645:645,"AAAAAHX3arw=",0)</f>
        <v>0</v>
      </c>
      <c r="GH38" t="e">
        <f>AND(Plan1!A645,"AAAAAHX3ar0=")</f>
        <v>#VALUE!</v>
      </c>
      <c r="GI38" t="e">
        <f>AND(Plan1!B645,"AAAAAHX3ar4=")</f>
        <v>#VALUE!</v>
      </c>
      <c r="GJ38" t="e">
        <f>AND(Plan1!C645,"AAAAAHX3ar8=")</f>
        <v>#VALUE!</v>
      </c>
      <c r="GK38" t="e">
        <f>AND(Plan1!D645,"AAAAAHX3asA=")</f>
        <v>#VALUE!</v>
      </c>
      <c r="GL38" t="e">
        <f>AND(Plan1!E645,"AAAAAHX3asE=")</f>
        <v>#VALUE!</v>
      </c>
      <c r="GM38" t="e">
        <f>AND(Plan1!F645,"AAAAAHX3asI=")</f>
        <v>#VALUE!</v>
      </c>
      <c r="GN38" t="e">
        <f>AND(Plan1!G645,"AAAAAHX3asM=")</f>
        <v>#VALUE!</v>
      </c>
      <c r="GO38" t="e">
        <f>AND(Plan1!H645,"AAAAAHX3asQ=")</f>
        <v>#VALUE!</v>
      </c>
      <c r="GP38" t="e">
        <f>AND(Plan1!I645,"AAAAAHX3asU=")</f>
        <v>#VALUE!</v>
      </c>
      <c r="GQ38" t="e">
        <f>AND(Plan1!J645,"AAAAAHX3asY=")</f>
        <v>#VALUE!</v>
      </c>
      <c r="GR38" t="e">
        <f>AND(Plan1!K645,"AAAAAHX3asc=")</f>
        <v>#VALUE!</v>
      </c>
      <c r="GS38" t="e">
        <f>AND(Plan1!L645,"AAAAAHX3asg=")</f>
        <v>#VALUE!</v>
      </c>
      <c r="GT38" t="e">
        <f>AND(Plan1!M645,"AAAAAHX3ask=")</f>
        <v>#VALUE!</v>
      </c>
      <c r="GU38" t="e">
        <f>AND(Plan1!N645,"AAAAAHX3aso=")</f>
        <v>#VALUE!</v>
      </c>
      <c r="GV38">
        <f>IF(Plan1!646:646,"AAAAAHX3ass=",0)</f>
        <v>0</v>
      </c>
      <c r="GW38" t="e">
        <f>AND(Plan1!A646,"AAAAAHX3asw=")</f>
        <v>#VALUE!</v>
      </c>
      <c r="GX38" t="e">
        <f>AND(Plan1!B646,"AAAAAHX3as0=")</f>
        <v>#VALUE!</v>
      </c>
      <c r="GY38" t="e">
        <f>AND(Plan1!C646,"AAAAAHX3as4=")</f>
        <v>#VALUE!</v>
      </c>
      <c r="GZ38" t="e">
        <f>AND(Plan1!D646,"AAAAAHX3as8=")</f>
        <v>#VALUE!</v>
      </c>
      <c r="HA38" t="e">
        <f>AND(Plan1!E646,"AAAAAHX3atA=")</f>
        <v>#VALUE!</v>
      </c>
      <c r="HB38" t="e">
        <f>AND(Plan1!F646,"AAAAAHX3atE=")</f>
        <v>#VALUE!</v>
      </c>
      <c r="HC38" t="e">
        <f>AND(Plan1!G646,"AAAAAHX3atI=")</f>
        <v>#VALUE!</v>
      </c>
      <c r="HD38" t="e">
        <f>AND(Plan1!H646,"AAAAAHX3atM=")</f>
        <v>#VALUE!</v>
      </c>
      <c r="HE38" t="e">
        <f>AND(Plan1!I646,"AAAAAHX3atQ=")</f>
        <v>#VALUE!</v>
      </c>
      <c r="HF38" t="e">
        <f>AND(Plan1!J646,"AAAAAHX3atU=")</f>
        <v>#VALUE!</v>
      </c>
      <c r="HG38" t="e">
        <f>AND(Plan1!K646,"AAAAAHX3atY=")</f>
        <v>#VALUE!</v>
      </c>
      <c r="HH38" t="e">
        <f>AND(Plan1!L646,"AAAAAHX3atc=")</f>
        <v>#VALUE!</v>
      </c>
      <c r="HI38" t="e">
        <f>AND(Plan1!M646,"AAAAAHX3atg=")</f>
        <v>#VALUE!</v>
      </c>
      <c r="HJ38" t="e">
        <f>AND(Plan1!N646,"AAAAAHX3atk=")</f>
        <v>#VALUE!</v>
      </c>
      <c r="HK38">
        <f>IF(Plan1!647:647,"AAAAAHX3ato=",0)</f>
        <v>0</v>
      </c>
      <c r="HL38" t="e">
        <f>AND(Plan1!A647,"AAAAAHX3ats=")</f>
        <v>#VALUE!</v>
      </c>
      <c r="HM38" t="e">
        <f>AND(Plan1!B647,"AAAAAHX3atw=")</f>
        <v>#VALUE!</v>
      </c>
      <c r="HN38" t="e">
        <f>AND(Plan1!C647,"AAAAAHX3at0=")</f>
        <v>#VALUE!</v>
      </c>
      <c r="HO38" t="e">
        <f>AND(Plan1!D647,"AAAAAHX3at4=")</f>
        <v>#VALUE!</v>
      </c>
      <c r="HP38" t="e">
        <f>AND(Plan1!E647,"AAAAAHX3at8=")</f>
        <v>#VALUE!</v>
      </c>
      <c r="HQ38" t="e">
        <f>AND(Plan1!F647,"AAAAAHX3auA=")</f>
        <v>#VALUE!</v>
      </c>
      <c r="HR38" t="e">
        <f>AND(Plan1!G647,"AAAAAHX3auE=")</f>
        <v>#VALUE!</v>
      </c>
      <c r="HS38" t="e">
        <f>AND(Plan1!H647,"AAAAAHX3auI=")</f>
        <v>#VALUE!</v>
      </c>
      <c r="HT38" t="e">
        <f>AND(Plan1!I647,"AAAAAHX3auM=")</f>
        <v>#VALUE!</v>
      </c>
      <c r="HU38" t="e">
        <f>AND(Plan1!J647,"AAAAAHX3auQ=")</f>
        <v>#VALUE!</v>
      </c>
      <c r="HV38" t="e">
        <f>AND(Plan1!K647,"AAAAAHX3auU=")</f>
        <v>#VALUE!</v>
      </c>
      <c r="HW38" t="e">
        <f>AND(Plan1!L647,"AAAAAHX3auY=")</f>
        <v>#VALUE!</v>
      </c>
      <c r="HX38" t="e">
        <f>AND(Plan1!M647,"AAAAAHX3auc=")</f>
        <v>#VALUE!</v>
      </c>
      <c r="HY38" t="e">
        <f>AND(Plan1!N647,"AAAAAHX3aug=")</f>
        <v>#VALUE!</v>
      </c>
      <c r="HZ38">
        <f>IF(Plan1!648:648,"AAAAAHX3auk=",0)</f>
        <v>0</v>
      </c>
      <c r="IA38" t="e">
        <f>AND(Plan1!A648,"AAAAAHX3auo=")</f>
        <v>#VALUE!</v>
      </c>
      <c r="IB38" t="e">
        <f>AND(Plan1!B648,"AAAAAHX3aus=")</f>
        <v>#VALUE!</v>
      </c>
      <c r="IC38" t="e">
        <f>AND(Plan1!C648,"AAAAAHX3auw=")</f>
        <v>#VALUE!</v>
      </c>
      <c r="ID38" t="e">
        <f>AND(Plan1!D648,"AAAAAHX3au0=")</f>
        <v>#VALUE!</v>
      </c>
      <c r="IE38" t="e">
        <f>AND(Plan1!E648,"AAAAAHX3au4=")</f>
        <v>#VALUE!</v>
      </c>
      <c r="IF38" t="e">
        <f>AND(Plan1!F648,"AAAAAHX3au8=")</f>
        <v>#VALUE!</v>
      </c>
      <c r="IG38" t="e">
        <f>AND(Plan1!G648,"AAAAAHX3avA=")</f>
        <v>#VALUE!</v>
      </c>
      <c r="IH38" t="e">
        <f>AND(Plan1!H648,"AAAAAHX3avE=")</f>
        <v>#VALUE!</v>
      </c>
      <c r="II38" t="e">
        <f>AND(Plan1!I648,"AAAAAHX3avI=")</f>
        <v>#VALUE!</v>
      </c>
      <c r="IJ38" t="e">
        <f>AND(Plan1!J648,"AAAAAHX3avM=")</f>
        <v>#VALUE!</v>
      </c>
      <c r="IK38" t="e">
        <f>AND(Plan1!K648,"AAAAAHX3avQ=")</f>
        <v>#VALUE!</v>
      </c>
      <c r="IL38" t="e">
        <f>AND(Plan1!L648,"AAAAAHX3avU=")</f>
        <v>#VALUE!</v>
      </c>
      <c r="IM38" t="e">
        <f>AND(Plan1!M648,"AAAAAHX3avY=")</f>
        <v>#VALUE!</v>
      </c>
      <c r="IN38" t="e">
        <f>AND(Plan1!N648,"AAAAAHX3avc=")</f>
        <v>#VALUE!</v>
      </c>
      <c r="IO38">
        <f>IF(Plan1!649:649,"AAAAAHX3avg=",0)</f>
        <v>0</v>
      </c>
      <c r="IP38" t="e">
        <f>AND(Plan1!A649,"AAAAAHX3avk=")</f>
        <v>#VALUE!</v>
      </c>
      <c r="IQ38" t="e">
        <f>AND(Plan1!B649,"AAAAAHX3avo=")</f>
        <v>#VALUE!</v>
      </c>
      <c r="IR38" t="e">
        <f>AND(Plan1!C649,"AAAAAHX3avs=")</f>
        <v>#VALUE!</v>
      </c>
      <c r="IS38" t="e">
        <f>AND(Plan1!D649,"AAAAAHX3avw=")</f>
        <v>#VALUE!</v>
      </c>
      <c r="IT38" t="e">
        <f>AND(Plan1!E649,"AAAAAHX3av0=")</f>
        <v>#VALUE!</v>
      </c>
      <c r="IU38" t="e">
        <f>AND(Plan1!F649,"AAAAAHX3av4=")</f>
        <v>#VALUE!</v>
      </c>
      <c r="IV38" t="e">
        <f>AND(Plan1!G649,"AAAAAHX3av8=")</f>
        <v>#VALUE!</v>
      </c>
    </row>
    <row r="39" spans="1:256">
      <c r="A39" t="e">
        <f>AND(Plan1!H649,"AAAAAH5+5wA=")</f>
        <v>#VALUE!</v>
      </c>
      <c r="B39" t="e">
        <f>AND(Plan1!I649,"AAAAAH5+5wE=")</f>
        <v>#VALUE!</v>
      </c>
      <c r="C39" t="e">
        <f>AND(Plan1!J649,"AAAAAH5+5wI=")</f>
        <v>#VALUE!</v>
      </c>
      <c r="D39" t="e">
        <f>AND(Plan1!K649,"AAAAAH5+5wM=")</f>
        <v>#VALUE!</v>
      </c>
      <c r="E39" t="e">
        <f>AND(Plan1!L649,"AAAAAH5+5wQ=")</f>
        <v>#VALUE!</v>
      </c>
      <c r="F39" t="e">
        <f>AND(Plan1!M649,"AAAAAH5+5wU=")</f>
        <v>#VALUE!</v>
      </c>
      <c r="G39" t="e">
        <f>AND(Plan1!N649,"AAAAAH5+5wY=")</f>
        <v>#VALUE!</v>
      </c>
      <c r="H39" t="str">
        <f>IF(Plan1!650:650,"AAAAAH5+5wc=",0)</f>
        <v>AAAAAH5+5wc=</v>
      </c>
      <c r="I39" t="e">
        <f>AND(Plan1!A650,"AAAAAH5+5wg=")</f>
        <v>#VALUE!</v>
      </c>
      <c r="J39" t="e">
        <f>AND(Plan1!B650,"AAAAAH5+5wk=")</f>
        <v>#VALUE!</v>
      </c>
      <c r="K39" t="e">
        <f>AND(Plan1!C650,"AAAAAH5+5wo=")</f>
        <v>#VALUE!</v>
      </c>
      <c r="L39" t="e">
        <f>AND(Plan1!D650,"AAAAAH5+5ws=")</f>
        <v>#VALUE!</v>
      </c>
      <c r="M39" t="e">
        <f>AND(Plan1!E650,"AAAAAH5+5ww=")</f>
        <v>#VALUE!</v>
      </c>
      <c r="N39" t="e">
        <f>AND(Plan1!F650,"AAAAAH5+5w0=")</f>
        <v>#VALUE!</v>
      </c>
      <c r="O39" t="e">
        <f>AND(Plan1!G650,"AAAAAH5+5w4=")</f>
        <v>#VALUE!</v>
      </c>
      <c r="P39" t="e">
        <f>AND(Plan1!H650,"AAAAAH5+5w8=")</f>
        <v>#VALUE!</v>
      </c>
      <c r="Q39" t="e">
        <f>AND(Plan1!I650,"AAAAAH5+5xA=")</f>
        <v>#VALUE!</v>
      </c>
      <c r="R39" t="e">
        <f>AND(Plan1!J650,"AAAAAH5+5xE=")</f>
        <v>#VALUE!</v>
      </c>
      <c r="S39" t="e">
        <f>AND(Plan1!K650,"AAAAAH5+5xI=")</f>
        <v>#VALUE!</v>
      </c>
      <c r="T39" t="e">
        <f>AND(Plan1!L650,"AAAAAH5+5xM=")</f>
        <v>#VALUE!</v>
      </c>
      <c r="U39" t="e">
        <f>AND(Plan1!M650,"AAAAAH5+5xQ=")</f>
        <v>#VALUE!</v>
      </c>
      <c r="V39" t="e">
        <f>AND(Plan1!N650,"AAAAAH5+5xU=")</f>
        <v>#VALUE!</v>
      </c>
      <c r="W39">
        <f>IF(Plan1!651:651,"AAAAAH5+5xY=",0)</f>
        <v>0</v>
      </c>
      <c r="X39" t="e">
        <f>AND(Plan1!A651,"AAAAAH5+5xc=")</f>
        <v>#VALUE!</v>
      </c>
      <c r="Y39" t="e">
        <f>AND(Plan1!B651,"AAAAAH5+5xg=")</f>
        <v>#VALUE!</v>
      </c>
      <c r="Z39" t="e">
        <f>AND(Plan1!C651,"AAAAAH5+5xk=")</f>
        <v>#VALUE!</v>
      </c>
      <c r="AA39" t="e">
        <f>AND(Plan1!D651,"AAAAAH5+5xo=")</f>
        <v>#VALUE!</v>
      </c>
      <c r="AB39" t="e">
        <f>AND(Plan1!E651,"AAAAAH5+5xs=")</f>
        <v>#VALUE!</v>
      </c>
      <c r="AC39" t="e">
        <f>AND(Plan1!F651,"AAAAAH5+5xw=")</f>
        <v>#VALUE!</v>
      </c>
      <c r="AD39" t="e">
        <f>AND(Plan1!G651,"AAAAAH5+5x0=")</f>
        <v>#VALUE!</v>
      </c>
      <c r="AE39" t="e">
        <f>AND(Plan1!H651,"AAAAAH5+5x4=")</f>
        <v>#VALUE!</v>
      </c>
      <c r="AF39" t="e">
        <f>AND(Plan1!I651,"AAAAAH5+5x8=")</f>
        <v>#VALUE!</v>
      </c>
      <c r="AG39" t="e">
        <f>AND(Plan1!J651,"AAAAAH5+5yA=")</f>
        <v>#VALUE!</v>
      </c>
      <c r="AH39" t="e">
        <f>AND(Plan1!K651,"AAAAAH5+5yE=")</f>
        <v>#VALUE!</v>
      </c>
      <c r="AI39" t="e">
        <f>AND(Plan1!L651,"AAAAAH5+5yI=")</f>
        <v>#VALUE!</v>
      </c>
      <c r="AJ39" t="e">
        <f>AND(Plan1!M651,"AAAAAH5+5yM=")</f>
        <v>#VALUE!</v>
      </c>
      <c r="AK39" t="e">
        <f>AND(Plan1!N651,"AAAAAH5+5yQ=")</f>
        <v>#VALUE!</v>
      </c>
      <c r="AL39">
        <f>IF(Plan1!652:652,"AAAAAH5+5yU=",0)</f>
        <v>0</v>
      </c>
      <c r="AM39" t="e">
        <f>AND(Plan1!A652,"AAAAAH5+5yY=")</f>
        <v>#VALUE!</v>
      </c>
      <c r="AN39" t="e">
        <f>AND(Plan1!B652,"AAAAAH5+5yc=")</f>
        <v>#VALUE!</v>
      </c>
      <c r="AO39" t="e">
        <f>AND(Plan1!C652,"AAAAAH5+5yg=")</f>
        <v>#VALUE!</v>
      </c>
      <c r="AP39" t="e">
        <f>AND(Plan1!D652,"AAAAAH5+5yk=")</f>
        <v>#VALUE!</v>
      </c>
      <c r="AQ39" t="e">
        <f>AND(Plan1!E652,"AAAAAH5+5yo=")</f>
        <v>#VALUE!</v>
      </c>
      <c r="AR39" t="e">
        <f>AND(Plan1!F652,"AAAAAH5+5ys=")</f>
        <v>#VALUE!</v>
      </c>
      <c r="AS39" t="e">
        <f>AND(Plan1!G652,"AAAAAH5+5yw=")</f>
        <v>#VALUE!</v>
      </c>
      <c r="AT39" t="e">
        <f>AND(Plan1!H652,"AAAAAH5+5y0=")</f>
        <v>#VALUE!</v>
      </c>
      <c r="AU39" t="e">
        <f>AND(Plan1!I652,"AAAAAH5+5y4=")</f>
        <v>#VALUE!</v>
      </c>
      <c r="AV39" t="e">
        <f>AND(Plan1!J652,"AAAAAH5+5y8=")</f>
        <v>#VALUE!</v>
      </c>
      <c r="AW39" t="e">
        <f>AND(Plan1!K652,"AAAAAH5+5zA=")</f>
        <v>#VALUE!</v>
      </c>
      <c r="AX39" t="e">
        <f>AND(Plan1!L652,"AAAAAH5+5zE=")</f>
        <v>#VALUE!</v>
      </c>
      <c r="AY39" t="e">
        <f>AND(Plan1!M652,"AAAAAH5+5zI=")</f>
        <v>#VALUE!</v>
      </c>
      <c r="AZ39" t="e">
        <f>AND(Plan1!N652,"AAAAAH5+5zM=")</f>
        <v>#VALUE!</v>
      </c>
      <c r="BA39">
        <f>IF(Plan1!653:653,"AAAAAH5+5zQ=",0)</f>
        <v>0</v>
      </c>
      <c r="BB39" t="e">
        <f>AND(Plan1!A653,"AAAAAH5+5zU=")</f>
        <v>#VALUE!</v>
      </c>
      <c r="BC39" t="e">
        <f>AND(Plan1!B653,"AAAAAH5+5zY=")</f>
        <v>#VALUE!</v>
      </c>
      <c r="BD39" t="e">
        <f>AND(Plan1!C653,"AAAAAH5+5zc=")</f>
        <v>#VALUE!</v>
      </c>
      <c r="BE39" t="e">
        <f>AND(Plan1!D653,"AAAAAH5+5zg=")</f>
        <v>#VALUE!</v>
      </c>
      <c r="BF39" t="e">
        <f>AND(Plan1!E653,"AAAAAH5+5zk=")</f>
        <v>#VALUE!</v>
      </c>
      <c r="BG39" t="e">
        <f>AND(Plan1!F653,"AAAAAH5+5zo=")</f>
        <v>#VALUE!</v>
      </c>
      <c r="BH39" t="e">
        <f>AND(Plan1!G653,"AAAAAH5+5zs=")</f>
        <v>#VALUE!</v>
      </c>
      <c r="BI39" t="e">
        <f>AND(Plan1!H653,"AAAAAH5+5zw=")</f>
        <v>#VALUE!</v>
      </c>
      <c r="BJ39" t="e">
        <f>AND(Plan1!I653,"AAAAAH5+5z0=")</f>
        <v>#VALUE!</v>
      </c>
      <c r="BK39" t="e">
        <f>AND(Plan1!J653,"AAAAAH5+5z4=")</f>
        <v>#VALUE!</v>
      </c>
      <c r="BL39" t="e">
        <f>AND(Plan1!K653,"AAAAAH5+5z8=")</f>
        <v>#VALUE!</v>
      </c>
      <c r="BM39" t="e">
        <f>AND(Plan1!L653,"AAAAAH5+50A=")</f>
        <v>#VALUE!</v>
      </c>
      <c r="BN39" t="e">
        <f>AND(Plan1!M653,"AAAAAH5+50E=")</f>
        <v>#VALUE!</v>
      </c>
      <c r="BO39" t="e">
        <f>AND(Plan1!N653,"AAAAAH5+50I=")</f>
        <v>#VALUE!</v>
      </c>
      <c r="BP39">
        <f>IF(Plan1!654:654,"AAAAAH5+50M=",0)</f>
        <v>0</v>
      </c>
      <c r="BQ39" t="e">
        <f>AND(Plan1!A654,"AAAAAH5+50Q=")</f>
        <v>#VALUE!</v>
      </c>
      <c r="BR39" t="e">
        <f>AND(Plan1!B654,"AAAAAH5+50U=")</f>
        <v>#VALUE!</v>
      </c>
      <c r="BS39" t="e">
        <f>AND(Plan1!C654,"AAAAAH5+50Y=")</f>
        <v>#VALUE!</v>
      </c>
      <c r="BT39" t="e">
        <f>AND(Plan1!D654,"AAAAAH5+50c=")</f>
        <v>#VALUE!</v>
      </c>
      <c r="BU39" t="e">
        <f>AND(Plan1!E654,"AAAAAH5+50g=")</f>
        <v>#VALUE!</v>
      </c>
      <c r="BV39" t="e">
        <f>AND(Plan1!F654,"AAAAAH5+50k=")</f>
        <v>#VALUE!</v>
      </c>
      <c r="BW39" t="e">
        <f>AND(Plan1!G654,"AAAAAH5+50o=")</f>
        <v>#VALUE!</v>
      </c>
      <c r="BX39" t="e">
        <f>AND(Plan1!H654,"AAAAAH5+50s=")</f>
        <v>#VALUE!</v>
      </c>
      <c r="BY39" t="e">
        <f>AND(Plan1!I654,"AAAAAH5+50w=")</f>
        <v>#VALUE!</v>
      </c>
      <c r="BZ39" t="e">
        <f>AND(Plan1!J654,"AAAAAH5+500=")</f>
        <v>#VALUE!</v>
      </c>
      <c r="CA39" t="e">
        <f>AND(Plan1!K654,"AAAAAH5+504=")</f>
        <v>#VALUE!</v>
      </c>
      <c r="CB39" t="e">
        <f>AND(Plan1!L654,"AAAAAH5+508=")</f>
        <v>#VALUE!</v>
      </c>
      <c r="CC39" t="e">
        <f>AND(Plan1!M654,"AAAAAH5+51A=")</f>
        <v>#VALUE!</v>
      </c>
      <c r="CD39" t="e">
        <f>AND(Plan1!N654,"AAAAAH5+51E=")</f>
        <v>#VALUE!</v>
      </c>
      <c r="CE39">
        <f>IF(Plan1!655:655,"AAAAAH5+51I=",0)</f>
        <v>0</v>
      </c>
      <c r="CF39" t="e">
        <f>AND(Plan1!A655,"AAAAAH5+51M=")</f>
        <v>#VALUE!</v>
      </c>
      <c r="CG39" t="e">
        <f>AND(Plan1!B655,"AAAAAH5+51Q=")</f>
        <v>#VALUE!</v>
      </c>
      <c r="CH39" t="e">
        <f>AND(Plan1!C655,"AAAAAH5+51U=")</f>
        <v>#VALUE!</v>
      </c>
      <c r="CI39" t="e">
        <f>AND(Plan1!D655,"AAAAAH5+51Y=")</f>
        <v>#VALUE!</v>
      </c>
      <c r="CJ39" t="e">
        <f>AND(Plan1!E655,"AAAAAH5+51c=")</f>
        <v>#VALUE!</v>
      </c>
      <c r="CK39" t="e">
        <f>AND(Plan1!F655,"AAAAAH5+51g=")</f>
        <v>#VALUE!</v>
      </c>
      <c r="CL39" t="e">
        <f>AND(Plan1!G655,"AAAAAH5+51k=")</f>
        <v>#VALUE!</v>
      </c>
      <c r="CM39" t="e">
        <f>AND(Plan1!H655,"AAAAAH5+51o=")</f>
        <v>#VALUE!</v>
      </c>
      <c r="CN39" t="e">
        <f>AND(Plan1!I655,"AAAAAH5+51s=")</f>
        <v>#VALUE!</v>
      </c>
      <c r="CO39" t="e">
        <f>AND(Plan1!J655,"AAAAAH5+51w=")</f>
        <v>#VALUE!</v>
      </c>
      <c r="CP39" t="e">
        <f>AND(Plan1!K655,"AAAAAH5+510=")</f>
        <v>#VALUE!</v>
      </c>
      <c r="CQ39" t="e">
        <f>AND(Plan1!L655,"AAAAAH5+514=")</f>
        <v>#VALUE!</v>
      </c>
      <c r="CR39" t="e">
        <f>AND(Plan1!M655,"AAAAAH5+518=")</f>
        <v>#VALUE!</v>
      </c>
      <c r="CS39" t="e">
        <f>AND(Plan1!N655,"AAAAAH5+52A=")</f>
        <v>#VALUE!</v>
      </c>
      <c r="CT39">
        <f>IF(Plan1!656:656,"AAAAAH5+52E=",0)</f>
        <v>0</v>
      </c>
      <c r="CU39" t="e">
        <f>AND(Plan1!A656,"AAAAAH5+52I=")</f>
        <v>#VALUE!</v>
      </c>
      <c r="CV39" t="e">
        <f>AND(Plan1!B656,"AAAAAH5+52M=")</f>
        <v>#VALUE!</v>
      </c>
      <c r="CW39" t="e">
        <f>AND(Plan1!C656,"AAAAAH5+52Q=")</f>
        <v>#VALUE!</v>
      </c>
      <c r="CX39" t="e">
        <f>AND(Plan1!D656,"AAAAAH5+52U=")</f>
        <v>#VALUE!</v>
      </c>
      <c r="CY39" t="e">
        <f>AND(Plan1!E656,"AAAAAH5+52Y=")</f>
        <v>#VALUE!</v>
      </c>
      <c r="CZ39" t="e">
        <f>AND(Plan1!F656,"AAAAAH5+52c=")</f>
        <v>#VALUE!</v>
      </c>
      <c r="DA39" t="e">
        <f>AND(Plan1!G656,"AAAAAH5+52g=")</f>
        <v>#VALUE!</v>
      </c>
      <c r="DB39" t="e">
        <f>AND(Plan1!H656,"AAAAAH5+52k=")</f>
        <v>#VALUE!</v>
      </c>
      <c r="DC39" t="e">
        <f>AND(Plan1!I656,"AAAAAH5+52o=")</f>
        <v>#VALUE!</v>
      </c>
      <c r="DD39" t="e">
        <f>AND(Plan1!J656,"AAAAAH5+52s=")</f>
        <v>#VALUE!</v>
      </c>
      <c r="DE39" t="e">
        <f>AND(Plan1!K656,"AAAAAH5+52w=")</f>
        <v>#VALUE!</v>
      </c>
      <c r="DF39" t="e">
        <f>AND(Plan1!L656,"AAAAAH5+520=")</f>
        <v>#VALUE!</v>
      </c>
      <c r="DG39" t="e">
        <f>AND(Plan1!M656,"AAAAAH5+524=")</f>
        <v>#VALUE!</v>
      </c>
      <c r="DH39" t="e">
        <f>AND(Plan1!N656,"AAAAAH5+528=")</f>
        <v>#VALUE!</v>
      </c>
      <c r="DI39">
        <f>IF(Plan1!657:657,"AAAAAH5+53A=",0)</f>
        <v>0</v>
      </c>
      <c r="DJ39" t="e">
        <f>AND(Plan1!A657,"AAAAAH5+53E=")</f>
        <v>#VALUE!</v>
      </c>
      <c r="DK39" t="e">
        <f>AND(Plan1!B657,"AAAAAH5+53I=")</f>
        <v>#VALUE!</v>
      </c>
      <c r="DL39" t="e">
        <f>AND(Plan1!C657,"AAAAAH5+53M=")</f>
        <v>#VALUE!</v>
      </c>
      <c r="DM39" t="e">
        <f>AND(Plan1!D657,"AAAAAH5+53Q=")</f>
        <v>#VALUE!</v>
      </c>
      <c r="DN39" t="e">
        <f>AND(Plan1!E657,"AAAAAH5+53U=")</f>
        <v>#VALUE!</v>
      </c>
      <c r="DO39" t="e">
        <f>AND(Plan1!F657,"AAAAAH5+53Y=")</f>
        <v>#VALUE!</v>
      </c>
      <c r="DP39" t="e">
        <f>AND(Plan1!G657,"AAAAAH5+53c=")</f>
        <v>#VALUE!</v>
      </c>
      <c r="DQ39" t="e">
        <f>AND(Plan1!H657,"AAAAAH5+53g=")</f>
        <v>#VALUE!</v>
      </c>
      <c r="DR39" t="e">
        <f>AND(Plan1!I657,"AAAAAH5+53k=")</f>
        <v>#VALUE!</v>
      </c>
      <c r="DS39" t="e">
        <f>AND(Plan1!J657,"AAAAAH5+53o=")</f>
        <v>#VALUE!</v>
      </c>
      <c r="DT39" t="e">
        <f>AND(Plan1!K657,"AAAAAH5+53s=")</f>
        <v>#VALUE!</v>
      </c>
      <c r="DU39" t="e">
        <f>AND(Plan1!L657,"AAAAAH5+53w=")</f>
        <v>#VALUE!</v>
      </c>
      <c r="DV39" t="e">
        <f>AND(Plan1!M657,"AAAAAH5+530=")</f>
        <v>#VALUE!</v>
      </c>
      <c r="DW39" t="e">
        <f>AND(Plan1!N657,"AAAAAH5+534=")</f>
        <v>#VALUE!</v>
      </c>
      <c r="DX39">
        <f>IF(Plan1!658:658,"AAAAAH5+538=",0)</f>
        <v>0</v>
      </c>
      <c r="DY39" t="e">
        <f>AND(Plan1!A658,"AAAAAH5+54A=")</f>
        <v>#VALUE!</v>
      </c>
      <c r="DZ39" t="e">
        <f>AND(Plan1!B658,"AAAAAH5+54E=")</f>
        <v>#VALUE!</v>
      </c>
      <c r="EA39" t="e">
        <f>AND(Plan1!C658,"AAAAAH5+54I=")</f>
        <v>#VALUE!</v>
      </c>
      <c r="EB39" t="e">
        <f>AND(Plan1!D658,"AAAAAH5+54M=")</f>
        <v>#VALUE!</v>
      </c>
      <c r="EC39" t="e">
        <f>AND(Plan1!E658,"AAAAAH5+54Q=")</f>
        <v>#VALUE!</v>
      </c>
      <c r="ED39" t="e">
        <f>AND(Plan1!F658,"AAAAAH5+54U=")</f>
        <v>#VALUE!</v>
      </c>
      <c r="EE39" t="e">
        <f>AND(Plan1!G658,"AAAAAH5+54Y=")</f>
        <v>#VALUE!</v>
      </c>
      <c r="EF39" t="e">
        <f>AND(Plan1!H658,"AAAAAH5+54c=")</f>
        <v>#VALUE!</v>
      </c>
      <c r="EG39" t="e">
        <f>AND(Plan1!I658,"AAAAAH5+54g=")</f>
        <v>#VALUE!</v>
      </c>
      <c r="EH39" t="e">
        <f>AND(Plan1!J658,"AAAAAH5+54k=")</f>
        <v>#VALUE!</v>
      </c>
      <c r="EI39" t="e">
        <f>AND(Plan1!K658,"AAAAAH5+54o=")</f>
        <v>#VALUE!</v>
      </c>
      <c r="EJ39" t="e">
        <f>AND(Plan1!L658,"AAAAAH5+54s=")</f>
        <v>#VALUE!</v>
      </c>
      <c r="EK39" t="e">
        <f>AND(Plan1!M658,"AAAAAH5+54w=")</f>
        <v>#VALUE!</v>
      </c>
      <c r="EL39" t="e">
        <f>AND(Plan1!N658,"AAAAAH5+540=")</f>
        <v>#VALUE!</v>
      </c>
      <c r="EM39">
        <f>IF(Plan1!659:659,"AAAAAH5+544=",0)</f>
        <v>0</v>
      </c>
      <c r="EN39" t="e">
        <f>AND(Plan1!A659,"AAAAAH5+548=")</f>
        <v>#VALUE!</v>
      </c>
      <c r="EO39" t="e">
        <f>AND(Plan1!B659,"AAAAAH5+55A=")</f>
        <v>#VALUE!</v>
      </c>
      <c r="EP39" t="e">
        <f>AND(Plan1!C659,"AAAAAH5+55E=")</f>
        <v>#VALUE!</v>
      </c>
      <c r="EQ39" t="e">
        <f>AND(Plan1!D659,"AAAAAH5+55I=")</f>
        <v>#VALUE!</v>
      </c>
      <c r="ER39" t="e">
        <f>AND(Plan1!E659,"AAAAAH5+55M=")</f>
        <v>#VALUE!</v>
      </c>
      <c r="ES39" t="e">
        <f>AND(Plan1!F659,"AAAAAH5+55Q=")</f>
        <v>#VALUE!</v>
      </c>
      <c r="ET39" t="e">
        <f>AND(Plan1!G659,"AAAAAH5+55U=")</f>
        <v>#VALUE!</v>
      </c>
      <c r="EU39" t="e">
        <f>AND(Plan1!H659,"AAAAAH5+55Y=")</f>
        <v>#VALUE!</v>
      </c>
      <c r="EV39" t="e">
        <f>AND(Plan1!I659,"AAAAAH5+55c=")</f>
        <v>#VALUE!</v>
      </c>
      <c r="EW39" t="e">
        <f>AND(Plan1!J659,"AAAAAH5+55g=")</f>
        <v>#VALUE!</v>
      </c>
      <c r="EX39" t="e">
        <f>AND(Plan1!K659,"AAAAAH5+55k=")</f>
        <v>#VALUE!</v>
      </c>
      <c r="EY39" t="e">
        <f>AND(Plan1!L659,"AAAAAH5+55o=")</f>
        <v>#VALUE!</v>
      </c>
      <c r="EZ39" t="e">
        <f>AND(Plan1!M659,"AAAAAH5+55s=")</f>
        <v>#VALUE!</v>
      </c>
      <c r="FA39" t="e">
        <f>AND(Plan1!N659,"AAAAAH5+55w=")</f>
        <v>#VALUE!</v>
      </c>
      <c r="FB39">
        <f>IF(Plan1!660:660,"AAAAAH5+550=",0)</f>
        <v>0</v>
      </c>
      <c r="FC39" t="e">
        <f>AND(Plan1!A660,"AAAAAH5+554=")</f>
        <v>#VALUE!</v>
      </c>
      <c r="FD39" t="e">
        <f>AND(Plan1!B660,"AAAAAH5+558=")</f>
        <v>#VALUE!</v>
      </c>
      <c r="FE39" t="e">
        <f>AND(Plan1!C660,"AAAAAH5+56A=")</f>
        <v>#VALUE!</v>
      </c>
      <c r="FF39" t="e">
        <f>AND(Plan1!D660,"AAAAAH5+56E=")</f>
        <v>#VALUE!</v>
      </c>
      <c r="FG39" t="e">
        <f>AND(Plan1!E660,"AAAAAH5+56I=")</f>
        <v>#VALUE!</v>
      </c>
      <c r="FH39" t="e">
        <f>AND(Plan1!F660,"AAAAAH5+56M=")</f>
        <v>#VALUE!</v>
      </c>
      <c r="FI39" t="e">
        <f>AND(Plan1!G660,"AAAAAH5+56Q=")</f>
        <v>#VALUE!</v>
      </c>
      <c r="FJ39" t="e">
        <f>AND(Plan1!H660,"AAAAAH5+56U=")</f>
        <v>#VALUE!</v>
      </c>
      <c r="FK39" t="e">
        <f>AND(Plan1!I660,"AAAAAH5+56Y=")</f>
        <v>#VALUE!</v>
      </c>
      <c r="FL39" t="e">
        <f>AND(Plan1!J660,"AAAAAH5+56c=")</f>
        <v>#VALUE!</v>
      </c>
      <c r="FM39" t="e">
        <f>AND(Plan1!K660,"AAAAAH5+56g=")</f>
        <v>#VALUE!</v>
      </c>
      <c r="FN39" t="e">
        <f>AND(Plan1!L660,"AAAAAH5+56k=")</f>
        <v>#VALUE!</v>
      </c>
      <c r="FO39" t="e">
        <f>AND(Plan1!M660,"AAAAAH5+56o=")</f>
        <v>#VALUE!</v>
      </c>
      <c r="FP39" t="e">
        <f>AND(Plan1!N660,"AAAAAH5+56s=")</f>
        <v>#VALUE!</v>
      </c>
      <c r="FQ39">
        <f>IF(Plan1!661:661,"AAAAAH5+56w=",0)</f>
        <v>0</v>
      </c>
      <c r="FR39" t="e">
        <f>AND(Plan1!A661,"AAAAAH5+560=")</f>
        <v>#VALUE!</v>
      </c>
      <c r="FS39" t="e">
        <f>AND(Plan1!B661,"AAAAAH5+564=")</f>
        <v>#VALUE!</v>
      </c>
      <c r="FT39" t="e">
        <f>AND(Plan1!C661,"AAAAAH5+568=")</f>
        <v>#VALUE!</v>
      </c>
      <c r="FU39" t="e">
        <f>AND(Plan1!D661,"AAAAAH5+57A=")</f>
        <v>#VALUE!</v>
      </c>
      <c r="FV39" t="e">
        <f>AND(Plan1!E661,"AAAAAH5+57E=")</f>
        <v>#VALUE!</v>
      </c>
      <c r="FW39" t="e">
        <f>AND(Plan1!F661,"AAAAAH5+57I=")</f>
        <v>#VALUE!</v>
      </c>
      <c r="FX39" t="e">
        <f>AND(Plan1!G661,"AAAAAH5+57M=")</f>
        <v>#VALUE!</v>
      </c>
      <c r="FY39" t="e">
        <f>AND(Plan1!H661,"AAAAAH5+57Q=")</f>
        <v>#VALUE!</v>
      </c>
      <c r="FZ39" t="e">
        <f>AND(Plan1!I661,"AAAAAH5+57U=")</f>
        <v>#VALUE!</v>
      </c>
      <c r="GA39" t="e">
        <f>AND(Plan1!J661,"AAAAAH5+57Y=")</f>
        <v>#VALUE!</v>
      </c>
      <c r="GB39" t="e">
        <f>AND(Plan1!K661,"AAAAAH5+57c=")</f>
        <v>#VALUE!</v>
      </c>
      <c r="GC39" t="e">
        <f>AND(Plan1!L661,"AAAAAH5+57g=")</f>
        <v>#VALUE!</v>
      </c>
      <c r="GD39" t="e">
        <f>AND(Plan1!M661,"AAAAAH5+57k=")</f>
        <v>#VALUE!</v>
      </c>
      <c r="GE39" t="e">
        <f>AND(Plan1!N661,"AAAAAH5+57o=")</f>
        <v>#VALUE!</v>
      </c>
      <c r="GF39">
        <f>IF(Plan1!662:662,"AAAAAH5+57s=",0)</f>
        <v>0</v>
      </c>
      <c r="GG39" t="e">
        <f>AND(Plan1!A662,"AAAAAH5+57w=")</f>
        <v>#VALUE!</v>
      </c>
      <c r="GH39" t="e">
        <f>AND(Plan1!B662,"AAAAAH5+570=")</f>
        <v>#VALUE!</v>
      </c>
      <c r="GI39" t="e">
        <f>AND(Plan1!C662,"AAAAAH5+574=")</f>
        <v>#VALUE!</v>
      </c>
      <c r="GJ39" t="e">
        <f>AND(Plan1!D662,"AAAAAH5+578=")</f>
        <v>#VALUE!</v>
      </c>
      <c r="GK39" t="e">
        <f>AND(Plan1!E662,"AAAAAH5+58A=")</f>
        <v>#VALUE!</v>
      </c>
      <c r="GL39" t="e">
        <f>AND(Plan1!F662,"AAAAAH5+58E=")</f>
        <v>#VALUE!</v>
      </c>
      <c r="GM39" t="e">
        <f>AND(Plan1!G662,"AAAAAH5+58I=")</f>
        <v>#VALUE!</v>
      </c>
      <c r="GN39" t="e">
        <f>AND(Plan1!H662,"AAAAAH5+58M=")</f>
        <v>#VALUE!</v>
      </c>
      <c r="GO39" t="e">
        <f>AND(Plan1!I662,"AAAAAH5+58Q=")</f>
        <v>#VALUE!</v>
      </c>
      <c r="GP39" t="e">
        <f>AND(Plan1!J662,"AAAAAH5+58U=")</f>
        <v>#VALUE!</v>
      </c>
      <c r="GQ39" t="e">
        <f>AND(Plan1!K662,"AAAAAH5+58Y=")</f>
        <v>#VALUE!</v>
      </c>
      <c r="GR39" t="e">
        <f>AND(Plan1!L662,"AAAAAH5+58c=")</f>
        <v>#VALUE!</v>
      </c>
      <c r="GS39" t="e">
        <f>AND(Plan1!M662,"AAAAAH5+58g=")</f>
        <v>#VALUE!</v>
      </c>
      <c r="GT39" t="e">
        <f>AND(Plan1!N662,"AAAAAH5+58k=")</f>
        <v>#VALUE!</v>
      </c>
      <c r="GU39">
        <f>IF(Plan1!663:663,"AAAAAH5+58o=",0)</f>
        <v>0</v>
      </c>
      <c r="GV39" t="e">
        <f>AND(Plan1!A663,"AAAAAH5+58s=")</f>
        <v>#VALUE!</v>
      </c>
      <c r="GW39" t="e">
        <f>AND(Plan1!B663,"AAAAAH5+58w=")</f>
        <v>#VALUE!</v>
      </c>
      <c r="GX39" t="e">
        <f>AND(Plan1!C663,"AAAAAH5+580=")</f>
        <v>#VALUE!</v>
      </c>
      <c r="GY39" t="e">
        <f>AND(Plan1!D663,"AAAAAH5+584=")</f>
        <v>#VALUE!</v>
      </c>
      <c r="GZ39" t="e">
        <f>AND(Plan1!E663,"AAAAAH5+588=")</f>
        <v>#VALUE!</v>
      </c>
      <c r="HA39" t="e">
        <f>AND(Plan1!F663,"AAAAAH5+59A=")</f>
        <v>#VALUE!</v>
      </c>
      <c r="HB39" t="e">
        <f>AND(Plan1!G663,"AAAAAH5+59E=")</f>
        <v>#VALUE!</v>
      </c>
      <c r="HC39" t="e">
        <f>AND(Plan1!H663,"AAAAAH5+59I=")</f>
        <v>#VALUE!</v>
      </c>
      <c r="HD39" t="e">
        <f>AND(Plan1!I663,"AAAAAH5+59M=")</f>
        <v>#VALUE!</v>
      </c>
      <c r="HE39" t="e">
        <f>AND(Plan1!J663,"AAAAAH5+59Q=")</f>
        <v>#VALUE!</v>
      </c>
      <c r="HF39" t="e">
        <f>AND(Plan1!K663,"AAAAAH5+59U=")</f>
        <v>#VALUE!</v>
      </c>
      <c r="HG39" t="e">
        <f>AND(Plan1!L663,"AAAAAH5+59Y=")</f>
        <v>#VALUE!</v>
      </c>
      <c r="HH39" t="e">
        <f>AND(Plan1!M663,"AAAAAH5+59c=")</f>
        <v>#VALUE!</v>
      </c>
      <c r="HI39" t="e">
        <f>AND(Plan1!N663,"AAAAAH5+59g=")</f>
        <v>#VALUE!</v>
      </c>
      <c r="HJ39">
        <f>IF(Plan1!664:664,"AAAAAH5+59k=",0)</f>
        <v>0</v>
      </c>
      <c r="HK39" t="e">
        <f>AND(Plan1!A664,"AAAAAH5+59o=")</f>
        <v>#VALUE!</v>
      </c>
      <c r="HL39" t="e">
        <f>AND(Plan1!B664,"AAAAAH5+59s=")</f>
        <v>#VALUE!</v>
      </c>
      <c r="HM39" t="e">
        <f>AND(Plan1!C664,"AAAAAH5+59w=")</f>
        <v>#VALUE!</v>
      </c>
      <c r="HN39" t="e">
        <f>AND(Plan1!D664,"AAAAAH5+590=")</f>
        <v>#VALUE!</v>
      </c>
      <c r="HO39" t="e">
        <f>AND(Plan1!E664,"AAAAAH5+594=")</f>
        <v>#VALUE!</v>
      </c>
      <c r="HP39" t="e">
        <f>AND(Plan1!F664,"AAAAAH5+598=")</f>
        <v>#VALUE!</v>
      </c>
      <c r="HQ39" t="e">
        <f>AND(Plan1!G664,"AAAAAH5+5+A=")</f>
        <v>#VALUE!</v>
      </c>
      <c r="HR39" t="e">
        <f>AND(Plan1!H664,"AAAAAH5+5+E=")</f>
        <v>#VALUE!</v>
      </c>
      <c r="HS39" t="e">
        <f>AND(Plan1!I664,"AAAAAH5+5+I=")</f>
        <v>#VALUE!</v>
      </c>
      <c r="HT39" t="e">
        <f>AND(Plan1!J664,"AAAAAH5+5+M=")</f>
        <v>#VALUE!</v>
      </c>
      <c r="HU39" t="e">
        <f>AND(Plan1!K664,"AAAAAH5+5+Q=")</f>
        <v>#VALUE!</v>
      </c>
      <c r="HV39" t="e">
        <f>AND(Plan1!L664,"AAAAAH5+5+U=")</f>
        <v>#VALUE!</v>
      </c>
      <c r="HW39" t="e">
        <f>AND(Plan1!M664,"AAAAAH5+5+Y=")</f>
        <v>#VALUE!</v>
      </c>
      <c r="HX39" t="e">
        <f>AND(Plan1!N664,"AAAAAH5+5+c=")</f>
        <v>#VALUE!</v>
      </c>
      <c r="HY39">
        <f>IF(Plan1!665:665,"AAAAAH5+5+g=",0)</f>
        <v>0</v>
      </c>
      <c r="HZ39" t="e">
        <f>AND(Plan1!A665,"AAAAAH5+5+k=")</f>
        <v>#VALUE!</v>
      </c>
      <c r="IA39" t="e">
        <f>AND(Plan1!B665,"AAAAAH5+5+o=")</f>
        <v>#VALUE!</v>
      </c>
      <c r="IB39" t="e">
        <f>AND(Plan1!C665,"AAAAAH5+5+s=")</f>
        <v>#VALUE!</v>
      </c>
      <c r="IC39" t="e">
        <f>AND(Plan1!D665,"AAAAAH5+5+w=")</f>
        <v>#VALUE!</v>
      </c>
      <c r="ID39" t="e">
        <f>AND(Plan1!E665,"AAAAAH5+5+0=")</f>
        <v>#VALUE!</v>
      </c>
      <c r="IE39" t="e">
        <f>AND(Plan1!F665,"AAAAAH5+5+4=")</f>
        <v>#VALUE!</v>
      </c>
      <c r="IF39" t="e">
        <f>AND(Plan1!G665,"AAAAAH5+5+8=")</f>
        <v>#VALUE!</v>
      </c>
      <c r="IG39" t="e">
        <f>AND(Plan1!H665,"AAAAAH5+5/A=")</f>
        <v>#VALUE!</v>
      </c>
      <c r="IH39" t="e">
        <f>AND(Plan1!I665,"AAAAAH5+5/E=")</f>
        <v>#VALUE!</v>
      </c>
      <c r="II39" t="e">
        <f>AND(Plan1!J665,"AAAAAH5+5/I=")</f>
        <v>#VALUE!</v>
      </c>
      <c r="IJ39" t="e">
        <f>AND(Plan1!K665,"AAAAAH5+5/M=")</f>
        <v>#VALUE!</v>
      </c>
      <c r="IK39" t="e">
        <f>AND(Plan1!L665,"AAAAAH5+5/Q=")</f>
        <v>#VALUE!</v>
      </c>
      <c r="IL39" t="e">
        <f>AND(Plan1!M665,"AAAAAH5+5/U=")</f>
        <v>#VALUE!</v>
      </c>
      <c r="IM39" t="e">
        <f>AND(Plan1!N665,"AAAAAH5+5/Y=")</f>
        <v>#VALUE!</v>
      </c>
      <c r="IN39">
        <f>IF(Plan1!666:666,"AAAAAH5+5/c=",0)</f>
        <v>0</v>
      </c>
      <c r="IO39" t="e">
        <f>AND(Plan1!A666,"AAAAAH5+5/g=")</f>
        <v>#VALUE!</v>
      </c>
      <c r="IP39" t="e">
        <f>AND(Plan1!B666,"AAAAAH5+5/k=")</f>
        <v>#VALUE!</v>
      </c>
      <c r="IQ39" t="e">
        <f>AND(Plan1!C666,"AAAAAH5+5/o=")</f>
        <v>#VALUE!</v>
      </c>
      <c r="IR39" t="e">
        <f>AND(Plan1!D666,"AAAAAH5+5/s=")</f>
        <v>#VALUE!</v>
      </c>
      <c r="IS39" t="e">
        <f>AND(Plan1!E666,"AAAAAH5+5/w=")</f>
        <v>#VALUE!</v>
      </c>
      <c r="IT39" t="e">
        <f>AND(Plan1!F666,"AAAAAH5+5/0=")</f>
        <v>#VALUE!</v>
      </c>
      <c r="IU39" t="e">
        <f>AND(Plan1!G666,"AAAAAH5+5/4=")</f>
        <v>#VALUE!</v>
      </c>
      <c r="IV39" t="e">
        <f>AND(Plan1!H666,"AAAAAH5+5/8=")</f>
        <v>#VALUE!</v>
      </c>
    </row>
    <row r="40" spans="1:256">
      <c r="A40" t="e">
        <f>AND(Plan1!I666,"AAAAAH/d/wA=")</f>
        <v>#VALUE!</v>
      </c>
      <c r="B40" t="e">
        <f>AND(Plan1!J666,"AAAAAH/d/wE=")</f>
        <v>#VALUE!</v>
      </c>
      <c r="C40" t="e">
        <f>AND(Plan1!K666,"AAAAAH/d/wI=")</f>
        <v>#VALUE!</v>
      </c>
      <c r="D40" t="e">
        <f>AND(Plan1!L666,"AAAAAH/d/wM=")</f>
        <v>#VALUE!</v>
      </c>
      <c r="E40" t="e">
        <f>AND(Plan1!M666,"AAAAAH/d/wQ=")</f>
        <v>#VALUE!</v>
      </c>
      <c r="F40" t="e">
        <f>AND(Plan1!N666,"AAAAAH/d/wU=")</f>
        <v>#VALUE!</v>
      </c>
      <c r="G40">
        <f>IF(Plan1!667:667,"AAAAAH/d/wY=",0)</f>
        <v>0</v>
      </c>
      <c r="H40" t="e">
        <f>AND(Plan1!A667,"AAAAAH/d/wc=")</f>
        <v>#VALUE!</v>
      </c>
      <c r="I40" t="e">
        <f>AND(Plan1!B667,"AAAAAH/d/wg=")</f>
        <v>#VALUE!</v>
      </c>
      <c r="J40" t="e">
        <f>AND(Plan1!C667,"AAAAAH/d/wk=")</f>
        <v>#VALUE!</v>
      </c>
      <c r="K40" t="e">
        <f>AND(Plan1!D667,"AAAAAH/d/wo=")</f>
        <v>#VALUE!</v>
      </c>
      <c r="L40" t="e">
        <f>AND(Plan1!E667,"AAAAAH/d/ws=")</f>
        <v>#VALUE!</v>
      </c>
      <c r="M40" t="e">
        <f>AND(Plan1!F667,"AAAAAH/d/ww=")</f>
        <v>#VALUE!</v>
      </c>
      <c r="N40" t="e">
        <f>AND(Plan1!G667,"AAAAAH/d/w0=")</f>
        <v>#VALUE!</v>
      </c>
      <c r="O40" t="e">
        <f>AND(Plan1!H667,"AAAAAH/d/w4=")</f>
        <v>#VALUE!</v>
      </c>
      <c r="P40" t="e">
        <f>AND(Plan1!I667,"AAAAAH/d/w8=")</f>
        <v>#VALUE!</v>
      </c>
      <c r="Q40" t="e">
        <f>AND(Plan1!J667,"AAAAAH/d/xA=")</f>
        <v>#VALUE!</v>
      </c>
      <c r="R40" t="e">
        <f>AND(Plan1!K667,"AAAAAH/d/xE=")</f>
        <v>#VALUE!</v>
      </c>
      <c r="S40" t="e">
        <f>AND(Plan1!L667,"AAAAAH/d/xI=")</f>
        <v>#VALUE!</v>
      </c>
      <c r="T40" t="e">
        <f>AND(Plan1!M667,"AAAAAH/d/xM=")</f>
        <v>#VALUE!</v>
      </c>
      <c r="U40" t="e">
        <f>AND(Plan1!N667,"AAAAAH/d/xQ=")</f>
        <v>#VALUE!</v>
      </c>
      <c r="V40">
        <f>IF(Plan1!668:668,"AAAAAH/d/xU=",0)</f>
        <v>0</v>
      </c>
      <c r="W40" t="e">
        <f>AND(Plan1!A668,"AAAAAH/d/xY=")</f>
        <v>#VALUE!</v>
      </c>
      <c r="X40" t="e">
        <f>AND(Plan1!B668,"AAAAAH/d/xc=")</f>
        <v>#VALUE!</v>
      </c>
      <c r="Y40" t="e">
        <f>AND(Plan1!C668,"AAAAAH/d/xg=")</f>
        <v>#VALUE!</v>
      </c>
      <c r="Z40" t="e">
        <f>AND(Plan1!D668,"AAAAAH/d/xk=")</f>
        <v>#VALUE!</v>
      </c>
      <c r="AA40" t="e">
        <f>AND(Plan1!E668,"AAAAAH/d/xo=")</f>
        <v>#VALUE!</v>
      </c>
      <c r="AB40" t="e">
        <f>AND(Plan1!F668,"AAAAAH/d/xs=")</f>
        <v>#VALUE!</v>
      </c>
      <c r="AC40" t="e">
        <f>AND(Plan1!G668,"AAAAAH/d/xw=")</f>
        <v>#VALUE!</v>
      </c>
      <c r="AD40" t="e">
        <f>AND(Plan1!H668,"AAAAAH/d/x0=")</f>
        <v>#VALUE!</v>
      </c>
      <c r="AE40" t="e">
        <f>AND(Plan1!I668,"AAAAAH/d/x4=")</f>
        <v>#VALUE!</v>
      </c>
      <c r="AF40" t="e">
        <f>AND(Plan1!J668,"AAAAAH/d/x8=")</f>
        <v>#VALUE!</v>
      </c>
      <c r="AG40" t="e">
        <f>AND(Plan1!K668,"AAAAAH/d/yA=")</f>
        <v>#VALUE!</v>
      </c>
      <c r="AH40" t="e">
        <f>AND(Plan1!L668,"AAAAAH/d/yE=")</f>
        <v>#VALUE!</v>
      </c>
      <c r="AI40" t="e">
        <f>AND(Plan1!M668,"AAAAAH/d/yI=")</f>
        <v>#VALUE!</v>
      </c>
      <c r="AJ40" t="e">
        <f>AND(Plan1!N668,"AAAAAH/d/yM=")</f>
        <v>#VALUE!</v>
      </c>
      <c r="AK40">
        <f>IF(Plan1!669:669,"AAAAAH/d/yQ=",0)</f>
        <v>0</v>
      </c>
      <c r="AL40" t="e">
        <f>AND(Plan1!A669,"AAAAAH/d/yU=")</f>
        <v>#VALUE!</v>
      </c>
      <c r="AM40" t="e">
        <f>AND(Plan1!B669,"AAAAAH/d/yY=")</f>
        <v>#VALUE!</v>
      </c>
      <c r="AN40" t="e">
        <f>AND(Plan1!C669,"AAAAAH/d/yc=")</f>
        <v>#VALUE!</v>
      </c>
      <c r="AO40" t="e">
        <f>AND(Plan1!D669,"AAAAAH/d/yg=")</f>
        <v>#VALUE!</v>
      </c>
      <c r="AP40" t="e">
        <f>AND(Plan1!E669,"AAAAAH/d/yk=")</f>
        <v>#VALUE!</v>
      </c>
      <c r="AQ40" t="e">
        <f>AND(Plan1!F669,"AAAAAH/d/yo=")</f>
        <v>#VALUE!</v>
      </c>
      <c r="AR40" t="e">
        <f>AND(Plan1!G669,"AAAAAH/d/ys=")</f>
        <v>#VALUE!</v>
      </c>
      <c r="AS40" t="e">
        <f>AND(Plan1!H669,"AAAAAH/d/yw=")</f>
        <v>#VALUE!</v>
      </c>
      <c r="AT40" t="e">
        <f>AND(Plan1!I669,"AAAAAH/d/y0=")</f>
        <v>#VALUE!</v>
      </c>
      <c r="AU40" t="e">
        <f>AND(Plan1!J669,"AAAAAH/d/y4=")</f>
        <v>#VALUE!</v>
      </c>
      <c r="AV40" t="e">
        <f>AND(Plan1!K669,"AAAAAH/d/y8=")</f>
        <v>#VALUE!</v>
      </c>
      <c r="AW40" t="e">
        <f>AND(Plan1!L669,"AAAAAH/d/zA=")</f>
        <v>#VALUE!</v>
      </c>
      <c r="AX40" t="e">
        <f>AND(Plan1!M669,"AAAAAH/d/zE=")</f>
        <v>#VALUE!</v>
      </c>
      <c r="AY40" t="e">
        <f>AND(Plan1!N669,"AAAAAH/d/zI=")</f>
        <v>#VALUE!</v>
      </c>
      <c r="AZ40">
        <f>IF(Plan1!670:670,"AAAAAH/d/zM=",0)</f>
        <v>0</v>
      </c>
      <c r="BA40" t="e">
        <f>AND(Plan1!A670,"AAAAAH/d/zQ=")</f>
        <v>#VALUE!</v>
      </c>
      <c r="BB40" t="e">
        <f>AND(Plan1!B670,"AAAAAH/d/zU=")</f>
        <v>#VALUE!</v>
      </c>
      <c r="BC40" t="e">
        <f>AND(Plan1!C670,"AAAAAH/d/zY=")</f>
        <v>#VALUE!</v>
      </c>
      <c r="BD40" t="e">
        <f>AND(Plan1!D670,"AAAAAH/d/zc=")</f>
        <v>#VALUE!</v>
      </c>
      <c r="BE40" t="e">
        <f>AND(Plan1!E670,"AAAAAH/d/zg=")</f>
        <v>#VALUE!</v>
      </c>
      <c r="BF40" t="e">
        <f>AND(Plan1!F670,"AAAAAH/d/zk=")</f>
        <v>#VALUE!</v>
      </c>
      <c r="BG40" t="e">
        <f>AND(Plan1!G670,"AAAAAH/d/zo=")</f>
        <v>#VALUE!</v>
      </c>
      <c r="BH40" t="e">
        <f>AND(Plan1!H670,"AAAAAH/d/zs=")</f>
        <v>#VALUE!</v>
      </c>
      <c r="BI40" t="e">
        <f>AND(Plan1!I670,"AAAAAH/d/zw=")</f>
        <v>#VALUE!</v>
      </c>
      <c r="BJ40" t="e">
        <f>AND(Plan1!J670,"AAAAAH/d/z0=")</f>
        <v>#VALUE!</v>
      </c>
      <c r="BK40" t="e">
        <f>AND(Plan1!K670,"AAAAAH/d/z4=")</f>
        <v>#VALUE!</v>
      </c>
      <c r="BL40" t="e">
        <f>AND(Plan1!L670,"AAAAAH/d/z8=")</f>
        <v>#VALUE!</v>
      </c>
      <c r="BM40" t="e">
        <f>AND(Plan1!M670,"AAAAAH/d/0A=")</f>
        <v>#VALUE!</v>
      </c>
      <c r="BN40" t="e">
        <f>AND(Plan1!N670,"AAAAAH/d/0E=")</f>
        <v>#VALUE!</v>
      </c>
      <c r="BO40">
        <f>IF(Plan1!671:671,"AAAAAH/d/0I=",0)</f>
        <v>0</v>
      </c>
      <c r="BP40" t="e">
        <f>AND(Plan1!A671,"AAAAAH/d/0M=")</f>
        <v>#VALUE!</v>
      </c>
      <c r="BQ40" t="e">
        <f>AND(Plan1!B671,"AAAAAH/d/0Q=")</f>
        <v>#VALUE!</v>
      </c>
      <c r="BR40" t="e">
        <f>AND(Plan1!C671,"AAAAAH/d/0U=")</f>
        <v>#VALUE!</v>
      </c>
      <c r="BS40" t="e">
        <f>AND(Plan1!D671,"AAAAAH/d/0Y=")</f>
        <v>#VALUE!</v>
      </c>
      <c r="BT40" t="e">
        <f>AND(Plan1!E671,"AAAAAH/d/0c=")</f>
        <v>#VALUE!</v>
      </c>
      <c r="BU40" t="e">
        <f>AND(Plan1!F671,"AAAAAH/d/0g=")</f>
        <v>#VALUE!</v>
      </c>
      <c r="BV40" t="e">
        <f>AND(Plan1!G671,"AAAAAH/d/0k=")</f>
        <v>#VALUE!</v>
      </c>
      <c r="BW40" t="e">
        <f>AND(Plan1!H671,"AAAAAH/d/0o=")</f>
        <v>#VALUE!</v>
      </c>
      <c r="BX40" t="e">
        <f>AND(Plan1!I671,"AAAAAH/d/0s=")</f>
        <v>#VALUE!</v>
      </c>
      <c r="BY40" t="e">
        <f>AND(Plan1!J671,"AAAAAH/d/0w=")</f>
        <v>#VALUE!</v>
      </c>
      <c r="BZ40" t="e">
        <f>AND(Plan1!K671,"AAAAAH/d/00=")</f>
        <v>#VALUE!</v>
      </c>
      <c r="CA40" t="e">
        <f>AND(Plan1!L671,"AAAAAH/d/04=")</f>
        <v>#VALUE!</v>
      </c>
      <c r="CB40" t="e">
        <f>AND(Plan1!M671,"AAAAAH/d/08=")</f>
        <v>#VALUE!</v>
      </c>
      <c r="CC40" t="e">
        <f>AND(Plan1!N671,"AAAAAH/d/1A=")</f>
        <v>#VALUE!</v>
      </c>
      <c r="CD40">
        <f>IF(Plan1!672:672,"AAAAAH/d/1E=",0)</f>
        <v>0</v>
      </c>
      <c r="CE40" t="e">
        <f>AND(Plan1!A672,"AAAAAH/d/1I=")</f>
        <v>#VALUE!</v>
      </c>
      <c r="CF40" t="e">
        <f>AND(Plan1!B672,"AAAAAH/d/1M=")</f>
        <v>#VALUE!</v>
      </c>
      <c r="CG40" t="e">
        <f>AND(Plan1!C672,"AAAAAH/d/1Q=")</f>
        <v>#VALUE!</v>
      </c>
      <c r="CH40" t="e">
        <f>AND(Plan1!D672,"AAAAAH/d/1U=")</f>
        <v>#VALUE!</v>
      </c>
      <c r="CI40" t="e">
        <f>AND(Plan1!E672,"AAAAAH/d/1Y=")</f>
        <v>#VALUE!</v>
      </c>
      <c r="CJ40" t="e">
        <f>AND(Plan1!F672,"AAAAAH/d/1c=")</f>
        <v>#VALUE!</v>
      </c>
      <c r="CK40" t="e">
        <f>AND(Plan1!G672,"AAAAAH/d/1g=")</f>
        <v>#VALUE!</v>
      </c>
      <c r="CL40" t="e">
        <f>AND(Plan1!H672,"AAAAAH/d/1k=")</f>
        <v>#VALUE!</v>
      </c>
      <c r="CM40" t="e">
        <f>AND(Plan1!I672,"AAAAAH/d/1o=")</f>
        <v>#VALUE!</v>
      </c>
      <c r="CN40" t="e">
        <f>AND(Plan1!J672,"AAAAAH/d/1s=")</f>
        <v>#VALUE!</v>
      </c>
      <c r="CO40" t="e">
        <f>AND(Plan1!K672,"AAAAAH/d/1w=")</f>
        <v>#VALUE!</v>
      </c>
      <c r="CP40" t="e">
        <f>AND(Plan1!L672,"AAAAAH/d/10=")</f>
        <v>#VALUE!</v>
      </c>
      <c r="CQ40" t="e">
        <f>AND(Plan1!M672,"AAAAAH/d/14=")</f>
        <v>#VALUE!</v>
      </c>
      <c r="CR40" t="e">
        <f>AND(Plan1!N672,"AAAAAH/d/18=")</f>
        <v>#VALUE!</v>
      </c>
      <c r="CS40">
        <f>IF(Plan1!673:673,"AAAAAH/d/2A=",0)</f>
        <v>0</v>
      </c>
      <c r="CT40" t="e">
        <f>AND(Plan1!A673,"AAAAAH/d/2E=")</f>
        <v>#VALUE!</v>
      </c>
      <c r="CU40" t="e">
        <f>AND(Plan1!B673,"AAAAAH/d/2I=")</f>
        <v>#VALUE!</v>
      </c>
      <c r="CV40" t="e">
        <f>AND(Plan1!C673,"AAAAAH/d/2M=")</f>
        <v>#VALUE!</v>
      </c>
      <c r="CW40" t="e">
        <f>AND(Plan1!D673,"AAAAAH/d/2Q=")</f>
        <v>#VALUE!</v>
      </c>
      <c r="CX40" t="e">
        <f>AND(Plan1!E673,"AAAAAH/d/2U=")</f>
        <v>#VALUE!</v>
      </c>
      <c r="CY40" t="e">
        <f>AND(Plan1!F673,"AAAAAH/d/2Y=")</f>
        <v>#VALUE!</v>
      </c>
      <c r="CZ40" t="e">
        <f>AND(Plan1!G673,"AAAAAH/d/2c=")</f>
        <v>#VALUE!</v>
      </c>
      <c r="DA40" t="e">
        <f>AND(Plan1!H673,"AAAAAH/d/2g=")</f>
        <v>#VALUE!</v>
      </c>
      <c r="DB40" t="e">
        <f>AND(Plan1!I673,"AAAAAH/d/2k=")</f>
        <v>#VALUE!</v>
      </c>
      <c r="DC40" t="e">
        <f>AND(Plan1!J673,"AAAAAH/d/2o=")</f>
        <v>#VALUE!</v>
      </c>
      <c r="DD40" t="e">
        <f>AND(Plan1!K673,"AAAAAH/d/2s=")</f>
        <v>#VALUE!</v>
      </c>
      <c r="DE40" t="e">
        <f>AND(Plan1!L673,"AAAAAH/d/2w=")</f>
        <v>#VALUE!</v>
      </c>
      <c r="DF40" t="e">
        <f>AND(Plan1!M673,"AAAAAH/d/20=")</f>
        <v>#VALUE!</v>
      </c>
      <c r="DG40" t="e">
        <f>AND(Plan1!N673,"AAAAAH/d/24=")</f>
        <v>#VALUE!</v>
      </c>
      <c r="DH40">
        <f>IF(Plan1!674:674,"AAAAAH/d/28=",0)</f>
        <v>0</v>
      </c>
      <c r="DI40" t="e">
        <f>AND(Plan1!A674,"AAAAAH/d/3A=")</f>
        <v>#VALUE!</v>
      </c>
      <c r="DJ40" t="e">
        <f>AND(Plan1!B674,"AAAAAH/d/3E=")</f>
        <v>#VALUE!</v>
      </c>
      <c r="DK40" t="e">
        <f>AND(Plan1!C674,"AAAAAH/d/3I=")</f>
        <v>#VALUE!</v>
      </c>
      <c r="DL40" t="e">
        <f>AND(Plan1!D674,"AAAAAH/d/3M=")</f>
        <v>#VALUE!</v>
      </c>
      <c r="DM40" t="e">
        <f>AND(Plan1!E674,"AAAAAH/d/3Q=")</f>
        <v>#VALUE!</v>
      </c>
      <c r="DN40" t="e">
        <f>AND(Plan1!F674,"AAAAAH/d/3U=")</f>
        <v>#VALUE!</v>
      </c>
      <c r="DO40" t="e">
        <f>AND(Plan1!G674,"AAAAAH/d/3Y=")</f>
        <v>#VALUE!</v>
      </c>
      <c r="DP40" t="e">
        <f>AND(Plan1!H674,"AAAAAH/d/3c=")</f>
        <v>#VALUE!</v>
      </c>
      <c r="DQ40" t="e">
        <f>AND(Plan1!I674,"AAAAAH/d/3g=")</f>
        <v>#VALUE!</v>
      </c>
      <c r="DR40" t="e">
        <f>AND(Plan1!J674,"AAAAAH/d/3k=")</f>
        <v>#VALUE!</v>
      </c>
      <c r="DS40" t="e">
        <f>AND(Plan1!K674,"AAAAAH/d/3o=")</f>
        <v>#VALUE!</v>
      </c>
      <c r="DT40" t="e">
        <f>AND(Plan1!L674,"AAAAAH/d/3s=")</f>
        <v>#VALUE!</v>
      </c>
      <c r="DU40" t="e">
        <f>AND(Plan1!M674,"AAAAAH/d/3w=")</f>
        <v>#VALUE!</v>
      </c>
      <c r="DV40" t="e">
        <f>AND(Plan1!N674,"AAAAAH/d/30=")</f>
        <v>#VALUE!</v>
      </c>
      <c r="DW40">
        <f>IF(Plan1!675:675,"AAAAAH/d/34=",0)</f>
        <v>0</v>
      </c>
      <c r="DX40" t="e">
        <f>AND(Plan1!A675,"AAAAAH/d/38=")</f>
        <v>#VALUE!</v>
      </c>
      <c r="DY40" t="e">
        <f>AND(Plan1!B675,"AAAAAH/d/4A=")</f>
        <v>#VALUE!</v>
      </c>
      <c r="DZ40" t="e">
        <f>AND(Plan1!C675,"AAAAAH/d/4E=")</f>
        <v>#VALUE!</v>
      </c>
      <c r="EA40" t="e">
        <f>AND(Plan1!D675,"AAAAAH/d/4I=")</f>
        <v>#VALUE!</v>
      </c>
      <c r="EB40" t="e">
        <f>AND(Plan1!E675,"AAAAAH/d/4M=")</f>
        <v>#VALUE!</v>
      </c>
      <c r="EC40" t="e">
        <f>AND(Plan1!F675,"AAAAAH/d/4Q=")</f>
        <v>#VALUE!</v>
      </c>
      <c r="ED40" t="e">
        <f>AND(Plan1!G675,"AAAAAH/d/4U=")</f>
        <v>#VALUE!</v>
      </c>
      <c r="EE40" t="e">
        <f>AND(Plan1!H675,"AAAAAH/d/4Y=")</f>
        <v>#VALUE!</v>
      </c>
      <c r="EF40" t="e">
        <f>AND(Plan1!I675,"AAAAAH/d/4c=")</f>
        <v>#VALUE!</v>
      </c>
      <c r="EG40" t="e">
        <f>AND(Plan1!J675,"AAAAAH/d/4g=")</f>
        <v>#VALUE!</v>
      </c>
      <c r="EH40" t="e">
        <f>AND(Plan1!K675,"AAAAAH/d/4k=")</f>
        <v>#VALUE!</v>
      </c>
      <c r="EI40" t="e">
        <f>AND(Plan1!L675,"AAAAAH/d/4o=")</f>
        <v>#VALUE!</v>
      </c>
      <c r="EJ40" t="e">
        <f>AND(Plan1!M675,"AAAAAH/d/4s=")</f>
        <v>#VALUE!</v>
      </c>
      <c r="EK40" t="e">
        <f>AND(Plan1!N675,"AAAAAH/d/4w=")</f>
        <v>#VALUE!</v>
      </c>
      <c r="EL40">
        <f>IF(Plan1!676:676,"AAAAAH/d/40=",0)</f>
        <v>0</v>
      </c>
      <c r="EM40" t="e">
        <f>AND(Plan1!A676,"AAAAAH/d/44=")</f>
        <v>#VALUE!</v>
      </c>
      <c r="EN40" t="e">
        <f>AND(Plan1!B676,"AAAAAH/d/48=")</f>
        <v>#VALUE!</v>
      </c>
      <c r="EO40" t="e">
        <f>AND(Plan1!C676,"AAAAAH/d/5A=")</f>
        <v>#VALUE!</v>
      </c>
      <c r="EP40" t="e">
        <f>AND(Plan1!D676,"AAAAAH/d/5E=")</f>
        <v>#VALUE!</v>
      </c>
      <c r="EQ40" t="e">
        <f>AND(Plan1!E676,"AAAAAH/d/5I=")</f>
        <v>#VALUE!</v>
      </c>
      <c r="ER40" t="e">
        <f>AND(Plan1!F676,"AAAAAH/d/5M=")</f>
        <v>#VALUE!</v>
      </c>
      <c r="ES40" t="e">
        <f>AND(Plan1!G676,"AAAAAH/d/5Q=")</f>
        <v>#VALUE!</v>
      </c>
      <c r="ET40" t="e">
        <f>AND(Plan1!H676,"AAAAAH/d/5U=")</f>
        <v>#VALUE!</v>
      </c>
      <c r="EU40" t="e">
        <f>AND(Plan1!I676,"AAAAAH/d/5Y=")</f>
        <v>#VALUE!</v>
      </c>
      <c r="EV40" t="e">
        <f>AND(Plan1!J676,"AAAAAH/d/5c=")</f>
        <v>#VALUE!</v>
      </c>
      <c r="EW40" t="e">
        <f>AND(Plan1!K676,"AAAAAH/d/5g=")</f>
        <v>#VALUE!</v>
      </c>
      <c r="EX40" t="e">
        <f>AND(Plan1!L676,"AAAAAH/d/5k=")</f>
        <v>#VALUE!</v>
      </c>
      <c r="EY40" t="e">
        <f>AND(Plan1!M676,"AAAAAH/d/5o=")</f>
        <v>#VALUE!</v>
      </c>
      <c r="EZ40" t="e">
        <f>AND(Plan1!N676,"AAAAAH/d/5s=")</f>
        <v>#VALUE!</v>
      </c>
      <c r="FA40">
        <f>IF(Plan1!677:677,"AAAAAH/d/5w=",0)</f>
        <v>0</v>
      </c>
      <c r="FB40" t="e">
        <f>AND(Plan1!A677,"AAAAAH/d/50=")</f>
        <v>#VALUE!</v>
      </c>
      <c r="FC40" t="e">
        <f>AND(Plan1!B677,"AAAAAH/d/54=")</f>
        <v>#VALUE!</v>
      </c>
      <c r="FD40" t="e">
        <f>AND(Plan1!C677,"AAAAAH/d/58=")</f>
        <v>#VALUE!</v>
      </c>
      <c r="FE40" t="e">
        <f>AND(Plan1!D677,"AAAAAH/d/6A=")</f>
        <v>#VALUE!</v>
      </c>
      <c r="FF40" t="e">
        <f>AND(Plan1!E677,"AAAAAH/d/6E=")</f>
        <v>#VALUE!</v>
      </c>
      <c r="FG40" t="e">
        <f>AND(Plan1!F677,"AAAAAH/d/6I=")</f>
        <v>#VALUE!</v>
      </c>
      <c r="FH40" t="e">
        <f>AND(Plan1!G677,"AAAAAH/d/6M=")</f>
        <v>#VALUE!</v>
      </c>
      <c r="FI40" t="e">
        <f>AND(Plan1!H677,"AAAAAH/d/6Q=")</f>
        <v>#VALUE!</v>
      </c>
      <c r="FJ40" t="e">
        <f>AND(Plan1!I677,"AAAAAH/d/6U=")</f>
        <v>#VALUE!</v>
      </c>
      <c r="FK40" t="e">
        <f>AND(Plan1!J677,"AAAAAH/d/6Y=")</f>
        <v>#VALUE!</v>
      </c>
      <c r="FL40" t="e">
        <f>AND(Plan1!K677,"AAAAAH/d/6c=")</f>
        <v>#VALUE!</v>
      </c>
      <c r="FM40" t="e">
        <f>AND(Plan1!L677,"AAAAAH/d/6g=")</f>
        <v>#VALUE!</v>
      </c>
      <c r="FN40" t="e">
        <f>AND(Plan1!M677,"AAAAAH/d/6k=")</f>
        <v>#VALUE!</v>
      </c>
      <c r="FO40" t="e">
        <f>AND(Plan1!N677,"AAAAAH/d/6o=")</f>
        <v>#VALUE!</v>
      </c>
      <c r="FP40">
        <f>IF(Plan1!678:678,"AAAAAH/d/6s=",0)</f>
        <v>0</v>
      </c>
      <c r="FQ40" t="e">
        <f>AND(Plan1!A678,"AAAAAH/d/6w=")</f>
        <v>#VALUE!</v>
      </c>
      <c r="FR40" t="e">
        <f>AND(Plan1!B678,"AAAAAH/d/60=")</f>
        <v>#VALUE!</v>
      </c>
      <c r="FS40" t="e">
        <f>AND(Plan1!C678,"AAAAAH/d/64=")</f>
        <v>#VALUE!</v>
      </c>
      <c r="FT40" t="e">
        <f>AND(Plan1!D678,"AAAAAH/d/68=")</f>
        <v>#VALUE!</v>
      </c>
      <c r="FU40" t="e">
        <f>AND(Plan1!E678,"AAAAAH/d/7A=")</f>
        <v>#VALUE!</v>
      </c>
      <c r="FV40" t="e">
        <f>AND(Plan1!F678,"AAAAAH/d/7E=")</f>
        <v>#VALUE!</v>
      </c>
      <c r="FW40" t="e">
        <f>AND(Plan1!G678,"AAAAAH/d/7I=")</f>
        <v>#VALUE!</v>
      </c>
      <c r="FX40" t="e">
        <f>AND(Plan1!H678,"AAAAAH/d/7M=")</f>
        <v>#VALUE!</v>
      </c>
      <c r="FY40" t="e">
        <f>AND(Plan1!I678,"AAAAAH/d/7Q=")</f>
        <v>#VALUE!</v>
      </c>
      <c r="FZ40" t="e">
        <f>AND(Plan1!J678,"AAAAAH/d/7U=")</f>
        <v>#VALUE!</v>
      </c>
      <c r="GA40" t="e">
        <f>AND(Plan1!K678,"AAAAAH/d/7Y=")</f>
        <v>#VALUE!</v>
      </c>
      <c r="GB40" t="e">
        <f>AND(Plan1!L678,"AAAAAH/d/7c=")</f>
        <v>#VALUE!</v>
      </c>
      <c r="GC40" t="e">
        <f>AND(Plan1!M678,"AAAAAH/d/7g=")</f>
        <v>#VALUE!</v>
      </c>
      <c r="GD40" t="e">
        <f>AND(Plan1!N678,"AAAAAH/d/7k=")</f>
        <v>#VALUE!</v>
      </c>
      <c r="GE40">
        <f>IF(Plan1!679:679,"AAAAAH/d/7o=",0)</f>
        <v>0</v>
      </c>
      <c r="GF40" t="e">
        <f>AND(Plan1!A679,"AAAAAH/d/7s=")</f>
        <v>#VALUE!</v>
      </c>
      <c r="GG40" t="e">
        <f>AND(Plan1!B679,"AAAAAH/d/7w=")</f>
        <v>#VALUE!</v>
      </c>
      <c r="GH40" t="e">
        <f>AND(Plan1!C679,"AAAAAH/d/70=")</f>
        <v>#VALUE!</v>
      </c>
      <c r="GI40" t="e">
        <f>AND(Plan1!D679,"AAAAAH/d/74=")</f>
        <v>#VALUE!</v>
      </c>
      <c r="GJ40" t="e">
        <f>AND(Plan1!E679,"AAAAAH/d/78=")</f>
        <v>#VALUE!</v>
      </c>
      <c r="GK40" t="e">
        <f>AND(Plan1!F679,"AAAAAH/d/8A=")</f>
        <v>#VALUE!</v>
      </c>
      <c r="GL40" t="e">
        <f>AND(Plan1!G679,"AAAAAH/d/8E=")</f>
        <v>#VALUE!</v>
      </c>
      <c r="GM40" t="e">
        <f>AND(Plan1!H679,"AAAAAH/d/8I=")</f>
        <v>#VALUE!</v>
      </c>
      <c r="GN40" t="e">
        <f>AND(Plan1!I679,"AAAAAH/d/8M=")</f>
        <v>#VALUE!</v>
      </c>
      <c r="GO40" t="e">
        <f>AND(Plan1!J679,"AAAAAH/d/8Q=")</f>
        <v>#VALUE!</v>
      </c>
      <c r="GP40" t="e">
        <f>AND(Plan1!K679,"AAAAAH/d/8U=")</f>
        <v>#VALUE!</v>
      </c>
      <c r="GQ40" t="e">
        <f>AND(Plan1!L679,"AAAAAH/d/8Y=")</f>
        <v>#VALUE!</v>
      </c>
      <c r="GR40" t="e">
        <f>AND(Plan1!M679,"AAAAAH/d/8c=")</f>
        <v>#VALUE!</v>
      </c>
      <c r="GS40" t="e">
        <f>AND(Plan1!N679,"AAAAAH/d/8g=")</f>
        <v>#VALUE!</v>
      </c>
      <c r="GT40">
        <f>IF(Plan1!680:680,"AAAAAH/d/8k=",0)</f>
        <v>0</v>
      </c>
      <c r="GU40" t="e">
        <f>AND(Plan1!A680,"AAAAAH/d/8o=")</f>
        <v>#VALUE!</v>
      </c>
      <c r="GV40" t="e">
        <f>AND(Plan1!B680,"AAAAAH/d/8s=")</f>
        <v>#VALUE!</v>
      </c>
      <c r="GW40" t="e">
        <f>AND(Plan1!C680,"AAAAAH/d/8w=")</f>
        <v>#VALUE!</v>
      </c>
      <c r="GX40" t="e">
        <f>AND(Plan1!D680,"AAAAAH/d/80=")</f>
        <v>#VALUE!</v>
      </c>
      <c r="GY40" t="e">
        <f>AND(Plan1!E680,"AAAAAH/d/84=")</f>
        <v>#VALUE!</v>
      </c>
      <c r="GZ40" t="e">
        <f>AND(Plan1!F680,"AAAAAH/d/88=")</f>
        <v>#VALUE!</v>
      </c>
      <c r="HA40" t="e">
        <f>AND(Plan1!G680,"AAAAAH/d/9A=")</f>
        <v>#VALUE!</v>
      </c>
      <c r="HB40" t="e">
        <f>AND(Plan1!H680,"AAAAAH/d/9E=")</f>
        <v>#VALUE!</v>
      </c>
      <c r="HC40" t="e">
        <f>AND(Plan1!I680,"AAAAAH/d/9I=")</f>
        <v>#VALUE!</v>
      </c>
      <c r="HD40" t="e">
        <f>AND(Plan1!J680,"AAAAAH/d/9M=")</f>
        <v>#VALUE!</v>
      </c>
      <c r="HE40" t="e">
        <f>AND(Plan1!K680,"AAAAAH/d/9Q=")</f>
        <v>#VALUE!</v>
      </c>
      <c r="HF40" t="e">
        <f>AND(Plan1!L680,"AAAAAH/d/9U=")</f>
        <v>#VALUE!</v>
      </c>
      <c r="HG40" t="e">
        <f>AND(Plan1!M680,"AAAAAH/d/9Y=")</f>
        <v>#VALUE!</v>
      </c>
      <c r="HH40" t="e">
        <f>AND(Plan1!N680,"AAAAAH/d/9c=")</f>
        <v>#VALUE!</v>
      </c>
      <c r="HI40">
        <f>IF(Plan1!681:681,"AAAAAH/d/9g=",0)</f>
        <v>0</v>
      </c>
      <c r="HJ40" t="e">
        <f>AND(Plan1!A681,"AAAAAH/d/9k=")</f>
        <v>#VALUE!</v>
      </c>
      <c r="HK40" t="e">
        <f>AND(Plan1!B681,"AAAAAH/d/9o=")</f>
        <v>#VALUE!</v>
      </c>
      <c r="HL40" t="e">
        <f>AND(Plan1!C681,"AAAAAH/d/9s=")</f>
        <v>#VALUE!</v>
      </c>
      <c r="HM40" t="e">
        <f>AND(Plan1!D681,"AAAAAH/d/9w=")</f>
        <v>#VALUE!</v>
      </c>
      <c r="HN40" t="e">
        <f>AND(Plan1!E681,"AAAAAH/d/90=")</f>
        <v>#VALUE!</v>
      </c>
      <c r="HO40" t="e">
        <f>AND(Plan1!F681,"AAAAAH/d/94=")</f>
        <v>#VALUE!</v>
      </c>
      <c r="HP40" t="e">
        <f>AND(Plan1!G681,"AAAAAH/d/98=")</f>
        <v>#VALUE!</v>
      </c>
      <c r="HQ40" t="e">
        <f>AND(Plan1!H681,"AAAAAH/d/+A=")</f>
        <v>#VALUE!</v>
      </c>
      <c r="HR40" t="e">
        <f>AND(Plan1!I681,"AAAAAH/d/+E=")</f>
        <v>#VALUE!</v>
      </c>
      <c r="HS40" t="e">
        <f>AND(Plan1!J681,"AAAAAH/d/+I=")</f>
        <v>#VALUE!</v>
      </c>
      <c r="HT40" t="e">
        <f>AND(Plan1!K681,"AAAAAH/d/+M=")</f>
        <v>#VALUE!</v>
      </c>
      <c r="HU40" t="e">
        <f>AND(Plan1!L681,"AAAAAH/d/+Q=")</f>
        <v>#VALUE!</v>
      </c>
      <c r="HV40" t="e">
        <f>AND(Plan1!M681,"AAAAAH/d/+U=")</f>
        <v>#VALUE!</v>
      </c>
      <c r="HW40" t="e">
        <f>AND(Plan1!N681,"AAAAAH/d/+Y=")</f>
        <v>#VALUE!</v>
      </c>
      <c r="HX40">
        <f>IF(Plan1!682:682,"AAAAAH/d/+c=",0)</f>
        <v>0</v>
      </c>
      <c r="HY40" t="e">
        <f>AND(Plan1!A682,"AAAAAH/d/+g=")</f>
        <v>#VALUE!</v>
      </c>
      <c r="HZ40" t="e">
        <f>AND(Plan1!B682,"AAAAAH/d/+k=")</f>
        <v>#VALUE!</v>
      </c>
      <c r="IA40" t="e">
        <f>AND(Plan1!C682,"AAAAAH/d/+o=")</f>
        <v>#VALUE!</v>
      </c>
      <c r="IB40" t="e">
        <f>AND(Plan1!D682,"AAAAAH/d/+s=")</f>
        <v>#VALUE!</v>
      </c>
      <c r="IC40" t="e">
        <f>AND(Plan1!E682,"AAAAAH/d/+w=")</f>
        <v>#VALUE!</v>
      </c>
      <c r="ID40" t="e">
        <f>AND(Plan1!F682,"AAAAAH/d/+0=")</f>
        <v>#VALUE!</v>
      </c>
      <c r="IE40" t="e">
        <f>AND(Plan1!G682,"AAAAAH/d/+4=")</f>
        <v>#VALUE!</v>
      </c>
      <c r="IF40" t="e">
        <f>AND(Plan1!H682,"AAAAAH/d/+8=")</f>
        <v>#VALUE!</v>
      </c>
      <c r="IG40" t="e">
        <f>AND(Plan1!I682,"AAAAAH/d//A=")</f>
        <v>#VALUE!</v>
      </c>
      <c r="IH40" t="e">
        <f>AND(Plan1!J682,"AAAAAH/d//E=")</f>
        <v>#VALUE!</v>
      </c>
      <c r="II40" t="e">
        <f>AND(Plan1!K682,"AAAAAH/d//I=")</f>
        <v>#VALUE!</v>
      </c>
      <c r="IJ40" t="e">
        <f>AND(Plan1!L682,"AAAAAH/d//M=")</f>
        <v>#VALUE!</v>
      </c>
      <c r="IK40" t="e">
        <f>AND(Plan1!M682,"AAAAAH/d//Q=")</f>
        <v>#VALUE!</v>
      </c>
      <c r="IL40" t="e">
        <f>AND(Plan1!N682,"AAAAAH/d//U=")</f>
        <v>#VALUE!</v>
      </c>
      <c r="IM40">
        <f>IF(Plan1!683:683,"AAAAAH/d//Y=",0)</f>
        <v>0</v>
      </c>
      <c r="IN40" t="e">
        <f>AND(Plan1!A683,"AAAAAH/d//c=")</f>
        <v>#VALUE!</v>
      </c>
      <c r="IO40" t="e">
        <f>AND(Plan1!B683,"AAAAAH/d//g=")</f>
        <v>#VALUE!</v>
      </c>
      <c r="IP40" t="e">
        <f>AND(Plan1!C683,"AAAAAH/d//k=")</f>
        <v>#VALUE!</v>
      </c>
      <c r="IQ40" t="e">
        <f>AND(Plan1!D683,"AAAAAH/d//o=")</f>
        <v>#VALUE!</v>
      </c>
      <c r="IR40" t="e">
        <f>AND(Plan1!E683,"AAAAAH/d//s=")</f>
        <v>#VALUE!</v>
      </c>
      <c r="IS40" t="e">
        <f>AND(Plan1!F683,"AAAAAH/d//w=")</f>
        <v>#VALUE!</v>
      </c>
      <c r="IT40" t="e">
        <f>AND(Plan1!G683,"AAAAAH/d//0=")</f>
        <v>#VALUE!</v>
      </c>
      <c r="IU40" t="e">
        <f>AND(Plan1!H683,"AAAAAH/d//4=")</f>
        <v>#VALUE!</v>
      </c>
      <c r="IV40" t="e">
        <f>AND(Plan1!I683,"AAAAAH/d//8=")</f>
        <v>#VALUE!</v>
      </c>
    </row>
    <row r="41" spans="1:256">
      <c r="A41" t="e">
        <f>AND(Plan1!J683,"AAAAAGt9dgA=")</f>
        <v>#VALUE!</v>
      </c>
      <c r="B41" t="e">
        <f>AND(Plan1!K683,"AAAAAGt9dgE=")</f>
        <v>#VALUE!</v>
      </c>
      <c r="C41" t="e">
        <f>AND(Plan1!L683,"AAAAAGt9dgI=")</f>
        <v>#VALUE!</v>
      </c>
      <c r="D41" t="e">
        <f>AND(Plan1!M683,"AAAAAGt9dgM=")</f>
        <v>#VALUE!</v>
      </c>
      <c r="E41" t="e">
        <f>AND(Plan1!N683,"AAAAAGt9dgQ=")</f>
        <v>#VALUE!</v>
      </c>
      <c r="F41">
        <f>IF(Plan1!684:684,"AAAAAGt9dgU=",0)</f>
        <v>0</v>
      </c>
      <c r="G41" t="e">
        <f>AND(Plan1!A684,"AAAAAGt9dgY=")</f>
        <v>#VALUE!</v>
      </c>
      <c r="H41" t="e">
        <f>AND(Plan1!B684,"AAAAAGt9dgc=")</f>
        <v>#VALUE!</v>
      </c>
      <c r="I41" t="e">
        <f>AND(Plan1!C684,"AAAAAGt9dgg=")</f>
        <v>#VALUE!</v>
      </c>
      <c r="J41" t="e">
        <f>AND(Plan1!D684,"AAAAAGt9dgk=")</f>
        <v>#VALUE!</v>
      </c>
      <c r="K41" t="e">
        <f>AND(Plan1!E684,"AAAAAGt9dgo=")</f>
        <v>#VALUE!</v>
      </c>
      <c r="L41" t="e">
        <f>AND(Plan1!F684,"AAAAAGt9dgs=")</f>
        <v>#VALUE!</v>
      </c>
      <c r="M41" t="e">
        <f>AND(Plan1!G684,"AAAAAGt9dgw=")</f>
        <v>#VALUE!</v>
      </c>
      <c r="N41" t="e">
        <f>AND(Plan1!H684,"AAAAAGt9dg0=")</f>
        <v>#VALUE!</v>
      </c>
      <c r="O41" t="e">
        <f>AND(Plan1!I684,"AAAAAGt9dg4=")</f>
        <v>#VALUE!</v>
      </c>
      <c r="P41" t="e">
        <f>AND(Plan1!J684,"AAAAAGt9dg8=")</f>
        <v>#VALUE!</v>
      </c>
      <c r="Q41" t="e">
        <f>AND(Plan1!K684,"AAAAAGt9dhA=")</f>
        <v>#VALUE!</v>
      </c>
      <c r="R41" t="e">
        <f>AND(Plan1!L684,"AAAAAGt9dhE=")</f>
        <v>#VALUE!</v>
      </c>
      <c r="S41" t="e">
        <f>AND(Plan1!M684,"AAAAAGt9dhI=")</f>
        <v>#VALUE!</v>
      </c>
      <c r="T41" t="e">
        <f>AND(Plan1!N684,"AAAAAGt9dhM=")</f>
        <v>#VALUE!</v>
      </c>
      <c r="U41">
        <f>IF(Plan1!685:685,"AAAAAGt9dhQ=",0)</f>
        <v>0</v>
      </c>
      <c r="V41" t="e">
        <f>AND(Plan1!A685,"AAAAAGt9dhU=")</f>
        <v>#VALUE!</v>
      </c>
      <c r="W41" t="e">
        <f>AND(Plan1!B685,"AAAAAGt9dhY=")</f>
        <v>#VALUE!</v>
      </c>
      <c r="X41" t="e">
        <f>AND(Plan1!C685,"AAAAAGt9dhc=")</f>
        <v>#VALUE!</v>
      </c>
      <c r="Y41" t="e">
        <f>AND(Plan1!D685,"AAAAAGt9dhg=")</f>
        <v>#VALUE!</v>
      </c>
      <c r="Z41" t="e">
        <f>AND(Plan1!E685,"AAAAAGt9dhk=")</f>
        <v>#VALUE!</v>
      </c>
      <c r="AA41" t="e">
        <f>AND(Plan1!F685,"AAAAAGt9dho=")</f>
        <v>#VALUE!</v>
      </c>
      <c r="AB41" t="e">
        <f>AND(Plan1!G685,"AAAAAGt9dhs=")</f>
        <v>#VALUE!</v>
      </c>
      <c r="AC41" t="e">
        <f>AND(Plan1!H685,"AAAAAGt9dhw=")</f>
        <v>#VALUE!</v>
      </c>
      <c r="AD41" t="e">
        <f>AND(Plan1!I685,"AAAAAGt9dh0=")</f>
        <v>#VALUE!</v>
      </c>
      <c r="AE41" t="e">
        <f>AND(Plan1!J685,"AAAAAGt9dh4=")</f>
        <v>#VALUE!</v>
      </c>
      <c r="AF41" t="e">
        <f>AND(Plan1!K685,"AAAAAGt9dh8=")</f>
        <v>#VALUE!</v>
      </c>
      <c r="AG41" t="e">
        <f>AND(Plan1!L685,"AAAAAGt9diA=")</f>
        <v>#VALUE!</v>
      </c>
      <c r="AH41" t="e">
        <f>AND(Plan1!M685,"AAAAAGt9diE=")</f>
        <v>#VALUE!</v>
      </c>
      <c r="AI41" t="e">
        <f>AND(Plan1!N685,"AAAAAGt9diI=")</f>
        <v>#VALUE!</v>
      </c>
      <c r="AJ41">
        <f>IF(Plan1!686:686,"AAAAAGt9diM=",0)</f>
        <v>0</v>
      </c>
      <c r="AK41" t="e">
        <f>AND(Plan1!A686,"AAAAAGt9diQ=")</f>
        <v>#VALUE!</v>
      </c>
      <c r="AL41" t="e">
        <f>AND(Plan1!B686,"AAAAAGt9diU=")</f>
        <v>#VALUE!</v>
      </c>
      <c r="AM41" t="e">
        <f>AND(Plan1!C686,"AAAAAGt9diY=")</f>
        <v>#VALUE!</v>
      </c>
      <c r="AN41" t="e">
        <f>AND(Plan1!D686,"AAAAAGt9dic=")</f>
        <v>#VALUE!</v>
      </c>
      <c r="AO41" t="e">
        <f>AND(Plan1!E686,"AAAAAGt9dig=")</f>
        <v>#VALUE!</v>
      </c>
      <c r="AP41" t="e">
        <f>AND(Plan1!F686,"AAAAAGt9dik=")</f>
        <v>#VALUE!</v>
      </c>
      <c r="AQ41" t="e">
        <f>AND(Plan1!G686,"AAAAAGt9dio=")</f>
        <v>#VALUE!</v>
      </c>
      <c r="AR41" t="e">
        <f>AND(Plan1!H686,"AAAAAGt9dis=")</f>
        <v>#VALUE!</v>
      </c>
      <c r="AS41" t="e">
        <f>AND(Plan1!I686,"AAAAAGt9diw=")</f>
        <v>#VALUE!</v>
      </c>
      <c r="AT41" t="e">
        <f>AND(Plan1!J686,"AAAAAGt9di0=")</f>
        <v>#VALUE!</v>
      </c>
      <c r="AU41" t="e">
        <f>AND(Plan1!K686,"AAAAAGt9di4=")</f>
        <v>#VALUE!</v>
      </c>
      <c r="AV41" t="e">
        <f>AND(Plan1!L686,"AAAAAGt9di8=")</f>
        <v>#VALUE!</v>
      </c>
      <c r="AW41" t="e">
        <f>AND(Plan1!M686,"AAAAAGt9djA=")</f>
        <v>#VALUE!</v>
      </c>
      <c r="AX41" t="e">
        <f>AND(Plan1!N686,"AAAAAGt9djE=")</f>
        <v>#VALUE!</v>
      </c>
      <c r="AY41">
        <f>IF(Plan1!687:687,"AAAAAGt9djI=",0)</f>
        <v>0</v>
      </c>
      <c r="AZ41" t="e">
        <f>AND(Plan1!A687,"AAAAAGt9djM=")</f>
        <v>#VALUE!</v>
      </c>
      <c r="BA41" t="e">
        <f>AND(Plan1!B687,"AAAAAGt9djQ=")</f>
        <v>#VALUE!</v>
      </c>
      <c r="BB41" t="e">
        <f>AND(Plan1!C687,"AAAAAGt9djU=")</f>
        <v>#VALUE!</v>
      </c>
      <c r="BC41" t="e">
        <f>AND(Plan1!D687,"AAAAAGt9djY=")</f>
        <v>#VALUE!</v>
      </c>
      <c r="BD41" t="e">
        <f>AND(Plan1!E687,"AAAAAGt9djc=")</f>
        <v>#VALUE!</v>
      </c>
      <c r="BE41" t="e">
        <f>AND(Plan1!F687,"AAAAAGt9djg=")</f>
        <v>#VALUE!</v>
      </c>
      <c r="BF41" t="e">
        <f>AND(Plan1!G687,"AAAAAGt9djk=")</f>
        <v>#VALUE!</v>
      </c>
      <c r="BG41" t="e">
        <f>AND(Plan1!H687,"AAAAAGt9djo=")</f>
        <v>#VALUE!</v>
      </c>
      <c r="BH41" t="e">
        <f>AND(Plan1!I687,"AAAAAGt9djs=")</f>
        <v>#VALUE!</v>
      </c>
      <c r="BI41" t="e">
        <f>AND(Plan1!J687,"AAAAAGt9djw=")</f>
        <v>#VALUE!</v>
      </c>
      <c r="BJ41" t="e">
        <f>AND(Plan1!K687,"AAAAAGt9dj0=")</f>
        <v>#VALUE!</v>
      </c>
      <c r="BK41" t="e">
        <f>AND(Plan1!L687,"AAAAAGt9dj4=")</f>
        <v>#VALUE!</v>
      </c>
      <c r="BL41" t="e">
        <f>AND(Plan1!M687,"AAAAAGt9dj8=")</f>
        <v>#VALUE!</v>
      </c>
      <c r="BM41" t="e">
        <f>AND(Plan1!N687,"AAAAAGt9dkA=")</f>
        <v>#VALUE!</v>
      </c>
      <c r="BN41">
        <f>IF(Plan1!688:688,"AAAAAGt9dkE=",0)</f>
        <v>0</v>
      </c>
      <c r="BO41" t="e">
        <f>AND(Plan1!A688,"AAAAAGt9dkI=")</f>
        <v>#VALUE!</v>
      </c>
      <c r="BP41" t="e">
        <f>AND(Plan1!B688,"AAAAAGt9dkM=")</f>
        <v>#VALUE!</v>
      </c>
      <c r="BQ41" t="e">
        <f>AND(Plan1!C688,"AAAAAGt9dkQ=")</f>
        <v>#VALUE!</v>
      </c>
      <c r="BR41" t="e">
        <f>AND(Plan1!D688,"AAAAAGt9dkU=")</f>
        <v>#VALUE!</v>
      </c>
      <c r="BS41" t="e">
        <f>AND(Plan1!E688,"AAAAAGt9dkY=")</f>
        <v>#VALUE!</v>
      </c>
      <c r="BT41" t="e">
        <f>AND(Plan1!F688,"AAAAAGt9dkc=")</f>
        <v>#VALUE!</v>
      </c>
      <c r="BU41" t="e">
        <f>AND(Plan1!G688,"AAAAAGt9dkg=")</f>
        <v>#VALUE!</v>
      </c>
      <c r="BV41" t="e">
        <f>AND(Plan1!H688,"AAAAAGt9dkk=")</f>
        <v>#VALUE!</v>
      </c>
      <c r="BW41" t="e">
        <f>AND(Plan1!I688,"AAAAAGt9dko=")</f>
        <v>#VALUE!</v>
      </c>
      <c r="BX41" t="e">
        <f>AND(Plan1!J688,"AAAAAGt9dks=")</f>
        <v>#VALUE!</v>
      </c>
      <c r="BY41" t="e">
        <f>AND(Plan1!K688,"AAAAAGt9dkw=")</f>
        <v>#VALUE!</v>
      </c>
      <c r="BZ41" t="e">
        <f>AND(Plan1!L688,"AAAAAGt9dk0=")</f>
        <v>#VALUE!</v>
      </c>
      <c r="CA41" t="e">
        <f>AND(Plan1!M688,"AAAAAGt9dk4=")</f>
        <v>#VALUE!</v>
      </c>
      <c r="CB41" t="e">
        <f>AND(Plan1!N688,"AAAAAGt9dk8=")</f>
        <v>#VALUE!</v>
      </c>
      <c r="CC41">
        <f>IF(Plan1!689:689,"AAAAAGt9dlA=",0)</f>
        <v>0</v>
      </c>
      <c r="CD41" t="e">
        <f>AND(Plan1!A689,"AAAAAGt9dlE=")</f>
        <v>#VALUE!</v>
      </c>
      <c r="CE41" t="e">
        <f>AND(Plan1!B689,"AAAAAGt9dlI=")</f>
        <v>#VALUE!</v>
      </c>
      <c r="CF41" t="e">
        <f>AND(Plan1!C689,"AAAAAGt9dlM=")</f>
        <v>#VALUE!</v>
      </c>
      <c r="CG41" t="e">
        <f>AND(Plan1!D689,"AAAAAGt9dlQ=")</f>
        <v>#VALUE!</v>
      </c>
      <c r="CH41" t="e">
        <f>AND(Plan1!E689,"AAAAAGt9dlU=")</f>
        <v>#VALUE!</v>
      </c>
      <c r="CI41" t="e">
        <f>AND(Plan1!F689,"AAAAAGt9dlY=")</f>
        <v>#VALUE!</v>
      </c>
      <c r="CJ41" t="e">
        <f>AND(Plan1!G689,"AAAAAGt9dlc=")</f>
        <v>#VALUE!</v>
      </c>
      <c r="CK41" t="e">
        <f>AND(Plan1!H689,"AAAAAGt9dlg=")</f>
        <v>#VALUE!</v>
      </c>
      <c r="CL41" t="e">
        <f>AND(Plan1!I689,"AAAAAGt9dlk=")</f>
        <v>#VALUE!</v>
      </c>
      <c r="CM41" t="e">
        <f>AND(Plan1!J689,"AAAAAGt9dlo=")</f>
        <v>#VALUE!</v>
      </c>
      <c r="CN41" t="e">
        <f>AND(Plan1!K689,"AAAAAGt9dls=")</f>
        <v>#VALUE!</v>
      </c>
      <c r="CO41" t="e">
        <f>AND(Plan1!L689,"AAAAAGt9dlw=")</f>
        <v>#VALUE!</v>
      </c>
      <c r="CP41" t="e">
        <f>AND(Plan1!M689,"AAAAAGt9dl0=")</f>
        <v>#VALUE!</v>
      </c>
      <c r="CQ41" t="e">
        <f>AND(Plan1!N689,"AAAAAGt9dl4=")</f>
        <v>#VALUE!</v>
      </c>
      <c r="CR41">
        <f>IF(Plan1!690:690,"AAAAAGt9dl8=",0)</f>
        <v>0</v>
      </c>
      <c r="CS41" t="e">
        <f>AND(Plan1!A690,"AAAAAGt9dmA=")</f>
        <v>#VALUE!</v>
      </c>
      <c r="CT41" t="e">
        <f>AND(Plan1!B690,"AAAAAGt9dmE=")</f>
        <v>#VALUE!</v>
      </c>
      <c r="CU41" t="e">
        <f>AND(Plan1!C690,"AAAAAGt9dmI=")</f>
        <v>#VALUE!</v>
      </c>
      <c r="CV41" t="e">
        <f>AND(Plan1!D690,"AAAAAGt9dmM=")</f>
        <v>#VALUE!</v>
      </c>
      <c r="CW41" t="e">
        <f>AND(Plan1!E690,"AAAAAGt9dmQ=")</f>
        <v>#VALUE!</v>
      </c>
      <c r="CX41" t="e">
        <f>AND(Plan1!F690,"AAAAAGt9dmU=")</f>
        <v>#VALUE!</v>
      </c>
      <c r="CY41" t="e">
        <f>AND(Plan1!G690,"AAAAAGt9dmY=")</f>
        <v>#VALUE!</v>
      </c>
      <c r="CZ41" t="e">
        <f>AND(Plan1!H690,"AAAAAGt9dmc=")</f>
        <v>#VALUE!</v>
      </c>
      <c r="DA41" t="e">
        <f>AND(Plan1!I690,"AAAAAGt9dmg=")</f>
        <v>#VALUE!</v>
      </c>
      <c r="DB41" t="e">
        <f>AND(Plan1!J690,"AAAAAGt9dmk=")</f>
        <v>#VALUE!</v>
      </c>
      <c r="DC41" t="e">
        <f>AND(Plan1!K690,"AAAAAGt9dmo=")</f>
        <v>#VALUE!</v>
      </c>
      <c r="DD41" t="e">
        <f>AND(Plan1!L690,"AAAAAGt9dms=")</f>
        <v>#VALUE!</v>
      </c>
      <c r="DE41" t="e">
        <f>AND(Plan1!M690,"AAAAAGt9dmw=")</f>
        <v>#VALUE!</v>
      </c>
      <c r="DF41" t="e">
        <f>AND(Plan1!N690,"AAAAAGt9dm0=")</f>
        <v>#VALUE!</v>
      </c>
      <c r="DG41">
        <f>IF(Plan1!691:691,"AAAAAGt9dm4=",0)</f>
        <v>0</v>
      </c>
      <c r="DH41" t="e">
        <f>AND(Plan1!A691,"AAAAAGt9dm8=")</f>
        <v>#VALUE!</v>
      </c>
      <c r="DI41" t="e">
        <f>AND(Plan1!B691,"AAAAAGt9dnA=")</f>
        <v>#VALUE!</v>
      </c>
      <c r="DJ41" t="e">
        <f>AND(Plan1!C691,"AAAAAGt9dnE=")</f>
        <v>#VALUE!</v>
      </c>
      <c r="DK41" t="e">
        <f>AND(Plan1!D691,"AAAAAGt9dnI=")</f>
        <v>#VALUE!</v>
      </c>
      <c r="DL41" t="e">
        <f>AND(Plan1!E691,"AAAAAGt9dnM=")</f>
        <v>#VALUE!</v>
      </c>
      <c r="DM41" t="e">
        <f>AND(Plan1!F691,"AAAAAGt9dnQ=")</f>
        <v>#VALUE!</v>
      </c>
      <c r="DN41" t="e">
        <f>AND(Plan1!G691,"AAAAAGt9dnU=")</f>
        <v>#VALUE!</v>
      </c>
      <c r="DO41" t="e">
        <f>AND(Plan1!H691,"AAAAAGt9dnY=")</f>
        <v>#VALUE!</v>
      </c>
      <c r="DP41" t="e">
        <f>AND(Plan1!I691,"AAAAAGt9dnc=")</f>
        <v>#VALUE!</v>
      </c>
      <c r="DQ41" t="e">
        <f>AND(Plan1!J691,"AAAAAGt9dng=")</f>
        <v>#VALUE!</v>
      </c>
      <c r="DR41" t="e">
        <f>AND(Plan1!K691,"AAAAAGt9dnk=")</f>
        <v>#VALUE!</v>
      </c>
      <c r="DS41" t="e">
        <f>AND(Plan1!L691,"AAAAAGt9dno=")</f>
        <v>#VALUE!</v>
      </c>
      <c r="DT41" t="e">
        <f>AND(Plan1!M691,"AAAAAGt9dns=")</f>
        <v>#VALUE!</v>
      </c>
      <c r="DU41" t="e">
        <f>AND(Plan1!N691,"AAAAAGt9dnw=")</f>
        <v>#VALUE!</v>
      </c>
      <c r="DV41">
        <f>IF(Plan1!692:692,"AAAAAGt9dn0=",0)</f>
        <v>0</v>
      </c>
      <c r="DW41" t="e">
        <f>AND(Plan1!A692,"AAAAAGt9dn4=")</f>
        <v>#VALUE!</v>
      </c>
      <c r="DX41" t="e">
        <f>AND(Plan1!B692,"AAAAAGt9dn8=")</f>
        <v>#VALUE!</v>
      </c>
      <c r="DY41" t="e">
        <f>AND(Plan1!C692,"AAAAAGt9doA=")</f>
        <v>#VALUE!</v>
      </c>
      <c r="DZ41" t="e">
        <f>AND(Plan1!D692,"AAAAAGt9doE=")</f>
        <v>#VALUE!</v>
      </c>
      <c r="EA41" t="e">
        <f>AND(Plan1!E692,"AAAAAGt9doI=")</f>
        <v>#VALUE!</v>
      </c>
      <c r="EB41" t="e">
        <f>AND(Plan1!F692,"AAAAAGt9doM=")</f>
        <v>#VALUE!</v>
      </c>
      <c r="EC41" t="e">
        <f>AND(Plan1!G692,"AAAAAGt9doQ=")</f>
        <v>#VALUE!</v>
      </c>
      <c r="ED41" t="e">
        <f>AND(Plan1!H692,"AAAAAGt9doU=")</f>
        <v>#VALUE!</v>
      </c>
      <c r="EE41" t="e">
        <f>AND(Plan1!I692,"AAAAAGt9doY=")</f>
        <v>#VALUE!</v>
      </c>
      <c r="EF41" t="e">
        <f>AND(Plan1!J692,"AAAAAGt9doc=")</f>
        <v>#VALUE!</v>
      </c>
      <c r="EG41" t="e">
        <f>AND(Plan1!K692,"AAAAAGt9dog=")</f>
        <v>#VALUE!</v>
      </c>
      <c r="EH41" t="e">
        <f>AND(Plan1!L692,"AAAAAGt9dok=")</f>
        <v>#VALUE!</v>
      </c>
      <c r="EI41" t="e">
        <f>AND(Plan1!M692,"AAAAAGt9doo=")</f>
        <v>#VALUE!</v>
      </c>
      <c r="EJ41" t="e">
        <f>AND(Plan1!N692,"AAAAAGt9dos=")</f>
        <v>#VALUE!</v>
      </c>
      <c r="EK41">
        <f>IF(Plan1!693:693,"AAAAAGt9dow=",0)</f>
        <v>0</v>
      </c>
      <c r="EL41" t="e">
        <f>AND(Plan1!A693,"AAAAAGt9do0=")</f>
        <v>#VALUE!</v>
      </c>
      <c r="EM41" t="e">
        <f>AND(Plan1!B693,"AAAAAGt9do4=")</f>
        <v>#VALUE!</v>
      </c>
      <c r="EN41" t="e">
        <f>AND(Plan1!C693,"AAAAAGt9do8=")</f>
        <v>#VALUE!</v>
      </c>
      <c r="EO41" t="e">
        <f>AND(Plan1!D693,"AAAAAGt9dpA=")</f>
        <v>#VALUE!</v>
      </c>
      <c r="EP41" t="e">
        <f>AND(Plan1!E693,"AAAAAGt9dpE=")</f>
        <v>#VALUE!</v>
      </c>
      <c r="EQ41" t="e">
        <f>AND(Plan1!F693,"AAAAAGt9dpI=")</f>
        <v>#VALUE!</v>
      </c>
      <c r="ER41" t="e">
        <f>AND(Plan1!G693,"AAAAAGt9dpM=")</f>
        <v>#VALUE!</v>
      </c>
      <c r="ES41" t="e">
        <f>AND(Plan1!H693,"AAAAAGt9dpQ=")</f>
        <v>#VALUE!</v>
      </c>
      <c r="ET41" t="e">
        <f>AND(Plan1!I693,"AAAAAGt9dpU=")</f>
        <v>#VALUE!</v>
      </c>
      <c r="EU41" t="e">
        <f>AND(Plan1!J693,"AAAAAGt9dpY=")</f>
        <v>#VALUE!</v>
      </c>
      <c r="EV41" t="e">
        <f>AND(Plan1!K693,"AAAAAGt9dpc=")</f>
        <v>#VALUE!</v>
      </c>
      <c r="EW41" t="e">
        <f>AND(Plan1!L693,"AAAAAGt9dpg=")</f>
        <v>#VALUE!</v>
      </c>
      <c r="EX41" t="e">
        <f>AND(Plan1!M693,"AAAAAGt9dpk=")</f>
        <v>#VALUE!</v>
      </c>
      <c r="EY41" t="e">
        <f>AND(Plan1!N693,"AAAAAGt9dpo=")</f>
        <v>#VALUE!</v>
      </c>
      <c r="EZ41">
        <f>IF(Plan1!694:694,"AAAAAGt9dps=",0)</f>
        <v>0</v>
      </c>
      <c r="FA41" t="e">
        <f>AND(Plan1!A694,"AAAAAGt9dpw=")</f>
        <v>#VALUE!</v>
      </c>
      <c r="FB41" t="e">
        <f>AND(Plan1!B694,"AAAAAGt9dp0=")</f>
        <v>#VALUE!</v>
      </c>
      <c r="FC41" t="e">
        <f>AND(Plan1!C694,"AAAAAGt9dp4=")</f>
        <v>#VALUE!</v>
      </c>
      <c r="FD41" t="e">
        <f>AND(Plan1!D694,"AAAAAGt9dp8=")</f>
        <v>#VALUE!</v>
      </c>
      <c r="FE41" t="e">
        <f>AND(Plan1!E694,"AAAAAGt9dqA=")</f>
        <v>#VALUE!</v>
      </c>
      <c r="FF41" t="e">
        <f>AND(Plan1!F694,"AAAAAGt9dqE=")</f>
        <v>#VALUE!</v>
      </c>
      <c r="FG41" t="e">
        <f>AND(Plan1!G694,"AAAAAGt9dqI=")</f>
        <v>#VALUE!</v>
      </c>
      <c r="FH41" t="e">
        <f>AND(Plan1!H694,"AAAAAGt9dqM=")</f>
        <v>#VALUE!</v>
      </c>
      <c r="FI41" t="e">
        <f>AND(Plan1!I694,"AAAAAGt9dqQ=")</f>
        <v>#VALUE!</v>
      </c>
      <c r="FJ41" t="e">
        <f>AND(Plan1!J694,"AAAAAGt9dqU=")</f>
        <v>#VALUE!</v>
      </c>
      <c r="FK41" t="e">
        <f>AND(Plan1!K694,"AAAAAGt9dqY=")</f>
        <v>#VALUE!</v>
      </c>
      <c r="FL41" t="e">
        <f>AND(Plan1!L694,"AAAAAGt9dqc=")</f>
        <v>#VALUE!</v>
      </c>
      <c r="FM41" t="e">
        <f>AND(Plan1!M694,"AAAAAGt9dqg=")</f>
        <v>#VALUE!</v>
      </c>
      <c r="FN41" t="e">
        <f>AND(Plan1!N694,"AAAAAGt9dqk=")</f>
        <v>#VALUE!</v>
      </c>
      <c r="FO41">
        <f>IF(Plan1!695:695,"AAAAAGt9dqo=",0)</f>
        <v>0</v>
      </c>
      <c r="FP41" t="e">
        <f>AND(Plan1!A695,"AAAAAGt9dqs=")</f>
        <v>#VALUE!</v>
      </c>
      <c r="FQ41" t="e">
        <f>AND(Plan1!B695,"AAAAAGt9dqw=")</f>
        <v>#VALUE!</v>
      </c>
      <c r="FR41" t="e">
        <f>AND(Plan1!C695,"AAAAAGt9dq0=")</f>
        <v>#VALUE!</v>
      </c>
      <c r="FS41" t="e">
        <f>AND(Plan1!D695,"AAAAAGt9dq4=")</f>
        <v>#VALUE!</v>
      </c>
      <c r="FT41" t="e">
        <f>AND(Plan1!E695,"AAAAAGt9dq8=")</f>
        <v>#VALUE!</v>
      </c>
      <c r="FU41" t="e">
        <f>AND(Plan1!F695,"AAAAAGt9drA=")</f>
        <v>#VALUE!</v>
      </c>
      <c r="FV41" t="e">
        <f>AND(Plan1!G695,"AAAAAGt9drE=")</f>
        <v>#VALUE!</v>
      </c>
      <c r="FW41" t="e">
        <f>AND(Plan1!H695,"AAAAAGt9drI=")</f>
        <v>#VALUE!</v>
      </c>
      <c r="FX41" t="e">
        <f>AND(Plan1!I695,"AAAAAGt9drM=")</f>
        <v>#VALUE!</v>
      </c>
      <c r="FY41" t="e">
        <f>AND(Plan1!J695,"AAAAAGt9drQ=")</f>
        <v>#VALUE!</v>
      </c>
      <c r="FZ41" t="e">
        <f>AND(Plan1!K695,"AAAAAGt9drU=")</f>
        <v>#VALUE!</v>
      </c>
      <c r="GA41" t="e">
        <f>AND(Plan1!L695,"AAAAAGt9drY=")</f>
        <v>#VALUE!</v>
      </c>
      <c r="GB41" t="e">
        <f>AND(Plan1!M695,"AAAAAGt9drc=")</f>
        <v>#VALUE!</v>
      </c>
      <c r="GC41" t="e">
        <f>AND(Plan1!N695,"AAAAAGt9drg=")</f>
        <v>#VALUE!</v>
      </c>
      <c r="GD41">
        <f>IF(Plan1!696:696,"AAAAAGt9drk=",0)</f>
        <v>0</v>
      </c>
      <c r="GE41" t="e">
        <f>AND(Plan1!A696,"AAAAAGt9dro=")</f>
        <v>#VALUE!</v>
      </c>
      <c r="GF41" t="e">
        <f>AND(Plan1!B696,"AAAAAGt9drs=")</f>
        <v>#VALUE!</v>
      </c>
      <c r="GG41" t="e">
        <f>AND(Plan1!C696,"AAAAAGt9drw=")</f>
        <v>#VALUE!</v>
      </c>
      <c r="GH41" t="e">
        <f>AND(Plan1!D696,"AAAAAGt9dr0=")</f>
        <v>#VALUE!</v>
      </c>
      <c r="GI41" t="e">
        <f>AND(Plan1!E696,"AAAAAGt9dr4=")</f>
        <v>#VALUE!</v>
      </c>
      <c r="GJ41" t="e">
        <f>AND(Plan1!F696,"AAAAAGt9dr8=")</f>
        <v>#VALUE!</v>
      </c>
      <c r="GK41" t="e">
        <f>AND(Plan1!G696,"AAAAAGt9dsA=")</f>
        <v>#VALUE!</v>
      </c>
      <c r="GL41" t="e">
        <f>AND(Plan1!H696,"AAAAAGt9dsE=")</f>
        <v>#VALUE!</v>
      </c>
      <c r="GM41" t="e">
        <f>AND(Plan1!I696,"AAAAAGt9dsI=")</f>
        <v>#VALUE!</v>
      </c>
      <c r="GN41" t="e">
        <f>AND(Plan1!J696,"AAAAAGt9dsM=")</f>
        <v>#VALUE!</v>
      </c>
      <c r="GO41" t="e">
        <f>AND(Plan1!K696,"AAAAAGt9dsQ=")</f>
        <v>#VALUE!</v>
      </c>
      <c r="GP41" t="e">
        <f>AND(Plan1!L696,"AAAAAGt9dsU=")</f>
        <v>#VALUE!</v>
      </c>
      <c r="GQ41" t="e">
        <f>AND(Plan1!M696,"AAAAAGt9dsY=")</f>
        <v>#VALUE!</v>
      </c>
      <c r="GR41" t="e">
        <f>AND(Plan1!N696,"AAAAAGt9dsc=")</f>
        <v>#VALUE!</v>
      </c>
      <c r="GS41">
        <f>IF(Plan1!697:697,"AAAAAGt9dsg=",0)</f>
        <v>0</v>
      </c>
      <c r="GT41" t="e">
        <f>AND(Plan1!A697,"AAAAAGt9dsk=")</f>
        <v>#VALUE!</v>
      </c>
      <c r="GU41" t="e">
        <f>AND(Plan1!B697,"AAAAAGt9dso=")</f>
        <v>#VALUE!</v>
      </c>
      <c r="GV41" t="e">
        <f>AND(Plan1!C697,"AAAAAGt9dss=")</f>
        <v>#VALUE!</v>
      </c>
      <c r="GW41" t="e">
        <f>AND(Plan1!D697,"AAAAAGt9dsw=")</f>
        <v>#VALUE!</v>
      </c>
      <c r="GX41" t="e">
        <f>AND(Plan1!E697,"AAAAAGt9ds0=")</f>
        <v>#VALUE!</v>
      </c>
      <c r="GY41" t="e">
        <f>AND(Plan1!F697,"AAAAAGt9ds4=")</f>
        <v>#VALUE!</v>
      </c>
      <c r="GZ41" t="e">
        <f>AND(Plan1!G697,"AAAAAGt9ds8=")</f>
        <v>#VALUE!</v>
      </c>
      <c r="HA41" t="e">
        <f>AND(Plan1!H697,"AAAAAGt9dtA=")</f>
        <v>#VALUE!</v>
      </c>
      <c r="HB41" t="e">
        <f>AND(Plan1!I697,"AAAAAGt9dtE=")</f>
        <v>#VALUE!</v>
      </c>
      <c r="HC41" t="e">
        <f>AND(Plan1!J697,"AAAAAGt9dtI=")</f>
        <v>#VALUE!</v>
      </c>
      <c r="HD41" t="e">
        <f>AND(Plan1!K697,"AAAAAGt9dtM=")</f>
        <v>#VALUE!</v>
      </c>
      <c r="HE41" t="e">
        <f>AND(Plan1!L697,"AAAAAGt9dtQ=")</f>
        <v>#VALUE!</v>
      </c>
      <c r="HF41" t="e">
        <f>AND(Plan1!M697,"AAAAAGt9dtU=")</f>
        <v>#VALUE!</v>
      </c>
      <c r="HG41" t="e">
        <f>AND(Plan1!N697,"AAAAAGt9dtY=")</f>
        <v>#VALUE!</v>
      </c>
      <c r="HH41">
        <f>IF(Plan1!698:698,"AAAAAGt9dtc=",0)</f>
        <v>0</v>
      </c>
      <c r="HI41" t="e">
        <f>AND(Plan1!A698,"AAAAAGt9dtg=")</f>
        <v>#VALUE!</v>
      </c>
      <c r="HJ41" t="e">
        <f>AND(Plan1!B698,"AAAAAGt9dtk=")</f>
        <v>#VALUE!</v>
      </c>
      <c r="HK41" t="e">
        <f>AND(Plan1!C698,"AAAAAGt9dto=")</f>
        <v>#VALUE!</v>
      </c>
      <c r="HL41" t="e">
        <f>AND(Plan1!D698,"AAAAAGt9dts=")</f>
        <v>#VALUE!</v>
      </c>
      <c r="HM41" t="e">
        <f>AND(Plan1!E698,"AAAAAGt9dtw=")</f>
        <v>#VALUE!</v>
      </c>
      <c r="HN41" t="e">
        <f>AND(Plan1!F698,"AAAAAGt9dt0=")</f>
        <v>#VALUE!</v>
      </c>
      <c r="HO41" t="e">
        <f>AND(Plan1!G698,"AAAAAGt9dt4=")</f>
        <v>#VALUE!</v>
      </c>
      <c r="HP41" t="e">
        <f>AND(Plan1!H698,"AAAAAGt9dt8=")</f>
        <v>#VALUE!</v>
      </c>
      <c r="HQ41" t="e">
        <f>AND(Plan1!I698,"AAAAAGt9duA=")</f>
        <v>#VALUE!</v>
      </c>
      <c r="HR41" t="e">
        <f>AND(Plan1!J698,"AAAAAGt9duE=")</f>
        <v>#VALUE!</v>
      </c>
      <c r="HS41" t="e">
        <f>AND(Plan1!K698,"AAAAAGt9duI=")</f>
        <v>#VALUE!</v>
      </c>
      <c r="HT41" t="e">
        <f>AND(Plan1!L698,"AAAAAGt9duM=")</f>
        <v>#VALUE!</v>
      </c>
      <c r="HU41" t="e">
        <f>AND(Plan1!M698,"AAAAAGt9duQ=")</f>
        <v>#VALUE!</v>
      </c>
      <c r="HV41" t="e">
        <f>AND(Plan1!N698,"AAAAAGt9duU=")</f>
        <v>#VALUE!</v>
      </c>
      <c r="HW41">
        <f>IF(Plan1!699:699,"AAAAAGt9duY=",0)</f>
        <v>0</v>
      </c>
      <c r="HX41" t="e">
        <f>AND(Plan1!A699,"AAAAAGt9duc=")</f>
        <v>#VALUE!</v>
      </c>
      <c r="HY41" t="e">
        <f>AND(Plan1!B699,"AAAAAGt9dug=")</f>
        <v>#VALUE!</v>
      </c>
      <c r="HZ41" t="e">
        <f>AND(Plan1!C699,"AAAAAGt9duk=")</f>
        <v>#VALUE!</v>
      </c>
      <c r="IA41" t="e">
        <f>AND(Plan1!D699,"AAAAAGt9duo=")</f>
        <v>#VALUE!</v>
      </c>
      <c r="IB41" t="e">
        <f>AND(Plan1!E699,"AAAAAGt9dus=")</f>
        <v>#VALUE!</v>
      </c>
      <c r="IC41" t="e">
        <f>AND(Plan1!F699,"AAAAAGt9duw=")</f>
        <v>#VALUE!</v>
      </c>
      <c r="ID41" t="e">
        <f>AND(Plan1!G699,"AAAAAGt9du0=")</f>
        <v>#VALUE!</v>
      </c>
      <c r="IE41" t="e">
        <f>AND(Plan1!H699,"AAAAAGt9du4=")</f>
        <v>#VALUE!</v>
      </c>
      <c r="IF41" t="e">
        <f>AND(Plan1!I699,"AAAAAGt9du8=")</f>
        <v>#VALUE!</v>
      </c>
      <c r="IG41" t="e">
        <f>AND(Plan1!J699,"AAAAAGt9dvA=")</f>
        <v>#VALUE!</v>
      </c>
      <c r="IH41" t="e">
        <f>AND(Plan1!K699,"AAAAAGt9dvE=")</f>
        <v>#VALUE!</v>
      </c>
      <c r="II41" t="e">
        <f>AND(Plan1!L699,"AAAAAGt9dvI=")</f>
        <v>#VALUE!</v>
      </c>
      <c r="IJ41" t="e">
        <f>AND(Plan1!M699,"AAAAAGt9dvM=")</f>
        <v>#VALUE!</v>
      </c>
      <c r="IK41" t="e">
        <f>AND(Plan1!N699,"AAAAAGt9dvQ=")</f>
        <v>#VALUE!</v>
      </c>
      <c r="IL41">
        <f>IF(Plan1!700:700,"AAAAAGt9dvU=",0)</f>
        <v>0</v>
      </c>
      <c r="IM41" t="e">
        <f>AND(Plan1!A700,"AAAAAGt9dvY=")</f>
        <v>#VALUE!</v>
      </c>
      <c r="IN41" t="e">
        <f>AND(Plan1!B700,"AAAAAGt9dvc=")</f>
        <v>#VALUE!</v>
      </c>
      <c r="IO41" t="e">
        <f>AND(Plan1!C700,"AAAAAGt9dvg=")</f>
        <v>#VALUE!</v>
      </c>
      <c r="IP41" t="e">
        <f>AND(Plan1!D700,"AAAAAGt9dvk=")</f>
        <v>#VALUE!</v>
      </c>
      <c r="IQ41" t="e">
        <f>AND(Plan1!E700,"AAAAAGt9dvo=")</f>
        <v>#VALUE!</v>
      </c>
      <c r="IR41" t="e">
        <f>AND(Plan1!F700,"AAAAAGt9dvs=")</f>
        <v>#VALUE!</v>
      </c>
      <c r="IS41" t="e">
        <f>AND(Plan1!G700,"AAAAAGt9dvw=")</f>
        <v>#VALUE!</v>
      </c>
      <c r="IT41" t="e">
        <f>AND(Plan1!H700,"AAAAAGt9dv0=")</f>
        <v>#VALUE!</v>
      </c>
      <c r="IU41" t="e">
        <f>AND(Plan1!I700,"AAAAAGt9dv4=")</f>
        <v>#VALUE!</v>
      </c>
      <c r="IV41" t="e">
        <f>AND(Plan1!J700,"AAAAAGt9dv8=")</f>
        <v>#VALUE!</v>
      </c>
    </row>
    <row r="42" spans="1:256">
      <c r="A42" t="e">
        <f>AND(Plan1!K700,"AAAAAFOe6gA=")</f>
        <v>#VALUE!</v>
      </c>
      <c r="B42" t="e">
        <f>AND(Plan1!L700,"AAAAAFOe6gE=")</f>
        <v>#VALUE!</v>
      </c>
      <c r="C42" t="e">
        <f>AND(Plan1!M700,"AAAAAFOe6gI=")</f>
        <v>#VALUE!</v>
      </c>
      <c r="D42" t="e">
        <f>AND(Plan1!N700,"AAAAAFOe6gM=")</f>
        <v>#VALUE!</v>
      </c>
      <c r="E42">
        <f>IF(Plan1!701:701,"AAAAAFOe6gQ=",0)</f>
        <v>0</v>
      </c>
      <c r="F42" t="e">
        <f>AND(Plan1!A701,"AAAAAFOe6gU=")</f>
        <v>#VALUE!</v>
      </c>
      <c r="G42" t="e">
        <f>AND(Plan1!B701,"AAAAAFOe6gY=")</f>
        <v>#VALUE!</v>
      </c>
      <c r="H42" t="e">
        <f>AND(Plan1!C701,"AAAAAFOe6gc=")</f>
        <v>#VALUE!</v>
      </c>
      <c r="I42" t="e">
        <f>AND(Plan1!D701,"AAAAAFOe6gg=")</f>
        <v>#VALUE!</v>
      </c>
      <c r="J42" t="e">
        <f>AND(Plan1!E701,"AAAAAFOe6gk=")</f>
        <v>#VALUE!</v>
      </c>
      <c r="K42" t="e">
        <f>AND(Plan1!F701,"AAAAAFOe6go=")</f>
        <v>#VALUE!</v>
      </c>
      <c r="L42" t="e">
        <f>AND(Plan1!G701,"AAAAAFOe6gs=")</f>
        <v>#VALUE!</v>
      </c>
      <c r="M42" t="e">
        <f>AND(Plan1!H701,"AAAAAFOe6gw=")</f>
        <v>#VALUE!</v>
      </c>
      <c r="N42" t="e">
        <f>AND(Plan1!I701,"AAAAAFOe6g0=")</f>
        <v>#VALUE!</v>
      </c>
      <c r="O42" t="e">
        <f>AND(Plan1!J701,"AAAAAFOe6g4=")</f>
        <v>#VALUE!</v>
      </c>
      <c r="P42" t="e">
        <f>AND(Plan1!K701,"AAAAAFOe6g8=")</f>
        <v>#VALUE!</v>
      </c>
      <c r="Q42" t="e">
        <f>AND(Plan1!L701,"AAAAAFOe6hA=")</f>
        <v>#VALUE!</v>
      </c>
      <c r="R42" t="e">
        <f>AND(Plan1!M701,"AAAAAFOe6hE=")</f>
        <v>#VALUE!</v>
      </c>
      <c r="S42" t="e">
        <f>AND(Plan1!N701,"AAAAAFOe6hI=")</f>
        <v>#VALUE!</v>
      </c>
      <c r="T42">
        <f>IF(Plan1!702:702,"AAAAAFOe6hM=",0)</f>
        <v>0</v>
      </c>
      <c r="U42" t="e">
        <f>AND(Plan1!A702,"AAAAAFOe6hQ=")</f>
        <v>#VALUE!</v>
      </c>
      <c r="V42" t="e">
        <f>AND(Plan1!B702,"AAAAAFOe6hU=")</f>
        <v>#VALUE!</v>
      </c>
      <c r="W42" t="e">
        <f>AND(Plan1!C702,"AAAAAFOe6hY=")</f>
        <v>#VALUE!</v>
      </c>
      <c r="X42" t="e">
        <f>AND(Plan1!D702,"AAAAAFOe6hc=")</f>
        <v>#VALUE!</v>
      </c>
      <c r="Y42" t="e">
        <f>AND(Plan1!E702,"AAAAAFOe6hg=")</f>
        <v>#VALUE!</v>
      </c>
      <c r="Z42" t="e">
        <f>AND(Plan1!F702,"AAAAAFOe6hk=")</f>
        <v>#VALUE!</v>
      </c>
      <c r="AA42" t="e">
        <f>AND(Plan1!G702,"AAAAAFOe6ho=")</f>
        <v>#VALUE!</v>
      </c>
      <c r="AB42" t="e">
        <f>AND(Plan1!H702,"AAAAAFOe6hs=")</f>
        <v>#VALUE!</v>
      </c>
      <c r="AC42" t="e">
        <f>AND(Plan1!I702,"AAAAAFOe6hw=")</f>
        <v>#VALUE!</v>
      </c>
      <c r="AD42" t="e">
        <f>AND(Plan1!J702,"AAAAAFOe6h0=")</f>
        <v>#VALUE!</v>
      </c>
      <c r="AE42" t="e">
        <f>AND(Plan1!K702,"AAAAAFOe6h4=")</f>
        <v>#VALUE!</v>
      </c>
      <c r="AF42" t="e">
        <f>AND(Plan1!L702,"AAAAAFOe6h8=")</f>
        <v>#VALUE!</v>
      </c>
      <c r="AG42" t="e">
        <f>AND(Plan1!M702,"AAAAAFOe6iA=")</f>
        <v>#VALUE!</v>
      </c>
      <c r="AH42" t="e">
        <f>AND(Plan1!N702,"AAAAAFOe6iE=")</f>
        <v>#VALUE!</v>
      </c>
      <c r="AI42">
        <f>IF(Plan1!703:703,"AAAAAFOe6iI=",0)</f>
        <v>0</v>
      </c>
      <c r="AJ42" t="e">
        <f>AND(Plan1!A703,"AAAAAFOe6iM=")</f>
        <v>#VALUE!</v>
      </c>
      <c r="AK42" t="e">
        <f>AND(Plan1!B703,"AAAAAFOe6iQ=")</f>
        <v>#VALUE!</v>
      </c>
      <c r="AL42" t="e">
        <f>AND(Plan1!C703,"AAAAAFOe6iU=")</f>
        <v>#VALUE!</v>
      </c>
      <c r="AM42" t="e">
        <f>AND(Plan1!D703,"AAAAAFOe6iY=")</f>
        <v>#VALUE!</v>
      </c>
      <c r="AN42" t="e">
        <f>AND(Plan1!E703,"AAAAAFOe6ic=")</f>
        <v>#VALUE!</v>
      </c>
      <c r="AO42" t="e">
        <f>AND(Plan1!F703,"AAAAAFOe6ig=")</f>
        <v>#VALUE!</v>
      </c>
      <c r="AP42" t="e">
        <f>AND(Plan1!G703,"AAAAAFOe6ik=")</f>
        <v>#VALUE!</v>
      </c>
      <c r="AQ42" t="e">
        <f>AND(Plan1!H703,"AAAAAFOe6io=")</f>
        <v>#VALUE!</v>
      </c>
      <c r="AR42" t="e">
        <f>AND(Plan1!I703,"AAAAAFOe6is=")</f>
        <v>#VALUE!</v>
      </c>
      <c r="AS42" t="e">
        <f>AND(Plan1!J703,"AAAAAFOe6iw=")</f>
        <v>#VALUE!</v>
      </c>
      <c r="AT42" t="e">
        <f>AND(Plan1!K703,"AAAAAFOe6i0=")</f>
        <v>#VALUE!</v>
      </c>
      <c r="AU42" t="e">
        <f>AND(Plan1!L703,"AAAAAFOe6i4=")</f>
        <v>#VALUE!</v>
      </c>
      <c r="AV42" t="e">
        <f>AND(Plan1!M703,"AAAAAFOe6i8=")</f>
        <v>#VALUE!</v>
      </c>
      <c r="AW42" t="e">
        <f>AND(Plan1!N703,"AAAAAFOe6jA=")</f>
        <v>#VALUE!</v>
      </c>
      <c r="AX42">
        <f>IF(Plan1!704:704,"AAAAAFOe6jE=",0)</f>
        <v>0</v>
      </c>
      <c r="AY42" t="e">
        <f>AND(Plan1!A704,"AAAAAFOe6jI=")</f>
        <v>#VALUE!</v>
      </c>
      <c r="AZ42" t="e">
        <f>AND(Plan1!B704,"AAAAAFOe6jM=")</f>
        <v>#VALUE!</v>
      </c>
      <c r="BA42" t="e">
        <f>AND(Plan1!C704,"AAAAAFOe6jQ=")</f>
        <v>#VALUE!</v>
      </c>
      <c r="BB42" t="e">
        <f>AND(Plan1!D704,"AAAAAFOe6jU=")</f>
        <v>#VALUE!</v>
      </c>
      <c r="BC42" t="e">
        <f>AND(Plan1!E704,"AAAAAFOe6jY=")</f>
        <v>#VALUE!</v>
      </c>
      <c r="BD42" t="e">
        <f>AND(Plan1!F704,"AAAAAFOe6jc=")</f>
        <v>#VALUE!</v>
      </c>
      <c r="BE42" t="e">
        <f>AND(Plan1!G704,"AAAAAFOe6jg=")</f>
        <v>#VALUE!</v>
      </c>
      <c r="BF42" t="e">
        <f>AND(Plan1!H704,"AAAAAFOe6jk=")</f>
        <v>#VALUE!</v>
      </c>
      <c r="BG42" t="e">
        <f>AND(Plan1!I704,"AAAAAFOe6jo=")</f>
        <v>#VALUE!</v>
      </c>
      <c r="BH42" t="e">
        <f>AND(Plan1!J704,"AAAAAFOe6js=")</f>
        <v>#VALUE!</v>
      </c>
      <c r="BI42" t="e">
        <f>AND(Plan1!K704,"AAAAAFOe6jw=")</f>
        <v>#VALUE!</v>
      </c>
      <c r="BJ42" t="e">
        <f>AND(Plan1!L704,"AAAAAFOe6j0=")</f>
        <v>#VALUE!</v>
      </c>
      <c r="BK42" t="e">
        <f>AND(Plan1!M704,"AAAAAFOe6j4=")</f>
        <v>#VALUE!</v>
      </c>
      <c r="BL42" t="e">
        <f>AND(Plan1!N704,"AAAAAFOe6j8=")</f>
        <v>#VALUE!</v>
      </c>
      <c r="BM42">
        <f>IF(Plan1!705:705,"AAAAAFOe6kA=",0)</f>
        <v>0</v>
      </c>
      <c r="BN42" t="e">
        <f>AND(Plan1!A705,"AAAAAFOe6kE=")</f>
        <v>#VALUE!</v>
      </c>
      <c r="BO42" t="e">
        <f>AND(Plan1!B705,"AAAAAFOe6kI=")</f>
        <v>#VALUE!</v>
      </c>
      <c r="BP42" t="e">
        <f>AND(Plan1!C705,"AAAAAFOe6kM=")</f>
        <v>#VALUE!</v>
      </c>
      <c r="BQ42" t="e">
        <f>AND(Plan1!D705,"AAAAAFOe6kQ=")</f>
        <v>#VALUE!</v>
      </c>
      <c r="BR42" t="e">
        <f>AND(Plan1!E705,"AAAAAFOe6kU=")</f>
        <v>#VALUE!</v>
      </c>
      <c r="BS42" t="e">
        <f>AND(Plan1!F705,"AAAAAFOe6kY=")</f>
        <v>#VALUE!</v>
      </c>
      <c r="BT42" t="e">
        <f>AND(Plan1!G705,"AAAAAFOe6kc=")</f>
        <v>#VALUE!</v>
      </c>
      <c r="BU42" t="e">
        <f>AND(Plan1!H705,"AAAAAFOe6kg=")</f>
        <v>#VALUE!</v>
      </c>
      <c r="BV42" t="e">
        <f>AND(Plan1!I705,"AAAAAFOe6kk=")</f>
        <v>#VALUE!</v>
      </c>
      <c r="BW42" t="e">
        <f>AND(Plan1!J705,"AAAAAFOe6ko=")</f>
        <v>#VALUE!</v>
      </c>
      <c r="BX42" t="e">
        <f>AND(Plan1!K705,"AAAAAFOe6ks=")</f>
        <v>#VALUE!</v>
      </c>
      <c r="BY42" t="e">
        <f>AND(Plan1!L705,"AAAAAFOe6kw=")</f>
        <v>#VALUE!</v>
      </c>
      <c r="BZ42" t="e">
        <f>AND(Plan1!M705,"AAAAAFOe6k0=")</f>
        <v>#VALUE!</v>
      </c>
      <c r="CA42" t="e">
        <f>AND(Plan1!N705,"AAAAAFOe6k4=")</f>
        <v>#VALUE!</v>
      </c>
      <c r="CB42">
        <f>IF(Plan1!706:706,"AAAAAFOe6k8=",0)</f>
        <v>0</v>
      </c>
      <c r="CC42" t="e">
        <f>AND(Plan1!A706,"AAAAAFOe6lA=")</f>
        <v>#VALUE!</v>
      </c>
      <c r="CD42" t="e">
        <f>AND(Plan1!B706,"AAAAAFOe6lE=")</f>
        <v>#VALUE!</v>
      </c>
      <c r="CE42" t="e">
        <f>AND(Plan1!C706,"AAAAAFOe6lI=")</f>
        <v>#VALUE!</v>
      </c>
      <c r="CF42" t="e">
        <f>AND(Plan1!D706,"AAAAAFOe6lM=")</f>
        <v>#VALUE!</v>
      </c>
      <c r="CG42" t="e">
        <f>AND(Plan1!E706,"AAAAAFOe6lQ=")</f>
        <v>#VALUE!</v>
      </c>
      <c r="CH42" t="e">
        <f>AND(Plan1!F706,"AAAAAFOe6lU=")</f>
        <v>#VALUE!</v>
      </c>
      <c r="CI42" t="e">
        <f>AND(Plan1!G706,"AAAAAFOe6lY=")</f>
        <v>#VALUE!</v>
      </c>
      <c r="CJ42" t="e">
        <f>AND(Plan1!H706,"AAAAAFOe6lc=")</f>
        <v>#VALUE!</v>
      </c>
      <c r="CK42" t="e">
        <f>AND(Plan1!I706,"AAAAAFOe6lg=")</f>
        <v>#VALUE!</v>
      </c>
      <c r="CL42" t="e">
        <f>AND(Plan1!J706,"AAAAAFOe6lk=")</f>
        <v>#VALUE!</v>
      </c>
      <c r="CM42" t="e">
        <f>AND(Plan1!K706,"AAAAAFOe6lo=")</f>
        <v>#VALUE!</v>
      </c>
      <c r="CN42" t="e">
        <f>AND(Plan1!L706,"AAAAAFOe6ls=")</f>
        <v>#VALUE!</v>
      </c>
      <c r="CO42" t="e">
        <f>AND(Plan1!M706,"AAAAAFOe6lw=")</f>
        <v>#VALUE!</v>
      </c>
      <c r="CP42" t="e">
        <f>AND(Plan1!N706,"AAAAAFOe6l0=")</f>
        <v>#VALUE!</v>
      </c>
      <c r="CQ42">
        <f>IF(Plan1!707:707,"AAAAAFOe6l4=",0)</f>
        <v>0</v>
      </c>
      <c r="CR42" t="e">
        <f>AND(Plan1!A707,"AAAAAFOe6l8=")</f>
        <v>#VALUE!</v>
      </c>
      <c r="CS42" t="e">
        <f>AND(Plan1!B707,"AAAAAFOe6mA=")</f>
        <v>#VALUE!</v>
      </c>
      <c r="CT42" t="e">
        <f>AND(Plan1!C707,"AAAAAFOe6mE=")</f>
        <v>#VALUE!</v>
      </c>
      <c r="CU42" t="e">
        <f>AND(Plan1!D707,"AAAAAFOe6mI=")</f>
        <v>#VALUE!</v>
      </c>
      <c r="CV42" t="e">
        <f>AND(Plan1!E707,"AAAAAFOe6mM=")</f>
        <v>#VALUE!</v>
      </c>
      <c r="CW42" t="e">
        <f>AND(Plan1!F707,"AAAAAFOe6mQ=")</f>
        <v>#VALUE!</v>
      </c>
      <c r="CX42" t="e">
        <f>AND(Plan1!G707,"AAAAAFOe6mU=")</f>
        <v>#VALUE!</v>
      </c>
      <c r="CY42" t="e">
        <f>AND(Plan1!H707,"AAAAAFOe6mY=")</f>
        <v>#VALUE!</v>
      </c>
      <c r="CZ42" t="e">
        <f>AND(Plan1!I707,"AAAAAFOe6mc=")</f>
        <v>#VALUE!</v>
      </c>
      <c r="DA42" t="e">
        <f>AND(Plan1!J707,"AAAAAFOe6mg=")</f>
        <v>#VALUE!</v>
      </c>
      <c r="DB42" t="e">
        <f>AND(Plan1!K707,"AAAAAFOe6mk=")</f>
        <v>#VALUE!</v>
      </c>
      <c r="DC42" t="e">
        <f>AND(Plan1!L707,"AAAAAFOe6mo=")</f>
        <v>#VALUE!</v>
      </c>
      <c r="DD42" t="e">
        <f>AND(Plan1!M707,"AAAAAFOe6ms=")</f>
        <v>#VALUE!</v>
      </c>
      <c r="DE42" t="e">
        <f>AND(Plan1!N707,"AAAAAFOe6mw=")</f>
        <v>#VALUE!</v>
      </c>
      <c r="DF42">
        <f>IF(Plan1!708:708,"AAAAAFOe6m0=",0)</f>
        <v>0</v>
      </c>
      <c r="DG42" t="e">
        <f>AND(Plan1!A708,"AAAAAFOe6m4=")</f>
        <v>#VALUE!</v>
      </c>
      <c r="DH42" t="e">
        <f>AND(Plan1!B708,"AAAAAFOe6m8=")</f>
        <v>#VALUE!</v>
      </c>
      <c r="DI42" t="e">
        <f>AND(Plan1!C708,"AAAAAFOe6nA=")</f>
        <v>#VALUE!</v>
      </c>
      <c r="DJ42" t="e">
        <f>AND(Plan1!D708,"AAAAAFOe6nE=")</f>
        <v>#VALUE!</v>
      </c>
      <c r="DK42" t="e">
        <f>AND(Plan1!E708,"AAAAAFOe6nI=")</f>
        <v>#VALUE!</v>
      </c>
      <c r="DL42" t="e">
        <f>AND(Plan1!F708,"AAAAAFOe6nM=")</f>
        <v>#VALUE!</v>
      </c>
      <c r="DM42" t="e">
        <f>AND(Plan1!G708,"AAAAAFOe6nQ=")</f>
        <v>#VALUE!</v>
      </c>
      <c r="DN42" t="e">
        <f>AND(Plan1!H708,"AAAAAFOe6nU=")</f>
        <v>#VALUE!</v>
      </c>
      <c r="DO42" t="e">
        <f>AND(Plan1!I708,"AAAAAFOe6nY=")</f>
        <v>#VALUE!</v>
      </c>
      <c r="DP42" t="e">
        <f>AND(Plan1!J708,"AAAAAFOe6nc=")</f>
        <v>#VALUE!</v>
      </c>
      <c r="DQ42" t="e">
        <f>AND(Plan1!K708,"AAAAAFOe6ng=")</f>
        <v>#VALUE!</v>
      </c>
      <c r="DR42" t="e">
        <f>AND(Plan1!L708,"AAAAAFOe6nk=")</f>
        <v>#VALUE!</v>
      </c>
      <c r="DS42" t="e">
        <f>AND(Plan1!M708,"AAAAAFOe6no=")</f>
        <v>#VALUE!</v>
      </c>
      <c r="DT42" t="e">
        <f>AND(Plan1!N708,"AAAAAFOe6ns=")</f>
        <v>#VALUE!</v>
      </c>
      <c r="DU42">
        <f>IF(Plan1!709:709,"AAAAAFOe6nw=",0)</f>
        <v>0</v>
      </c>
      <c r="DV42" t="e">
        <f>AND(Plan1!A709,"AAAAAFOe6n0=")</f>
        <v>#VALUE!</v>
      </c>
      <c r="DW42" t="e">
        <f>AND(Plan1!B709,"AAAAAFOe6n4=")</f>
        <v>#VALUE!</v>
      </c>
      <c r="DX42" t="e">
        <f>AND(Plan1!C709,"AAAAAFOe6n8=")</f>
        <v>#VALUE!</v>
      </c>
      <c r="DY42" t="e">
        <f>AND(Plan1!D709,"AAAAAFOe6oA=")</f>
        <v>#VALUE!</v>
      </c>
      <c r="DZ42" t="e">
        <f>AND(Plan1!E709,"AAAAAFOe6oE=")</f>
        <v>#VALUE!</v>
      </c>
      <c r="EA42" t="e">
        <f>AND(Plan1!F709,"AAAAAFOe6oI=")</f>
        <v>#VALUE!</v>
      </c>
      <c r="EB42" t="e">
        <f>AND(Plan1!G709,"AAAAAFOe6oM=")</f>
        <v>#VALUE!</v>
      </c>
      <c r="EC42" t="e">
        <f>AND(Plan1!H709,"AAAAAFOe6oQ=")</f>
        <v>#VALUE!</v>
      </c>
      <c r="ED42" t="e">
        <f>AND(Plan1!I709,"AAAAAFOe6oU=")</f>
        <v>#VALUE!</v>
      </c>
      <c r="EE42" t="e">
        <f>AND(Plan1!J709,"AAAAAFOe6oY=")</f>
        <v>#VALUE!</v>
      </c>
      <c r="EF42" t="e">
        <f>AND(Plan1!K709,"AAAAAFOe6oc=")</f>
        <v>#VALUE!</v>
      </c>
      <c r="EG42" t="e">
        <f>AND(Plan1!L709,"AAAAAFOe6og=")</f>
        <v>#VALUE!</v>
      </c>
      <c r="EH42" t="e">
        <f>AND(Plan1!M709,"AAAAAFOe6ok=")</f>
        <v>#VALUE!</v>
      </c>
      <c r="EI42" t="e">
        <f>AND(Plan1!N709,"AAAAAFOe6oo=")</f>
        <v>#VALUE!</v>
      </c>
      <c r="EJ42">
        <f>IF(Plan1!710:710,"AAAAAFOe6os=",0)</f>
        <v>0</v>
      </c>
      <c r="EK42" t="e">
        <f>AND(Plan1!A710,"AAAAAFOe6ow=")</f>
        <v>#VALUE!</v>
      </c>
      <c r="EL42" t="e">
        <f>AND(Plan1!B710,"AAAAAFOe6o0=")</f>
        <v>#VALUE!</v>
      </c>
      <c r="EM42" t="e">
        <f>AND(Plan1!C710,"AAAAAFOe6o4=")</f>
        <v>#VALUE!</v>
      </c>
      <c r="EN42" t="e">
        <f>AND(Plan1!D710,"AAAAAFOe6o8=")</f>
        <v>#VALUE!</v>
      </c>
      <c r="EO42" t="e">
        <f>AND(Plan1!E710,"AAAAAFOe6pA=")</f>
        <v>#VALUE!</v>
      </c>
      <c r="EP42" t="e">
        <f>AND(Plan1!F710,"AAAAAFOe6pE=")</f>
        <v>#VALUE!</v>
      </c>
      <c r="EQ42" t="e">
        <f>AND(Plan1!G710,"AAAAAFOe6pI=")</f>
        <v>#VALUE!</v>
      </c>
      <c r="ER42" t="e">
        <f>AND(Plan1!H710,"AAAAAFOe6pM=")</f>
        <v>#VALUE!</v>
      </c>
      <c r="ES42" t="e">
        <f>AND(Plan1!I710,"AAAAAFOe6pQ=")</f>
        <v>#VALUE!</v>
      </c>
      <c r="ET42" t="e">
        <f>AND(Plan1!J710,"AAAAAFOe6pU=")</f>
        <v>#VALUE!</v>
      </c>
      <c r="EU42" t="e">
        <f>AND(Plan1!K710,"AAAAAFOe6pY=")</f>
        <v>#VALUE!</v>
      </c>
      <c r="EV42" t="e">
        <f>AND(Plan1!L710,"AAAAAFOe6pc=")</f>
        <v>#VALUE!</v>
      </c>
      <c r="EW42" t="e">
        <f>AND(Plan1!M710,"AAAAAFOe6pg=")</f>
        <v>#VALUE!</v>
      </c>
      <c r="EX42" t="e">
        <f>AND(Plan1!N710,"AAAAAFOe6pk=")</f>
        <v>#VALUE!</v>
      </c>
      <c r="EY42">
        <f>IF(Plan1!711:711,"AAAAAFOe6po=",0)</f>
        <v>0</v>
      </c>
      <c r="EZ42" t="e">
        <f>AND(Plan1!A711,"AAAAAFOe6ps=")</f>
        <v>#VALUE!</v>
      </c>
      <c r="FA42" t="e">
        <f>AND(Plan1!B711,"AAAAAFOe6pw=")</f>
        <v>#VALUE!</v>
      </c>
      <c r="FB42" t="e">
        <f>AND(Plan1!C711,"AAAAAFOe6p0=")</f>
        <v>#VALUE!</v>
      </c>
      <c r="FC42" t="e">
        <f>AND(Plan1!D711,"AAAAAFOe6p4=")</f>
        <v>#VALUE!</v>
      </c>
      <c r="FD42" t="e">
        <f>AND(Plan1!E711,"AAAAAFOe6p8=")</f>
        <v>#VALUE!</v>
      </c>
      <c r="FE42" t="e">
        <f>AND(Plan1!F711,"AAAAAFOe6qA=")</f>
        <v>#VALUE!</v>
      </c>
      <c r="FF42" t="e">
        <f>AND(Plan1!G711,"AAAAAFOe6qE=")</f>
        <v>#VALUE!</v>
      </c>
      <c r="FG42" t="e">
        <f>AND(Plan1!H711,"AAAAAFOe6qI=")</f>
        <v>#VALUE!</v>
      </c>
      <c r="FH42" t="e">
        <f>AND(Plan1!I711,"AAAAAFOe6qM=")</f>
        <v>#VALUE!</v>
      </c>
      <c r="FI42" t="e">
        <f>AND(Plan1!J711,"AAAAAFOe6qQ=")</f>
        <v>#VALUE!</v>
      </c>
      <c r="FJ42" t="e">
        <f>AND(Plan1!K711,"AAAAAFOe6qU=")</f>
        <v>#VALUE!</v>
      </c>
      <c r="FK42" t="e">
        <f>AND(Plan1!L711,"AAAAAFOe6qY=")</f>
        <v>#VALUE!</v>
      </c>
      <c r="FL42" t="e">
        <f>AND(Plan1!M711,"AAAAAFOe6qc=")</f>
        <v>#VALUE!</v>
      </c>
      <c r="FM42" t="e">
        <f>AND(Plan1!N711,"AAAAAFOe6qg=")</f>
        <v>#VALUE!</v>
      </c>
      <c r="FN42">
        <f>IF(Plan1!712:712,"AAAAAFOe6qk=",0)</f>
        <v>0</v>
      </c>
      <c r="FO42" t="e">
        <f>AND(Plan1!A712,"AAAAAFOe6qo=")</f>
        <v>#VALUE!</v>
      </c>
      <c r="FP42" t="e">
        <f>AND(Plan1!B712,"AAAAAFOe6qs=")</f>
        <v>#VALUE!</v>
      </c>
      <c r="FQ42" t="e">
        <f>AND(Plan1!C712,"AAAAAFOe6qw=")</f>
        <v>#VALUE!</v>
      </c>
      <c r="FR42" t="e">
        <f>AND(Plan1!D712,"AAAAAFOe6q0=")</f>
        <v>#VALUE!</v>
      </c>
      <c r="FS42" t="e">
        <f>AND(Plan1!E712,"AAAAAFOe6q4=")</f>
        <v>#VALUE!</v>
      </c>
      <c r="FT42" t="e">
        <f>AND(Plan1!F712,"AAAAAFOe6q8=")</f>
        <v>#VALUE!</v>
      </c>
      <c r="FU42" t="e">
        <f>AND(Plan1!G712,"AAAAAFOe6rA=")</f>
        <v>#VALUE!</v>
      </c>
      <c r="FV42" t="e">
        <f>AND(Plan1!H712,"AAAAAFOe6rE=")</f>
        <v>#VALUE!</v>
      </c>
      <c r="FW42" t="e">
        <f>AND(Plan1!I712,"AAAAAFOe6rI=")</f>
        <v>#VALUE!</v>
      </c>
      <c r="FX42" t="e">
        <f>AND(Plan1!J712,"AAAAAFOe6rM=")</f>
        <v>#VALUE!</v>
      </c>
      <c r="FY42" t="e">
        <f>AND(Plan1!K712,"AAAAAFOe6rQ=")</f>
        <v>#VALUE!</v>
      </c>
      <c r="FZ42" t="e">
        <f>AND(Plan1!L712,"AAAAAFOe6rU=")</f>
        <v>#VALUE!</v>
      </c>
      <c r="GA42" t="e">
        <f>AND(Plan1!M712,"AAAAAFOe6rY=")</f>
        <v>#VALUE!</v>
      </c>
      <c r="GB42" t="e">
        <f>AND(Plan1!N712,"AAAAAFOe6rc=")</f>
        <v>#VALUE!</v>
      </c>
      <c r="GC42">
        <f>IF(Plan1!713:713,"AAAAAFOe6rg=",0)</f>
        <v>0</v>
      </c>
      <c r="GD42" t="e">
        <f>AND(Plan1!A713,"AAAAAFOe6rk=")</f>
        <v>#VALUE!</v>
      </c>
      <c r="GE42" t="e">
        <f>AND(Plan1!B713,"AAAAAFOe6ro=")</f>
        <v>#VALUE!</v>
      </c>
      <c r="GF42" t="e">
        <f>AND(Plan1!C713,"AAAAAFOe6rs=")</f>
        <v>#VALUE!</v>
      </c>
      <c r="GG42" t="e">
        <f>AND(Plan1!D713,"AAAAAFOe6rw=")</f>
        <v>#VALUE!</v>
      </c>
      <c r="GH42" t="e">
        <f>AND(Plan1!E713,"AAAAAFOe6r0=")</f>
        <v>#VALUE!</v>
      </c>
      <c r="GI42" t="e">
        <f>AND(Plan1!F713,"AAAAAFOe6r4=")</f>
        <v>#VALUE!</v>
      </c>
      <c r="GJ42" t="e">
        <f>AND(Plan1!G713,"AAAAAFOe6r8=")</f>
        <v>#VALUE!</v>
      </c>
      <c r="GK42" t="e">
        <f>AND(Plan1!H713,"AAAAAFOe6sA=")</f>
        <v>#VALUE!</v>
      </c>
      <c r="GL42" t="e">
        <f>AND(Plan1!I713,"AAAAAFOe6sE=")</f>
        <v>#VALUE!</v>
      </c>
      <c r="GM42" t="e">
        <f>AND(Plan1!J713,"AAAAAFOe6sI=")</f>
        <v>#VALUE!</v>
      </c>
      <c r="GN42" t="e">
        <f>AND(Plan1!K713,"AAAAAFOe6sM=")</f>
        <v>#VALUE!</v>
      </c>
      <c r="GO42" t="e">
        <f>AND(Plan1!L713,"AAAAAFOe6sQ=")</f>
        <v>#VALUE!</v>
      </c>
      <c r="GP42" t="e">
        <f>AND(Plan1!M713,"AAAAAFOe6sU=")</f>
        <v>#VALUE!</v>
      </c>
      <c r="GQ42" t="e">
        <f>AND(Plan1!N713,"AAAAAFOe6sY=")</f>
        <v>#VALUE!</v>
      </c>
      <c r="GR42">
        <f>IF(Plan1!714:714,"AAAAAFOe6sc=",0)</f>
        <v>0</v>
      </c>
      <c r="GS42" t="e">
        <f>AND(Plan1!A714,"AAAAAFOe6sg=")</f>
        <v>#VALUE!</v>
      </c>
      <c r="GT42" t="e">
        <f>AND(Plan1!B714,"AAAAAFOe6sk=")</f>
        <v>#VALUE!</v>
      </c>
      <c r="GU42" t="e">
        <f>AND(Plan1!C714,"AAAAAFOe6so=")</f>
        <v>#VALUE!</v>
      </c>
      <c r="GV42" t="e">
        <f>AND(Plan1!D714,"AAAAAFOe6ss=")</f>
        <v>#VALUE!</v>
      </c>
      <c r="GW42" t="e">
        <f>AND(Plan1!E714,"AAAAAFOe6sw=")</f>
        <v>#VALUE!</v>
      </c>
      <c r="GX42" t="e">
        <f>AND(Plan1!F714,"AAAAAFOe6s0=")</f>
        <v>#VALUE!</v>
      </c>
      <c r="GY42" t="e">
        <f>AND(Plan1!G714,"AAAAAFOe6s4=")</f>
        <v>#VALUE!</v>
      </c>
      <c r="GZ42" t="e">
        <f>AND(Plan1!H714,"AAAAAFOe6s8=")</f>
        <v>#VALUE!</v>
      </c>
      <c r="HA42" t="e">
        <f>AND(Plan1!I714,"AAAAAFOe6tA=")</f>
        <v>#VALUE!</v>
      </c>
      <c r="HB42" t="e">
        <f>AND(Plan1!J714,"AAAAAFOe6tE=")</f>
        <v>#VALUE!</v>
      </c>
      <c r="HC42" t="e">
        <f>AND(Plan1!K714,"AAAAAFOe6tI=")</f>
        <v>#VALUE!</v>
      </c>
      <c r="HD42" t="e">
        <f>AND(Plan1!L714,"AAAAAFOe6tM=")</f>
        <v>#VALUE!</v>
      </c>
      <c r="HE42" t="e">
        <f>AND(Plan1!M714,"AAAAAFOe6tQ=")</f>
        <v>#VALUE!</v>
      </c>
      <c r="HF42" t="e">
        <f>AND(Plan1!N714,"AAAAAFOe6tU=")</f>
        <v>#VALUE!</v>
      </c>
      <c r="HG42">
        <f>IF(Plan1!715:715,"AAAAAFOe6tY=",0)</f>
        <v>0</v>
      </c>
      <c r="HH42" t="e">
        <f>AND(Plan1!A715,"AAAAAFOe6tc=")</f>
        <v>#VALUE!</v>
      </c>
      <c r="HI42" t="e">
        <f>AND(Plan1!B715,"AAAAAFOe6tg=")</f>
        <v>#VALUE!</v>
      </c>
      <c r="HJ42" t="e">
        <f>AND(Plan1!C715,"AAAAAFOe6tk=")</f>
        <v>#VALUE!</v>
      </c>
      <c r="HK42" t="e">
        <f>AND(Plan1!D715,"AAAAAFOe6to=")</f>
        <v>#VALUE!</v>
      </c>
      <c r="HL42" t="e">
        <f>AND(Plan1!E715,"AAAAAFOe6ts=")</f>
        <v>#VALUE!</v>
      </c>
      <c r="HM42" t="e">
        <f>AND(Plan1!F715,"AAAAAFOe6tw=")</f>
        <v>#VALUE!</v>
      </c>
      <c r="HN42" t="e">
        <f>AND(Plan1!G715,"AAAAAFOe6t0=")</f>
        <v>#VALUE!</v>
      </c>
      <c r="HO42" t="e">
        <f>AND(Plan1!H715,"AAAAAFOe6t4=")</f>
        <v>#VALUE!</v>
      </c>
      <c r="HP42" t="e">
        <f>AND(Plan1!I715,"AAAAAFOe6t8=")</f>
        <v>#VALUE!</v>
      </c>
      <c r="HQ42" t="e">
        <f>AND(Plan1!J715,"AAAAAFOe6uA=")</f>
        <v>#VALUE!</v>
      </c>
      <c r="HR42" t="e">
        <f>AND(Plan1!K715,"AAAAAFOe6uE=")</f>
        <v>#VALUE!</v>
      </c>
      <c r="HS42" t="e">
        <f>AND(Plan1!L715,"AAAAAFOe6uI=")</f>
        <v>#VALUE!</v>
      </c>
      <c r="HT42" t="e">
        <f>AND(Plan1!M715,"AAAAAFOe6uM=")</f>
        <v>#VALUE!</v>
      </c>
      <c r="HU42" t="e">
        <f>AND(Plan1!N715,"AAAAAFOe6uQ=")</f>
        <v>#VALUE!</v>
      </c>
      <c r="HV42">
        <f>IF(Plan1!716:716,"AAAAAFOe6uU=",0)</f>
        <v>0</v>
      </c>
      <c r="HW42" t="e">
        <f>AND(Plan1!A716,"AAAAAFOe6uY=")</f>
        <v>#VALUE!</v>
      </c>
      <c r="HX42" t="e">
        <f>AND(Plan1!B716,"AAAAAFOe6uc=")</f>
        <v>#VALUE!</v>
      </c>
      <c r="HY42" t="e">
        <f>AND(Plan1!C716,"AAAAAFOe6ug=")</f>
        <v>#VALUE!</v>
      </c>
      <c r="HZ42" t="e">
        <f>AND(Plan1!D716,"AAAAAFOe6uk=")</f>
        <v>#VALUE!</v>
      </c>
      <c r="IA42" t="e">
        <f>AND(Plan1!E716,"AAAAAFOe6uo=")</f>
        <v>#VALUE!</v>
      </c>
      <c r="IB42" t="e">
        <f>AND(Plan1!F716,"AAAAAFOe6us=")</f>
        <v>#VALUE!</v>
      </c>
      <c r="IC42" t="e">
        <f>AND(Plan1!G716,"AAAAAFOe6uw=")</f>
        <v>#VALUE!</v>
      </c>
      <c r="ID42" t="e">
        <f>AND(Plan1!H716,"AAAAAFOe6u0=")</f>
        <v>#VALUE!</v>
      </c>
      <c r="IE42" t="e">
        <f>AND(Plan1!I716,"AAAAAFOe6u4=")</f>
        <v>#VALUE!</v>
      </c>
      <c r="IF42" t="e">
        <f>AND(Plan1!J716,"AAAAAFOe6u8=")</f>
        <v>#VALUE!</v>
      </c>
      <c r="IG42" t="e">
        <f>AND(Plan1!K716,"AAAAAFOe6vA=")</f>
        <v>#VALUE!</v>
      </c>
      <c r="IH42" t="e">
        <f>AND(Plan1!L716,"AAAAAFOe6vE=")</f>
        <v>#VALUE!</v>
      </c>
      <c r="II42" t="e">
        <f>AND(Plan1!M716,"AAAAAFOe6vI=")</f>
        <v>#VALUE!</v>
      </c>
      <c r="IJ42" t="e">
        <f>AND(Plan1!N716,"AAAAAFOe6vM=")</f>
        <v>#VALUE!</v>
      </c>
      <c r="IK42">
        <f>IF(Plan1!717:717,"AAAAAFOe6vQ=",0)</f>
        <v>0</v>
      </c>
      <c r="IL42" t="e">
        <f>AND(Plan1!A717,"AAAAAFOe6vU=")</f>
        <v>#VALUE!</v>
      </c>
      <c r="IM42" t="e">
        <f>AND(Plan1!B717,"AAAAAFOe6vY=")</f>
        <v>#VALUE!</v>
      </c>
      <c r="IN42" t="e">
        <f>AND(Plan1!C717,"AAAAAFOe6vc=")</f>
        <v>#VALUE!</v>
      </c>
      <c r="IO42" t="e">
        <f>AND(Plan1!D717,"AAAAAFOe6vg=")</f>
        <v>#VALUE!</v>
      </c>
      <c r="IP42" t="e">
        <f>AND(Plan1!E717,"AAAAAFOe6vk=")</f>
        <v>#VALUE!</v>
      </c>
      <c r="IQ42" t="e">
        <f>AND(Plan1!F717,"AAAAAFOe6vo=")</f>
        <v>#VALUE!</v>
      </c>
      <c r="IR42" t="e">
        <f>AND(Plan1!G717,"AAAAAFOe6vs=")</f>
        <v>#VALUE!</v>
      </c>
      <c r="IS42" t="e">
        <f>AND(Plan1!H717,"AAAAAFOe6vw=")</f>
        <v>#VALUE!</v>
      </c>
      <c r="IT42" t="e">
        <f>AND(Plan1!I717,"AAAAAFOe6v0=")</f>
        <v>#VALUE!</v>
      </c>
      <c r="IU42" t="e">
        <f>AND(Plan1!J717,"AAAAAFOe6v4=")</f>
        <v>#VALUE!</v>
      </c>
      <c r="IV42" t="e">
        <f>AND(Plan1!K717,"AAAAAFOe6v8=")</f>
        <v>#VALUE!</v>
      </c>
    </row>
    <row r="43" spans="1:256">
      <c r="A43" t="e">
        <f>AND(Plan1!L717,"AAAAAHnn/wA=")</f>
        <v>#VALUE!</v>
      </c>
      <c r="B43" t="e">
        <f>AND(Plan1!M717,"AAAAAHnn/wE=")</f>
        <v>#VALUE!</v>
      </c>
      <c r="C43" t="e">
        <f>AND(Plan1!N717,"AAAAAHnn/wI=")</f>
        <v>#VALUE!</v>
      </c>
      <c r="D43" t="e">
        <f>IF(Plan1!718:718,"AAAAAHnn/wM=",0)</f>
        <v>#VALUE!</v>
      </c>
      <c r="E43" t="e">
        <f>AND(Plan1!A718,"AAAAAHnn/wQ=")</f>
        <v>#VALUE!</v>
      </c>
      <c r="F43" t="e">
        <f>AND(Plan1!B718,"AAAAAHnn/wU=")</f>
        <v>#VALUE!</v>
      </c>
      <c r="G43" t="e">
        <f>AND(Plan1!C718,"AAAAAHnn/wY=")</f>
        <v>#VALUE!</v>
      </c>
      <c r="H43" t="e">
        <f>AND(Plan1!D718,"AAAAAHnn/wc=")</f>
        <v>#VALUE!</v>
      </c>
      <c r="I43" t="e">
        <f>AND(Plan1!E718,"AAAAAHnn/wg=")</f>
        <v>#VALUE!</v>
      </c>
      <c r="J43" t="e">
        <f>AND(Plan1!F718,"AAAAAHnn/wk=")</f>
        <v>#VALUE!</v>
      </c>
      <c r="K43" t="e">
        <f>AND(Plan1!G718,"AAAAAHnn/wo=")</f>
        <v>#VALUE!</v>
      </c>
      <c r="L43" t="e">
        <f>AND(Plan1!H718,"AAAAAHnn/ws=")</f>
        <v>#VALUE!</v>
      </c>
      <c r="M43" t="e">
        <f>AND(Plan1!I718,"AAAAAHnn/ww=")</f>
        <v>#VALUE!</v>
      </c>
      <c r="N43" t="e">
        <f>AND(Plan1!J718,"AAAAAHnn/w0=")</f>
        <v>#VALUE!</v>
      </c>
      <c r="O43" t="e">
        <f>AND(Plan1!K718,"AAAAAHnn/w4=")</f>
        <v>#VALUE!</v>
      </c>
      <c r="P43" t="e">
        <f>AND(Plan1!L718,"AAAAAHnn/w8=")</f>
        <v>#VALUE!</v>
      </c>
      <c r="Q43" t="e">
        <f>AND(Plan1!M718,"AAAAAHnn/xA=")</f>
        <v>#VALUE!</v>
      </c>
      <c r="R43" t="e">
        <f>AND(Plan1!N718,"AAAAAHnn/xE=")</f>
        <v>#VALUE!</v>
      </c>
      <c r="S43">
        <f>IF(Plan1!719:719,"AAAAAHnn/xI=",0)</f>
        <v>0</v>
      </c>
      <c r="T43" t="e">
        <f>AND(Plan1!A719,"AAAAAHnn/xM=")</f>
        <v>#VALUE!</v>
      </c>
      <c r="U43" t="e">
        <f>AND(Plan1!B719,"AAAAAHnn/xQ=")</f>
        <v>#VALUE!</v>
      </c>
      <c r="V43" t="e">
        <f>AND(Plan1!C719,"AAAAAHnn/xU=")</f>
        <v>#VALUE!</v>
      </c>
      <c r="W43" t="e">
        <f>AND(Plan1!D719,"AAAAAHnn/xY=")</f>
        <v>#VALUE!</v>
      </c>
      <c r="X43" t="e">
        <f>AND(Plan1!E719,"AAAAAHnn/xc=")</f>
        <v>#VALUE!</v>
      </c>
      <c r="Y43" t="e">
        <f>AND(Plan1!F719,"AAAAAHnn/xg=")</f>
        <v>#VALUE!</v>
      </c>
      <c r="Z43" t="e">
        <f>AND(Plan1!G719,"AAAAAHnn/xk=")</f>
        <v>#VALUE!</v>
      </c>
      <c r="AA43" t="e">
        <f>AND(Plan1!H719,"AAAAAHnn/xo=")</f>
        <v>#VALUE!</v>
      </c>
      <c r="AB43" t="e">
        <f>AND(Plan1!I719,"AAAAAHnn/xs=")</f>
        <v>#VALUE!</v>
      </c>
      <c r="AC43" t="e">
        <f>AND(Plan1!J719,"AAAAAHnn/xw=")</f>
        <v>#VALUE!</v>
      </c>
      <c r="AD43" t="e">
        <f>AND(Plan1!K719,"AAAAAHnn/x0=")</f>
        <v>#VALUE!</v>
      </c>
      <c r="AE43" t="e">
        <f>AND(Plan1!L719,"AAAAAHnn/x4=")</f>
        <v>#VALUE!</v>
      </c>
      <c r="AF43" t="e">
        <f>AND(Plan1!M719,"AAAAAHnn/x8=")</f>
        <v>#VALUE!</v>
      </c>
      <c r="AG43" t="e">
        <f>AND(Plan1!N719,"AAAAAHnn/yA=")</f>
        <v>#VALUE!</v>
      </c>
      <c r="AH43">
        <f>IF(Plan1!720:720,"AAAAAHnn/yE=",0)</f>
        <v>0</v>
      </c>
      <c r="AI43" t="e">
        <f>AND(Plan1!A720,"AAAAAHnn/yI=")</f>
        <v>#VALUE!</v>
      </c>
      <c r="AJ43" t="e">
        <f>AND(Plan1!B720,"AAAAAHnn/yM=")</f>
        <v>#VALUE!</v>
      </c>
      <c r="AK43" t="e">
        <f>AND(Plan1!C720,"AAAAAHnn/yQ=")</f>
        <v>#VALUE!</v>
      </c>
      <c r="AL43" t="e">
        <f>AND(Plan1!D720,"AAAAAHnn/yU=")</f>
        <v>#VALUE!</v>
      </c>
      <c r="AM43" t="e">
        <f>AND(Plan1!E720,"AAAAAHnn/yY=")</f>
        <v>#VALUE!</v>
      </c>
      <c r="AN43" t="e">
        <f>AND(Plan1!F720,"AAAAAHnn/yc=")</f>
        <v>#VALUE!</v>
      </c>
      <c r="AO43" t="e">
        <f>AND(Plan1!G720,"AAAAAHnn/yg=")</f>
        <v>#VALUE!</v>
      </c>
      <c r="AP43" t="e">
        <f>AND(Plan1!H720,"AAAAAHnn/yk=")</f>
        <v>#VALUE!</v>
      </c>
      <c r="AQ43" t="e">
        <f>AND(Plan1!I720,"AAAAAHnn/yo=")</f>
        <v>#VALUE!</v>
      </c>
      <c r="AR43" t="e">
        <f>AND(Plan1!J720,"AAAAAHnn/ys=")</f>
        <v>#VALUE!</v>
      </c>
      <c r="AS43" t="e">
        <f>AND(Plan1!K720,"AAAAAHnn/yw=")</f>
        <v>#VALUE!</v>
      </c>
      <c r="AT43" t="e">
        <f>AND(Plan1!L720,"AAAAAHnn/y0=")</f>
        <v>#VALUE!</v>
      </c>
      <c r="AU43" t="e">
        <f>AND(Plan1!M720,"AAAAAHnn/y4=")</f>
        <v>#VALUE!</v>
      </c>
      <c r="AV43" t="e">
        <f>AND(Plan1!N720,"AAAAAHnn/y8=")</f>
        <v>#VALUE!</v>
      </c>
      <c r="AW43">
        <f>IF(Plan1!721:721,"AAAAAHnn/zA=",0)</f>
        <v>0</v>
      </c>
      <c r="AX43" t="e">
        <f>AND(Plan1!A721,"AAAAAHnn/zE=")</f>
        <v>#VALUE!</v>
      </c>
      <c r="AY43" t="e">
        <f>AND(Plan1!B721,"AAAAAHnn/zI=")</f>
        <v>#VALUE!</v>
      </c>
      <c r="AZ43" t="e">
        <f>AND(Plan1!C721,"AAAAAHnn/zM=")</f>
        <v>#VALUE!</v>
      </c>
      <c r="BA43" t="e">
        <f>AND(Plan1!D721,"AAAAAHnn/zQ=")</f>
        <v>#VALUE!</v>
      </c>
      <c r="BB43" t="e">
        <f>AND(Plan1!E721,"AAAAAHnn/zU=")</f>
        <v>#VALUE!</v>
      </c>
      <c r="BC43" t="e">
        <f>AND(Plan1!F721,"AAAAAHnn/zY=")</f>
        <v>#VALUE!</v>
      </c>
      <c r="BD43" t="e">
        <f>AND(Plan1!G721,"AAAAAHnn/zc=")</f>
        <v>#VALUE!</v>
      </c>
      <c r="BE43" t="e">
        <f>AND(Plan1!H721,"AAAAAHnn/zg=")</f>
        <v>#VALUE!</v>
      </c>
      <c r="BF43" t="e">
        <f>AND(Plan1!I721,"AAAAAHnn/zk=")</f>
        <v>#VALUE!</v>
      </c>
      <c r="BG43" t="e">
        <f>AND(Plan1!J721,"AAAAAHnn/zo=")</f>
        <v>#VALUE!</v>
      </c>
      <c r="BH43" t="e">
        <f>AND(Plan1!K721,"AAAAAHnn/zs=")</f>
        <v>#VALUE!</v>
      </c>
      <c r="BI43" t="e">
        <f>AND(Plan1!L721,"AAAAAHnn/zw=")</f>
        <v>#VALUE!</v>
      </c>
      <c r="BJ43" t="e">
        <f>AND(Plan1!M721,"AAAAAHnn/z0=")</f>
        <v>#VALUE!</v>
      </c>
      <c r="BK43" t="e">
        <f>AND(Plan1!N721,"AAAAAHnn/z4=")</f>
        <v>#VALUE!</v>
      </c>
      <c r="BL43">
        <f>IF(Plan1!722:722,"AAAAAHnn/z8=",0)</f>
        <v>0</v>
      </c>
      <c r="BM43" t="e">
        <f>AND(Plan1!A722,"AAAAAHnn/0A=")</f>
        <v>#VALUE!</v>
      </c>
      <c r="BN43" t="e">
        <f>AND(Plan1!B722,"AAAAAHnn/0E=")</f>
        <v>#VALUE!</v>
      </c>
      <c r="BO43" t="e">
        <f>AND(Plan1!C722,"AAAAAHnn/0I=")</f>
        <v>#VALUE!</v>
      </c>
      <c r="BP43" t="e">
        <f>AND(Plan1!D722,"AAAAAHnn/0M=")</f>
        <v>#VALUE!</v>
      </c>
      <c r="BQ43" t="e">
        <f>AND(Plan1!E722,"AAAAAHnn/0Q=")</f>
        <v>#VALUE!</v>
      </c>
      <c r="BR43" t="e">
        <f>AND(Plan1!F722,"AAAAAHnn/0U=")</f>
        <v>#VALUE!</v>
      </c>
      <c r="BS43" t="e">
        <f>AND(Plan1!G722,"AAAAAHnn/0Y=")</f>
        <v>#VALUE!</v>
      </c>
      <c r="BT43" t="e">
        <f>AND(Plan1!H722,"AAAAAHnn/0c=")</f>
        <v>#VALUE!</v>
      </c>
      <c r="BU43" t="e">
        <f>AND(Plan1!I722,"AAAAAHnn/0g=")</f>
        <v>#VALUE!</v>
      </c>
      <c r="BV43" t="e">
        <f>AND(Plan1!J722,"AAAAAHnn/0k=")</f>
        <v>#VALUE!</v>
      </c>
      <c r="BW43" t="e">
        <f>AND(Plan1!K722,"AAAAAHnn/0o=")</f>
        <v>#VALUE!</v>
      </c>
      <c r="BX43" t="e">
        <f>AND(Plan1!L722,"AAAAAHnn/0s=")</f>
        <v>#VALUE!</v>
      </c>
      <c r="BY43" t="e">
        <f>AND(Plan1!M722,"AAAAAHnn/0w=")</f>
        <v>#VALUE!</v>
      </c>
      <c r="BZ43" t="e">
        <f>AND(Plan1!N722,"AAAAAHnn/00=")</f>
        <v>#VALUE!</v>
      </c>
      <c r="CA43">
        <f>IF(Plan1!723:723,"AAAAAHnn/04=",0)</f>
        <v>0</v>
      </c>
      <c r="CB43" t="e">
        <f>AND(Plan1!A723,"AAAAAHnn/08=")</f>
        <v>#VALUE!</v>
      </c>
      <c r="CC43" t="e">
        <f>AND(Plan1!B723,"AAAAAHnn/1A=")</f>
        <v>#VALUE!</v>
      </c>
      <c r="CD43" t="e">
        <f>AND(Plan1!C723,"AAAAAHnn/1E=")</f>
        <v>#VALUE!</v>
      </c>
      <c r="CE43" t="e">
        <f>AND(Plan1!D723,"AAAAAHnn/1I=")</f>
        <v>#VALUE!</v>
      </c>
      <c r="CF43" t="e">
        <f>AND(Plan1!E723,"AAAAAHnn/1M=")</f>
        <v>#VALUE!</v>
      </c>
      <c r="CG43" t="e">
        <f>AND(Plan1!F723,"AAAAAHnn/1Q=")</f>
        <v>#VALUE!</v>
      </c>
      <c r="CH43" t="e">
        <f>AND(Plan1!G723,"AAAAAHnn/1U=")</f>
        <v>#VALUE!</v>
      </c>
      <c r="CI43" t="e">
        <f>AND(Plan1!H723,"AAAAAHnn/1Y=")</f>
        <v>#VALUE!</v>
      </c>
      <c r="CJ43" t="e">
        <f>AND(Plan1!I723,"AAAAAHnn/1c=")</f>
        <v>#VALUE!</v>
      </c>
      <c r="CK43" t="e">
        <f>AND(Plan1!J723,"AAAAAHnn/1g=")</f>
        <v>#VALUE!</v>
      </c>
      <c r="CL43" t="e">
        <f>AND(Plan1!K723,"AAAAAHnn/1k=")</f>
        <v>#VALUE!</v>
      </c>
      <c r="CM43" t="e">
        <f>AND(Plan1!L723,"AAAAAHnn/1o=")</f>
        <v>#VALUE!</v>
      </c>
      <c r="CN43" t="e">
        <f>AND(Plan1!M723,"AAAAAHnn/1s=")</f>
        <v>#VALUE!</v>
      </c>
      <c r="CO43" t="e">
        <f>AND(Plan1!N723,"AAAAAHnn/1w=")</f>
        <v>#VALUE!</v>
      </c>
      <c r="CP43">
        <f>IF(Plan1!724:724,"AAAAAHnn/10=",0)</f>
        <v>0</v>
      </c>
      <c r="CQ43" t="e">
        <f>AND(Plan1!A724,"AAAAAHnn/14=")</f>
        <v>#VALUE!</v>
      </c>
      <c r="CR43" t="e">
        <f>AND(Plan1!B724,"AAAAAHnn/18=")</f>
        <v>#VALUE!</v>
      </c>
      <c r="CS43" t="e">
        <f>AND(Plan1!C724,"AAAAAHnn/2A=")</f>
        <v>#VALUE!</v>
      </c>
      <c r="CT43" t="e">
        <f>AND(Plan1!D724,"AAAAAHnn/2E=")</f>
        <v>#VALUE!</v>
      </c>
      <c r="CU43" t="e">
        <f>AND(Plan1!E724,"AAAAAHnn/2I=")</f>
        <v>#VALUE!</v>
      </c>
      <c r="CV43" t="e">
        <f>AND(Plan1!F724,"AAAAAHnn/2M=")</f>
        <v>#VALUE!</v>
      </c>
      <c r="CW43" t="e">
        <f>AND(Plan1!G724,"AAAAAHnn/2Q=")</f>
        <v>#VALUE!</v>
      </c>
      <c r="CX43" t="e">
        <f>AND(Plan1!H724,"AAAAAHnn/2U=")</f>
        <v>#VALUE!</v>
      </c>
      <c r="CY43" t="e">
        <f>AND(Plan1!I724,"AAAAAHnn/2Y=")</f>
        <v>#VALUE!</v>
      </c>
      <c r="CZ43" t="e">
        <f>AND(Plan1!J724,"AAAAAHnn/2c=")</f>
        <v>#VALUE!</v>
      </c>
      <c r="DA43" t="e">
        <f>AND(Plan1!K724,"AAAAAHnn/2g=")</f>
        <v>#VALUE!</v>
      </c>
      <c r="DB43" t="e">
        <f>AND(Plan1!L724,"AAAAAHnn/2k=")</f>
        <v>#VALUE!</v>
      </c>
      <c r="DC43" t="e">
        <f>AND(Plan1!M724,"AAAAAHnn/2o=")</f>
        <v>#VALUE!</v>
      </c>
      <c r="DD43" t="e">
        <f>AND(Plan1!N724,"AAAAAHnn/2s=")</f>
        <v>#VALUE!</v>
      </c>
      <c r="DE43">
        <f>IF(Plan1!725:725,"AAAAAHnn/2w=",0)</f>
        <v>0</v>
      </c>
      <c r="DF43" t="e">
        <f>AND(Plan1!A725,"AAAAAHnn/20=")</f>
        <v>#VALUE!</v>
      </c>
      <c r="DG43" t="e">
        <f>AND(Plan1!B725,"AAAAAHnn/24=")</f>
        <v>#VALUE!</v>
      </c>
      <c r="DH43" t="e">
        <f>AND(Plan1!C725,"AAAAAHnn/28=")</f>
        <v>#VALUE!</v>
      </c>
      <c r="DI43" t="e">
        <f>AND(Plan1!D725,"AAAAAHnn/3A=")</f>
        <v>#VALUE!</v>
      </c>
      <c r="DJ43" t="e">
        <f>AND(Plan1!E725,"AAAAAHnn/3E=")</f>
        <v>#VALUE!</v>
      </c>
      <c r="DK43" t="e">
        <f>AND(Plan1!F725,"AAAAAHnn/3I=")</f>
        <v>#VALUE!</v>
      </c>
      <c r="DL43" t="e">
        <f>AND(Plan1!G725,"AAAAAHnn/3M=")</f>
        <v>#VALUE!</v>
      </c>
      <c r="DM43" t="e">
        <f>AND(Plan1!H725,"AAAAAHnn/3Q=")</f>
        <v>#VALUE!</v>
      </c>
      <c r="DN43" t="e">
        <f>AND(Plan1!I725,"AAAAAHnn/3U=")</f>
        <v>#VALUE!</v>
      </c>
      <c r="DO43" t="e">
        <f>AND(Plan1!J725,"AAAAAHnn/3Y=")</f>
        <v>#VALUE!</v>
      </c>
      <c r="DP43" t="e">
        <f>AND(Plan1!K725,"AAAAAHnn/3c=")</f>
        <v>#VALUE!</v>
      </c>
      <c r="DQ43" t="e">
        <f>AND(Plan1!L725,"AAAAAHnn/3g=")</f>
        <v>#VALUE!</v>
      </c>
      <c r="DR43" t="e">
        <f>AND(Plan1!M725,"AAAAAHnn/3k=")</f>
        <v>#VALUE!</v>
      </c>
      <c r="DS43" t="e">
        <f>AND(Plan1!N725,"AAAAAHnn/3o=")</f>
        <v>#VALUE!</v>
      </c>
      <c r="DT43">
        <f>IF(Plan1!726:726,"AAAAAHnn/3s=",0)</f>
        <v>0</v>
      </c>
      <c r="DU43" t="e">
        <f>AND(Plan1!A726,"AAAAAHnn/3w=")</f>
        <v>#VALUE!</v>
      </c>
      <c r="DV43" t="e">
        <f>AND(Plan1!B726,"AAAAAHnn/30=")</f>
        <v>#VALUE!</v>
      </c>
      <c r="DW43" t="e">
        <f>AND(Plan1!C726,"AAAAAHnn/34=")</f>
        <v>#VALUE!</v>
      </c>
      <c r="DX43" t="e">
        <f>AND(Plan1!D726,"AAAAAHnn/38=")</f>
        <v>#VALUE!</v>
      </c>
      <c r="DY43" t="e">
        <f>AND(Plan1!E726,"AAAAAHnn/4A=")</f>
        <v>#VALUE!</v>
      </c>
      <c r="DZ43" t="e">
        <f>AND(Plan1!F726,"AAAAAHnn/4E=")</f>
        <v>#VALUE!</v>
      </c>
      <c r="EA43" t="e">
        <f>AND(Plan1!G726,"AAAAAHnn/4I=")</f>
        <v>#VALUE!</v>
      </c>
      <c r="EB43" t="e">
        <f>AND(Plan1!H726,"AAAAAHnn/4M=")</f>
        <v>#VALUE!</v>
      </c>
      <c r="EC43" t="e">
        <f>AND(Plan1!I726,"AAAAAHnn/4Q=")</f>
        <v>#VALUE!</v>
      </c>
      <c r="ED43" t="e">
        <f>AND(Plan1!J726,"AAAAAHnn/4U=")</f>
        <v>#VALUE!</v>
      </c>
      <c r="EE43" t="e">
        <f>AND(Plan1!K726,"AAAAAHnn/4Y=")</f>
        <v>#VALUE!</v>
      </c>
      <c r="EF43" t="e">
        <f>AND(Plan1!L726,"AAAAAHnn/4c=")</f>
        <v>#VALUE!</v>
      </c>
      <c r="EG43" t="e">
        <f>AND(Plan1!M726,"AAAAAHnn/4g=")</f>
        <v>#VALUE!</v>
      </c>
      <c r="EH43" t="e">
        <f>AND(Plan1!N726,"AAAAAHnn/4k=")</f>
        <v>#VALUE!</v>
      </c>
      <c r="EI43">
        <f>IF(Plan1!727:727,"AAAAAHnn/4o=",0)</f>
        <v>0</v>
      </c>
      <c r="EJ43" t="e">
        <f>AND(Plan1!A727,"AAAAAHnn/4s=")</f>
        <v>#VALUE!</v>
      </c>
      <c r="EK43" t="e">
        <f>AND(Plan1!B727,"AAAAAHnn/4w=")</f>
        <v>#VALUE!</v>
      </c>
      <c r="EL43" t="e">
        <f>AND(Plan1!C727,"AAAAAHnn/40=")</f>
        <v>#VALUE!</v>
      </c>
      <c r="EM43" t="e">
        <f>AND(Plan1!D727,"AAAAAHnn/44=")</f>
        <v>#VALUE!</v>
      </c>
      <c r="EN43" t="e">
        <f>AND(Plan1!E727,"AAAAAHnn/48=")</f>
        <v>#VALUE!</v>
      </c>
      <c r="EO43" t="e">
        <f>AND(Plan1!F727,"AAAAAHnn/5A=")</f>
        <v>#VALUE!</v>
      </c>
      <c r="EP43" t="e">
        <f>AND(Plan1!G727,"AAAAAHnn/5E=")</f>
        <v>#VALUE!</v>
      </c>
      <c r="EQ43" t="e">
        <f>AND(Plan1!H727,"AAAAAHnn/5I=")</f>
        <v>#VALUE!</v>
      </c>
      <c r="ER43" t="e">
        <f>AND(Plan1!I727,"AAAAAHnn/5M=")</f>
        <v>#VALUE!</v>
      </c>
      <c r="ES43" t="e">
        <f>AND(Plan1!J727,"AAAAAHnn/5Q=")</f>
        <v>#VALUE!</v>
      </c>
      <c r="ET43" t="e">
        <f>AND(Plan1!K727,"AAAAAHnn/5U=")</f>
        <v>#VALUE!</v>
      </c>
      <c r="EU43" t="e">
        <f>AND(Plan1!L727,"AAAAAHnn/5Y=")</f>
        <v>#VALUE!</v>
      </c>
      <c r="EV43" t="e">
        <f>AND(Plan1!M727,"AAAAAHnn/5c=")</f>
        <v>#VALUE!</v>
      </c>
      <c r="EW43" t="e">
        <f>AND(Plan1!N727,"AAAAAHnn/5g=")</f>
        <v>#VALUE!</v>
      </c>
      <c r="EX43">
        <f>IF(Plan1!728:728,"AAAAAHnn/5k=",0)</f>
        <v>0</v>
      </c>
      <c r="EY43" t="e">
        <f>AND(Plan1!A728,"AAAAAHnn/5o=")</f>
        <v>#VALUE!</v>
      </c>
      <c r="EZ43" t="e">
        <f>AND(Plan1!B728,"AAAAAHnn/5s=")</f>
        <v>#VALUE!</v>
      </c>
      <c r="FA43" t="e">
        <f>AND(Plan1!C728,"AAAAAHnn/5w=")</f>
        <v>#VALUE!</v>
      </c>
      <c r="FB43" t="e">
        <f>AND(Plan1!D728,"AAAAAHnn/50=")</f>
        <v>#VALUE!</v>
      </c>
      <c r="FC43" t="e">
        <f>AND(Plan1!E728,"AAAAAHnn/54=")</f>
        <v>#VALUE!</v>
      </c>
      <c r="FD43" t="e">
        <f>AND(Plan1!F728,"AAAAAHnn/58=")</f>
        <v>#VALUE!</v>
      </c>
      <c r="FE43" t="e">
        <f>AND(Plan1!G728,"AAAAAHnn/6A=")</f>
        <v>#VALUE!</v>
      </c>
      <c r="FF43" t="e">
        <f>AND(Plan1!H728,"AAAAAHnn/6E=")</f>
        <v>#VALUE!</v>
      </c>
      <c r="FG43" t="e">
        <f>AND(Plan1!I728,"AAAAAHnn/6I=")</f>
        <v>#VALUE!</v>
      </c>
      <c r="FH43" t="e">
        <f>AND(Plan1!J728,"AAAAAHnn/6M=")</f>
        <v>#VALUE!</v>
      </c>
      <c r="FI43" t="e">
        <f>AND(Plan1!K728,"AAAAAHnn/6Q=")</f>
        <v>#VALUE!</v>
      </c>
      <c r="FJ43" t="e">
        <f>AND(Plan1!L728,"AAAAAHnn/6U=")</f>
        <v>#VALUE!</v>
      </c>
      <c r="FK43" t="e">
        <f>AND(Plan1!M728,"AAAAAHnn/6Y=")</f>
        <v>#VALUE!</v>
      </c>
      <c r="FL43" t="e">
        <f>AND(Plan1!N728,"AAAAAHnn/6c=")</f>
        <v>#VALUE!</v>
      </c>
      <c r="FM43">
        <f>IF(Plan1!729:729,"AAAAAHnn/6g=",0)</f>
        <v>0</v>
      </c>
      <c r="FN43" t="e">
        <f>AND(Plan1!A729,"AAAAAHnn/6k=")</f>
        <v>#VALUE!</v>
      </c>
      <c r="FO43" t="e">
        <f>AND(Plan1!B729,"AAAAAHnn/6o=")</f>
        <v>#VALUE!</v>
      </c>
      <c r="FP43" t="e">
        <f>AND(Plan1!C729,"AAAAAHnn/6s=")</f>
        <v>#VALUE!</v>
      </c>
      <c r="FQ43" t="e">
        <f>AND(Plan1!D729,"AAAAAHnn/6w=")</f>
        <v>#VALUE!</v>
      </c>
      <c r="FR43" t="e">
        <f>AND(Plan1!E729,"AAAAAHnn/60=")</f>
        <v>#VALUE!</v>
      </c>
      <c r="FS43" t="e">
        <f>AND(Plan1!F729,"AAAAAHnn/64=")</f>
        <v>#VALUE!</v>
      </c>
      <c r="FT43" t="e">
        <f>AND(Plan1!G729,"AAAAAHnn/68=")</f>
        <v>#VALUE!</v>
      </c>
      <c r="FU43" t="e">
        <f>AND(Plan1!H729,"AAAAAHnn/7A=")</f>
        <v>#VALUE!</v>
      </c>
      <c r="FV43" t="e">
        <f>AND(Plan1!I729,"AAAAAHnn/7E=")</f>
        <v>#VALUE!</v>
      </c>
      <c r="FW43" t="e">
        <f>AND(Plan1!J729,"AAAAAHnn/7I=")</f>
        <v>#VALUE!</v>
      </c>
      <c r="FX43" t="e">
        <f>AND(Plan1!K729,"AAAAAHnn/7M=")</f>
        <v>#VALUE!</v>
      </c>
      <c r="FY43" t="e">
        <f>AND(Plan1!L729,"AAAAAHnn/7Q=")</f>
        <v>#VALUE!</v>
      </c>
      <c r="FZ43" t="e">
        <f>AND(Plan1!M729,"AAAAAHnn/7U=")</f>
        <v>#VALUE!</v>
      </c>
      <c r="GA43" t="e">
        <f>AND(Plan1!N729,"AAAAAHnn/7Y=")</f>
        <v>#VALUE!</v>
      </c>
      <c r="GB43">
        <f>IF(Plan1!730:730,"AAAAAHnn/7c=",0)</f>
        <v>0</v>
      </c>
      <c r="GC43" t="e">
        <f>AND(Plan1!A730,"AAAAAHnn/7g=")</f>
        <v>#VALUE!</v>
      </c>
      <c r="GD43" t="e">
        <f>AND(Plan1!B730,"AAAAAHnn/7k=")</f>
        <v>#VALUE!</v>
      </c>
      <c r="GE43" t="e">
        <f>AND(Plan1!C730,"AAAAAHnn/7o=")</f>
        <v>#VALUE!</v>
      </c>
      <c r="GF43" t="e">
        <f>AND(Plan1!D730,"AAAAAHnn/7s=")</f>
        <v>#VALUE!</v>
      </c>
      <c r="GG43" t="e">
        <f>AND(Plan1!E730,"AAAAAHnn/7w=")</f>
        <v>#VALUE!</v>
      </c>
      <c r="GH43" t="e">
        <f>AND(Plan1!F730,"AAAAAHnn/70=")</f>
        <v>#VALUE!</v>
      </c>
      <c r="GI43" t="e">
        <f>AND(Plan1!G730,"AAAAAHnn/74=")</f>
        <v>#VALUE!</v>
      </c>
      <c r="GJ43" t="e">
        <f>AND(Plan1!H730,"AAAAAHnn/78=")</f>
        <v>#VALUE!</v>
      </c>
      <c r="GK43" t="e">
        <f>AND(Plan1!I730,"AAAAAHnn/8A=")</f>
        <v>#VALUE!</v>
      </c>
      <c r="GL43" t="e">
        <f>AND(Plan1!J730,"AAAAAHnn/8E=")</f>
        <v>#VALUE!</v>
      </c>
      <c r="GM43" t="e">
        <f>AND(Plan1!K730,"AAAAAHnn/8I=")</f>
        <v>#VALUE!</v>
      </c>
      <c r="GN43" t="e">
        <f>AND(Plan1!L730,"AAAAAHnn/8M=")</f>
        <v>#VALUE!</v>
      </c>
      <c r="GO43" t="e">
        <f>AND(Plan1!M730,"AAAAAHnn/8Q=")</f>
        <v>#VALUE!</v>
      </c>
      <c r="GP43" t="e">
        <f>AND(Plan1!N730,"AAAAAHnn/8U=")</f>
        <v>#VALUE!</v>
      </c>
      <c r="GQ43">
        <f>IF(Plan1!731:731,"AAAAAHnn/8Y=",0)</f>
        <v>0</v>
      </c>
      <c r="GR43" t="e">
        <f>AND(Plan1!A731,"AAAAAHnn/8c=")</f>
        <v>#VALUE!</v>
      </c>
      <c r="GS43" t="e">
        <f>AND(Plan1!B731,"AAAAAHnn/8g=")</f>
        <v>#VALUE!</v>
      </c>
      <c r="GT43" t="e">
        <f>AND(Plan1!C731,"AAAAAHnn/8k=")</f>
        <v>#VALUE!</v>
      </c>
      <c r="GU43" t="e">
        <f>AND(Plan1!D731,"AAAAAHnn/8o=")</f>
        <v>#VALUE!</v>
      </c>
      <c r="GV43" t="e">
        <f>AND(Plan1!E731,"AAAAAHnn/8s=")</f>
        <v>#VALUE!</v>
      </c>
      <c r="GW43" t="e">
        <f>AND(Plan1!F731,"AAAAAHnn/8w=")</f>
        <v>#VALUE!</v>
      </c>
      <c r="GX43" t="e">
        <f>AND(Plan1!G731,"AAAAAHnn/80=")</f>
        <v>#VALUE!</v>
      </c>
      <c r="GY43" t="e">
        <f>AND(Plan1!H731,"AAAAAHnn/84=")</f>
        <v>#VALUE!</v>
      </c>
      <c r="GZ43" t="e">
        <f>AND(Plan1!I731,"AAAAAHnn/88=")</f>
        <v>#VALUE!</v>
      </c>
      <c r="HA43" t="e">
        <f>AND(Plan1!J731,"AAAAAHnn/9A=")</f>
        <v>#VALUE!</v>
      </c>
      <c r="HB43" t="e">
        <f>AND(Plan1!K731,"AAAAAHnn/9E=")</f>
        <v>#VALUE!</v>
      </c>
      <c r="HC43" t="e">
        <f>AND(Plan1!L731,"AAAAAHnn/9I=")</f>
        <v>#VALUE!</v>
      </c>
      <c r="HD43" t="e">
        <f>AND(Plan1!M731,"AAAAAHnn/9M=")</f>
        <v>#VALUE!</v>
      </c>
      <c r="HE43" t="e">
        <f>AND(Plan1!N731,"AAAAAHnn/9Q=")</f>
        <v>#VALUE!</v>
      </c>
      <c r="HF43">
        <f>IF(Plan1!732:732,"AAAAAHnn/9U=",0)</f>
        <v>0</v>
      </c>
      <c r="HG43" t="e">
        <f>AND(Plan1!A732,"AAAAAHnn/9Y=")</f>
        <v>#VALUE!</v>
      </c>
      <c r="HH43" t="e">
        <f>AND(Plan1!B732,"AAAAAHnn/9c=")</f>
        <v>#VALUE!</v>
      </c>
      <c r="HI43" t="e">
        <f>AND(Plan1!C732,"AAAAAHnn/9g=")</f>
        <v>#VALUE!</v>
      </c>
      <c r="HJ43" t="e">
        <f>AND(Plan1!D732,"AAAAAHnn/9k=")</f>
        <v>#VALUE!</v>
      </c>
      <c r="HK43" t="e">
        <f>AND(Plan1!E732,"AAAAAHnn/9o=")</f>
        <v>#VALUE!</v>
      </c>
      <c r="HL43" t="e">
        <f>AND(Plan1!F732,"AAAAAHnn/9s=")</f>
        <v>#VALUE!</v>
      </c>
      <c r="HM43" t="e">
        <f>AND(Plan1!G732,"AAAAAHnn/9w=")</f>
        <v>#VALUE!</v>
      </c>
      <c r="HN43" t="e">
        <f>AND(Plan1!H732,"AAAAAHnn/90=")</f>
        <v>#VALUE!</v>
      </c>
      <c r="HO43" t="e">
        <f>AND(Plan1!I732,"AAAAAHnn/94=")</f>
        <v>#VALUE!</v>
      </c>
      <c r="HP43" t="e">
        <f>AND(Plan1!J732,"AAAAAHnn/98=")</f>
        <v>#VALUE!</v>
      </c>
      <c r="HQ43" t="e">
        <f>AND(Plan1!K732,"AAAAAHnn/+A=")</f>
        <v>#VALUE!</v>
      </c>
      <c r="HR43" t="e">
        <f>AND(Plan1!L732,"AAAAAHnn/+E=")</f>
        <v>#VALUE!</v>
      </c>
      <c r="HS43" t="e">
        <f>AND(Plan1!M732,"AAAAAHnn/+I=")</f>
        <v>#VALUE!</v>
      </c>
      <c r="HT43" t="e">
        <f>AND(Plan1!N732,"AAAAAHnn/+M=")</f>
        <v>#VALUE!</v>
      </c>
      <c r="HU43">
        <f>IF(Plan1!733:733,"AAAAAHnn/+Q=",0)</f>
        <v>0</v>
      </c>
      <c r="HV43" t="e">
        <f>AND(Plan1!A733,"AAAAAHnn/+U=")</f>
        <v>#VALUE!</v>
      </c>
      <c r="HW43" t="e">
        <f>AND(Plan1!B733,"AAAAAHnn/+Y=")</f>
        <v>#VALUE!</v>
      </c>
      <c r="HX43" t="e">
        <f>AND(Plan1!C733,"AAAAAHnn/+c=")</f>
        <v>#VALUE!</v>
      </c>
      <c r="HY43" t="e">
        <f>AND(Plan1!D733,"AAAAAHnn/+g=")</f>
        <v>#VALUE!</v>
      </c>
      <c r="HZ43" t="e">
        <f>AND(Plan1!E733,"AAAAAHnn/+k=")</f>
        <v>#VALUE!</v>
      </c>
      <c r="IA43" t="e">
        <f>AND(Plan1!F733,"AAAAAHnn/+o=")</f>
        <v>#VALUE!</v>
      </c>
      <c r="IB43" t="e">
        <f>AND(Plan1!G733,"AAAAAHnn/+s=")</f>
        <v>#VALUE!</v>
      </c>
      <c r="IC43" t="e">
        <f>AND(Plan1!H733,"AAAAAHnn/+w=")</f>
        <v>#VALUE!</v>
      </c>
      <c r="ID43" t="e">
        <f>AND(Plan1!I733,"AAAAAHnn/+0=")</f>
        <v>#VALUE!</v>
      </c>
      <c r="IE43" t="e">
        <f>AND(Plan1!J733,"AAAAAHnn/+4=")</f>
        <v>#VALUE!</v>
      </c>
      <c r="IF43" t="e">
        <f>AND(Plan1!K733,"AAAAAHnn/+8=")</f>
        <v>#VALUE!</v>
      </c>
      <c r="IG43" t="e">
        <f>AND(Plan1!L733,"AAAAAHnn//A=")</f>
        <v>#VALUE!</v>
      </c>
      <c r="IH43" t="e">
        <f>AND(Plan1!M733,"AAAAAHnn//E=")</f>
        <v>#VALUE!</v>
      </c>
      <c r="II43" t="e">
        <f>AND(Plan1!N733,"AAAAAHnn//I=")</f>
        <v>#VALUE!</v>
      </c>
      <c r="IJ43">
        <f>IF(Plan1!734:734,"AAAAAHnn//M=",0)</f>
        <v>0</v>
      </c>
      <c r="IK43" t="e">
        <f>AND(Plan1!A734,"AAAAAHnn//Q=")</f>
        <v>#VALUE!</v>
      </c>
      <c r="IL43" t="e">
        <f>AND(Plan1!B734,"AAAAAHnn//U=")</f>
        <v>#VALUE!</v>
      </c>
      <c r="IM43" t="e">
        <f>AND(Plan1!C734,"AAAAAHnn//Y=")</f>
        <v>#VALUE!</v>
      </c>
      <c r="IN43" t="e">
        <f>AND(Plan1!D734,"AAAAAHnn//c=")</f>
        <v>#VALUE!</v>
      </c>
      <c r="IO43" t="e">
        <f>AND(Plan1!E734,"AAAAAHnn//g=")</f>
        <v>#VALUE!</v>
      </c>
      <c r="IP43" t="e">
        <f>AND(Plan1!F734,"AAAAAHnn//k=")</f>
        <v>#VALUE!</v>
      </c>
      <c r="IQ43" t="e">
        <f>AND(Plan1!G734,"AAAAAHnn//o=")</f>
        <v>#VALUE!</v>
      </c>
      <c r="IR43" t="e">
        <f>AND(Plan1!H734,"AAAAAHnn//s=")</f>
        <v>#VALUE!</v>
      </c>
      <c r="IS43" t="e">
        <f>AND(Plan1!I734,"AAAAAHnn//w=")</f>
        <v>#VALUE!</v>
      </c>
      <c r="IT43" t="e">
        <f>AND(Plan1!J734,"AAAAAHnn//0=")</f>
        <v>#VALUE!</v>
      </c>
      <c r="IU43" t="e">
        <f>AND(Plan1!K734,"AAAAAHnn//4=")</f>
        <v>#VALUE!</v>
      </c>
      <c r="IV43" t="e">
        <f>AND(Plan1!L734,"AAAAAHnn//8=")</f>
        <v>#VALUE!</v>
      </c>
    </row>
    <row r="44" spans="1:256">
      <c r="A44" t="e">
        <f>AND(Plan1!M734,"AAAAAD2mKgA=")</f>
        <v>#VALUE!</v>
      </c>
      <c r="B44" t="e">
        <f>AND(Plan1!N734,"AAAAAD2mKgE=")</f>
        <v>#VALUE!</v>
      </c>
      <c r="C44" t="str">
        <f>IF(Plan1!735:735,"AAAAAD2mKgI=",0)</f>
        <v>AAAAAD2mKgI=</v>
      </c>
      <c r="D44" t="e">
        <f>AND(Plan1!A735,"AAAAAD2mKgM=")</f>
        <v>#VALUE!</v>
      </c>
      <c r="E44" t="e">
        <f>AND(Plan1!B735,"AAAAAD2mKgQ=")</f>
        <v>#VALUE!</v>
      </c>
      <c r="F44" t="e">
        <f>AND(Plan1!C735,"AAAAAD2mKgU=")</f>
        <v>#VALUE!</v>
      </c>
      <c r="G44" t="e">
        <f>AND(Plan1!D735,"AAAAAD2mKgY=")</f>
        <v>#VALUE!</v>
      </c>
      <c r="H44" t="e">
        <f>AND(Plan1!E735,"AAAAAD2mKgc=")</f>
        <v>#VALUE!</v>
      </c>
      <c r="I44" t="e">
        <f>AND(Plan1!F735,"AAAAAD2mKgg=")</f>
        <v>#VALUE!</v>
      </c>
      <c r="J44" t="e">
        <f>AND(Plan1!G735,"AAAAAD2mKgk=")</f>
        <v>#VALUE!</v>
      </c>
      <c r="K44" t="e">
        <f>AND(Plan1!H735,"AAAAAD2mKgo=")</f>
        <v>#VALUE!</v>
      </c>
      <c r="L44" t="e">
        <f>AND(Plan1!I735,"AAAAAD2mKgs=")</f>
        <v>#VALUE!</v>
      </c>
      <c r="M44" t="e">
        <f>AND(Plan1!J735,"AAAAAD2mKgw=")</f>
        <v>#VALUE!</v>
      </c>
      <c r="N44" t="e">
        <f>AND(Plan1!K735,"AAAAAD2mKg0=")</f>
        <v>#VALUE!</v>
      </c>
      <c r="O44" t="e">
        <f>AND(Plan1!L735,"AAAAAD2mKg4=")</f>
        <v>#VALUE!</v>
      </c>
      <c r="P44" t="e">
        <f>AND(Plan1!M735,"AAAAAD2mKg8=")</f>
        <v>#VALUE!</v>
      </c>
      <c r="Q44" t="e">
        <f>AND(Plan1!N735,"AAAAAD2mKhA=")</f>
        <v>#VALUE!</v>
      </c>
      <c r="R44">
        <f>IF(Plan1!736:736,"AAAAAD2mKhE=",0)</f>
        <v>0</v>
      </c>
      <c r="S44" t="e">
        <f>AND(Plan1!A736,"AAAAAD2mKhI=")</f>
        <v>#VALUE!</v>
      </c>
      <c r="T44" t="e">
        <f>AND(Plan1!B736,"AAAAAD2mKhM=")</f>
        <v>#VALUE!</v>
      </c>
      <c r="U44" t="e">
        <f>AND(Plan1!C736,"AAAAAD2mKhQ=")</f>
        <v>#VALUE!</v>
      </c>
      <c r="V44" t="e">
        <f>AND(Plan1!D736,"AAAAAD2mKhU=")</f>
        <v>#VALUE!</v>
      </c>
      <c r="W44" t="e">
        <f>AND(Plan1!E736,"AAAAAD2mKhY=")</f>
        <v>#VALUE!</v>
      </c>
      <c r="X44" t="e">
        <f>AND(Plan1!F736,"AAAAAD2mKhc=")</f>
        <v>#VALUE!</v>
      </c>
      <c r="Y44" t="e">
        <f>AND(Plan1!G736,"AAAAAD2mKhg=")</f>
        <v>#VALUE!</v>
      </c>
      <c r="Z44" t="e">
        <f>AND(Plan1!H736,"AAAAAD2mKhk=")</f>
        <v>#VALUE!</v>
      </c>
      <c r="AA44" t="e">
        <f>AND(Plan1!I736,"AAAAAD2mKho=")</f>
        <v>#VALUE!</v>
      </c>
      <c r="AB44" t="e">
        <f>AND(Plan1!J736,"AAAAAD2mKhs=")</f>
        <v>#VALUE!</v>
      </c>
      <c r="AC44" t="e">
        <f>AND(Plan1!K736,"AAAAAD2mKhw=")</f>
        <v>#VALUE!</v>
      </c>
      <c r="AD44" t="e">
        <f>AND(Plan1!L736,"AAAAAD2mKh0=")</f>
        <v>#VALUE!</v>
      </c>
      <c r="AE44" t="e">
        <f>AND(Plan1!M736,"AAAAAD2mKh4=")</f>
        <v>#VALUE!</v>
      </c>
      <c r="AF44" t="e">
        <f>AND(Plan1!N736,"AAAAAD2mKh8=")</f>
        <v>#VALUE!</v>
      </c>
      <c r="AG44">
        <f>IF(Plan1!737:737,"AAAAAD2mKiA=",0)</f>
        <v>0</v>
      </c>
      <c r="AH44" t="e">
        <f>AND(Plan1!A737,"AAAAAD2mKiE=")</f>
        <v>#VALUE!</v>
      </c>
      <c r="AI44" t="e">
        <f>AND(Plan1!B737,"AAAAAD2mKiI=")</f>
        <v>#VALUE!</v>
      </c>
      <c r="AJ44" t="e">
        <f>AND(Plan1!C737,"AAAAAD2mKiM=")</f>
        <v>#VALUE!</v>
      </c>
      <c r="AK44" t="e">
        <f>AND(Plan1!D737,"AAAAAD2mKiQ=")</f>
        <v>#VALUE!</v>
      </c>
      <c r="AL44" t="e">
        <f>AND(Plan1!E737,"AAAAAD2mKiU=")</f>
        <v>#VALUE!</v>
      </c>
      <c r="AM44" t="e">
        <f>AND(Plan1!F737,"AAAAAD2mKiY=")</f>
        <v>#VALUE!</v>
      </c>
      <c r="AN44" t="e">
        <f>AND(Plan1!G737,"AAAAAD2mKic=")</f>
        <v>#VALUE!</v>
      </c>
      <c r="AO44" t="e">
        <f>AND(Plan1!H737,"AAAAAD2mKig=")</f>
        <v>#VALUE!</v>
      </c>
      <c r="AP44" t="e">
        <f>AND(Plan1!I737,"AAAAAD2mKik=")</f>
        <v>#VALUE!</v>
      </c>
      <c r="AQ44" t="e">
        <f>AND(Plan1!J737,"AAAAAD2mKio=")</f>
        <v>#VALUE!</v>
      </c>
      <c r="AR44" t="e">
        <f>AND(Plan1!K737,"AAAAAD2mKis=")</f>
        <v>#VALUE!</v>
      </c>
      <c r="AS44" t="e">
        <f>AND(Plan1!L737,"AAAAAD2mKiw=")</f>
        <v>#VALUE!</v>
      </c>
      <c r="AT44" t="e">
        <f>AND(Plan1!M737,"AAAAAD2mKi0=")</f>
        <v>#VALUE!</v>
      </c>
      <c r="AU44" t="e">
        <f>AND(Plan1!N737,"AAAAAD2mKi4=")</f>
        <v>#VALUE!</v>
      </c>
      <c r="AV44">
        <f>IF(Plan1!738:738,"AAAAAD2mKi8=",0)</f>
        <v>0</v>
      </c>
      <c r="AW44" t="e">
        <f>AND(Plan1!A738,"AAAAAD2mKjA=")</f>
        <v>#VALUE!</v>
      </c>
      <c r="AX44" t="e">
        <f>AND(Plan1!B738,"AAAAAD2mKjE=")</f>
        <v>#VALUE!</v>
      </c>
      <c r="AY44" t="e">
        <f>AND(Plan1!C738,"AAAAAD2mKjI=")</f>
        <v>#VALUE!</v>
      </c>
      <c r="AZ44" t="e">
        <f>AND(Plan1!D738,"AAAAAD2mKjM=")</f>
        <v>#VALUE!</v>
      </c>
      <c r="BA44" t="e">
        <f>AND(Plan1!E738,"AAAAAD2mKjQ=")</f>
        <v>#VALUE!</v>
      </c>
      <c r="BB44" t="e">
        <f>AND(Plan1!F738,"AAAAAD2mKjU=")</f>
        <v>#VALUE!</v>
      </c>
      <c r="BC44" t="e">
        <f>AND(Plan1!G738,"AAAAAD2mKjY=")</f>
        <v>#VALUE!</v>
      </c>
      <c r="BD44" t="e">
        <f>AND(Plan1!H738,"AAAAAD2mKjc=")</f>
        <v>#VALUE!</v>
      </c>
      <c r="BE44" t="e">
        <f>AND(Plan1!I738,"AAAAAD2mKjg=")</f>
        <v>#VALUE!</v>
      </c>
      <c r="BF44" t="e">
        <f>AND(Plan1!J738,"AAAAAD2mKjk=")</f>
        <v>#VALUE!</v>
      </c>
      <c r="BG44" t="e">
        <f>AND(Plan1!K738,"AAAAAD2mKjo=")</f>
        <v>#VALUE!</v>
      </c>
      <c r="BH44" t="e">
        <f>AND(Plan1!L738,"AAAAAD2mKjs=")</f>
        <v>#VALUE!</v>
      </c>
      <c r="BI44" t="e">
        <f>AND(Plan1!M738,"AAAAAD2mKjw=")</f>
        <v>#VALUE!</v>
      </c>
      <c r="BJ44" t="e">
        <f>AND(Plan1!N738,"AAAAAD2mKj0=")</f>
        <v>#VALUE!</v>
      </c>
      <c r="BK44">
        <f>IF(Plan1!739:739,"AAAAAD2mKj4=",0)</f>
        <v>0</v>
      </c>
      <c r="BL44" t="e">
        <f>AND(Plan1!A739,"AAAAAD2mKj8=")</f>
        <v>#VALUE!</v>
      </c>
      <c r="BM44" t="e">
        <f>AND(Plan1!B739,"AAAAAD2mKkA=")</f>
        <v>#VALUE!</v>
      </c>
      <c r="BN44" t="e">
        <f>AND(Plan1!C739,"AAAAAD2mKkE=")</f>
        <v>#VALUE!</v>
      </c>
      <c r="BO44" t="e">
        <f>AND(Plan1!D739,"AAAAAD2mKkI=")</f>
        <v>#VALUE!</v>
      </c>
      <c r="BP44" t="e">
        <f>AND(Plan1!E739,"AAAAAD2mKkM=")</f>
        <v>#VALUE!</v>
      </c>
      <c r="BQ44" t="e">
        <f>AND(Plan1!F739,"AAAAAD2mKkQ=")</f>
        <v>#VALUE!</v>
      </c>
      <c r="BR44" t="e">
        <f>AND(Plan1!G739,"AAAAAD2mKkU=")</f>
        <v>#VALUE!</v>
      </c>
      <c r="BS44" t="e">
        <f>AND(Plan1!H739,"AAAAAD2mKkY=")</f>
        <v>#VALUE!</v>
      </c>
      <c r="BT44" t="e">
        <f>AND(Plan1!I739,"AAAAAD2mKkc=")</f>
        <v>#VALUE!</v>
      </c>
      <c r="BU44" t="e">
        <f>AND(Plan1!J739,"AAAAAD2mKkg=")</f>
        <v>#VALUE!</v>
      </c>
      <c r="BV44" t="e">
        <f>AND(Plan1!K739,"AAAAAD2mKkk=")</f>
        <v>#VALUE!</v>
      </c>
      <c r="BW44" t="e">
        <f>AND(Plan1!L739,"AAAAAD2mKko=")</f>
        <v>#VALUE!</v>
      </c>
      <c r="BX44" t="e">
        <f>AND(Plan1!M739,"AAAAAD2mKks=")</f>
        <v>#VALUE!</v>
      </c>
      <c r="BY44" t="e">
        <f>AND(Plan1!N739,"AAAAAD2mKkw=")</f>
        <v>#VALUE!</v>
      </c>
      <c r="BZ44">
        <f>IF(Plan1!740:740,"AAAAAD2mKk0=",0)</f>
        <v>0</v>
      </c>
      <c r="CA44" t="e">
        <f>AND(Plan1!A740,"AAAAAD2mKk4=")</f>
        <v>#VALUE!</v>
      </c>
      <c r="CB44" t="e">
        <f>AND(Plan1!B740,"AAAAAD2mKk8=")</f>
        <v>#VALUE!</v>
      </c>
      <c r="CC44" t="e">
        <f>AND(Plan1!C740,"AAAAAD2mKlA=")</f>
        <v>#VALUE!</v>
      </c>
      <c r="CD44" t="e">
        <f>AND(Plan1!D740,"AAAAAD2mKlE=")</f>
        <v>#VALUE!</v>
      </c>
      <c r="CE44" t="e">
        <f>AND(Plan1!E740,"AAAAAD2mKlI=")</f>
        <v>#VALUE!</v>
      </c>
      <c r="CF44" t="e">
        <f>AND(Plan1!F740,"AAAAAD2mKlM=")</f>
        <v>#VALUE!</v>
      </c>
      <c r="CG44" t="e">
        <f>AND(Plan1!G740,"AAAAAD2mKlQ=")</f>
        <v>#VALUE!</v>
      </c>
      <c r="CH44" t="e">
        <f>AND(Plan1!H740,"AAAAAD2mKlU=")</f>
        <v>#VALUE!</v>
      </c>
      <c r="CI44" t="e">
        <f>AND(Plan1!I740,"AAAAAD2mKlY=")</f>
        <v>#VALUE!</v>
      </c>
      <c r="CJ44" t="e">
        <f>AND(Plan1!J740,"AAAAAD2mKlc=")</f>
        <v>#VALUE!</v>
      </c>
      <c r="CK44" t="e">
        <f>AND(Plan1!K740,"AAAAAD2mKlg=")</f>
        <v>#VALUE!</v>
      </c>
      <c r="CL44" t="e">
        <f>AND(Plan1!L740,"AAAAAD2mKlk=")</f>
        <v>#VALUE!</v>
      </c>
      <c r="CM44" t="e">
        <f>AND(Plan1!M740,"AAAAAD2mKlo=")</f>
        <v>#VALUE!</v>
      </c>
      <c r="CN44" t="e">
        <f>AND(Plan1!N740,"AAAAAD2mKls=")</f>
        <v>#VALUE!</v>
      </c>
      <c r="CO44">
        <f>IF(Plan1!741:741,"AAAAAD2mKlw=",0)</f>
        <v>0</v>
      </c>
      <c r="CP44" t="e">
        <f>AND(Plan1!A741,"AAAAAD2mKl0=")</f>
        <v>#VALUE!</v>
      </c>
      <c r="CQ44" t="e">
        <f>AND(Plan1!B741,"AAAAAD2mKl4=")</f>
        <v>#VALUE!</v>
      </c>
      <c r="CR44" t="e">
        <f>AND(Plan1!C741,"AAAAAD2mKl8=")</f>
        <v>#VALUE!</v>
      </c>
      <c r="CS44" t="e">
        <f>AND(Plan1!D741,"AAAAAD2mKmA=")</f>
        <v>#VALUE!</v>
      </c>
      <c r="CT44" t="e">
        <f>AND(Plan1!E741,"AAAAAD2mKmE=")</f>
        <v>#VALUE!</v>
      </c>
      <c r="CU44" t="e">
        <f>AND(Plan1!F741,"AAAAAD2mKmI=")</f>
        <v>#VALUE!</v>
      </c>
      <c r="CV44" t="e">
        <f>AND(Plan1!G741,"AAAAAD2mKmM=")</f>
        <v>#VALUE!</v>
      </c>
      <c r="CW44" t="e">
        <f>AND(Plan1!H741,"AAAAAD2mKmQ=")</f>
        <v>#VALUE!</v>
      </c>
      <c r="CX44" t="e">
        <f>AND(Plan1!I741,"AAAAAD2mKmU=")</f>
        <v>#VALUE!</v>
      </c>
      <c r="CY44" t="e">
        <f>AND(Plan1!J741,"AAAAAD2mKmY=")</f>
        <v>#VALUE!</v>
      </c>
      <c r="CZ44" t="e">
        <f>AND(Plan1!K741,"AAAAAD2mKmc=")</f>
        <v>#VALUE!</v>
      </c>
      <c r="DA44" t="e">
        <f>AND(Plan1!L741,"AAAAAD2mKmg=")</f>
        <v>#VALUE!</v>
      </c>
      <c r="DB44" t="e">
        <f>AND(Plan1!M741,"AAAAAD2mKmk=")</f>
        <v>#VALUE!</v>
      </c>
      <c r="DC44" t="e">
        <f>AND(Plan1!N741,"AAAAAD2mKmo=")</f>
        <v>#VALUE!</v>
      </c>
      <c r="DD44">
        <f>IF(Plan1!742:742,"AAAAAD2mKms=",0)</f>
        <v>0</v>
      </c>
      <c r="DE44" t="e">
        <f>AND(Plan1!A742,"AAAAAD2mKmw=")</f>
        <v>#VALUE!</v>
      </c>
      <c r="DF44" t="e">
        <f>AND(Plan1!B742,"AAAAAD2mKm0=")</f>
        <v>#VALUE!</v>
      </c>
      <c r="DG44" t="e">
        <f>AND(Plan1!C742,"AAAAAD2mKm4=")</f>
        <v>#VALUE!</v>
      </c>
      <c r="DH44" t="e">
        <f>AND(Plan1!D742,"AAAAAD2mKm8=")</f>
        <v>#VALUE!</v>
      </c>
      <c r="DI44" t="e">
        <f>AND(Plan1!E742,"AAAAAD2mKnA=")</f>
        <v>#VALUE!</v>
      </c>
      <c r="DJ44" t="e">
        <f>AND(Plan1!F742,"AAAAAD2mKnE=")</f>
        <v>#VALUE!</v>
      </c>
      <c r="DK44" t="e">
        <f>AND(Plan1!G742,"AAAAAD2mKnI=")</f>
        <v>#VALUE!</v>
      </c>
      <c r="DL44" t="e">
        <f>AND(Plan1!H742,"AAAAAD2mKnM=")</f>
        <v>#VALUE!</v>
      </c>
      <c r="DM44" t="e">
        <f>AND(Plan1!I742,"AAAAAD2mKnQ=")</f>
        <v>#VALUE!</v>
      </c>
      <c r="DN44" t="e">
        <f>AND(Plan1!J742,"AAAAAD2mKnU=")</f>
        <v>#VALUE!</v>
      </c>
      <c r="DO44" t="e">
        <f>AND(Plan1!K742,"AAAAAD2mKnY=")</f>
        <v>#VALUE!</v>
      </c>
      <c r="DP44" t="e">
        <f>AND(Plan1!L742,"AAAAAD2mKnc=")</f>
        <v>#VALUE!</v>
      </c>
      <c r="DQ44" t="e">
        <f>AND(Plan1!M742,"AAAAAD2mKng=")</f>
        <v>#VALUE!</v>
      </c>
      <c r="DR44" t="e">
        <f>AND(Plan1!N742,"AAAAAD2mKnk=")</f>
        <v>#VALUE!</v>
      </c>
      <c r="DS44">
        <f>IF(Plan1!743:743,"AAAAAD2mKno=",0)</f>
        <v>0</v>
      </c>
      <c r="DT44" t="e">
        <f>AND(Plan1!A743,"AAAAAD2mKns=")</f>
        <v>#VALUE!</v>
      </c>
      <c r="DU44" t="e">
        <f>AND(Plan1!B743,"AAAAAD2mKnw=")</f>
        <v>#VALUE!</v>
      </c>
      <c r="DV44" t="e">
        <f>AND(Plan1!C743,"AAAAAD2mKn0=")</f>
        <v>#VALUE!</v>
      </c>
      <c r="DW44" t="e">
        <f>AND(Plan1!D743,"AAAAAD2mKn4=")</f>
        <v>#VALUE!</v>
      </c>
      <c r="DX44" t="e">
        <f>AND(Plan1!E743,"AAAAAD2mKn8=")</f>
        <v>#VALUE!</v>
      </c>
      <c r="DY44" t="e">
        <f>AND(Plan1!F743,"AAAAAD2mKoA=")</f>
        <v>#VALUE!</v>
      </c>
      <c r="DZ44" t="e">
        <f>AND(Plan1!G743,"AAAAAD2mKoE=")</f>
        <v>#VALUE!</v>
      </c>
      <c r="EA44" t="e">
        <f>AND(Plan1!H743,"AAAAAD2mKoI=")</f>
        <v>#VALUE!</v>
      </c>
      <c r="EB44" t="e">
        <f>AND(Plan1!I743,"AAAAAD2mKoM=")</f>
        <v>#VALUE!</v>
      </c>
      <c r="EC44" t="e">
        <f>AND(Plan1!J743,"AAAAAD2mKoQ=")</f>
        <v>#VALUE!</v>
      </c>
      <c r="ED44" t="e">
        <f>AND(Plan1!K743,"AAAAAD2mKoU=")</f>
        <v>#VALUE!</v>
      </c>
      <c r="EE44" t="e">
        <f>AND(Plan1!L743,"AAAAAD2mKoY=")</f>
        <v>#VALUE!</v>
      </c>
      <c r="EF44" t="e">
        <f>AND(Plan1!M743,"AAAAAD2mKoc=")</f>
        <v>#VALUE!</v>
      </c>
      <c r="EG44" t="e">
        <f>AND(Plan1!N743,"AAAAAD2mKog=")</f>
        <v>#VALUE!</v>
      </c>
      <c r="EH44">
        <f>IF(Plan1!744:744,"AAAAAD2mKok=",0)</f>
        <v>0</v>
      </c>
      <c r="EI44" t="e">
        <f>AND(Plan1!A744,"AAAAAD2mKoo=")</f>
        <v>#VALUE!</v>
      </c>
      <c r="EJ44" t="e">
        <f>AND(Plan1!B744,"AAAAAD2mKos=")</f>
        <v>#VALUE!</v>
      </c>
      <c r="EK44" t="e">
        <f>AND(Plan1!C744,"AAAAAD2mKow=")</f>
        <v>#VALUE!</v>
      </c>
      <c r="EL44" t="e">
        <f>AND(Plan1!D744,"AAAAAD2mKo0=")</f>
        <v>#VALUE!</v>
      </c>
      <c r="EM44" t="e">
        <f>AND(Plan1!E744,"AAAAAD2mKo4=")</f>
        <v>#VALUE!</v>
      </c>
      <c r="EN44" t="e">
        <f>AND(Plan1!F744,"AAAAAD2mKo8=")</f>
        <v>#VALUE!</v>
      </c>
      <c r="EO44" t="e">
        <f>AND(Plan1!G744,"AAAAAD2mKpA=")</f>
        <v>#VALUE!</v>
      </c>
      <c r="EP44" t="e">
        <f>AND(Plan1!H744,"AAAAAD2mKpE=")</f>
        <v>#VALUE!</v>
      </c>
      <c r="EQ44" t="e">
        <f>AND(Plan1!I744,"AAAAAD2mKpI=")</f>
        <v>#VALUE!</v>
      </c>
      <c r="ER44" t="e">
        <f>AND(Plan1!J744,"AAAAAD2mKpM=")</f>
        <v>#VALUE!</v>
      </c>
      <c r="ES44" t="e">
        <f>AND(Plan1!K744,"AAAAAD2mKpQ=")</f>
        <v>#VALUE!</v>
      </c>
      <c r="ET44" t="e">
        <f>AND(Plan1!L744,"AAAAAD2mKpU=")</f>
        <v>#VALUE!</v>
      </c>
      <c r="EU44" t="e">
        <f>AND(Plan1!M744,"AAAAAD2mKpY=")</f>
        <v>#VALUE!</v>
      </c>
      <c r="EV44" t="e">
        <f>AND(Plan1!N744,"AAAAAD2mKpc=")</f>
        <v>#VALUE!</v>
      </c>
      <c r="EW44">
        <f>IF(Plan1!745:745,"AAAAAD2mKpg=",0)</f>
        <v>0</v>
      </c>
      <c r="EX44" t="e">
        <f>AND(Plan1!A745,"AAAAAD2mKpk=")</f>
        <v>#VALUE!</v>
      </c>
      <c r="EY44" t="e">
        <f>AND(Plan1!B745,"AAAAAD2mKpo=")</f>
        <v>#VALUE!</v>
      </c>
      <c r="EZ44" t="e">
        <f>AND(Plan1!C745,"AAAAAD2mKps=")</f>
        <v>#VALUE!</v>
      </c>
      <c r="FA44" t="e">
        <f>AND(Plan1!D745,"AAAAAD2mKpw=")</f>
        <v>#VALUE!</v>
      </c>
      <c r="FB44" t="e">
        <f>AND(Plan1!E745,"AAAAAD2mKp0=")</f>
        <v>#VALUE!</v>
      </c>
      <c r="FC44" t="e">
        <f>AND(Plan1!F745,"AAAAAD2mKp4=")</f>
        <v>#VALUE!</v>
      </c>
      <c r="FD44" t="e">
        <f>AND(Plan1!G745,"AAAAAD2mKp8=")</f>
        <v>#VALUE!</v>
      </c>
      <c r="FE44" t="e">
        <f>AND(Plan1!H745,"AAAAAD2mKqA=")</f>
        <v>#VALUE!</v>
      </c>
      <c r="FF44" t="e">
        <f>AND(Plan1!I745,"AAAAAD2mKqE=")</f>
        <v>#VALUE!</v>
      </c>
      <c r="FG44" t="e">
        <f>AND(Plan1!J745,"AAAAAD2mKqI=")</f>
        <v>#VALUE!</v>
      </c>
      <c r="FH44" t="e">
        <f>AND(Plan1!K745,"AAAAAD2mKqM=")</f>
        <v>#VALUE!</v>
      </c>
      <c r="FI44" t="e">
        <f>AND(Plan1!L745,"AAAAAD2mKqQ=")</f>
        <v>#VALUE!</v>
      </c>
      <c r="FJ44" t="e">
        <f>AND(Plan1!M745,"AAAAAD2mKqU=")</f>
        <v>#VALUE!</v>
      </c>
      <c r="FK44" t="e">
        <f>AND(Plan1!N745,"AAAAAD2mKqY=")</f>
        <v>#VALUE!</v>
      </c>
      <c r="FL44">
        <f>IF(Plan1!746:746,"AAAAAD2mKqc=",0)</f>
        <v>0</v>
      </c>
      <c r="FM44" t="e">
        <f>AND(Plan1!A746,"AAAAAD2mKqg=")</f>
        <v>#VALUE!</v>
      </c>
      <c r="FN44" t="e">
        <f>AND(Plan1!B746,"AAAAAD2mKqk=")</f>
        <v>#VALUE!</v>
      </c>
      <c r="FO44" t="e">
        <f>AND(Plan1!C746,"AAAAAD2mKqo=")</f>
        <v>#VALUE!</v>
      </c>
      <c r="FP44" t="e">
        <f>AND(Plan1!D746,"AAAAAD2mKqs=")</f>
        <v>#VALUE!</v>
      </c>
      <c r="FQ44" t="e">
        <f>AND(Plan1!E746,"AAAAAD2mKqw=")</f>
        <v>#VALUE!</v>
      </c>
      <c r="FR44" t="e">
        <f>AND(Plan1!F746,"AAAAAD2mKq0=")</f>
        <v>#VALUE!</v>
      </c>
      <c r="FS44" t="e">
        <f>AND(Plan1!G746,"AAAAAD2mKq4=")</f>
        <v>#VALUE!</v>
      </c>
      <c r="FT44" t="e">
        <f>AND(Plan1!H746,"AAAAAD2mKq8=")</f>
        <v>#VALUE!</v>
      </c>
      <c r="FU44" t="e">
        <f>AND(Plan1!I746,"AAAAAD2mKrA=")</f>
        <v>#VALUE!</v>
      </c>
      <c r="FV44" t="e">
        <f>AND(Plan1!J746,"AAAAAD2mKrE=")</f>
        <v>#VALUE!</v>
      </c>
      <c r="FW44" t="e">
        <f>AND(Plan1!K746,"AAAAAD2mKrI=")</f>
        <v>#VALUE!</v>
      </c>
      <c r="FX44" t="e">
        <f>AND(Plan1!L746,"AAAAAD2mKrM=")</f>
        <v>#VALUE!</v>
      </c>
      <c r="FY44" t="e">
        <f>AND(Plan1!M746,"AAAAAD2mKrQ=")</f>
        <v>#VALUE!</v>
      </c>
      <c r="FZ44" t="e">
        <f>AND(Plan1!N746,"AAAAAD2mKrU=")</f>
        <v>#VALUE!</v>
      </c>
      <c r="GA44">
        <f>IF(Plan1!747:747,"AAAAAD2mKrY=",0)</f>
        <v>0</v>
      </c>
      <c r="GB44" t="e">
        <f>AND(Plan1!A747,"AAAAAD2mKrc=")</f>
        <v>#VALUE!</v>
      </c>
      <c r="GC44" t="e">
        <f>AND(Plan1!B747,"AAAAAD2mKrg=")</f>
        <v>#VALUE!</v>
      </c>
      <c r="GD44" t="e">
        <f>AND(Plan1!C747,"AAAAAD2mKrk=")</f>
        <v>#VALUE!</v>
      </c>
      <c r="GE44" t="e">
        <f>AND(Plan1!D747,"AAAAAD2mKro=")</f>
        <v>#VALUE!</v>
      </c>
      <c r="GF44" t="e">
        <f>AND(Plan1!E747,"AAAAAD2mKrs=")</f>
        <v>#VALUE!</v>
      </c>
      <c r="GG44" t="e">
        <f>AND(Plan1!F747,"AAAAAD2mKrw=")</f>
        <v>#VALUE!</v>
      </c>
      <c r="GH44" t="e">
        <f>AND(Plan1!G747,"AAAAAD2mKr0=")</f>
        <v>#VALUE!</v>
      </c>
      <c r="GI44" t="e">
        <f>AND(Plan1!H747,"AAAAAD2mKr4=")</f>
        <v>#VALUE!</v>
      </c>
      <c r="GJ44" t="e">
        <f>AND(Plan1!I747,"AAAAAD2mKr8=")</f>
        <v>#VALUE!</v>
      </c>
      <c r="GK44" t="e">
        <f>AND(Plan1!J747,"AAAAAD2mKsA=")</f>
        <v>#VALUE!</v>
      </c>
      <c r="GL44" t="e">
        <f>AND(Plan1!K747,"AAAAAD2mKsE=")</f>
        <v>#VALUE!</v>
      </c>
      <c r="GM44" t="e">
        <f>AND(Plan1!L747,"AAAAAD2mKsI=")</f>
        <v>#VALUE!</v>
      </c>
      <c r="GN44" t="e">
        <f>AND(Plan1!M747,"AAAAAD2mKsM=")</f>
        <v>#VALUE!</v>
      </c>
      <c r="GO44" t="e">
        <f>AND(Plan1!N747,"AAAAAD2mKsQ=")</f>
        <v>#VALUE!</v>
      </c>
      <c r="GP44">
        <f>IF(Plan1!748:748,"AAAAAD2mKsU=",0)</f>
        <v>0</v>
      </c>
      <c r="GQ44" t="e">
        <f>AND(Plan1!A748,"AAAAAD2mKsY=")</f>
        <v>#VALUE!</v>
      </c>
      <c r="GR44" t="e">
        <f>AND(Plan1!B748,"AAAAAD2mKsc=")</f>
        <v>#VALUE!</v>
      </c>
      <c r="GS44" t="e">
        <f>AND(Plan1!C748,"AAAAAD2mKsg=")</f>
        <v>#VALUE!</v>
      </c>
      <c r="GT44" t="e">
        <f>AND(Plan1!D748,"AAAAAD2mKsk=")</f>
        <v>#VALUE!</v>
      </c>
      <c r="GU44" t="e">
        <f>AND(Plan1!E748,"AAAAAD2mKso=")</f>
        <v>#VALUE!</v>
      </c>
      <c r="GV44" t="e">
        <f>AND(Plan1!F748,"AAAAAD2mKss=")</f>
        <v>#VALUE!</v>
      </c>
      <c r="GW44" t="e">
        <f>AND(Plan1!G748,"AAAAAD2mKsw=")</f>
        <v>#VALUE!</v>
      </c>
      <c r="GX44" t="e">
        <f>AND(Plan1!H748,"AAAAAD2mKs0=")</f>
        <v>#VALUE!</v>
      </c>
      <c r="GY44" t="e">
        <f>AND(Plan1!I748,"AAAAAD2mKs4=")</f>
        <v>#VALUE!</v>
      </c>
      <c r="GZ44" t="e">
        <f>AND(Plan1!J748,"AAAAAD2mKs8=")</f>
        <v>#VALUE!</v>
      </c>
      <c r="HA44" t="e">
        <f>AND(Plan1!K748,"AAAAAD2mKtA=")</f>
        <v>#VALUE!</v>
      </c>
      <c r="HB44" t="e">
        <f>AND(Plan1!L748,"AAAAAD2mKtE=")</f>
        <v>#VALUE!</v>
      </c>
      <c r="HC44" t="e">
        <f>AND(Plan1!M748,"AAAAAD2mKtI=")</f>
        <v>#VALUE!</v>
      </c>
      <c r="HD44" t="e">
        <f>AND(Plan1!N748,"AAAAAD2mKtM=")</f>
        <v>#VALUE!</v>
      </c>
      <c r="HE44">
        <f>IF(Plan1!749:749,"AAAAAD2mKtQ=",0)</f>
        <v>0</v>
      </c>
      <c r="HF44" t="e">
        <f>AND(Plan1!A749,"AAAAAD2mKtU=")</f>
        <v>#VALUE!</v>
      </c>
      <c r="HG44" t="e">
        <f>AND(Plan1!B749,"AAAAAD2mKtY=")</f>
        <v>#VALUE!</v>
      </c>
      <c r="HH44" t="e">
        <f>AND(Plan1!C749,"AAAAAD2mKtc=")</f>
        <v>#VALUE!</v>
      </c>
      <c r="HI44" t="e">
        <f>AND(Plan1!D749,"AAAAAD2mKtg=")</f>
        <v>#VALUE!</v>
      </c>
      <c r="HJ44" t="e">
        <f>AND(Plan1!E749,"AAAAAD2mKtk=")</f>
        <v>#VALUE!</v>
      </c>
      <c r="HK44" t="e">
        <f>AND(Plan1!F749,"AAAAAD2mKto=")</f>
        <v>#VALUE!</v>
      </c>
      <c r="HL44" t="e">
        <f>AND(Plan1!G749,"AAAAAD2mKts=")</f>
        <v>#VALUE!</v>
      </c>
      <c r="HM44" t="e">
        <f>AND(Plan1!H749,"AAAAAD2mKtw=")</f>
        <v>#VALUE!</v>
      </c>
      <c r="HN44" t="e">
        <f>AND(Plan1!I749,"AAAAAD2mKt0=")</f>
        <v>#VALUE!</v>
      </c>
      <c r="HO44" t="e">
        <f>AND(Plan1!J749,"AAAAAD2mKt4=")</f>
        <v>#VALUE!</v>
      </c>
      <c r="HP44" t="e">
        <f>AND(Plan1!K749,"AAAAAD2mKt8=")</f>
        <v>#VALUE!</v>
      </c>
      <c r="HQ44" t="e">
        <f>AND(Plan1!L749,"AAAAAD2mKuA=")</f>
        <v>#VALUE!</v>
      </c>
      <c r="HR44" t="e">
        <f>AND(Plan1!M749,"AAAAAD2mKuE=")</f>
        <v>#VALUE!</v>
      </c>
      <c r="HS44" t="e">
        <f>AND(Plan1!N749,"AAAAAD2mKuI=")</f>
        <v>#VALUE!</v>
      </c>
      <c r="HT44">
        <f>IF(Plan1!750:750,"AAAAAD2mKuM=",0)</f>
        <v>0</v>
      </c>
      <c r="HU44" t="e">
        <f>AND(Plan1!A750,"AAAAAD2mKuQ=")</f>
        <v>#VALUE!</v>
      </c>
      <c r="HV44" t="e">
        <f>AND(Plan1!B750,"AAAAAD2mKuU=")</f>
        <v>#VALUE!</v>
      </c>
      <c r="HW44" t="e">
        <f>AND(Plan1!C750,"AAAAAD2mKuY=")</f>
        <v>#VALUE!</v>
      </c>
      <c r="HX44" t="e">
        <f>AND(Plan1!D750,"AAAAAD2mKuc=")</f>
        <v>#VALUE!</v>
      </c>
      <c r="HY44" t="e">
        <f>AND(Plan1!E750,"AAAAAD2mKug=")</f>
        <v>#VALUE!</v>
      </c>
      <c r="HZ44" t="e">
        <f>AND(Plan1!F750,"AAAAAD2mKuk=")</f>
        <v>#VALUE!</v>
      </c>
      <c r="IA44" t="e">
        <f>AND(Plan1!G750,"AAAAAD2mKuo=")</f>
        <v>#VALUE!</v>
      </c>
      <c r="IB44" t="e">
        <f>AND(Plan1!H750,"AAAAAD2mKus=")</f>
        <v>#VALUE!</v>
      </c>
      <c r="IC44" t="e">
        <f>AND(Plan1!I750,"AAAAAD2mKuw=")</f>
        <v>#VALUE!</v>
      </c>
      <c r="ID44" t="e">
        <f>AND(Plan1!J750,"AAAAAD2mKu0=")</f>
        <v>#VALUE!</v>
      </c>
      <c r="IE44" t="e">
        <f>AND(Plan1!K750,"AAAAAD2mKu4=")</f>
        <v>#VALUE!</v>
      </c>
      <c r="IF44" t="e">
        <f>AND(Plan1!L750,"AAAAAD2mKu8=")</f>
        <v>#VALUE!</v>
      </c>
      <c r="IG44" t="e">
        <f>AND(Plan1!M750,"AAAAAD2mKvA=")</f>
        <v>#VALUE!</v>
      </c>
      <c r="IH44" t="e">
        <f>AND(Plan1!N750,"AAAAAD2mKvE=")</f>
        <v>#VALUE!</v>
      </c>
      <c r="II44">
        <f>IF(Plan1!751:751,"AAAAAD2mKvI=",0)</f>
        <v>0</v>
      </c>
      <c r="IJ44" t="e">
        <f>AND(Plan1!A751,"AAAAAD2mKvM=")</f>
        <v>#VALUE!</v>
      </c>
      <c r="IK44" t="e">
        <f>AND(Plan1!B751,"AAAAAD2mKvQ=")</f>
        <v>#VALUE!</v>
      </c>
      <c r="IL44" t="e">
        <f>AND(Plan1!C751,"AAAAAD2mKvU=")</f>
        <v>#VALUE!</v>
      </c>
      <c r="IM44" t="e">
        <f>AND(Plan1!D751,"AAAAAD2mKvY=")</f>
        <v>#VALUE!</v>
      </c>
      <c r="IN44" t="e">
        <f>AND(Plan1!E751,"AAAAAD2mKvc=")</f>
        <v>#VALUE!</v>
      </c>
      <c r="IO44" t="e">
        <f>AND(Plan1!F751,"AAAAAD2mKvg=")</f>
        <v>#VALUE!</v>
      </c>
      <c r="IP44" t="e">
        <f>AND(Plan1!G751,"AAAAAD2mKvk=")</f>
        <v>#VALUE!</v>
      </c>
      <c r="IQ44" t="e">
        <f>AND(Plan1!H751,"AAAAAD2mKvo=")</f>
        <v>#VALUE!</v>
      </c>
      <c r="IR44" t="e">
        <f>AND(Plan1!I751,"AAAAAD2mKvs=")</f>
        <v>#VALUE!</v>
      </c>
      <c r="IS44" t="e">
        <f>AND(Plan1!J751,"AAAAAD2mKvw=")</f>
        <v>#VALUE!</v>
      </c>
      <c r="IT44" t="e">
        <f>AND(Plan1!K751,"AAAAAD2mKv0=")</f>
        <v>#VALUE!</v>
      </c>
      <c r="IU44" t="e">
        <f>AND(Plan1!L751,"AAAAAD2mKv4=")</f>
        <v>#VALUE!</v>
      </c>
      <c r="IV44" t="e">
        <f>AND(Plan1!M751,"AAAAAD2mKv8=")</f>
        <v>#VALUE!</v>
      </c>
    </row>
    <row r="45" spans="1:256">
      <c r="A45" t="e">
        <f>AND(Plan1!N751,"AAAAAH91HwA=")</f>
        <v>#VALUE!</v>
      </c>
      <c r="B45" t="e">
        <f>IF(Plan1!752:752,"AAAAAH91HwE=",0)</f>
        <v>#VALUE!</v>
      </c>
      <c r="C45" t="e">
        <f>AND(Plan1!A752,"AAAAAH91HwI=")</f>
        <v>#VALUE!</v>
      </c>
      <c r="D45" t="e">
        <f>AND(Plan1!B752,"AAAAAH91HwM=")</f>
        <v>#VALUE!</v>
      </c>
      <c r="E45" t="e">
        <f>AND(Plan1!C752,"AAAAAH91HwQ=")</f>
        <v>#VALUE!</v>
      </c>
      <c r="F45" t="e">
        <f>AND(Plan1!D752,"AAAAAH91HwU=")</f>
        <v>#VALUE!</v>
      </c>
      <c r="G45" t="e">
        <f>AND(Plan1!E752,"AAAAAH91HwY=")</f>
        <v>#VALUE!</v>
      </c>
      <c r="H45" t="e">
        <f>AND(Plan1!F752,"AAAAAH91Hwc=")</f>
        <v>#VALUE!</v>
      </c>
      <c r="I45" t="e">
        <f>AND(Plan1!G752,"AAAAAH91Hwg=")</f>
        <v>#VALUE!</v>
      </c>
      <c r="J45" t="e">
        <f>AND(Plan1!H752,"AAAAAH91Hwk=")</f>
        <v>#VALUE!</v>
      </c>
      <c r="K45" t="e">
        <f>AND(Plan1!I752,"AAAAAH91Hwo=")</f>
        <v>#VALUE!</v>
      </c>
      <c r="L45" t="e">
        <f>AND(Plan1!J752,"AAAAAH91Hws=")</f>
        <v>#VALUE!</v>
      </c>
      <c r="M45" t="e">
        <f>AND(Plan1!K752,"AAAAAH91Hww=")</f>
        <v>#VALUE!</v>
      </c>
      <c r="N45" t="e">
        <f>AND(Plan1!L752,"AAAAAH91Hw0=")</f>
        <v>#VALUE!</v>
      </c>
      <c r="O45" t="e">
        <f>AND(Plan1!M752,"AAAAAH91Hw4=")</f>
        <v>#VALUE!</v>
      </c>
      <c r="P45" t="e">
        <f>AND(Plan1!N752,"AAAAAH91Hw8=")</f>
        <v>#VALUE!</v>
      </c>
      <c r="Q45">
        <f>IF(Plan1!753:753,"AAAAAH91HxA=",0)</f>
        <v>0</v>
      </c>
      <c r="R45" t="e">
        <f>AND(Plan1!A753,"AAAAAH91HxE=")</f>
        <v>#VALUE!</v>
      </c>
      <c r="S45" t="e">
        <f>AND(Plan1!B753,"AAAAAH91HxI=")</f>
        <v>#VALUE!</v>
      </c>
      <c r="T45" t="e">
        <f>AND(Plan1!C753,"AAAAAH91HxM=")</f>
        <v>#VALUE!</v>
      </c>
      <c r="U45" t="e">
        <f>AND(Plan1!D753,"AAAAAH91HxQ=")</f>
        <v>#VALUE!</v>
      </c>
      <c r="V45" t="e">
        <f>AND(Plan1!E753,"AAAAAH91HxU=")</f>
        <v>#VALUE!</v>
      </c>
      <c r="W45" t="e">
        <f>AND(Plan1!F753,"AAAAAH91HxY=")</f>
        <v>#VALUE!</v>
      </c>
      <c r="X45" t="e">
        <f>AND(Plan1!G753,"AAAAAH91Hxc=")</f>
        <v>#VALUE!</v>
      </c>
      <c r="Y45" t="e">
        <f>AND(Plan1!H753,"AAAAAH91Hxg=")</f>
        <v>#VALUE!</v>
      </c>
      <c r="Z45" t="e">
        <f>AND(Plan1!I753,"AAAAAH91Hxk=")</f>
        <v>#VALUE!</v>
      </c>
      <c r="AA45" t="e">
        <f>AND(Plan1!J753,"AAAAAH91Hxo=")</f>
        <v>#VALUE!</v>
      </c>
      <c r="AB45" t="e">
        <f>AND(Plan1!K753,"AAAAAH91Hxs=")</f>
        <v>#VALUE!</v>
      </c>
      <c r="AC45" t="e">
        <f>AND(Plan1!L753,"AAAAAH91Hxw=")</f>
        <v>#VALUE!</v>
      </c>
      <c r="AD45" t="e">
        <f>AND(Plan1!M753,"AAAAAH91Hx0=")</f>
        <v>#VALUE!</v>
      </c>
      <c r="AE45" t="e">
        <f>AND(Plan1!N753,"AAAAAH91Hx4=")</f>
        <v>#VALUE!</v>
      </c>
      <c r="AF45">
        <f>IF(Plan1!754:754,"AAAAAH91Hx8=",0)</f>
        <v>0</v>
      </c>
      <c r="AG45" t="e">
        <f>AND(Plan1!A754,"AAAAAH91HyA=")</f>
        <v>#VALUE!</v>
      </c>
      <c r="AH45" t="e">
        <f>AND(Plan1!B754,"AAAAAH91HyE=")</f>
        <v>#VALUE!</v>
      </c>
      <c r="AI45" t="e">
        <f>AND(Plan1!C754,"AAAAAH91HyI=")</f>
        <v>#VALUE!</v>
      </c>
      <c r="AJ45" t="e">
        <f>AND(Plan1!D754,"AAAAAH91HyM=")</f>
        <v>#VALUE!</v>
      </c>
      <c r="AK45" t="e">
        <f>AND(Plan1!E754,"AAAAAH91HyQ=")</f>
        <v>#VALUE!</v>
      </c>
      <c r="AL45" t="e">
        <f>AND(Plan1!F754,"AAAAAH91HyU=")</f>
        <v>#VALUE!</v>
      </c>
      <c r="AM45" t="e">
        <f>AND(Plan1!G754,"AAAAAH91HyY=")</f>
        <v>#VALUE!</v>
      </c>
      <c r="AN45" t="e">
        <f>AND(Plan1!H754,"AAAAAH91Hyc=")</f>
        <v>#VALUE!</v>
      </c>
      <c r="AO45" t="e">
        <f>AND(Plan1!I754,"AAAAAH91Hyg=")</f>
        <v>#VALUE!</v>
      </c>
      <c r="AP45" t="e">
        <f>AND(Plan1!J754,"AAAAAH91Hyk=")</f>
        <v>#VALUE!</v>
      </c>
      <c r="AQ45" t="e">
        <f>AND(Plan1!K754,"AAAAAH91Hyo=")</f>
        <v>#VALUE!</v>
      </c>
      <c r="AR45" t="e">
        <f>AND(Plan1!L754,"AAAAAH91Hys=")</f>
        <v>#VALUE!</v>
      </c>
      <c r="AS45" t="e">
        <f>AND(Plan1!M754,"AAAAAH91Hyw=")</f>
        <v>#VALUE!</v>
      </c>
      <c r="AT45" t="e">
        <f>AND(Plan1!N754,"AAAAAH91Hy0=")</f>
        <v>#VALUE!</v>
      </c>
      <c r="AU45">
        <f>IF(Plan1!755:755,"AAAAAH91Hy4=",0)</f>
        <v>0</v>
      </c>
      <c r="AV45" t="e">
        <f>AND(Plan1!A755,"AAAAAH91Hy8=")</f>
        <v>#VALUE!</v>
      </c>
      <c r="AW45" t="e">
        <f>AND(Plan1!B755,"AAAAAH91HzA=")</f>
        <v>#VALUE!</v>
      </c>
      <c r="AX45" t="e">
        <f>AND(Plan1!C755,"AAAAAH91HzE=")</f>
        <v>#VALUE!</v>
      </c>
      <c r="AY45" t="e">
        <f>AND(Plan1!D755,"AAAAAH91HzI=")</f>
        <v>#VALUE!</v>
      </c>
      <c r="AZ45" t="e">
        <f>AND(Plan1!E755,"AAAAAH91HzM=")</f>
        <v>#VALUE!</v>
      </c>
      <c r="BA45" t="e">
        <f>AND(Plan1!F755,"AAAAAH91HzQ=")</f>
        <v>#VALUE!</v>
      </c>
      <c r="BB45" t="e">
        <f>AND(Plan1!G755,"AAAAAH91HzU=")</f>
        <v>#VALUE!</v>
      </c>
      <c r="BC45" t="e">
        <f>AND(Plan1!H755,"AAAAAH91HzY=")</f>
        <v>#VALUE!</v>
      </c>
      <c r="BD45" t="e">
        <f>AND(Plan1!I755,"AAAAAH91Hzc=")</f>
        <v>#VALUE!</v>
      </c>
      <c r="BE45" t="e">
        <f>AND(Plan1!J755,"AAAAAH91Hzg=")</f>
        <v>#VALUE!</v>
      </c>
      <c r="BF45" t="e">
        <f>AND(Plan1!K755,"AAAAAH91Hzk=")</f>
        <v>#VALUE!</v>
      </c>
      <c r="BG45" t="e">
        <f>AND(Plan1!L755,"AAAAAH91Hzo=")</f>
        <v>#VALUE!</v>
      </c>
      <c r="BH45" t="e">
        <f>AND(Plan1!M755,"AAAAAH91Hzs=")</f>
        <v>#VALUE!</v>
      </c>
      <c r="BI45" t="e">
        <f>AND(Plan1!N755,"AAAAAH91Hzw=")</f>
        <v>#VALUE!</v>
      </c>
      <c r="BJ45">
        <f>IF(Plan1!756:756,"AAAAAH91Hz0=",0)</f>
        <v>0</v>
      </c>
      <c r="BK45" t="e">
        <f>AND(Plan1!A756,"AAAAAH91Hz4=")</f>
        <v>#VALUE!</v>
      </c>
      <c r="BL45" t="e">
        <f>AND(Plan1!B756,"AAAAAH91Hz8=")</f>
        <v>#VALUE!</v>
      </c>
      <c r="BM45" t="e">
        <f>AND(Plan1!C756,"AAAAAH91H0A=")</f>
        <v>#VALUE!</v>
      </c>
      <c r="BN45" t="e">
        <f>AND(Plan1!D756,"AAAAAH91H0E=")</f>
        <v>#VALUE!</v>
      </c>
      <c r="BO45" t="e">
        <f>AND(Plan1!E756,"AAAAAH91H0I=")</f>
        <v>#VALUE!</v>
      </c>
      <c r="BP45" t="e">
        <f>AND(Plan1!F756,"AAAAAH91H0M=")</f>
        <v>#VALUE!</v>
      </c>
      <c r="BQ45" t="e">
        <f>AND(Plan1!G756,"AAAAAH91H0Q=")</f>
        <v>#VALUE!</v>
      </c>
      <c r="BR45" t="e">
        <f>AND(Plan1!H756,"AAAAAH91H0U=")</f>
        <v>#VALUE!</v>
      </c>
      <c r="BS45" t="e">
        <f>AND(Plan1!I756,"AAAAAH91H0Y=")</f>
        <v>#VALUE!</v>
      </c>
      <c r="BT45" t="e">
        <f>AND(Plan1!J756,"AAAAAH91H0c=")</f>
        <v>#VALUE!</v>
      </c>
      <c r="BU45" t="e">
        <f>AND(Plan1!K756,"AAAAAH91H0g=")</f>
        <v>#VALUE!</v>
      </c>
      <c r="BV45" t="e">
        <f>AND(Plan1!L756,"AAAAAH91H0k=")</f>
        <v>#VALUE!</v>
      </c>
      <c r="BW45" t="e">
        <f>AND(Plan1!M756,"AAAAAH91H0o=")</f>
        <v>#VALUE!</v>
      </c>
      <c r="BX45" t="e">
        <f>AND(Plan1!N756,"AAAAAH91H0s=")</f>
        <v>#VALUE!</v>
      </c>
      <c r="BY45">
        <f>IF(Plan1!757:757,"AAAAAH91H0w=",0)</f>
        <v>0</v>
      </c>
      <c r="BZ45" t="e">
        <f>AND(Plan1!A757,"AAAAAH91H00=")</f>
        <v>#VALUE!</v>
      </c>
      <c r="CA45" t="e">
        <f>AND(Plan1!B757,"AAAAAH91H04=")</f>
        <v>#VALUE!</v>
      </c>
      <c r="CB45" t="e">
        <f>AND(Plan1!C757,"AAAAAH91H08=")</f>
        <v>#VALUE!</v>
      </c>
      <c r="CC45" t="e">
        <f>AND(Plan1!D757,"AAAAAH91H1A=")</f>
        <v>#VALUE!</v>
      </c>
      <c r="CD45" t="e">
        <f>AND(Plan1!E757,"AAAAAH91H1E=")</f>
        <v>#VALUE!</v>
      </c>
      <c r="CE45" t="e">
        <f>AND(Plan1!F757,"AAAAAH91H1I=")</f>
        <v>#VALUE!</v>
      </c>
      <c r="CF45" t="e">
        <f>AND(Plan1!G757,"AAAAAH91H1M=")</f>
        <v>#VALUE!</v>
      </c>
      <c r="CG45" t="e">
        <f>AND(Plan1!H757,"AAAAAH91H1Q=")</f>
        <v>#VALUE!</v>
      </c>
      <c r="CH45" t="e">
        <f>AND(Plan1!I757,"AAAAAH91H1U=")</f>
        <v>#VALUE!</v>
      </c>
      <c r="CI45" t="e">
        <f>AND(Plan1!J757,"AAAAAH91H1Y=")</f>
        <v>#VALUE!</v>
      </c>
      <c r="CJ45" t="e">
        <f>AND(Plan1!K757,"AAAAAH91H1c=")</f>
        <v>#VALUE!</v>
      </c>
      <c r="CK45" t="e">
        <f>AND(Plan1!L757,"AAAAAH91H1g=")</f>
        <v>#VALUE!</v>
      </c>
      <c r="CL45" t="e">
        <f>AND(Plan1!M757,"AAAAAH91H1k=")</f>
        <v>#VALUE!</v>
      </c>
      <c r="CM45" t="e">
        <f>AND(Plan1!N757,"AAAAAH91H1o=")</f>
        <v>#VALUE!</v>
      </c>
      <c r="CN45">
        <f>IF(Plan1!758:758,"AAAAAH91H1s=",0)</f>
        <v>0</v>
      </c>
      <c r="CO45" t="e">
        <f>AND(Plan1!A758,"AAAAAH91H1w=")</f>
        <v>#VALUE!</v>
      </c>
      <c r="CP45" t="e">
        <f>AND(Plan1!B758,"AAAAAH91H10=")</f>
        <v>#VALUE!</v>
      </c>
      <c r="CQ45" t="e">
        <f>AND(Plan1!C758,"AAAAAH91H14=")</f>
        <v>#VALUE!</v>
      </c>
      <c r="CR45" t="e">
        <f>AND(Plan1!D758,"AAAAAH91H18=")</f>
        <v>#VALUE!</v>
      </c>
      <c r="CS45" t="e">
        <f>AND(Plan1!E758,"AAAAAH91H2A=")</f>
        <v>#VALUE!</v>
      </c>
      <c r="CT45" t="e">
        <f>AND(Plan1!F758,"AAAAAH91H2E=")</f>
        <v>#VALUE!</v>
      </c>
      <c r="CU45" t="e">
        <f>AND(Plan1!G758,"AAAAAH91H2I=")</f>
        <v>#VALUE!</v>
      </c>
      <c r="CV45" t="e">
        <f>AND(Plan1!H758,"AAAAAH91H2M=")</f>
        <v>#VALUE!</v>
      </c>
      <c r="CW45" t="e">
        <f>AND(Plan1!I758,"AAAAAH91H2Q=")</f>
        <v>#VALUE!</v>
      </c>
      <c r="CX45" t="e">
        <f>AND(Plan1!J758,"AAAAAH91H2U=")</f>
        <v>#VALUE!</v>
      </c>
      <c r="CY45" t="e">
        <f>AND(Plan1!K758,"AAAAAH91H2Y=")</f>
        <v>#VALUE!</v>
      </c>
      <c r="CZ45" t="e">
        <f>AND(Plan1!L758,"AAAAAH91H2c=")</f>
        <v>#VALUE!</v>
      </c>
      <c r="DA45" t="e">
        <f>AND(Plan1!M758,"AAAAAH91H2g=")</f>
        <v>#VALUE!</v>
      </c>
      <c r="DB45" t="e">
        <f>AND(Plan1!N758,"AAAAAH91H2k=")</f>
        <v>#VALUE!</v>
      </c>
      <c r="DC45">
        <f>IF(Plan1!759:759,"AAAAAH91H2o=",0)</f>
        <v>0</v>
      </c>
      <c r="DD45" t="e">
        <f>AND(Plan1!A759,"AAAAAH91H2s=")</f>
        <v>#VALUE!</v>
      </c>
      <c r="DE45" t="e">
        <f>AND(Plan1!B759,"AAAAAH91H2w=")</f>
        <v>#VALUE!</v>
      </c>
      <c r="DF45" t="e">
        <f>AND(Plan1!C759,"AAAAAH91H20=")</f>
        <v>#VALUE!</v>
      </c>
      <c r="DG45" t="e">
        <f>AND(Plan1!D759,"AAAAAH91H24=")</f>
        <v>#VALUE!</v>
      </c>
      <c r="DH45" t="e">
        <f>AND(Plan1!E759,"AAAAAH91H28=")</f>
        <v>#VALUE!</v>
      </c>
      <c r="DI45" t="e">
        <f>AND(Plan1!F759,"AAAAAH91H3A=")</f>
        <v>#VALUE!</v>
      </c>
      <c r="DJ45" t="e">
        <f>AND(Plan1!G759,"AAAAAH91H3E=")</f>
        <v>#VALUE!</v>
      </c>
      <c r="DK45" t="e">
        <f>AND(Plan1!H759,"AAAAAH91H3I=")</f>
        <v>#VALUE!</v>
      </c>
      <c r="DL45" t="e">
        <f>AND(Plan1!I759,"AAAAAH91H3M=")</f>
        <v>#VALUE!</v>
      </c>
      <c r="DM45" t="e">
        <f>AND(Plan1!J759,"AAAAAH91H3Q=")</f>
        <v>#VALUE!</v>
      </c>
      <c r="DN45" t="e">
        <f>AND(Plan1!K759,"AAAAAH91H3U=")</f>
        <v>#VALUE!</v>
      </c>
      <c r="DO45" t="e">
        <f>AND(Plan1!L759,"AAAAAH91H3Y=")</f>
        <v>#VALUE!</v>
      </c>
      <c r="DP45" t="e">
        <f>AND(Plan1!M759,"AAAAAH91H3c=")</f>
        <v>#VALUE!</v>
      </c>
      <c r="DQ45" t="e">
        <f>AND(Plan1!N759,"AAAAAH91H3g=")</f>
        <v>#VALUE!</v>
      </c>
      <c r="DR45">
        <f>IF(Plan1!760:760,"AAAAAH91H3k=",0)</f>
        <v>0</v>
      </c>
      <c r="DS45" t="e">
        <f>AND(Plan1!A760,"AAAAAH91H3o=")</f>
        <v>#VALUE!</v>
      </c>
      <c r="DT45" t="e">
        <f>AND(Plan1!B760,"AAAAAH91H3s=")</f>
        <v>#VALUE!</v>
      </c>
      <c r="DU45" t="e">
        <f>AND(Plan1!C760,"AAAAAH91H3w=")</f>
        <v>#VALUE!</v>
      </c>
      <c r="DV45" t="e">
        <f>AND(Plan1!D760,"AAAAAH91H30=")</f>
        <v>#VALUE!</v>
      </c>
      <c r="DW45" t="e">
        <f>AND(Plan1!E760,"AAAAAH91H34=")</f>
        <v>#VALUE!</v>
      </c>
      <c r="DX45" t="e">
        <f>AND(Plan1!F760,"AAAAAH91H38=")</f>
        <v>#VALUE!</v>
      </c>
      <c r="DY45" t="e">
        <f>AND(Plan1!G760,"AAAAAH91H4A=")</f>
        <v>#VALUE!</v>
      </c>
      <c r="DZ45" t="e">
        <f>AND(Plan1!H760,"AAAAAH91H4E=")</f>
        <v>#VALUE!</v>
      </c>
      <c r="EA45" t="e">
        <f>AND(Plan1!I760,"AAAAAH91H4I=")</f>
        <v>#VALUE!</v>
      </c>
      <c r="EB45" t="e">
        <f>AND(Plan1!J760,"AAAAAH91H4M=")</f>
        <v>#VALUE!</v>
      </c>
      <c r="EC45" t="e">
        <f>AND(Plan1!K760,"AAAAAH91H4Q=")</f>
        <v>#VALUE!</v>
      </c>
      <c r="ED45" t="e">
        <f>AND(Plan1!L760,"AAAAAH91H4U=")</f>
        <v>#VALUE!</v>
      </c>
      <c r="EE45" t="e">
        <f>AND(Plan1!M760,"AAAAAH91H4Y=")</f>
        <v>#VALUE!</v>
      </c>
      <c r="EF45" t="e">
        <f>AND(Plan1!N760,"AAAAAH91H4c=")</f>
        <v>#VALUE!</v>
      </c>
      <c r="EG45">
        <f>IF(Plan1!761:761,"AAAAAH91H4g=",0)</f>
        <v>0</v>
      </c>
      <c r="EH45" t="e">
        <f>AND(Plan1!A761,"AAAAAH91H4k=")</f>
        <v>#VALUE!</v>
      </c>
      <c r="EI45" t="e">
        <f>AND(Plan1!B761,"AAAAAH91H4o=")</f>
        <v>#VALUE!</v>
      </c>
      <c r="EJ45" t="e">
        <f>AND(Plan1!C761,"AAAAAH91H4s=")</f>
        <v>#VALUE!</v>
      </c>
      <c r="EK45" t="e">
        <f>AND(Plan1!D761,"AAAAAH91H4w=")</f>
        <v>#VALUE!</v>
      </c>
      <c r="EL45" t="e">
        <f>AND(Plan1!E761,"AAAAAH91H40=")</f>
        <v>#VALUE!</v>
      </c>
      <c r="EM45" t="e">
        <f>AND(Plan1!F761,"AAAAAH91H44=")</f>
        <v>#VALUE!</v>
      </c>
      <c r="EN45" t="e">
        <f>AND(Plan1!G761,"AAAAAH91H48=")</f>
        <v>#VALUE!</v>
      </c>
      <c r="EO45" t="e">
        <f>AND(Plan1!H761,"AAAAAH91H5A=")</f>
        <v>#VALUE!</v>
      </c>
      <c r="EP45" t="e">
        <f>AND(Plan1!I761,"AAAAAH91H5E=")</f>
        <v>#VALUE!</v>
      </c>
      <c r="EQ45" t="e">
        <f>AND(Plan1!J761,"AAAAAH91H5I=")</f>
        <v>#VALUE!</v>
      </c>
      <c r="ER45" t="e">
        <f>AND(Plan1!K761,"AAAAAH91H5M=")</f>
        <v>#VALUE!</v>
      </c>
      <c r="ES45" t="e">
        <f>AND(Plan1!L761,"AAAAAH91H5Q=")</f>
        <v>#VALUE!</v>
      </c>
      <c r="ET45" t="e">
        <f>AND(Plan1!M761,"AAAAAH91H5U=")</f>
        <v>#VALUE!</v>
      </c>
      <c r="EU45" t="e">
        <f>AND(Plan1!N761,"AAAAAH91H5Y=")</f>
        <v>#VALUE!</v>
      </c>
      <c r="EV45">
        <f>IF(Plan1!762:762,"AAAAAH91H5c=",0)</f>
        <v>0</v>
      </c>
      <c r="EW45" t="e">
        <f>AND(Plan1!A762,"AAAAAH91H5g=")</f>
        <v>#VALUE!</v>
      </c>
      <c r="EX45" t="e">
        <f>AND(Plan1!B762,"AAAAAH91H5k=")</f>
        <v>#VALUE!</v>
      </c>
      <c r="EY45" t="e">
        <f>AND(Plan1!C762,"AAAAAH91H5o=")</f>
        <v>#VALUE!</v>
      </c>
      <c r="EZ45" t="e">
        <f>AND(Plan1!D762,"AAAAAH91H5s=")</f>
        <v>#VALUE!</v>
      </c>
      <c r="FA45" t="e">
        <f>AND(Plan1!E762,"AAAAAH91H5w=")</f>
        <v>#VALUE!</v>
      </c>
      <c r="FB45" t="e">
        <f>AND(Plan1!F762,"AAAAAH91H50=")</f>
        <v>#VALUE!</v>
      </c>
      <c r="FC45" t="e">
        <f>AND(Plan1!G762,"AAAAAH91H54=")</f>
        <v>#VALUE!</v>
      </c>
      <c r="FD45" t="e">
        <f>AND(Plan1!H762,"AAAAAH91H58=")</f>
        <v>#VALUE!</v>
      </c>
      <c r="FE45" t="e">
        <f>AND(Plan1!I762,"AAAAAH91H6A=")</f>
        <v>#VALUE!</v>
      </c>
      <c r="FF45" t="e">
        <f>AND(Plan1!J762,"AAAAAH91H6E=")</f>
        <v>#VALUE!</v>
      </c>
      <c r="FG45" t="e">
        <f>AND(Plan1!K762,"AAAAAH91H6I=")</f>
        <v>#VALUE!</v>
      </c>
      <c r="FH45" t="e">
        <f>AND(Plan1!L762,"AAAAAH91H6M=")</f>
        <v>#VALUE!</v>
      </c>
      <c r="FI45" t="e">
        <f>AND(Plan1!M762,"AAAAAH91H6Q=")</f>
        <v>#VALUE!</v>
      </c>
      <c r="FJ45" t="e">
        <f>AND(Plan1!N762,"AAAAAH91H6U=")</f>
        <v>#VALUE!</v>
      </c>
      <c r="FK45">
        <f>IF(Plan1!763:763,"AAAAAH91H6Y=",0)</f>
        <v>0</v>
      </c>
      <c r="FL45" t="e">
        <f>AND(Plan1!A763,"AAAAAH91H6c=")</f>
        <v>#VALUE!</v>
      </c>
      <c r="FM45" t="e">
        <f>AND(Plan1!B763,"AAAAAH91H6g=")</f>
        <v>#VALUE!</v>
      </c>
      <c r="FN45" t="e">
        <f>AND(Plan1!C763,"AAAAAH91H6k=")</f>
        <v>#VALUE!</v>
      </c>
      <c r="FO45" t="e">
        <f>AND(Plan1!D763,"AAAAAH91H6o=")</f>
        <v>#VALUE!</v>
      </c>
      <c r="FP45" t="e">
        <f>AND(Plan1!E763,"AAAAAH91H6s=")</f>
        <v>#VALUE!</v>
      </c>
      <c r="FQ45" t="e">
        <f>AND(Plan1!F763,"AAAAAH91H6w=")</f>
        <v>#VALUE!</v>
      </c>
      <c r="FR45" t="e">
        <f>AND(Plan1!G763,"AAAAAH91H60=")</f>
        <v>#VALUE!</v>
      </c>
      <c r="FS45" t="e">
        <f>AND(Plan1!H763,"AAAAAH91H64=")</f>
        <v>#VALUE!</v>
      </c>
      <c r="FT45" t="e">
        <f>AND(Plan1!I763,"AAAAAH91H68=")</f>
        <v>#VALUE!</v>
      </c>
      <c r="FU45" t="e">
        <f>AND(Plan1!J763,"AAAAAH91H7A=")</f>
        <v>#VALUE!</v>
      </c>
      <c r="FV45" t="e">
        <f>AND(Plan1!K763,"AAAAAH91H7E=")</f>
        <v>#VALUE!</v>
      </c>
      <c r="FW45" t="e">
        <f>AND(Plan1!L763,"AAAAAH91H7I=")</f>
        <v>#VALUE!</v>
      </c>
      <c r="FX45" t="e">
        <f>AND(Plan1!M763,"AAAAAH91H7M=")</f>
        <v>#VALUE!</v>
      </c>
      <c r="FY45" t="e">
        <f>AND(Plan1!N763,"AAAAAH91H7Q=")</f>
        <v>#VALUE!</v>
      </c>
      <c r="FZ45">
        <f>IF(Plan1!764:764,"AAAAAH91H7U=",0)</f>
        <v>0</v>
      </c>
      <c r="GA45" t="e">
        <f>AND(Plan1!A764,"AAAAAH91H7Y=")</f>
        <v>#VALUE!</v>
      </c>
      <c r="GB45" t="e">
        <f>AND(Plan1!B764,"AAAAAH91H7c=")</f>
        <v>#VALUE!</v>
      </c>
      <c r="GC45" t="e">
        <f>AND(Plan1!C764,"AAAAAH91H7g=")</f>
        <v>#VALUE!</v>
      </c>
      <c r="GD45" t="e">
        <f>AND(Plan1!D764,"AAAAAH91H7k=")</f>
        <v>#VALUE!</v>
      </c>
      <c r="GE45" t="e">
        <f>AND(Plan1!E764,"AAAAAH91H7o=")</f>
        <v>#VALUE!</v>
      </c>
      <c r="GF45" t="e">
        <f>AND(Plan1!F764,"AAAAAH91H7s=")</f>
        <v>#VALUE!</v>
      </c>
      <c r="GG45" t="e">
        <f>AND(Plan1!G764,"AAAAAH91H7w=")</f>
        <v>#VALUE!</v>
      </c>
      <c r="GH45" t="e">
        <f>AND(Plan1!H764,"AAAAAH91H70=")</f>
        <v>#VALUE!</v>
      </c>
      <c r="GI45" t="e">
        <f>AND(Plan1!I764,"AAAAAH91H74=")</f>
        <v>#VALUE!</v>
      </c>
      <c r="GJ45" t="e">
        <f>AND(Plan1!J764,"AAAAAH91H78=")</f>
        <v>#VALUE!</v>
      </c>
      <c r="GK45" t="e">
        <f>AND(Plan1!K764,"AAAAAH91H8A=")</f>
        <v>#VALUE!</v>
      </c>
      <c r="GL45" t="e">
        <f>AND(Plan1!L764,"AAAAAH91H8E=")</f>
        <v>#VALUE!</v>
      </c>
      <c r="GM45" t="e">
        <f>AND(Plan1!M764,"AAAAAH91H8I=")</f>
        <v>#VALUE!</v>
      </c>
      <c r="GN45" t="e">
        <f>AND(Plan1!N764,"AAAAAH91H8M=")</f>
        <v>#VALUE!</v>
      </c>
      <c r="GO45">
        <f>IF(Plan1!765:765,"AAAAAH91H8Q=",0)</f>
        <v>0</v>
      </c>
      <c r="GP45" t="e">
        <f>AND(Plan1!A765,"AAAAAH91H8U=")</f>
        <v>#VALUE!</v>
      </c>
      <c r="GQ45" t="e">
        <f>AND(Plan1!B765,"AAAAAH91H8Y=")</f>
        <v>#VALUE!</v>
      </c>
      <c r="GR45" t="e">
        <f>AND(Plan1!C765,"AAAAAH91H8c=")</f>
        <v>#VALUE!</v>
      </c>
      <c r="GS45" t="e">
        <f>AND(Plan1!D765,"AAAAAH91H8g=")</f>
        <v>#VALUE!</v>
      </c>
      <c r="GT45" t="e">
        <f>AND(Plan1!E765,"AAAAAH91H8k=")</f>
        <v>#VALUE!</v>
      </c>
      <c r="GU45" t="e">
        <f>AND(Plan1!F765,"AAAAAH91H8o=")</f>
        <v>#VALUE!</v>
      </c>
      <c r="GV45" t="e">
        <f>AND(Plan1!G765,"AAAAAH91H8s=")</f>
        <v>#VALUE!</v>
      </c>
      <c r="GW45" t="e">
        <f>AND(Plan1!H765,"AAAAAH91H8w=")</f>
        <v>#VALUE!</v>
      </c>
      <c r="GX45" t="e">
        <f>AND(Plan1!I765,"AAAAAH91H80=")</f>
        <v>#VALUE!</v>
      </c>
      <c r="GY45" t="e">
        <f>AND(Plan1!J765,"AAAAAH91H84=")</f>
        <v>#VALUE!</v>
      </c>
      <c r="GZ45" t="e">
        <f>AND(Plan1!K765,"AAAAAH91H88=")</f>
        <v>#VALUE!</v>
      </c>
      <c r="HA45" t="e">
        <f>AND(Plan1!L765,"AAAAAH91H9A=")</f>
        <v>#VALUE!</v>
      </c>
      <c r="HB45" t="e">
        <f>AND(Plan1!M765,"AAAAAH91H9E=")</f>
        <v>#VALUE!</v>
      </c>
      <c r="HC45" t="e">
        <f>AND(Plan1!N765,"AAAAAH91H9I=")</f>
        <v>#VALUE!</v>
      </c>
      <c r="HD45">
        <f>IF(Plan1!766:766,"AAAAAH91H9M=",0)</f>
        <v>0</v>
      </c>
      <c r="HE45" t="e">
        <f>AND(Plan1!A766,"AAAAAH91H9Q=")</f>
        <v>#VALUE!</v>
      </c>
      <c r="HF45" t="e">
        <f>AND(Plan1!B766,"AAAAAH91H9U=")</f>
        <v>#VALUE!</v>
      </c>
      <c r="HG45" t="e">
        <f>AND(Plan1!C766,"AAAAAH91H9Y=")</f>
        <v>#VALUE!</v>
      </c>
      <c r="HH45" t="e">
        <f>AND(Plan1!D766,"AAAAAH91H9c=")</f>
        <v>#VALUE!</v>
      </c>
      <c r="HI45" t="e">
        <f>AND(Plan1!E766,"AAAAAH91H9g=")</f>
        <v>#VALUE!</v>
      </c>
      <c r="HJ45" t="e">
        <f>AND(Plan1!F766,"AAAAAH91H9k=")</f>
        <v>#VALUE!</v>
      </c>
      <c r="HK45" t="e">
        <f>AND(Plan1!G766,"AAAAAH91H9o=")</f>
        <v>#VALUE!</v>
      </c>
      <c r="HL45" t="e">
        <f>AND(Plan1!H766,"AAAAAH91H9s=")</f>
        <v>#VALUE!</v>
      </c>
      <c r="HM45" t="e">
        <f>AND(Plan1!I766,"AAAAAH91H9w=")</f>
        <v>#VALUE!</v>
      </c>
      <c r="HN45" t="e">
        <f>AND(Plan1!J766,"AAAAAH91H90=")</f>
        <v>#VALUE!</v>
      </c>
      <c r="HO45" t="e">
        <f>AND(Plan1!K766,"AAAAAH91H94=")</f>
        <v>#VALUE!</v>
      </c>
      <c r="HP45" t="e">
        <f>AND(Plan1!L766,"AAAAAH91H98=")</f>
        <v>#VALUE!</v>
      </c>
      <c r="HQ45" t="e">
        <f>AND(Plan1!M766,"AAAAAH91H+A=")</f>
        <v>#VALUE!</v>
      </c>
      <c r="HR45" t="e">
        <f>AND(Plan1!N766,"AAAAAH91H+E=")</f>
        <v>#VALUE!</v>
      </c>
      <c r="HS45">
        <f>IF(Plan1!767:767,"AAAAAH91H+I=",0)</f>
        <v>0</v>
      </c>
      <c r="HT45" t="e">
        <f>AND(Plan1!A767,"AAAAAH91H+M=")</f>
        <v>#VALUE!</v>
      </c>
      <c r="HU45" t="e">
        <f>AND(Plan1!B767,"AAAAAH91H+Q=")</f>
        <v>#VALUE!</v>
      </c>
      <c r="HV45" t="e">
        <f>AND(Plan1!C767,"AAAAAH91H+U=")</f>
        <v>#VALUE!</v>
      </c>
      <c r="HW45" t="e">
        <f>AND(Plan1!D767,"AAAAAH91H+Y=")</f>
        <v>#VALUE!</v>
      </c>
      <c r="HX45" t="e">
        <f>AND(Plan1!E767,"AAAAAH91H+c=")</f>
        <v>#VALUE!</v>
      </c>
      <c r="HY45" t="e">
        <f>AND(Plan1!F767,"AAAAAH91H+g=")</f>
        <v>#VALUE!</v>
      </c>
      <c r="HZ45" t="e">
        <f>AND(Plan1!G767,"AAAAAH91H+k=")</f>
        <v>#VALUE!</v>
      </c>
      <c r="IA45" t="e">
        <f>AND(Plan1!H767,"AAAAAH91H+o=")</f>
        <v>#VALUE!</v>
      </c>
      <c r="IB45" t="e">
        <f>AND(Plan1!I767,"AAAAAH91H+s=")</f>
        <v>#VALUE!</v>
      </c>
      <c r="IC45" t="e">
        <f>AND(Plan1!J767,"AAAAAH91H+w=")</f>
        <v>#VALUE!</v>
      </c>
      <c r="ID45" t="e">
        <f>AND(Plan1!K767,"AAAAAH91H+0=")</f>
        <v>#VALUE!</v>
      </c>
      <c r="IE45" t="e">
        <f>AND(Plan1!L767,"AAAAAH91H+4=")</f>
        <v>#VALUE!</v>
      </c>
      <c r="IF45" t="e">
        <f>AND(Plan1!M767,"AAAAAH91H+8=")</f>
        <v>#VALUE!</v>
      </c>
      <c r="IG45" t="e">
        <f>AND(Plan1!N767,"AAAAAH91H/A=")</f>
        <v>#VALUE!</v>
      </c>
      <c r="IH45">
        <f>IF(Plan1!768:768,"AAAAAH91H/E=",0)</f>
        <v>0</v>
      </c>
      <c r="II45" t="e">
        <f>AND(Plan1!A768,"AAAAAH91H/I=")</f>
        <v>#VALUE!</v>
      </c>
      <c r="IJ45" t="e">
        <f>AND(Plan1!B768,"AAAAAH91H/M=")</f>
        <v>#VALUE!</v>
      </c>
      <c r="IK45" t="e">
        <f>AND(Plan1!C768,"AAAAAH91H/Q=")</f>
        <v>#VALUE!</v>
      </c>
      <c r="IL45" t="e">
        <f>AND(Plan1!D768,"AAAAAH91H/U=")</f>
        <v>#VALUE!</v>
      </c>
      <c r="IM45" t="e">
        <f>AND(Plan1!E768,"AAAAAH91H/Y=")</f>
        <v>#VALUE!</v>
      </c>
      <c r="IN45" t="e">
        <f>AND(Plan1!F768,"AAAAAH91H/c=")</f>
        <v>#VALUE!</v>
      </c>
      <c r="IO45" t="e">
        <f>AND(Plan1!G768,"AAAAAH91H/g=")</f>
        <v>#VALUE!</v>
      </c>
      <c r="IP45" t="e">
        <f>AND(Plan1!H768,"AAAAAH91H/k=")</f>
        <v>#VALUE!</v>
      </c>
      <c r="IQ45" t="e">
        <f>AND(Plan1!I768,"AAAAAH91H/o=")</f>
        <v>#VALUE!</v>
      </c>
      <c r="IR45" t="e">
        <f>AND(Plan1!J768,"AAAAAH91H/s=")</f>
        <v>#VALUE!</v>
      </c>
      <c r="IS45" t="e">
        <f>AND(Plan1!K768,"AAAAAH91H/w=")</f>
        <v>#VALUE!</v>
      </c>
      <c r="IT45" t="e">
        <f>AND(Plan1!L768,"AAAAAH91H/0=")</f>
        <v>#VALUE!</v>
      </c>
      <c r="IU45" t="e">
        <f>AND(Plan1!M768,"AAAAAH91H/4=")</f>
        <v>#VALUE!</v>
      </c>
      <c r="IV45" t="e">
        <f>AND(Plan1!N768,"AAAAAH91H/8=")</f>
        <v>#VALUE!</v>
      </c>
    </row>
    <row r="46" spans="1:256">
      <c r="A46" t="e">
        <f>IF(Plan1!769:769,"AAAAAH/9awA=",0)</f>
        <v>#VALUE!</v>
      </c>
      <c r="B46" t="e">
        <f>AND(Plan1!A769,"AAAAAH/9awE=")</f>
        <v>#VALUE!</v>
      </c>
      <c r="C46" t="e">
        <f>AND(Plan1!B769,"AAAAAH/9awI=")</f>
        <v>#VALUE!</v>
      </c>
      <c r="D46" t="e">
        <f>AND(Plan1!C769,"AAAAAH/9awM=")</f>
        <v>#VALUE!</v>
      </c>
      <c r="E46" t="e">
        <f>AND(Plan1!D769,"AAAAAH/9awQ=")</f>
        <v>#VALUE!</v>
      </c>
      <c r="F46" t="e">
        <f>AND(Plan1!E769,"AAAAAH/9awU=")</f>
        <v>#VALUE!</v>
      </c>
      <c r="G46" t="e">
        <f>AND(Plan1!F769,"AAAAAH/9awY=")</f>
        <v>#VALUE!</v>
      </c>
      <c r="H46" t="e">
        <f>AND(Plan1!G769,"AAAAAH/9awc=")</f>
        <v>#VALUE!</v>
      </c>
      <c r="I46" t="e">
        <f>AND(Plan1!H769,"AAAAAH/9awg=")</f>
        <v>#VALUE!</v>
      </c>
      <c r="J46" t="e">
        <f>AND(Plan1!I769,"AAAAAH/9awk=")</f>
        <v>#VALUE!</v>
      </c>
      <c r="K46" t="e">
        <f>AND(Plan1!J769,"AAAAAH/9awo=")</f>
        <v>#VALUE!</v>
      </c>
      <c r="L46" t="e">
        <f>AND(Plan1!K769,"AAAAAH/9aws=")</f>
        <v>#VALUE!</v>
      </c>
      <c r="M46" t="e">
        <f>AND(Plan1!L769,"AAAAAH/9aww=")</f>
        <v>#VALUE!</v>
      </c>
      <c r="N46" t="e">
        <f>AND(Plan1!M769,"AAAAAH/9aw0=")</f>
        <v>#VALUE!</v>
      </c>
      <c r="O46" t="e">
        <f>AND(Plan1!N769,"AAAAAH/9aw4=")</f>
        <v>#VALUE!</v>
      </c>
      <c r="P46">
        <f>IF(Plan1!770:770,"AAAAAH/9aw8=",0)</f>
        <v>0</v>
      </c>
      <c r="Q46" t="e">
        <f>AND(Plan1!A770,"AAAAAH/9axA=")</f>
        <v>#VALUE!</v>
      </c>
      <c r="R46" t="e">
        <f>AND(Plan1!B770,"AAAAAH/9axE=")</f>
        <v>#VALUE!</v>
      </c>
      <c r="S46" t="e">
        <f>AND(Plan1!C770,"AAAAAH/9axI=")</f>
        <v>#VALUE!</v>
      </c>
      <c r="T46" t="e">
        <f>AND(Plan1!D770,"AAAAAH/9axM=")</f>
        <v>#VALUE!</v>
      </c>
      <c r="U46" t="e">
        <f>AND(Plan1!E770,"AAAAAH/9axQ=")</f>
        <v>#VALUE!</v>
      </c>
      <c r="V46" t="e">
        <f>AND(Plan1!F770,"AAAAAH/9axU=")</f>
        <v>#VALUE!</v>
      </c>
      <c r="W46" t="e">
        <f>AND(Plan1!G770,"AAAAAH/9axY=")</f>
        <v>#VALUE!</v>
      </c>
      <c r="X46" t="e">
        <f>AND(Plan1!H770,"AAAAAH/9axc=")</f>
        <v>#VALUE!</v>
      </c>
      <c r="Y46" t="e">
        <f>AND(Plan1!I770,"AAAAAH/9axg=")</f>
        <v>#VALUE!</v>
      </c>
      <c r="Z46" t="e">
        <f>AND(Plan1!J770,"AAAAAH/9axk=")</f>
        <v>#VALUE!</v>
      </c>
      <c r="AA46" t="e">
        <f>AND(Plan1!K770,"AAAAAH/9axo=")</f>
        <v>#VALUE!</v>
      </c>
      <c r="AB46" t="e">
        <f>AND(Plan1!L770,"AAAAAH/9axs=")</f>
        <v>#VALUE!</v>
      </c>
      <c r="AC46" t="e">
        <f>AND(Plan1!M770,"AAAAAH/9axw=")</f>
        <v>#VALUE!</v>
      </c>
      <c r="AD46" t="e">
        <f>AND(Plan1!N770,"AAAAAH/9ax0=")</f>
        <v>#VALUE!</v>
      </c>
      <c r="AE46">
        <f>IF(Plan1!771:771,"AAAAAH/9ax4=",0)</f>
        <v>0</v>
      </c>
      <c r="AF46" t="e">
        <f>AND(Plan1!A771,"AAAAAH/9ax8=")</f>
        <v>#VALUE!</v>
      </c>
      <c r="AG46" t="e">
        <f>AND(Plan1!B771,"AAAAAH/9ayA=")</f>
        <v>#VALUE!</v>
      </c>
      <c r="AH46" t="e">
        <f>AND(Plan1!C771,"AAAAAH/9ayE=")</f>
        <v>#VALUE!</v>
      </c>
      <c r="AI46" t="e">
        <f>AND(Plan1!D771,"AAAAAH/9ayI=")</f>
        <v>#VALUE!</v>
      </c>
      <c r="AJ46" t="e">
        <f>AND(Plan1!E771,"AAAAAH/9ayM=")</f>
        <v>#VALUE!</v>
      </c>
      <c r="AK46" t="e">
        <f>AND(Plan1!F771,"AAAAAH/9ayQ=")</f>
        <v>#VALUE!</v>
      </c>
      <c r="AL46" t="e">
        <f>AND(Plan1!G771,"AAAAAH/9ayU=")</f>
        <v>#VALUE!</v>
      </c>
      <c r="AM46" t="e">
        <f>AND(Plan1!H771,"AAAAAH/9ayY=")</f>
        <v>#VALUE!</v>
      </c>
      <c r="AN46" t="e">
        <f>AND(Plan1!I771,"AAAAAH/9ayc=")</f>
        <v>#VALUE!</v>
      </c>
      <c r="AO46" t="e">
        <f>AND(Plan1!J771,"AAAAAH/9ayg=")</f>
        <v>#VALUE!</v>
      </c>
      <c r="AP46" t="e">
        <f>AND(Plan1!K771,"AAAAAH/9ayk=")</f>
        <v>#VALUE!</v>
      </c>
      <c r="AQ46" t="e">
        <f>AND(Plan1!L771,"AAAAAH/9ayo=")</f>
        <v>#VALUE!</v>
      </c>
      <c r="AR46" t="e">
        <f>AND(Plan1!M771,"AAAAAH/9ays=")</f>
        <v>#VALUE!</v>
      </c>
      <c r="AS46" t="e">
        <f>AND(Plan1!N771,"AAAAAH/9ayw=")</f>
        <v>#VALUE!</v>
      </c>
      <c r="AT46">
        <f>IF(Plan1!772:772,"AAAAAH/9ay0=",0)</f>
        <v>0</v>
      </c>
      <c r="AU46" t="e">
        <f>AND(Plan1!A772,"AAAAAH/9ay4=")</f>
        <v>#VALUE!</v>
      </c>
      <c r="AV46" t="e">
        <f>AND(Plan1!B772,"AAAAAH/9ay8=")</f>
        <v>#VALUE!</v>
      </c>
      <c r="AW46" t="e">
        <f>AND(Plan1!C772,"AAAAAH/9azA=")</f>
        <v>#VALUE!</v>
      </c>
      <c r="AX46" t="e">
        <f>AND(Plan1!D772,"AAAAAH/9azE=")</f>
        <v>#VALUE!</v>
      </c>
      <c r="AY46" t="e">
        <f>AND(Plan1!E772,"AAAAAH/9azI=")</f>
        <v>#VALUE!</v>
      </c>
      <c r="AZ46" t="e">
        <f>AND(Plan1!F772,"AAAAAH/9azM=")</f>
        <v>#VALUE!</v>
      </c>
      <c r="BA46" t="e">
        <f>AND(Plan1!G772,"AAAAAH/9azQ=")</f>
        <v>#VALUE!</v>
      </c>
      <c r="BB46" t="e">
        <f>AND(Plan1!H772,"AAAAAH/9azU=")</f>
        <v>#VALUE!</v>
      </c>
      <c r="BC46" t="e">
        <f>AND(Plan1!I772,"AAAAAH/9azY=")</f>
        <v>#VALUE!</v>
      </c>
      <c r="BD46" t="e">
        <f>AND(Plan1!J772,"AAAAAH/9azc=")</f>
        <v>#VALUE!</v>
      </c>
      <c r="BE46" t="e">
        <f>AND(Plan1!K772,"AAAAAH/9azg=")</f>
        <v>#VALUE!</v>
      </c>
      <c r="BF46" t="e">
        <f>AND(Plan1!L772,"AAAAAH/9azk=")</f>
        <v>#VALUE!</v>
      </c>
      <c r="BG46" t="e">
        <f>AND(Plan1!M772,"AAAAAH/9azo=")</f>
        <v>#VALUE!</v>
      </c>
      <c r="BH46" t="e">
        <f>AND(Plan1!N772,"AAAAAH/9azs=")</f>
        <v>#VALUE!</v>
      </c>
      <c r="BI46">
        <f>IF(Plan1!773:773,"AAAAAH/9azw=",0)</f>
        <v>0</v>
      </c>
      <c r="BJ46" t="e">
        <f>AND(Plan1!A773,"AAAAAH/9az0=")</f>
        <v>#VALUE!</v>
      </c>
      <c r="BK46" t="e">
        <f>AND(Plan1!B773,"AAAAAH/9az4=")</f>
        <v>#VALUE!</v>
      </c>
      <c r="BL46" t="e">
        <f>AND(Plan1!C773,"AAAAAH/9az8=")</f>
        <v>#VALUE!</v>
      </c>
      <c r="BM46" t="e">
        <f>AND(Plan1!D773,"AAAAAH/9a0A=")</f>
        <v>#VALUE!</v>
      </c>
      <c r="BN46" t="e">
        <f>AND(Plan1!E773,"AAAAAH/9a0E=")</f>
        <v>#VALUE!</v>
      </c>
      <c r="BO46" t="e">
        <f>AND(Plan1!F773,"AAAAAH/9a0I=")</f>
        <v>#VALUE!</v>
      </c>
      <c r="BP46" t="e">
        <f>AND(Plan1!G773,"AAAAAH/9a0M=")</f>
        <v>#VALUE!</v>
      </c>
      <c r="BQ46" t="e">
        <f>AND(Plan1!H773,"AAAAAH/9a0Q=")</f>
        <v>#VALUE!</v>
      </c>
      <c r="BR46" t="e">
        <f>AND(Plan1!I773,"AAAAAH/9a0U=")</f>
        <v>#VALUE!</v>
      </c>
      <c r="BS46" t="e">
        <f>AND(Plan1!J773,"AAAAAH/9a0Y=")</f>
        <v>#VALUE!</v>
      </c>
      <c r="BT46" t="e">
        <f>AND(Plan1!K773,"AAAAAH/9a0c=")</f>
        <v>#VALUE!</v>
      </c>
      <c r="BU46" t="e">
        <f>AND(Plan1!L773,"AAAAAH/9a0g=")</f>
        <v>#VALUE!</v>
      </c>
      <c r="BV46" t="e">
        <f>AND(Plan1!M773,"AAAAAH/9a0k=")</f>
        <v>#VALUE!</v>
      </c>
      <c r="BW46" t="e">
        <f>AND(Plan1!N773,"AAAAAH/9a0o=")</f>
        <v>#VALUE!</v>
      </c>
      <c r="BX46">
        <f>IF(Plan1!774:774,"AAAAAH/9a0s=",0)</f>
        <v>0</v>
      </c>
      <c r="BY46" t="e">
        <f>AND(Plan1!A774,"AAAAAH/9a0w=")</f>
        <v>#VALUE!</v>
      </c>
      <c r="BZ46" t="e">
        <f>AND(Plan1!B774,"AAAAAH/9a00=")</f>
        <v>#VALUE!</v>
      </c>
      <c r="CA46" t="e">
        <f>AND(Plan1!C774,"AAAAAH/9a04=")</f>
        <v>#VALUE!</v>
      </c>
      <c r="CB46" t="e">
        <f>AND(Plan1!D774,"AAAAAH/9a08=")</f>
        <v>#VALUE!</v>
      </c>
      <c r="CC46" t="e">
        <f>AND(Plan1!E774,"AAAAAH/9a1A=")</f>
        <v>#VALUE!</v>
      </c>
      <c r="CD46" t="e">
        <f>AND(Plan1!F774,"AAAAAH/9a1E=")</f>
        <v>#VALUE!</v>
      </c>
      <c r="CE46" t="e">
        <f>AND(Plan1!G774,"AAAAAH/9a1I=")</f>
        <v>#VALUE!</v>
      </c>
      <c r="CF46" t="e">
        <f>AND(Plan1!H774,"AAAAAH/9a1M=")</f>
        <v>#VALUE!</v>
      </c>
      <c r="CG46" t="e">
        <f>AND(Plan1!I774,"AAAAAH/9a1Q=")</f>
        <v>#VALUE!</v>
      </c>
      <c r="CH46" t="e">
        <f>AND(Plan1!J774,"AAAAAH/9a1U=")</f>
        <v>#VALUE!</v>
      </c>
      <c r="CI46" t="e">
        <f>AND(Plan1!K774,"AAAAAH/9a1Y=")</f>
        <v>#VALUE!</v>
      </c>
      <c r="CJ46" t="e">
        <f>AND(Plan1!L774,"AAAAAH/9a1c=")</f>
        <v>#VALUE!</v>
      </c>
      <c r="CK46" t="e">
        <f>AND(Plan1!M774,"AAAAAH/9a1g=")</f>
        <v>#VALUE!</v>
      </c>
      <c r="CL46" t="e">
        <f>AND(Plan1!N774,"AAAAAH/9a1k=")</f>
        <v>#VALUE!</v>
      </c>
      <c r="CM46">
        <f>IF(Plan1!775:775,"AAAAAH/9a1o=",0)</f>
        <v>0</v>
      </c>
      <c r="CN46" t="e">
        <f>AND(Plan1!A775,"AAAAAH/9a1s=")</f>
        <v>#VALUE!</v>
      </c>
      <c r="CO46" t="e">
        <f>AND(Plan1!B775,"AAAAAH/9a1w=")</f>
        <v>#VALUE!</v>
      </c>
      <c r="CP46" t="e">
        <f>AND(Plan1!C775,"AAAAAH/9a10=")</f>
        <v>#VALUE!</v>
      </c>
      <c r="CQ46" t="e">
        <f>AND(Plan1!D775,"AAAAAH/9a14=")</f>
        <v>#VALUE!</v>
      </c>
      <c r="CR46" t="e">
        <f>AND(Plan1!E775,"AAAAAH/9a18=")</f>
        <v>#VALUE!</v>
      </c>
      <c r="CS46" t="e">
        <f>AND(Plan1!F775,"AAAAAH/9a2A=")</f>
        <v>#VALUE!</v>
      </c>
      <c r="CT46" t="e">
        <f>AND(Plan1!G775,"AAAAAH/9a2E=")</f>
        <v>#VALUE!</v>
      </c>
      <c r="CU46" t="e">
        <f>AND(Plan1!H775,"AAAAAH/9a2I=")</f>
        <v>#VALUE!</v>
      </c>
      <c r="CV46" t="e">
        <f>AND(Plan1!I775,"AAAAAH/9a2M=")</f>
        <v>#VALUE!</v>
      </c>
      <c r="CW46" t="e">
        <f>AND(Plan1!J775,"AAAAAH/9a2Q=")</f>
        <v>#VALUE!</v>
      </c>
      <c r="CX46" t="e">
        <f>AND(Plan1!K775,"AAAAAH/9a2U=")</f>
        <v>#VALUE!</v>
      </c>
      <c r="CY46" t="e">
        <f>AND(Plan1!L775,"AAAAAH/9a2Y=")</f>
        <v>#VALUE!</v>
      </c>
      <c r="CZ46" t="e">
        <f>AND(Plan1!M775,"AAAAAH/9a2c=")</f>
        <v>#VALUE!</v>
      </c>
      <c r="DA46" t="e">
        <f>AND(Plan1!N775,"AAAAAH/9a2g=")</f>
        <v>#VALUE!</v>
      </c>
      <c r="DB46">
        <f>IF(Plan1!776:776,"AAAAAH/9a2k=",0)</f>
        <v>0</v>
      </c>
      <c r="DC46" t="e">
        <f>AND(Plan1!A776,"AAAAAH/9a2o=")</f>
        <v>#VALUE!</v>
      </c>
      <c r="DD46" t="e">
        <f>AND(Plan1!B776,"AAAAAH/9a2s=")</f>
        <v>#VALUE!</v>
      </c>
      <c r="DE46" t="e">
        <f>AND(Plan1!C776,"AAAAAH/9a2w=")</f>
        <v>#VALUE!</v>
      </c>
      <c r="DF46" t="e">
        <f>AND(Plan1!D776,"AAAAAH/9a20=")</f>
        <v>#VALUE!</v>
      </c>
      <c r="DG46" t="e">
        <f>AND(Plan1!E776,"AAAAAH/9a24=")</f>
        <v>#VALUE!</v>
      </c>
      <c r="DH46" t="e">
        <f>AND(Plan1!F776,"AAAAAH/9a28=")</f>
        <v>#VALUE!</v>
      </c>
      <c r="DI46" t="e">
        <f>AND(Plan1!G776,"AAAAAH/9a3A=")</f>
        <v>#VALUE!</v>
      </c>
      <c r="DJ46" t="e">
        <f>AND(Plan1!H776,"AAAAAH/9a3E=")</f>
        <v>#VALUE!</v>
      </c>
      <c r="DK46" t="e">
        <f>AND(Plan1!I776,"AAAAAH/9a3I=")</f>
        <v>#VALUE!</v>
      </c>
      <c r="DL46" t="e">
        <f>AND(Plan1!J776,"AAAAAH/9a3M=")</f>
        <v>#VALUE!</v>
      </c>
      <c r="DM46" t="e">
        <f>AND(Plan1!K776,"AAAAAH/9a3Q=")</f>
        <v>#VALUE!</v>
      </c>
      <c r="DN46" t="e">
        <f>AND(Plan1!L776,"AAAAAH/9a3U=")</f>
        <v>#VALUE!</v>
      </c>
      <c r="DO46" t="e">
        <f>AND(Plan1!M776,"AAAAAH/9a3Y=")</f>
        <v>#VALUE!</v>
      </c>
      <c r="DP46" t="e">
        <f>AND(Plan1!N776,"AAAAAH/9a3c=")</f>
        <v>#VALUE!</v>
      </c>
      <c r="DQ46">
        <f>IF(Plan1!777:777,"AAAAAH/9a3g=",0)</f>
        <v>0</v>
      </c>
      <c r="DR46" t="e">
        <f>AND(Plan1!A777,"AAAAAH/9a3k=")</f>
        <v>#VALUE!</v>
      </c>
      <c r="DS46" t="e">
        <f>AND(Plan1!B777,"AAAAAH/9a3o=")</f>
        <v>#VALUE!</v>
      </c>
      <c r="DT46" t="e">
        <f>AND(Plan1!C777,"AAAAAH/9a3s=")</f>
        <v>#VALUE!</v>
      </c>
      <c r="DU46" t="e">
        <f>AND(Plan1!D777,"AAAAAH/9a3w=")</f>
        <v>#VALUE!</v>
      </c>
      <c r="DV46" t="e">
        <f>AND(Plan1!E777,"AAAAAH/9a30=")</f>
        <v>#VALUE!</v>
      </c>
      <c r="DW46" t="e">
        <f>AND(Plan1!F777,"AAAAAH/9a34=")</f>
        <v>#VALUE!</v>
      </c>
      <c r="DX46" t="e">
        <f>AND(Plan1!G777,"AAAAAH/9a38=")</f>
        <v>#VALUE!</v>
      </c>
      <c r="DY46" t="e">
        <f>AND(Plan1!H777,"AAAAAH/9a4A=")</f>
        <v>#VALUE!</v>
      </c>
      <c r="DZ46" t="e">
        <f>AND(Plan1!I777,"AAAAAH/9a4E=")</f>
        <v>#VALUE!</v>
      </c>
      <c r="EA46" t="e">
        <f>AND(Plan1!J777,"AAAAAH/9a4I=")</f>
        <v>#VALUE!</v>
      </c>
      <c r="EB46" t="e">
        <f>AND(Plan1!K777,"AAAAAH/9a4M=")</f>
        <v>#VALUE!</v>
      </c>
      <c r="EC46" t="e">
        <f>AND(Plan1!L777,"AAAAAH/9a4Q=")</f>
        <v>#VALUE!</v>
      </c>
      <c r="ED46" t="e">
        <f>AND(Plan1!M777,"AAAAAH/9a4U=")</f>
        <v>#VALUE!</v>
      </c>
      <c r="EE46" t="e">
        <f>AND(Plan1!N777,"AAAAAH/9a4Y=")</f>
        <v>#VALUE!</v>
      </c>
      <c r="EF46">
        <f>IF(Plan1!778:778,"AAAAAH/9a4c=",0)</f>
        <v>0</v>
      </c>
      <c r="EG46" t="e">
        <f>AND(Plan1!A778,"AAAAAH/9a4g=")</f>
        <v>#VALUE!</v>
      </c>
      <c r="EH46" t="e">
        <f>AND(Plan1!B778,"AAAAAH/9a4k=")</f>
        <v>#VALUE!</v>
      </c>
      <c r="EI46" t="e">
        <f>AND(Plan1!C778,"AAAAAH/9a4o=")</f>
        <v>#VALUE!</v>
      </c>
      <c r="EJ46" t="e">
        <f>AND(Plan1!D778,"AAAAAH/9a4s=")</f>
        <v>#VALUE!</v>
      </c>
      <c r="EK46" t="e">
        <f>AND(Plan1!E778,"AAAAAH/9a4w=")</f>
        <v>#VALUE!</v>
      </c>
      <c r="EL46" t="e">
        <f>AND(Plan1!F778,"AAAAAH/9a40=")</f>
        <v>#VALUE!</v>
      </c>
      <c r="EM46" t="e">
        <f>AND(Plan1!G778,"AAAAAH/9a44=")</f>
        <v>#VALUE!</v>
      </c>
      <c r="EN46" t="e">
        <f>AND(Plan1!H778,"AAAAAH/9a48=")</f>
        <v>#VALUE!</v>
      </c>
      <c r="EO46" t="e">
        <f>AND(Plan1!I778,"AAAAAH/9a5A=")</f>
        <v>#VALUE!</v>
      </c>
      <c r="EP46" t="e">
        <f>AND(Plan1!J778,"AAAAAH/9a5E=")</f>
        <v>#VALUE!</v>
      </c>
      <c r="EQ46" t="e">
        <f>AND(Plan1!K778,"AAAAAH/9a5I=")</f>
        <v>#VALUE!</v>
      </c>
      <c r="ER46" t="e">
        <f>AND(Plan1!L778,"AAAAAH/9a5M=")</f>
        <v>#VALUE!</v>
      </c>
      <c r="ES46" t="e">
        <f>AND(Plan1!M778,"AAAAAH/9a5Q=")</f>
        <v>#VALUE!</v>
      </c>
      <c r="ET46" t="e">
        <f>AND(Plan1!N778,"AAAAAH/9a5U=")</f>
        <v>#VALUE!</v>
      </c>
      <c r="EU46">
        <f>IF(Plan1!779:779,"AAAAAH/9a5Y=",0)</f>
        <v>0</v>
      </c>
      <c r="EV46" t="e">
        <f>AND(Plan1!A779,"AAAAAH/9a5c=")</f>
        <v>#VALUE!</v>
      </c>
      <c r="EW46" t="e">
        <f>AND(Plan1!B779,"AAAAAH/9a5g=")</f>
        <v>#VALUE!</v>
      </c>
      <c r="EX46" t="e">
        <f>AND(Plan1!C779,"AAAAAH/9a5k=")</f>
        <v>#VALUE!</v>
      </c>
      <c r="EY46" t="e">
        <f>AND(Plan1!D779,"AAAAAH/9a5o=")</f>
        <v>#VALUE!</v>
      </c>
      <c r="EZ46" t="e">
        <f>AND(Plan1!E779,"AAAAAH/9a5s=")</f>
        <v>#VALUE!</v>
      </c>
      <c r="FA46" t="e">
        <f>AND(Plan1!F779,"AAAAAH/9a5w=")</f>
        <v>#VALUE!</v>
      </c>
      <c r="FB46" t="e">
        <f>AND(Plan1!G779,"AAAAAH/9a50=")</f>
        <v>#VALUE!</v>
      </c>
      <c r="FC46" t="e">
        <f>AND(Plan1!H779,"AAAAAH/9a54=")</f>
        <v>#VALUE!</v>
      </c>
      <c r="FD46" t="e">
        <f>AND(Plan1!I779,"AAAAAH/9a58=")</f>
        <v>#VALUE!</v>
      </c>
      <c r="FE46" t="e">
        <f>AND(Plan1!J779,"AAAAAH/9a6A=")</f>
        <v>#VALUE!</v>
      </c>
      <c r="FF46" t="e">
        <f>AND(Plan1!K779,"AAAAAH/9a6E=")</f>
        <v>#VALUE!</v>
      </c>
      <c r="FG46" t="e">
        <f>AND(Plan1!L779,"AAAAAH/9a6I=")</f>
        <v>#VALUE!</v>
      </c>
      <c r="FH46" t="e">
        <f>AND(Plan1!M779,"AAAAAH/9a6M=")</f>
        <v>#VALUE!</v>
      </c>
      <c r="FI46" t="e">
        <f>AND(Plan1!N779,"AAAAAH/9a6Q=")</f>
        <v>#VALUE!</v>
      </c>
      <c r="FJ46">
        <f>IF(Plan1!780:780,"AAAAAH/9a6U=",0)</f>
        <v>0</v>
      </c>
      <c r="FK46" t="e">
        <f>AND(Plan1!A780,"AAAAAH/9a6Y=")</f>
        <v>#VALUE!</v>
      </c>
      <c r="FL46" t="e">
        <f>AND(Plan1!B780,"AAAAAH/9a6c=")</f>
        <v>#VALUE!</v>
      </c>
      <c r="FM46" t="e">
        <f>AND(Plan1!C780,"AAAAAH/9a6g=")</f>
        <v>#VALUE!</v>
      </c>
      <c r="FN46" t="e">
        <f>AND(Plan1!D780,"AAAAAH/9a6k=")</f>
        <v>#VALUE!</v>
      </c>
      <c r="FO46" t="e">
        <f>AND(Plan1!E780,"AAAAAH/9a6o=")</f>
        <v>#VALUE!</v>
      </c>
      <c r="FP46" t="e">
        <f>AND(Plan1!F780,"AAAAAH/9a6s=")</f>
        <v>#VALUE!</v>
      </c>
      <c r="FQ46" t="e">
        <f>AND(Plan1!G780,"AAAAAH/9a6w=")</f>
        <v>#VALUE!</v>
      </c>
      <c r="FR46" t="e">
        <f>AND(Plan1!H780,"AAAAAH/9a60=")</f>
        <v>#VALUE!</v>
      </c>
      <c r="FS46" t="e">
        <f>AND(Plan1!I780,"AAAAAH/9a64=")</f>
        <v>#VALUE!</v>
      </c>
      <c r="FT46" t="e">
        <f>AND(Plan1!J780,"AAAAAH/9a68=")</f>
        <v>#VALUE!</v>
      </c>
      <c r="FU46" t="e">
        <f>AND(Plan1!K780,"AAAAAH/9a7A=")</f>
        <v>#VALUE!</v>
      </c>
      <c r="FV46" t="e">
        <f>AND(Plan1!L780,"AAAAAH/9a7E=")</f>
        <v>#VALUE!</v>
      </c>
      <c r="FW46" t="e">
        <f>AND(Plan1!M780,"AAAAAH/9a7I=")</f>
        <v>#VALUE!</v>
      </c>
      <c r="FX46" t="e">
        <f>AND(Plan1!N780,"AAAAAH/9a7M=")</f>
        <v>#VALUE!</v>
      </c>
      <c r="FY46">
        <f>IF(Plan1!781:781,"AAAAAH/9a7Q=",0)</f>
        <v>0</v>
      </c>
      <c r="FZ46" t="e">
        <f>AND(Plan1!A781,"AAAAAH/9a7U=")</f>
        <v>#VALUE!</v>
      </c>
      <c r="GA46" t="e">
        <f>AND(Plan1!B781,"AAAAAH/9a7Y=")</f>
        <v>#VALUE!</v>
      </c>
      <c r="GB46" t="e">
        <f>AND(Plan1!C781,"AAAAAH/9a7c=")</f>
        <v>#VALUE!</v>
      </c>
      <c r="GC46" t="e">
        <f>AND(Plan1!D781,"AAAAAH/9a7g=")</f>
        <v>#VALUE!</v>
      </c>
      <c r="GD46" t="e">
        <f>AND(Plan1!E781,"AAAAAH/9a7k=")</f>
        <v>#VALUE!</v>
      </c>
      <c r="GE46" t="e">
        <f>AND(Plan1!F781,"AAAAAH/9a7o=")</f>
        <v>#VALUE!</v>
      </c>
      <c r="GF46" t="e">
        <f>AND(Plan1!G781,"AAAAAH/9a7s=")</f>
        <v>#VALUE!</v>
      </c>
      <c r="GG46" t="e">
        <f>AND(Plan1!H781,"AAAAAH/9a7w=")</f>
        <v>#VALUE!</v>
      </c>
      <c r="GH46" t="e">
        <f>AND(Plan1!I781,"AAAAAH/9a70=")</f>
        <v>#VALUE!</v>
      </c>
      <c r="GI46" t="e">
        <f>AND(Plan1!J781,"AAAAAH/9a74=")</f>
        <v>#VALUE!</v>
      </c>
      <c r="GJ46" t="e">
        <f>AND(Plan1!K781,"AAAAAH/9a78=")</f>
        <v>#VALUE!</v>
      </c>
      <c r="GK46" t="e">
        <f>AND(Plan1!L781,"AAAAAH/9a8A=")</f>
        <v>#VALUE!</v>
      </c>
      <c r="GL46" t="e">
        <f>AND(Plan1!M781,"AAAAAH/9a8E=")</f>
        <v>#VALUE!</v>
      </c>
      <c r="GM46" t="e">
        <f>AND(Plan1!N781,"AAAAAH/9a8I=")</f>
        <v>#VALUE!</v>
      </c>
      <c r="GN46">
        <f>IF(Plan1!782:782,"AAAAAH/9a8M=",0)</f>
        <v>0</v>
      </c>
      <c r="GO46" t="e">
        <f>AND(Plan1!A782,"AAAAAH/9a8Q=")</f>
        <v>#VALUE!</v>
      </c>
      <c r="GP46" t="e">
        <f>AND(Plan1!B782,"AAAAAH/9a8U=")</f>
        <v>#VALUE!</v>
      </c>
      <c r="GQ46" t="e">
        <f>AND(Plan1!C782,"AAAAAH/9a8Y=")</f>
        <v>#VALUE!</v>
      </c>
      <c r="GR46" t="e">
        <f>AND(Plan1!D782,"AAAAAH/9a8c=")</f>
        <v>#VALUE!</v>
      </c>
      <c r="GS46" t="e">
        <f>AND(Plan1!E782,"AAAAAH/9a8g=")</f>
        <v>#VALUE!</v>
      </c>
      <c r="GT46" t="e">
        <f>AND(Plan1!F782,"AAAAAH/9a8k=")</f>
        <v>#VALUE!</v>
      </c>
      <c r="GU46" t="e">
        <f>AND(Plan1!G782,"AAAAAH/9a8o=")</f>
        <v>#VALUE!</v>
      </c>
      <c r="GV46" t="e">
        <f>AND(Plan1!H782,"AAAAAH/9a8s=")</f>
        <v>#VALUE!</v>
      </c>
      <c r="GW46" t="e">
        <f>AND(Plan1!I782,"AAAAAH/9a8w=")</f>
        <v>#VALUE!</v>
      </c>
      <c r="GX46" t="e">
        <f>AND(Plan1!J782,"AAAAAH/9a80=")</f>
        <v>#VALUE!</v>
      </c>
      <c r="GY46" t="e">
        <f>AND(Plan1!K782,"AAAAAH/9a84=")</f>
        <v>#VALUE!</v>
      </c>
      <c r="GZ46" t="e">
        <f>AND(Plan1!L782,"AAAAAH/9a88=")</f>
        <v>#VALUE!</v>
      </c>
      <c r="HA46" t="e">
        <f>AND(Plan1!M782,"AAAAAH/9a9A=")</f>
        <v>#VALUE!</v>
      </c>
      <c r="HB46" t="e">
        <f>AND(Plan1!N782,"AAAAAH/9a9E=")</f>
        <v>#VALUE!</v>
      </c>
      <c r="HC46">
        <f>IF(Plan1!783:783,"AAAAAH/9a9I=",0)</f>
        <v>0</v>
      </c>
      <c r="HD46" t="e">
        <f>AND(Plan1!A783,"AAAAAH/9a9M=")</f>
        <v>#VALUE!</v>
      </c>
      <c r="HE46" t="e">
        <f>AND(Plan1!B783,"AAAAAH/9a9Q=")</f>
        <v>#VALUE!</v>
      </c>
      <c r="HF46" t="e">
        <f>AND(Plan1!C783,"AAAAAH/9a9U=")</f>
        <v>#VALUE!</v>
      </c>
      <c r="HG46" t="e">
        <f>AND(Plan1!D783,"AAAAAH/9a9Y=")</f>
        <v>#VALUE!</v>
      </c>
      <c r="HH46" t="e">
        <f>AND(Plan1!E783,"AAAAAH/9a9c=")</f>
        <v>#VALUE!</v>
      </c>
      <c r="HI46" t="e">
        <f>AND(Plan1!F783,"AAAAAH/9a9g=")</f>
        <v>#VALUE!</v>
      </c>
      <c r="HJ46" t="e">
        <f>AND(Plan1!G783,"AAAAAH/9a9k=")</f>
        <v>#VALUE!</v>
      </c>
      <c r="HK46" t="e">
        <f>AND(Plan1!H783,"AAAAAH/9a9o=")</f>
        <v>#VALUE!</v>
      </c>
      <c r="HL46" t="e">
        <f>AND(Plan1!I783,"AAAAAH/9a9s=")</f>
        <v>#VALUE!</v>
      </c>
      <c r="HM46" t="e">
        <f>AND(Plan1!J783,"AAAAAH/9a9w=")</f>
        <v>#VALUE!</v>
      </c>
      <c r="HN46" t="e">
        <f>AND(Plan1!K783,"AAAAAH/9a90=")</f>
        <v>#VALUE!</v>
      </c>
      <c r="HO46" t="e">
        <f>AND(Plan1!L783,"AAAAAH/9a94=")</f>
        <v>#VALUE!</v>
      </c>
      <c r="HP46" t="e">
        <f>AND(Plan1!M783,"AAAAAH/9a98=")</f>
        <v>#VALUE!</v>
      </c>
      <c r="HQ46" t="e">
        <f>AND(Plan1!N783,"AAAAAH/9a+A=")</f>
        <v>#VALUE!</v>
      </c>
      <c r="HR46">
        <f>IF(Plan1!784:784,"AAAAAH/9a+E=",0)</f>
        <v>0</v>
      </c>
      <c r="HS46" t="e">
        <f>AND(Plan1!A784,"AAAAAH/9a+I=")</f>
        <v>#VALUE!</v>
      </c>
      <c r="HT46" t="e">
        <f>AND(Plan1!B784,"AAAAAH/9a+M=")</f>
        <v>#VALUE!</v>
      </c>
      <c r="HU46" t="e">
        <f>AND(Plan1!C784,"AAAAAH/9a+Q=")</f>
        <v>#VALUE!</v>
      </c>
      <c r="HV46" t="e">
        <f>AND(Plan1!D784,"AAAAAH/9a+U=")</f>
        <v>#VALUE!</v>
      </c>
      <c r="HW46" t="e">
        <f>AND(Plan1!E784,"AAAAAH/9a+Y=")</f>
        <v>#VALUE!</v>
      </c>
      <c r="HX46" t="e">
        <f>AND(Plan1!F784,"AAAAAH/9a+c=")</f>
        <v>#VALUE!</v>
      </c>
      <c r="HY46" t="e">
        <f>AND(Plan1!G784,"AAAAAH/9a+g=")</f>
        <v>#VALUE!</v>
      </c>
      <c r="HZ46" t="e">
        <f>AND(Plan1!H784,"AAAAAH/9a+k=")</f>
        <v>#VALUE!</v>
      </c>
      <c r="IA46" t="e">
        <f>AND(Plan1!I784,"AAAAAH/9a+o=")</f>
        <v>#VALUE!</v>
      </c>
      <c r="IB46" t="e">
        <f>AND(Plan1!J784,"AAAAAH/9a+s=")</f>
        <v>#VALUE!</v>
      </c>
      <c r="IC46" t="e">
        <f>AND(Plan1!K784,"AAAAAH/9a+w=")</f>
        <v>#VALUE!</v>
      </c>
      <c r="ID46" t="e">
        <f>AND(Plan1!L784,"AAAAAH/9a+0=")</f>
        <v>#VALUE!</v>
      </c>
      <c r="IE46" t="e">
        <f>AND(Plan1!M784,"AAAAAH/9a+4=")</f>
        <v>#VALUE!</v>
      </c>
      <c r="IF46" t="e">
        <f>AND(Plan1!N784,"AAAAAH/9a+8=")</f>
        <v>#VALUE!</v>
      </c>
      <c r="IG46">
        <f>IF(Plan1!785:785,"AAAAAH/9a/A=",0)</f>
        <v>0</v>
      </c>
      <c r="IH46" t="e">
        <f>AND(Plan1!A785,"AAAAAH/9a/E=")</f>
        <v>#VALUE!</v>
      </c>
      <c r="II46" t="e">
        <f>AND(Plan1!B785,"AAAAAH/9a/I=")</f>
        <v>#VALUE!</v>
      </c>
      <c r="IJ46" t="e">
        <f>AND(Plan1!C785,"AAAAAH/9a/M=")</f>
        <v>#VALUE!</v>
      </c>
      <c r="IK46" t="e">
        <f>AND(Plan1!D785,"AAAAAH/9a/Q=")</f>
        <v>#VALUE!</v>
      </c>
      <c r="IL46" t="e">
        <f>AND(Plan1!E785,"AAAAAH/9a/U=")</f>
        <v>#VALUE!</v>
      </c>
      <c r="IM46" t="e">
        <f>AND(Plan1!F785,"AAAAAH/9a/Y=")</f>
        <v>#VALUE!</v>
      </c>
      <c r="IN46" t="e">
        <f>AND(Plan1!G785,"AAAAAH/9a/c=")</f>
        <v>#VALUE!</v>
      </c>
      <c r="IO46" t="e">
        <f>AND(Plan1!H785,"AAAAAH/9a/g=")</f>
        <v>#VALUE!</v>
      </c>
      <c r="IP46" t="e">
        <f>AND(Plan1!I785,"AAAAAH/9a/k=")</f>
        <v>#VALUE!</v>
      </c>
      <c r="IQ46" t="e">
        <f>AND(Plan1!J785,"AAAAAH/9a/o=")</f>
        <v>#VALUE!</v>
      </c>
      <c r="IR46" t="e">
        <f>AND(Plan1!K785,"AAAAAH/9a/s=")</f>
        <v>#VALUE!</v>
      </c>
      <c r="IS46" t="e">
        <f>AND(Plan1!L785,"AAAAAH/9a/w=")</f>
        <v>#VALUE!</v>
      </c>
      <c r="IT46" t="e">
        <f>AND(Plan1!M785,"AAAAAH/9a/0=")</f>
        <v>#VALUE!</v>
      </c>
      <c r="IU46" t="e">
        <f>AND(Plan1!N785,"AAAAAH/9a/4=")</f>
        <v>#VALUE!</v>
      </c>
      <c r="IV46">
        <f>IF(Plan1!786:786,"AAAAAH/9a/8=",0)</f>
        <v>0</v>
      </c>
    </row>
    <row r="47" spans="1:256">
      <c r="A47" t="e">
        <f>AND(Plan1!A786,"AAAAAH13bAA=")</f>
        <v>#VALUE!</v>
      </c>
      <c r="B47" t="e">
        <f>AND(Plan1!B786,"AAAAAH13bAE=")</f>
        <v>#VALUE!</v>
      </c>
      <c r="C47" t="e">
        <f>AND(Plan1!C786,"AAAAAH13bAI=")</f>
        <v>#VALUE!</v>
      </c>
      <c r="D47" t="e">
        <f>AND(Plan1!D786,"AAAAAH13bAM=")</f>
        <v>#VALUE!</v>
      </c>
      <c r="E47" t="e">
        <f>AND(Plan1!E786,"AAAAAH13bAQ=")</f>
        <v>#VALUE!</v>
      </c>
      <c r="F47" t="e">
        <f>AND(Plan1!F786,"AAAAAH13bAU=")</f>
        <v>#VALUE!</v>
      </c>
      <c r="G47" t="e">
        <f>AND(Plan1!G786,"AAAAAH13bAY=")</f>
        <v>#VALUE!</v>
      </c>
      <c r="H47" t="e">
        <f>AND(Plan1!H786,"AAAAAH13bAc=")</f>
        <v>#VALUE!</v>
      </c>
      <c r="I47" t="e">
        <f>AND(Plan1!I786,"AAAAAH13bAg=")</f>
        <v>#VALUE!</v>
      </c>
      <c r="J47" t="e">
        <f>AND(Plan1!J786,"AAAAAH13bAk=")</f>
        <v>#VALUE!</v>
      </c>
      <c r="K47" t="e">
        <f>AND(Plan1!K786,"AAAAAH13bAo=")</f>
        <v>#VALUE!</v>
      </c>
      <c r="L47" t="e">
        <f>AND(Plan1!L786,"AAAAAH13bAs=")</f>
        <v>#VALUE!</v>
      </c>
      <c r="M47" t="e">
        <f>AND(Plan1!M786,"AAAAAH13bAw=")</f>
        <v>#VALUE!</v>
      </c>
      <c r="N47" t="e">
        <f>AND(Plan1!N786,"AAAAAH13bA0=")</f>
        <v>#VALUE!</v>
      </c>
      <c r="O47">
        <f>IF(Plan1!787:787,"AAAAAH13bA4=",0)</f>
        <v>0</v>
      </c>
      <c r="P47" t="e">
        <f>AND(Plan1!A787,"AAAAAH13bA8=")</f>
        <v>#VALUE!</v>
      </c>
      <c r="Q47" t="e">
        <f>AND(Plan1!B787,"AAAAAH13bBA=")</f>
        <v>#VALUE!</v>
      </c>
      <c r="R47" t="e">
        <f>AND(Plan1!C787,"AAAAAH13bBE=")</f>
        <v>#VALUE!</v>
      </c>
      <c r="S47" t="e">
        <f>AND(Plan1!D787,"AAAAAH13bBI=")</f>
        <v>#VALUE!</v>
      </c>
      <c r="T47" t="e">
        <f>AND(Plan1!E787,"AAAAAH13bBM=")</f>
        <v>#VALUE!</v>
      </c>
      <c r="U47" t="e">
        <f>AND(Plan1!F787,"AAAAAH13bBQ=")</f>
        <v>#VALUE!</v>
      </c>
      <c r="V47" t="e">
        <f>AND(Plan1!G787,"AAAAAH13bBU=")</f>
        <v>#VALUE!</v>
      </c>
      <c r="W47" t="e">
        <f>AND(Plan1!H787,"AAAAAH13bBY=")</f>
        <v>#VALUE!</v>
      </c>
      <c r="X47" t="e">
        <f>AND(Plan1!I787,"AAAAAH13bBc=")</f>
        <v>#VALUE!</v>
      </c>
      <c r="Y47" t="e">
        <f>AND(Plan1!J787,"AAAAAH13bBg=")</f>
        <v>#VALUE!</v>
      </c>
      <c r="Z47" t="e">
        <f>AND(Plan1!K787,"AAAAAH13bBk=")</f>
        <v>#VALUE!</v>
      </c>
      <c r="AA47" t="e">
        <f>AND(Plan1!L787,"AAAAAH13bBo=")</f>
        <v>#VALUE!</v>
      </c>
      <c r="AB47" t="e">
        <f>AND(Plan1!M787,"AAAAAH13bBs=")</f>
        <v>#VALUE!</v>
      </c>
      <c r="AC47" t="e">
        <f>AND(Plan1!N787,"AAAAAH13bBw=")</f>
        <v>#VALUE!</v>
      </c>
      <c r="AD47">
        <f>IF(Plan1!788:788,"AAAAAH13bB0=",0)</f>
        <v>0</v>
      </c>
      <c r="AE47" t="e">
        <f>AND(Plan1!A788,"AAAAAH13bB4=")</f>
        <v>#VALUE!</v>
      </c>
      <c r="AF47" t="e">
        <f>AND(Plan1!B788,"AAAAAH13bB8=")</f>
        <v>#VALUE!</v>
      </c>
      <c r="AG47" t="e">
        <f>AND(Plan1!C788,"AAAAAH13bCA=")</f>
        <v>#VALUE!</v>
      </c>
      <c r="AH47" t="e">
        <f>AND(Plan1!D788,"AAAAAH13bCE=")</f>
        <v>#VALUE!</v>
      </c>
      <c r="AI47" t="e">
        <f>AND(Plan1!E788,"AAAAAH13bCI=")</f>
        <v>#VALUE!</v>
      </c>
      <c r="AJ47" t="e">
        <f>AND(Plan1!F788,"AAAAAH13bCM=")</f>
        <v>#VALUE!</v>
      </c>
      <c r="AK47" t="e">
        <f>AND(Plan1!G788,"AAAAAH13bCQ=")</f>
        <v>#VALUE!</v>
      </c>
      <c r="AL47" t="e">
        <f>AND(Plan1!H788,"AAAAAH13bCU=")</f>
        <v>#VALUE!</v>
      </c>
      <c r="AM47" t="e">
        <f>AND(Plan1!I788,"AAAAAH13bCY=")</f>
        <v>#VALUE!</v>
      </c>
      <c r="AN47" t="e">
        <f>AND(Plan1!J788,"AAAAAH13bCc=")</f>
        <v>#VALUE!</v>
      </c>
      <c r="AO47" t="e">
        <f>AND(Plan1!K788,"AAAAAH13bCg=")</f>
        <v>#VALUE!</v>
      </c>
      <c r="AP47" t="e">
        <f>AND(Plan1!L788,"AAAAAH13bCk=")</f>
        <v>#VALUE!</v>
      </c>
      <c r="AQ47" t="e">
        <f>AND(Plan1!M788,"AAAAAH13bCo=")</f>
        <v>#VALUE!</v>
      </c>
      <c r="AR47" t="e">
        <f>AND(Plan1!N788,"AAAAAH13bCs=")</f>
        <v>#VALUE!</v>
      </c>
      <c r="AS47">
        <f>IF(Plan1!789:789,"AAAAAH13bCw=",0)</f>
        <v>0</v>
      </c>
      <c r="AT47" t="e">
        <f>AND(Plan1!A789,"AAAAAH13bC0=")</f>
        <v>#VALUE!</v>
      </c>
      <c r="AU47" t="e">
        <f>AND(Plan1!B789,"AAAAAH13bC4=")</f>
        <v>#VALUE!</v>
      </c>
      <c r="AV47" t="e">
        <f>AND(Plan1!C789,"AAAAAH13bC8=")</f>
        <v>#VALUE!</v>
      </c>
      <c r="AW47" t="e">
        <f>AND(Plan1!D789,"AAAAAH13bDA=")</f>
        <v>#VALUE!</v>
      </c>
      <c r="AX47" t="e">
        <f>AND(Plan1!E789,"AAAAAH13bDE=")</f>
        <v>#VALUE!</v>
      </c>
      <c r="AY47" t="e">
        <f>AND(Plan1!F789,"AAAAAH13bDI=")</f>
        <v>#VALUE!</v>
      </c>
      <c r="AZ47" t="e">
        <f>AND(Plan1!G789,"AAAAAH13bDM=")</f>
        <v>#VALUE!</v>
      </c>
      <c r="BA47" t="e">
        <f>AND(Plan1!H789,"AAAAAH13bDQ=")</f>
        <v>#VALUE!</v>
      </c>
      <c r="BB47" t="e">
        <f>AND(Plan1!I789,"AAAAAH13bDU=")</f>
        <v>#VALUE!</v>
      </c>
      <c r="BC47" t="e">
        <f>AND(Plan1!J789,"AAAAAH13bDY=")</f>
        <v>#VALUE!</v>
      </c>
      <c r="BD47" t="e">
        <f>AND(Plan1!K789,"AAAAAH13bDc=")</f>
        <v>#VALUE!</v>
      </c>
      <c r="BE47" t="e">
        <f>AND(Plan1!L789,"AAAAAH13bDg=")</f>
        <v>#VALUE!</v>
      </c>
      <c r="BF47" t="e">
        <f>AND(Plan1!M789,"AAAAAH13bDk=")</f>
        <v>#VALUE!</v>
      </c>
      <c r="BG47" t="e">
        <f>AND(Plan1!N789,"AAAAAH13bDo=")</f>
        <v>#VALUE!</v>
      </c>
      <c r="BH47">
        <f>IF(Plan1!790:790,"AAAAAH13bDs=",0)</f>
        <v>0</v>
      </c>
      <c r="BI47" t="e">
        <f>AND(Plan1!A790,"AAAAAH13bDw=")</f>
        <v>#VALUE!</v>
      </c>
      <c r="BJ47" t="e">
        <f>AND(Plan1!B790,"AAAAAH13bD0=")</f>
        <v>#VALUE!</v>
      </c>
      <c r="BK47" t="e">
        <f>AND(Plan1!C790,"AAAAAH13bD4=")</f>
        <v>#VALUE!</v>
      </c>
      <c r="BL47" t="e">
        <f>AND(Plan1!D790,"AAAAAH13bD8=")</f>
        <v>#VALUE!</v>
      </c>
      <c r="BM47" t="e">
        <f>AND(Plan1!E790,"AAAAAH13bEA=")</f>
        <v>#VALUE!</v>
      </c>
      <c r="BN47" t="e">
        <f>AND(Plan1!F790,"AAAAAH13bEE=")</f>
        <v>#VALUE!</v>
      </c>
      <c r="BO47" t="e">
        <f>AND(Plan1!G790,"AAAAAH13bEI=")</f>
        <v>#VALUE!</v>
      </c>
      <c r="BP47" t="e">
        <f>AND(Plan1!H790,"AAAAAH13bEM=")</f>
        <v>#VALUE!</v>
      </c>
      <c r="BQ47" t="e">
        <f>AND(Plan1!I790,"AAAAAH13bEQ=")</f>
        <v>#VALUE!</v>
      </c>
      <c r="BR47" t="e">
        <f>AND(Plan1!J790,"AAAAAH13bEU=")</f>
        <v>#VALUE!</v>
      </c>
      <c r="BS47" t="e">
        <f>AND(Plan1!K790,"AAAAAH13bEY=")</f>
        <v>#VALUE!</v>
      </c>
      <c r="BT47" t="e">
        <f>AND(Plan1!L790,"AAAAAH13bEc=")</f>
        <v>#VALUE!</v>
      </c>
      <c r="BU47" t="e">
        <f>AND(Plan1!M790,"AAAAAH13bEg=")</f>
        <v>#VALUE!</v>
      </c>
      <c r="BV47" t="e">
        <f>AND(Plan1!N790,"AAAAAH13bEk=")</f>
        <v>#VALUE!</v>
      </c>
      <c r="BW47">
        <f>IF(Plan1!791:791,"AAAAAH13bEo=",0)</f>
        <v>0</v>
      </c>
      <c r="BX47" t="e">
        <f>AND(Plan1!A791,"AAAAAH13bEs=")</f>
        <v>#VALUE!</v>
      </c>
      <c r="BY47" t="e">
        <f>AND(Plan1!B791,"AAAAAH13bEw=")</f>
        <v>#VALUE!</v>
      </c>
      <c r="BZ47" t="e">
        <f>AND(Plan1!C791,"AAAAAH13bE0=")</f>
        <v>#VALUE!</v>
      </c>
      <c r="CA47" t="e">
        <f>AND(Plan1!D791,"AAAAAH13bE4=")</f>
        <v>#VALUE!</v>
      </c>
      <c r="CB47" t="e">
        <f>AND(Plan1!E791,"AAAAAH13bE8=")</f>
        <v>#VALUE!</v>
      </c>
      <c r="CC47" t="e">
        <f>AND(Plan1!F791,"AAAAAH13bFA=")</f>
        <v>#VALUE!</v>
      </c>
      <c r="CD47" t="e">
        <f>AND(Plan1!G791,"AAAAAH13bFE=")</f>
        <v>#VALUE!</v>
      </c>
      <c r="CE47" t="e">
        <f>AND(Plan1!H791,"AAAAAH13bFI=")</f>
        <v>#VALUE!</v>
      </c>
      <c r="CF47" t="e">
        <f>AND(Plan1!I791,"AAAAAH13bFM=")</f>
        <v>#VALUE!</v>
      </c>
      <c r="CG47" t="e">
        <f>AND(Plan1!J791,"AAAAAH13bFQ=")</f>
        <v>#VALUE!</v>
      </c>
      <c r="CH47" t="e">
        <f>AND(Plan1!K791,"AAAAAH13bFU=")</f>
        <v>#VALUE!</v>
      </c>
      <c r="CI47" t="e">
        <f>AND(Plan1!L791,"AAAAAH13bFY=")</f>
        <v>#VALUE!</v>
      </c>
      <c r="CJ47" t="e">
        <f>AND(Plan1!M791,"AAAAAH13bFc=")</f>
        <v>#VALUE!</v>
      </c>
      <c r="CK47" t="e">
        <f>AND(Plan1!N791,"AAAAAH13bFg=")</f>
        <v>#VALUE!</v>
      </c>
      <c r="CL47">
        <f>IF(Plan1!792:792,"AAAAAH13bFk=",0)</f>
        <v>0</v>
      </c>
      <c r="CM47" t="e">
        <f>AND(Plan1!A792,"AAAAAH13bFo=")</f>
        <v>#VALUE!</v>
      </c>
      <c r="CN47" t="e">
        <f>AND(Plan1!B792,"AAAAAH13bFs=")</f>
        <v>#VALUE!</v>
      </c>
      <c r="CO47" t="e">
        <f>AND(Plan1!C792,"AAAAAH13bFw=")</f>
        <v>#VALUE!</v>
      </c>
      <c r="CP47" t="e">
        <f>AND(Plan1!D792,"AAAAAH13bF0=")</f>
        <v>#VALUE!</v>
      </c>
      <c r="CQ47" t="e">
        <f>AND(Plan1!E792,"AAAAAH13bF4=")</f>
        <v>#VALUE!</v>
      </c>
      <c r="CR47" t="e">
        <f>AND(Plan1!F792,"AAAAAH13bF8=")</f>
        <v>#VALUE!</v>
      </c>
      <c r="CS47" t="e">
        <f>AND(Plan1!G792,"AAAAAH13bGA=")</f>
        <v>#VALUE!</v>
      </c>
      <c r="CT47" t="e">
        <f>AND(Plan1!H792,"AAAAAH13bGE=")</f>
        <v>#VALUE!</v>
      </c>
      <c r="CU47" t="e">
        <f>AND(Plan1!I792,"AAAAAH13bGI=")</f>
        <v>#VALUE!</v>
      </c>
      <c r="CV47" t="e">
        <f>AND(Plan1!J792,"AAAAAH13bGM=")</f>
        <v>#VALUE!</v>
      </c>
      <c r="CW47" t="e">
        <f>AND(Plan1!K792,"AAAAAH13bGQ=")</f>
        <v>#VALUE!</v>
      </c>
      <c r="CX47" t="e">
        <f>AND(Plan1!L792,"AAAAAH13bGU=")</f>
        <v>#VALUE!</v>
      </c>
      <c r="CY47" t="e">
        <f>AND(Plan1!M792,"AAAAAH13bGY=")</f>
        <v>#VALUE!</v>
      </c>
      <c r="CZ47" t="e">
        <f>AND(Plan1!N792,"AAAAAH13bGc=")</f>
        <v>#VALUE!</v>
      </c>
      <c r="DA47">
        <f>IF(Plan1!793:793,"AAAAAH13bGg=",0)</f>
        <v>0</v>
      </c>
      <c r="DB47" t="e">
        <f>AND(Plan1!A793,"AAAAAH13bGk=")</f>
        <v>#VALUE!</v>
      </c>
      <c r="DC47" t="e">
        <f>AND(Plan1!B793,"AAAAAH13bGo=")</f>
        <v>#VALUE!</v>
      </c>
      <c r="DD47" t="e">
        <f>AND(Plan1!C793,"AAAAAH13bGs=")</f>
        <v>#VALUE!</v>
      </c>
      <c r="DE47" t="e">
        <f>AND(Plan1!D793,"AAAAAH13bGw=")</f>
        <v>#VALUE!</v>
      </c>
      <c r="DF47" t="e">
        <f>AND(Plan1!E793,"AAAAAH13bG0=")</f>
        <v>#VALUE!</v>
      </c>
      <c r="DG47" t="e">
        <f>AND(Plan1!F793,"AAAAAH13bG4=")</f>
        <v>#VALUE!</v>
      </c>
      <c r="DH47" t="e">
        <f>AND(Plan1!G793,"AAAAAH13bG8=")</f>
        <v>#VALUE!</v>
      </c>
      <c r="DI47" t="e">
        <f>AND(Plan1!H793,"AAAAAH13bHA=")</f>
        <v>#VALUE!</v>
      </c>
      <c r="DJ47" t="e">
        <f>AND(Plan1!I793,"AAAAAH13bHE=")</f>
        <v>#VALUE!</v>
      </c>
      <c r="DK47" t="e">
        <f>AND(Plan1!J793,"AAAAAH13bHI=")</f>
        <v>#VALUE!</v>
      </c>
      <c r="DL47" t="e">
        <f>AND(Plan1!K793,"AAAAAH13bHM=")</f>
        <v>#VALUE!</v>
      </c>
      <c r="DM47" t="e">
        <f>AND(Plan1!L793,"AAAAAH13bHQ=")</f>
        <v>#VALUE!</v>
      </c>
      <c r="DN47" t="e">
        <f>AND(Plan1!M793,"AAAAAH13bHU=")</f>
        <v>#VALUE!</v>
      </c>
      <c r="DO47" t="e">
        <f>AND(Plan1!N793,"AAAAAH13bHY=")</f>
        <v>#VALUE!</v>
      </c>
      <c r="DP47">
        <f>IF(Plan1!794:794,"AAAAAH13bHc=",0)</f>
        <v>0</v>
      </c>
      <c r="DQ47" t="e">
        <f>AND(Plan1!A794,"AAAAAH13bHg=")</f>
        <v>#VALUE!</v>
      </c>
      <c r="DR47" t="e">
        <f>AND(Plan1!B794,"AAAAAH13bHk=")</f>
        <v>#VALUE!</v>
      </c>
      <c r="DS47" t="e">
        <f>AND(Plan1!C794,"AAAAAH13bHo=")</f>
        <v>#VALUE!</v>
      </c>
      <c r="DT47" t="e">
        <f>AND(Plan1!D794,"AAAAAH13bHs=")</f>
        <v>#VALUE!</v>
      </c>
      <c r="DU47" t="e">
        <f>AND(Plan1!E794,"AAAAAH13bHw=")</f>
        <v>#VALUE!</v>
      </c>
      <c r="DV47" t="e">
        <f>AND(Plan1!F794,"AAAAAH13bH0=")</f>
        <v>#VALUE!</v>
      </c>
      <c r="DW47" t="e">
        <f>AND(Plan1!G794,"AAAAAH13bH4=")</f>
        <v>#VALUE!</v>
      </c>
      <c r="DX47" t="e">
        <f>AND(Plan1!H794,"AAAAAH13bH8=")</f>
        <v>#VALUE!</v>
      </c>
      <c r="DY47" t="e">
        <f>AND(Plan1!I794,"AAAAAH13bIA=")</f>
        <v>#VALUE!</v>
      </c>
      <c r="DZ47" t="e">
        <f>AND(Plan1!J794,"AAAAAH13bIE=")</f>
        <v>#VALUE!</v>
      </c>
      <c r="EA47" t="e">
        <f>AND(Plan1!K794,"AAAAAH13bII=")</f>
        <v>#VALUE!</v>
      </c>
      <c r="EB47" t="e">
        <f>AND(Plan1!L794,"AAAAAH13bIM=")</f>
        <v>#VALUE!</v>
      </c>
      <c r="EC47" t="e">
        <f>AND(Plan1!M794,"AAAAAH13bIQ=")</f>
        <v>#VALUE!</v>
      </c>
      <c r="ED47" t="e">
        <f>AND(Plan1!N794,"AAAAAH13bIU=")</f>
        <v>#VALUE!</v>
      </c>
      <c r="EE47">
        <f>IF(Plan1!795:795,"AAAAAH13bIY=",0)</f>
        <v>0</v>
      </c>
      <c r="EF47" t="e">
        <f>AND(Plan1!A795,"AAAAAH13bIc=")</f>
        <v>#VALUE!</v>
      </c>
      <c r="EG47" t="e">
        <f>AND(Plan1!B795,"AAAAAH13bIg=")</f>
        <v>#VALUE!</v>
      </c>
      <c r="EH47" t="e">
        <f>AND(Plan1!C795,"AAAAAH13bIk=")</f>
        <v>#VALUE!</v>
      </c>
      <c r="EI47" t="e">
        <f>AND(Plan1!D795,"AAAAAH13bIo=")</f>
        <v>#VALUE!</v>
      </c>
      <c r="EJ47" t="e">
        <f>AND(Plan1!E795,"AAAAAH13bIs=")</f>
        <v>#VALUE!</v>
      </c>
      <c r="EK47" t="e">
        <f>AND(Plan1!F795,"AAAAAH13bIw=")</f>
        <v>#VALUE!</v>
      </c>
      <c r="EL47" t="e">
        <f>AND(Plan1!G795,"AAAAAH13bI0=")</f>
        <v>#VALUE!</v>
      </c>
      <c r="EM47" t="e">
        <f>AND(Plan1!H795,"AAAAAH13bI4=")</f>
        <v>#VALUE!</v>
      </c>
      <c r="EN47" t="e">
        <f>AND(Plan1!I795,"AAAAAH13bI8=")</f>
        <v>#VALUE!</v>
      </c>
      <c r="EO47" t="e">
        <f>AND(Plan1!J795,"AAAAAH13bJA=")</f>
        <v>#VALUE!</v>
      </c>
      <c r="EP47" t="e">
        <f>AND(Plan1!K795,"AAAAAH13bJE=")</f>
        <v>#VALUE!</v>
      </c>
      <c r="EQ47" t="e">
        <f>AND(Plan1!L795,"AAAAAH13bJI=")</f>
        <v>#VALUE!</v>
      </c>
      <c r="ER47" t="e">
        <f>AND(Plan1!M795,"AAAAAH13bJM=")</f>
        <v>#VALUE!</v>
      </c>
      <c r="ES47" t="e">
        <f>AND(Plan1!N795,"AAAAAH13bJQ=")</f>
        <v>#VALUE!</v>
      </c>
      <c r="ET47">
        <f>IF(Plan1!796:796,"AAAAAH13bJU=",0)</f>
        <v>0</v>
      </c>
      <c r="EU47" t="e">
        <f>AND(Plan1!A796,"AAAAAH13bJY=")</f>
        <v>#VALUE!</v>
      </c>
      <c r="EV47" t="e">
        <f>AND(Plan1!B796,"AAAAAH13bJc=")</f>
        <v>#VALUE!</v>
      </c>
      <c r="EW47" t="e">
        <f>AND(Plan1!C796,"AAAAAH13bJg=")</f>
        <v>#VALUE!</v>
      </c>
      <c r="EX47" t="e">
        <f>AND(Plan1!D796,"AAAAAH13bJk=")</f>
        <v>#VALUE!</v>
      </c>
      <c r="EY47" t="e">
        <f>AND(Plan1!E796,"AAAAAH13bJo=")</f>
        <v>#VALUE!</v>
      </c>
      <c r="EZ47" t="e">
        <f>AND(Plan1!F796,"AAAAAH13bJs=")</f>
        <v>#VALUE!</v>
      </c>
      <c r="FA47" t="e">
        <f>AND(Plan1!G796,"AAAAAH13bJw=")</f>
        <v>#VALUE!</v>
      </c>
      <c r="FB47" t="e">
        <f>AND(Plan1!H796,"AAAAAH13bJ0=")</f>
        <v>#VALUE!</v>
      </c>
      <c r="FC47" t="e">
        <f>AND(Plan1!I796,"AAAAAH13bJ4=")</f>
        <v>#VALUE!</v>
      </c>
      <c r="FD47" t="e">
        <f>AND(Plan1!J796,"AAAAAH13bJ8=")</f>
        <v>#VALUE!</v>
      </c>
      <c r="FE47" t="e">
        <f>AND(Plan1!K796,"AAAAAH13bKA=")</f>
        <v>#VALUE!</v>
      </c>
      <c r="FF47" t="e">
        <f>AND(Plan1!L796,"AAAAAH13bKE=")</f>
        <v>#VALUE!</v>
      </c>
      <c r="FG47" t="e">
        <f>AND(Plan1!M796,"AAAAAH13bKI=")</f>
        <v>#VALUE!</v>
      </c>
      <c r="FH47" t="e">
        <f>AND(Plan1!N796,"AAAAAH13bKM=")</f>
        <v>#VALUE!</v>
      </c>
      <c r="FI47">
        <f>IF(Plan1!797:797,"AAAAAH13bKQ=",0)</f>
        <v>0</v>
      </c>
      <c r="FJ47" t="e">
        <f>AND(Plan1!A797,"AAAAAH13bKU=")</f>
        <v>#VALUE!</v>
      </c>
      <c r="FK47" t="e">
        <f>AND(Plan1!B797,"AAAAAH13bKY=")</f>
        <v>#VALUE!</v>
      </c>
      <c r="FL47" t="e">
        <f>AND(Plan1!C797,"AAAAAH13bKc=")</f>
        <v>#VALUE!</v>
      </c>
      <c r="FM47" t="e">
        <f>AND(Plan1!D797,"AAAAAH13bKg=")</f>
        <v>#VALUE!</v>
      </c>
      <c r="FN47" t="e">
        <f>AND(Plan1!E797,"AAAAAH13bKk=")</f>
        <v>#VALUE!</v>
      </c>
      <c r="FO47" t="e">
        <f>AND(Plan1!F797,"AAAAAH13bKo=")</f>
        <v>#VALUE!</v>
      </c>
      <c r="FP47" t="e">
        <f>AND(Plan1!G797,"AAAAAH13bKs=")</f>
        <v>#VALUE!</v>
      </c>
      <c r="FQ47" t="e">
        <f>AND(Plan1!H797,"AAAAAH13bKw=")</f>
        <v>#VALUE!</v>
      </c>
      <c r="FR47" t="e">
        <f>AND(Plan1!I797,"AAAAAH13bK0=")</f>
        <v>#VALUE!</v>
      </c>
      <c r="FS47" t="e">
        <f>AND(Plan1!J797,"AAAAAH13bK4=")</f>
        <v>#VALUE!</v>
      </c>
      <c r="FT47" t="e">
        <f>AND(Plan1!K797,"AAAAAH13bK8=")</f>
        <v>#VALUE!</v>
      </c>
      <c r="FU47" t="e">
        <f>AND(Plan1!L797,"AAAAAH13bLA=")</f>
        <v>#VALUE!</v>
      </c>
      <c r="FV47" t="e">
        <f>AND(Plan1!M797,"AAAAAH13bLE=")</f>
        <v>#VALUE!</v>
      </c>
      <c r="FW47" t="e">
        <f>AND(Plan1!N797,"AAAAAH13bLI=")</f>
        <v>#VALUE!</v>
      </c>
      <c r="FX47">
        <f>IF(Plan1!798:798,"AAAAAH13bLM=",0)</f>
        <v>0</v>
      </c>
      <c r="FY47" t="e">
        <f>AND(Plan1!A798,"AAAAAH13bLQ=")</f>
        <v>#VALUE!</v>
      </c>
      <c r="FZ47" t="e">
        <f>AND(Plan1!B798,"AAAAAH13bLU=")</f>
        <v>#VALUE!</v>
      </c>
      <c r="GA47" t="e">
        <f>AND(Plan1!C798,"AAAAAH13bLY=")</f>
        <v>#VALUE!</v>
      </c>
      <c r="GB47" t="e">
        <f>AND(Plan1!D798,"AAAAAH13bLc=")</f>
        <v>#VALUE!</v>
      </c>
      <c r="GC47" t="e">
        <f>AND(Plan1!E798,"AAAAAH13bLg=")</f>
        <v>#VALUE!</v>
      </c>
      <c r="GD47" t="e">
        <f>AND(Plan1!F798,"AAAAAH13bLk=")</f>
        <v>#VALUE!</v>
      </c>
      <c r="GE47" t="e">
        <f>AND(Plan1!G798,"AAAAAH13bLo=")</f>
        <v>#VALUE!</v>
      </c>
      <c r="GF47" t="e">
        <f>AND(Plan1!H798,"AAAAAH13bLs=")</f>
        <v>#VALUE!</v>
      </c>
      <c r="GG47" t="e">
        <f>AND(Plan1!I798,"AAAAAH13bLw=")</f>
        <v>#VALUE!</v>
      </c>
      <c r="GH47" t="e">
        <f>AND(Plan1!J798,"AAAAAH13bL0=")</f>
        <v>#VALUE!</v>
      </c>
      <c r="GI47" t="e">
        <f>AND(Plan1!K798,"AAAAAH13bL4=")</f>
        <v>#VALUE!</v>
      </c>
      <c r="GJ47" t="e">
        <f>AND(Plan1!L798,"AAAAAH13bL8=")</f>
        <v>#VALUE!</v>
      </c>
      <c r="GK47" t="e">
        <f>AND(Plan1!M798,"AAAAAH13bMA=")</f>
        <v>#VALUE!</v>
      </c>
      <c r="GL47" t="e">
        <f>AND(Plan1!N798,"AAAAAH13bME=")</f>
        <v>#VALUE!</v>
      </c>
      <c r="GM47">
        <f>IF(Plan1!799:799,"AAAAAH13bMI=",0)</f>
        <v>0</v>
      </c>
      <c r="GN47" t="e">
        <f>AND(Plan1!A799,"AAAAAH13bMM=")</f>
        <v>#VALUE!</v>
      </c>
      <c r="GO47" t="e">
        <f>AND(Plan1!B799,"AAAAAH13bMQ=")</f>
        <v>#VALUE!</v>
      </c>
      <c r="GP47" t="e">
        <f>AND(Plan1!C799,"AAAAAH13bMU=")</f>
        <v>#VALUE!</v>
      </c>
      <c r="GQ47" t="e">
        <f>AND(Plan1!D799,"AAAAAH13bMY=")</f>
        <v>#VALUE!</v>
      </c>
      <c r="GR47" t="e">
        <f>AND(Plan1!E799,"AAAAAH13bMc=")</f>
        <v>#VALUE!</v>
      </c>
      <c r="GS47" t="e">
        <f>AND(Plan1!F799,"AAAAAH13bMg=")</f>
        <v>#VALUE!</v>
      </c>
      <c r="GT47" t="e">
        <f>AND(Plan1!G799,"AAAAAH13bMk=")</f>
        <v>#VALUE!</v>
      </c>
      <c r="GU47" t="e">
        <f>AND(Plan1!H799,"AAAAAH13bMo=")</f>
        <v>#VALUE!</v>
      </c>
      <c r="GV47" t="e">
        <f>AND(Plan1!I799,"AAAAAH13bMs=")</f>
        <v>#VALUE!</v>
      </c>
      <c r="GW47" t="e">
        <f>AND(Plan1!J799,"AAAAAH13bMw=")</f>
        <v>#VALUE!</v>
      </c>
      <c r="GX47" t="e">
        <f>AND(Plan1!K799,"AAAAAH13bM0=")</f>
        <v>#VALUE!</v>
      </c>
      <c r="GY47" t="e">
        <f>AND(Plan1!L799,"AAAAAH13bM4=")</f>
        <v>#VALUE!</v>
      </c>
      <c r="GZ47" t="e">
        <f>AND(Plan1!M799,"AAAAAH13bM8=")</f>
        <v>#VALUE!</v>
      </c>
      <c r="HA47" t="e">
        <f>AND(Plan1!N799,"AAAAAH13bNA=")</f>
        <v>#VALUE!</v>
      </c>
      <c r="HB47">
        <f>IF(Plan1!800:800,"AAAAAH13bNE=",0)</f>
        <v>0</v>
      </c>
      <c r="HC47" t="e">
        <f>AND(Plan1!A800,"AAAAAH13bNI=")</f>
        <v>#VALUE!</v>
      </c>
      <c r="HD47" t="e">
        <f>AND(Plan1!B800,"AAAAAH13bNM=")</f>
        <v>#VALUE!</v>
      </c>
      <c r="HE47" t="e">
        <f>AND(Plan1!C800,"AAAAAH13bNQ=")</f>
        <v>#VALUE!</v>
      </c>
      <c r="HF47" t="e">
        <f>AND(Plan1!D800,"AAAAAH13bNU=")</f>
        <v>#VALUE!</v>
      </c>
      <c r="HG47" t="e">
        <f>AND(Plan1!E800,"AAAAAH13bNY=")</f>
        <v>#VALUE!</v>
      </c>
      <c r="HH47" t="e">
        <f>AND(Plan1!F800,"AAAAAH13bNc=")</f>
        <v>#VALUE!</v>
      </c>
      <c r="HI47" t="e">
        <f>AND(Plan1!G800,"AAAAAH13bNg=")</f>
        <v>#VALUE!</v>
      </c>
      <c r="HJ47" t="e">
        <f>AND(Plan1!H800,"AAAAAH13bNk=")</f>
        <v>#VALUE!</v>
      </c>
      <c r="HK47" t="e">
        <f>AND(Plan1!I800,"AAAAAH13bNo=")</f>
        <v>#VALUE!</v>
      </c>
      <c r="HL47" t="e">
        <f>AND(Plan1!J800,"AAAAAH13bNs=")</f>
        <v>#VALUE!</v>
      </c>
      <c r="HM47" t="e">
        <f>AND(Plan1!K800,"AAAAAH13bNw=")</f>
        <v>#VALUE!</v>
      </c>
      <c r="HN47" t="e">
        <f>AND(Plan1!L800,"AAAAAH13bN0=")</f>
        <v>#VALUE!</v>
      </c>
      <c r="HO47" t="e">
        <f>AND(Plan1!M800,"AAAAAH13bN4=")</f>
        <v>#VALUE!</v>
      </c>
      <c r="HP47" t="e">
        <f>AND(Plan1!N800,"AAAAAH13bN8=")</f>
        <v>#VALUE!</v>
      </c>
      <c r="HQ47">
        <f>IF(Plan1!801:801,"AAAAAH13bOA=",0)</f>
        <v>0</v>
      </c>
      <c r="HR47" t="e">
        <f>AND(Plan1!A801,"AAAAAH13bOE=")</f>
        <v>#VALUE!</v>
      </c>
      <c r="HS47" t="e">
        <f>AND(Plan1!B801,"AAAAAH13bOI=")</f>
        <v>#VALUE!</v>
      </c>
      <c r="HT47" t="e">
        <f>AND(Plan1!C801,"AAAAAH13bOM=")</f>
        <v>#VALUE!</v>
      </c>
      <c r="HU47" t="e">
        <f>AND(Plan1!D801,"AAAAAH13bOQ=")</f>
        <v>#VALUE!</v>
      </c>
      <c r="HV47" t="e">
        <f>AND(Plan1!E801,"AAAAAH13bOU=")</f>
        <v>#VALUE!</v>
      </c>
      <c r="HW47" t="e">
        <f>AND(Plan1!F801,"AAAAAH13bOY=")</f>
        <v>#VALUE!</v>
      </c>
      <c r="HX47" t="e">
        <f>AND(Plan1!G801,"AAAAAH13bOc=")</f>
        <v>#VALUE!</v>
      </c>
      <c r="HY47" t="e">
        <f>AND(Plan1!H801,"AAAAAH13bOg=")</f>
        <v>#VALUE!</v>
      </c>
      <c r="HZ47" t="e">
        <f>AND(Plan1!I801,"AAAAAH13bOk=")</f>
        <v>#VALUE!</v>
      </c>
      <c r="IA47" t="e">
        <f>AND(Plan1!J801,"AAAAAH13bOo=")</f>
        <v>#VALUE!</v>
      </c>
      <c r="IB47" t="e">
        <f>AND(Plan1!K801,"AAAAAH13bOs=")</f>
        <v>#VALUE!</v>
      </c>
      <c r="IC47" t="e">
        <f>AND(Plan1!L801,"AAAAAH13bOw=")</f>
        <v>#VALUE!</v>
      </c>
      <c r="ID47" t="e">
        <f>AND(Plan1!M801,"AAAAAH13bO0=")</f>
        <v>#VALUE!</v>
      </c>
      <c r="IE47" t="e">
        <f>AND(Plan1!N801,"AAAAAH13bO4=")</f>
        <v>#VALUE!</v>
      </c>
      <c r="IF47">
        <f>IF(Plan1!802:802,"AAAAAH13bO8=",0)</f>
        <v>0</v>
      </c>
      <c r="IG47" t="e">
        <f>AND(Plan1!A802,"AAAAAH13bPA=")</f>
        <v>#VALUE!</v>
      </c>
      <c r="IH47" t="e">
        <f>AND(Plan1!B802,"AAAAAH13bPE=")</f>
        <v>#VALUE!</v>
      </c>
      <c r="II47" t="e">
        <f>AND(Plan1!C802,"AAAAAH13bPI=")</f>
        <v>#VALUE!</v>
      </c>
      <c r="IJ47" t="e">
        <f>AND(Plan1!D802,"AAAAAH13bPM=")</f>
        <v>#VALUE!</v>
      </c>
      <c r="IK47" t="e">
        <f>AND(Plan1!E802,"AAAAAH13bPQ=")</f>
        <v>#VALUE!</v>
      </c>
      <c r="IL47" t="e">
        <f>AND(Plan1!F802,"AAAAAH13bPU=")</f>
        <v>#VALUE!</v>
      </c>
      <c r="IM47" t="e">
        <f>AND(Plan1!G802,"AAAAAH13bPY=")</f>
        <v>#VALUE!</v>
      </c>
      <c r="IN47" t="e">
        <f>AND(Plan1!H802,"AAAAAH13bPc=")</f>
        <v>#VALUE!</v>
      </c>
      <c r="IO47" t="e">
        <f>AND(Plan1!I802,"AAAAAH13bPg=")</f>
        <v>#VALUE!</v>
      </c>
      <c r="IP47" t="e">
        <f>AND(Plan1!J802,"AAAAAH13bPk=")</f>
        <v>#VALUE!</v>
      </c>
      <c r="IQ47" t="e">
        <f>AND(Plan1!K802,"AAAAAH13bPo=")</f>
        <v>#VALUE!</v>
      </c>
      <c r="IR47" t="e">
        <f>AND(Plan1!L802,"AAAAAH13bPs=")</f>
        <v>#VALUE!</v>
      </c>
      <c r="IS47" t="e">
        <f>AND(Plan1!M802,"AAAAAH13bPw=")</f>
        <v>#VALUE!</v>
      </c>
      <c r="IT47" t="e">
        <f>AND(Plan1!N802,"AAAAAH13bP0=")</f>
        <v>#VALUE!</v>
      </c>
      <c r="IU47">
        <f>IF(Plan1!803:803,"AAAAAH13bP4=",0)</f>
        <v>0</v>
      </c>
      <c r="IV47" t="e">
        <f>AND(Plan1!A803,"AAAAAH13bP8=")</f>
        <v>#VALUE!</v>
      </c>
    </row>
    <row r="48" spans="1:256">
      <c r="A48" t="e">
        <f>AND(Plan1!B803,"AAAAAD+fewA=")</f>
        <v>#VALUE!</v>
      </c>
      <c r="B48" t="e">
        <f>AND(Plan1!C803,"AAAAAD+fewE=")</f>
        <v>#VALUE!</v>
      </c>
      <c r="C48" t="e">
        <f>AND(Plan1!D803,"AAAAAD+fewI=")</f>
        <v>#VALUE!</v>
      </c>
      <c r="D48" t="e">
        <f>AND(Plan1!E803,"AAAAAD+fewM=")</f>
        <v>#VALUE!</v>
      </c>
      <c r="E48" t="e">
        <f>AND(Plan1!F803,"AAAAAD+fewQ=")</f>
        <v>#VALUE!</v>
      </c>
      <c r="F48" t="e">
        <f>AND(Plan1!G803,"AAAAAD+fewU=")</f>
        <v>#VALUE!</v>
      </c>
      <c r="G48" t="e">
        <f>AND(Plan1!H803,"AAAAAD+fewY=")</f>
        <v>#VALUE!</v>
      </c>
      <c r="H48" t="e">
        <f>AND(Plan1!I803,"AAAAAD+fewc=")</f>
        <v>#VALUE!</v>
      </c>
      <c r="I48" t="e">
        <f>AND(Plan1!J803,"AAAAAD+fewg=")</f>
        <v>#VALUE!</v>
      </c>
      <c r="J48" t="e">
        <f>AND(Plan1!K803,"AAAAAD+fewk=")</f>
        <v>#VALUE!</v>
      </c>
      <c r="K48" t="e">
        <f>AND(Plan1!L803,"AAAAAD+fewo=")</f>
        <v>#VALUE!</v>
      </c>
      <c r="L48" t="e">
        <f>AND(Plan1!M803,"AAAAAD+fews=")</f>
        <v>#VALUE!</v>
      </c>
      <c r="M48" t="e">
        <f>AND(Plan1!N803,"AAAAAD+feww=")</f>
        <v>#VALUE!</v>
      </c>
      <c r="N48" t="e">
        <f>IF(Plan1!804:804,"AAAAAD+few0=",0)</f>
        <v>#VALUE!</v>
      </c>
      <c r="O48" t="e">
        <f>AND(Plan1!A804,"AAAAAD+few4=")</f>
        <v>#VALUE!</v>
      </c>
      <c r="P48" t="e">
        <f>AND(Plan1!B804,"AAAAAD+few8=")</f>
        <v>#VALUE!</v>
      </c>
      <c r="Q48" t="e">
        <f>AND(Plan1!C804,"AAAAAD+fexA=")</f>
        <v>#VALUE!</v>
      </c>
      <c r="R48" t="e">
        <f>AND(Plan1!D804,"AAAAAD+fexE=")</f>
        <v>#VALUE!</v>
      </c>
      <c r="S48" t="e">
        <f>AND(Plan1!E804,"AAAAAD+fexI=")</f>
        <v>#VALUE!</v>
      </c>
      <c r="T48" t="e">
        <f>AND(Plan1!F804,"AAAAAD+fexM=")</f>
        <v>#VALUE!</v>
      </c>
      <c r="U48" t="e">
        <f>AND(Plan1!G804,"AAAAAD+fexQ=")</f>
        <v>#VALUE!</v>
      </c>
      <c r="V48" t="e">
        <f>AND(Plan1!H804,"AAAAAD+fexU=")</f>
        <v>#VALUE!</v>
      </c>
      <c r="W48" t="e">
        <f>AND(Plan1!I804,"AAAAAD+fexY=")</f>
        <v>#VALUE!</v>
      </c>
      <c r="X48" t="e">
        <f>AND(Plan1!J804,"AAAAAD+fexc=")</f>
        <v>#VALUE!</v>
      </c>
      <c r="Y48" t="e">
        <f>AND(Plan1!K804,"AAAAAD+fexg=")</f>
        <v>#VALUE!</v>
      </c>
      <c r="Z48" t="e">
        <f>AND(Plan1!L804,"AAAAAD+fexk=")</f>
        <v>#VALUE!</v>
      </c>
      <c r="AA48" t="e">
        <f>AND(Plan1!M804,"AAAAAD+fexo=")</f>
        <v>#VALUE!</v>
      </c>
      <c r="AB48" t="e">
        <f>AND(Plan1!N804,"AAAAAD+fexs=")</f>
        <v>#VALUE!</v>
      </c>
      <c r="AC48">
        <f>IF(Plan1!805:805,"AAAAAD+fexw=",0)</f>
        <v>0</v>
      </c>
      <c r="AD48" t="e">
        <f>AND(Plan1!A805,"AAAAAD+fex0=")</f>
        <v>#VALUE!</v>
      </c>
      <c r="AE48" t="e">
        <f>AND(Plan1!B805,"AAAAAD+fex4=")</f>
        <v>#VALUE!</v>
      </c>
      <c r="AF48" t="e">
        <f>AND(Plan1!C805,"AAAAAD+fex8=")</f>
        <v>#VALUE!</v>
      </c>
      <c r="AG48" t="e">
        <f>AND(Plan1!D805,"AAAAAD+feyA=")</f>
        <v>#VALUE!</v>
      </c>
      <c r="AH48" t="e">
        <f>AND(Plan1!E805,"AAAAAD+feyE=")</f>
        <v>#VALUE!</v>
      </c>
      <c r="AI48" t="e">
        <f>AND(Plan1!F805,"AAAAAD+feyI=")</f>
        <v>#VALUE!</v>
      </c>
      <c r="AJ48" t="e">
        <f>AND(Plan1!G805,"AAAAAD+feyM=")</f>
        <v>#VALUE!</v>
      </c>
      <c r="AK48" t="e">
        <f>AND(Plan1!H805,"AAAAAD+feyQ=")</f>
        <v>#VALUE!</v>
      </c>
      <c r="AL48" t="e">
        <f>AND(Plan1!I805,"AAAAAD+feyU=")</f>
        <v>#VALUE!</v>
      </c>
      <c r="AM48" t="e">
        <f>AND(Plan1!J805,"AAAAAD+feyY=")</f>
        <v>#VALUE!</v>
      </c>
      <c r="AN48" t="e">
        <f>AND(Plan1!K805,"AAAAAD+feyc=")</f>
        <v>#VALUE!</v>
      </c>
      <c r="AO48" t="e">
        <f>AND(Plan1!L805,"AAAAAD+feyg=")</f>
        <v>#VALUE!</v>
      </c>
      <c r="AP48" t="e">
        <f>AND(Plan1!M805,"AAAAAD+feyk=")</f>
        <v>#VALUE!</v>
      </c>
      <c r="AQ48" t="e">
        <f>AND(Plan1!N805,"AAAAAD+feyo=")</f>
        <v>#VALUE!</v>
      </c>
      <c r="AR48">
        <f>IF(Plan1!806:806,"AAAAAD+feys=",0)</f>
        <v>0</v>
      </c>
      <c r="AS48" t="e">
        <f>AND(Plan1!A806,"AAAAAD+feyw=")</f>
        <v>#VALUE!</v>
      </c>
      <c r="AT48" t="e">
        <f>AND(Plan1!B806,"AAAAAD+fey0=")</f>
        <v>#VALUE!</v>
      </c>
      <c r="AU48" t="e">
        <f>AND(Plan1!C806,"AAAAAD+fey4=")</f>
        <v>#VALUE!</v>
      </c>
      <c r="AV48" t="e">
        <f>AND(Plan1!D806,"AAAAAD+fey8=")</f>
        <v>#VALUE!</v>
      </c>
      <c r="AW48" t="e">
        <f>AND(Plan1!E806,"AAAAAD+fezA=")</f>
        <v>#VALUE!</v>
      </c>
      <c r="AX48" t="e">
        <f>AND(Plan1!F806,"AAAAAD+fezE=")</f>
        <v>#VALUE!</v>
      </c>
      <c r="AY48" t="e">
        <f>AND(Plan1!G806,"AAAAAD+fezI=")</f>
        <v>#VALUE!</v>
      </c>
      <c r="AZ48" t="e">
        <f>AND(Plan1!H806,"AAAAAD+fezM=")</f>
        <v>#VALUE!</v>
      </c>
      <c r="BA48" t="e">
        <f>AND(Plan1!I806,"AAAAAD+fezQ=")</f>
        <v>#VALUE!</v>
      </c>
      <c r="BB48" t="e">
        <f>AND(Plan1!J806,"AAAAAD+fezU=")</f>
        <v>#VALUE!</v>
      </c>
      <c r="BC48" t="e">
        <f>AND(Plan1!K806,"AAAAAD+fezY=")</f>
        <v>#VALUE!</v>
      </c>
      <c r="BD48" t="e">
        <f>AND(Plan1!L806,"AAAAAD+fezc=")</f>
        <v>#VALUE!</v>
      </c>
      <c r="BE48" t="e">
        <f>AND(Plan1!M806,"AAAAAD+fezg=")</f>
        <v>#VALUE!</v>
      </c>
      <c r="BF48" t="e">
        <f>AND(Plan1!N806,"AAAAAD+fezk=")</f>
        <v>#VALUE!</v>
      </c>
      <c r="BG48">
        <f>IF(Plan1!807:807,"AAAAAD+fezo=",0)</f>
        <v>0</v>
      </c>
      <c r="BH48" t="e">
        <f>AND(Plan1!A807,"AAAAAD+fezs=")</f>
        <v>#VALUE!</v>
      </c>
      <c r="BI48" t="e">
        <f>AND(Plan1!B807,"AAAAAD+fezw=")</f>
        <v>#VALUE!</v>
      </c>
      <c r="BJ48" t="e">
        <f>AND(Plan1!C807,"AAAAAD+fez0=")</f>
        <v>#VALUE!</v>
      </c>
      <c r="BK48" t="e">
        <f>AND(Plan1!D807,"AAAAAD+fez4=")</f>
        <v>#VALUE!</v>
      </c>
      <c r="BL48" t="e">
        <f>AND(Plan1!E807,"AAAAAD+fez8=")</f>
        <v>#VALUE!</v>
      </c>
      <c r="BM48" t="e">
        <f>AND(Plan1!F807,"AAAAAD+fe0A=")</f>
        <v>#VALUE!</v>
      </c>
      <c r="BN48" t="e">
        <f>AND(Plan1!G807,"AAAAAD+fe0E=")</f>
        <v>#VALUE!</v>
      </c>
      <c r="BO48" t="e">
        <f>AND(Plan1!H807,"AAAAAD+fe0I=")</f>
        <v>#VALUE!</v>
      </c>
      <c r="BP48" t="e">
        <f>AND(Plan1!I807,"AAAAAD+fe0M=")</f>
        <v>#VALUE!</v>
      </c>
      <c r="BQ48" t="e">
        <f>AND(Plan1!J807,"AAAAAD+fe0Q=")</f>
        <v>#VALUE!</v>
      </c>
      <c r="BR48" t="e">
        <f>AND(Plan1!K807,"AAAAAD+fe0U=")</f>
        <v>#VALUE!</v>
      </c>
      <c r="BS48" t="e">
        <f>AND(Plan1!L807,"AAAAAD+fe0Y=")</f>
        <v>#VALUE!</v>
      </c>
      <c r="BT48" t="e">
        <f>AND(Plan1!M807,"AAAAAD+fe0c=")</f>
        <v>#VALUE!</v>
      </c>
      <c r="BU48" t="e">
        <f>AND(Plan1!N807,"AAAAAD+fe0g=")</f>
        <v>#VALUE!</v>
      </c>
      <c r="BV48">
        <f>IF(Plan1!808:808,"AAAAAD+fe0k=",0)</f>
        <v>0</v>
      </c>
      <c r="BW48" t="e">
        <f>AND(Plan1!A808,"AAAAAD+fe0o=")</f>
        <v>#VALUE!</v>
      </c>
      <c r="BX48" t="e">
        <f>AND(Plan1!B808,"AAAAAD+fe0s=")</f>
        <v>#VALUE!</v>
      </c>
      <c r="BY48" t="e">
        <f>AND(Plan1!C808,"AAAAAD+fe0w=")</f>
        <v>#VALUE!</v>
      </c>
      <c r="BZ48" t="e">
        <f>AND(Plan1!D808,"AAAAAD+fe00=")</f>
        <v>#VALUE!</v>
      </c>
      <c r="CA48" t="e">
        <f>AND(Plan1!E808,"AAAAAD+fe04=")</f>
        <v>#VALUE!</v>
      </c>
      <c r="CB48" t="e">
        <f>AND(Plan1!F808,"AAAAAD+fe08=")</f>
        <v>#VALUE!</v>
      </c>
      <c r="CC48" t="e">
        <f>AND(Plan1!G808,"AAAAAD+fe1A=")</f>
        <v>#VALUE!</v>
      </c>
      <c r="CD48" t="e">
        <f>AND(Plan1!H808,"AAAAAD+fe1E=")</f>
        <v>#VALUE!</v>
      </c>
      <c r="CE48" t="e">
        <f>AND(Plan1!I808,"AAAAAD+fe1I=")</f>
        <v>#VALUE!</v>
      </c>
      <c r="CF48" t="e">
        <f>AND(Plan1!J808,"AAAAAD+fe1M=")</f>
        <v>#VALUE!</v>
      </c>
      <c r="CG48" t="e">
        <f>AND(Plan1!K808,"AAAAAD+fe1Q=")</f>
        <v>#VALUE!</v>
      </c>
      <c r="CH48" t="e">
        <f>AND(Plan1!L808,"AAAAAD+fe1U=")</f>
        <v>#VALUE!</v>
      </c>
      <c r="CI48" t="e">
        <f>AND(Plan1!M808,"AAAAAD+fe1Y=")</f>
        <v>#VALUE!</v>
      </c>
      <c r="CJ48" t="e">
        <f>AND(Plan1!N808,"AAAAAD+fe1c=")</f>
        <v>#VALUE!</v>
      </c>
      <c r="CK48">
        <f>IF(Plan1!809:809,"AAAAAD+fe1g=",0)</f>
        <v>0</v>
      </c>
      <c r="CL48" t="e">
        <f>AND(Plan1!A809,"AAAAAD+fe1k=")</f>
        <v>#VALUE!</v>
      </c>
      <c r="CM48" t="e">
        <f>AND(Plan1!B809,"AAAAAD+fe1o=")</f>
        <v>#VALUE!</v>
      </c>
      <c r="CN48" t="e">
        <f>AND(Plan1!C809,"AAAAAD+fe1s=")</f>
        <v>#VALUE!</v>
      </c>
      <c r="CO48" t="e">
        <f>AND(Plan1!D809,"AAAAAD+fe1w=")</f>
        <v>#VALUE!</v>
      </c>
      <c r="CP48" t="e">
        <f>AND(Plan1!E809,"AAAAAD+fe10=")</f>
        <v>#VALUE!</v>
      </c>
      <c r="CQ48" t="e">
        <f>AND(Plan1!F809,"AAAAAD+fe14=")</f>
        <v>#VALUE!</v>
      </c>
      <c r="CR48" t="e">
        <f>AND(Plan1!G809,"AAAAAD+fe18=")</f>
        <v>#VALUE!</v>
      </c>
      <c r="CS48" t="e">
        <f>AND(Plan1!H809,"AAAAAD+fe2A=")</f>
        <v>#VALUE!</v>
      </c>
      <c r="CT48" t="e">
        <f>AND(Plan1!I809,"AAAAAD+fe2E=")</f>
        <v>#VALUE!</v>
      </c>
      <c r="CU48" t="e">
        <f>AND(Plan1!J809,"AAAAAD+fe2I=")</f>
        <v>#VALUE!</v>
      </c>
      <c r="CV48" t="e">
        <f>AND(Plan1!K809,"AAAAAD+fe2M=")</f>
        <v>#VALUE!</v>
      </c>
      <c r="CW48" t="e">
        <f>AND(Plan1!L809,"AAAAAD+fe2Q=")</f>
        <v>#VALUE!</v>
      </c>
      <c r="CX48" t="e">
        <f>AND(Plan1!M809,"AAAAAD+fe2U=")</f>
        <v>#VALUE!</v>
      </c>
      <c r="CY48" t="e">
        <f>AND(Plan1!N809,"AAAAAD+fe2Y=")</f>
        <v>#VALUE!</v>
      </c>
      <c r="CZ48">
        <f>IF(Plan1!810:810,"AAAAAD+fe2c=",0)</f>
        <v>0</v>
      </c>
      <c r="DA48" t="e">
        <f>AND(Plan1!A810,"AAAAAD+fe2g=")</f>
        <v>#VALUE!</v>
      </c>
      <c r="DB48" t="e">
        <f>AND(Plan1!B810,"AAAAAD+fe2k=")</f>
        <v>#VALUE!</v>
      </c>
      <c r="DC48" t="e">
        <f>AND(Plan1!C810,"AAAAAD+fe2o=")</f>
        <v>#VALUE!</v>
      </c>
      <c r="DD48" t="e">
        <f>AND(Plan1!D810,"AAAAAD+fe2s=")</f>
        <v>#VALUE!</v>
      </c>
      <c r="DE48" t="e">
        <f>AND(Plan1!E810,"AAAAAD+fe2w=")</f>
        <v>#VALUE!</v>
      </c>
      <c r="DF48" t="e">
        <f>AND(Plan1!F810,"AAAAAD+fe20=")</f>
        <v>#VALUE!</v>
      </c>
      <c r="DG48" t="e">
        <f>AND(Plan1!G810,"AAAAAD+fe24=")</f>
        <v>#VALUE!</v>
      </c>
      <c r="DH48" t="e">
        <f>AND(Plan1!H810,"AAAAAD+fe28=")</f>
        <v>#VALUE!</v>
      </c>
      <c r="DI48" t="e">
        <f>AND(Plan1!I810,"AAAAAD+fe3A=")</f>
        <v>#VALUE!</v>
      </c>
      <c r="DJ48" t="e">
        <f>AND(Plan1!J810,"AAAAAD+fe3E=")</f>
        <v>#VALUE!</v>
      </c>
      <c r="DK48" t="e">
        <f>AND(Plan1!K810,"AAAAAD+fe3I=")</f>
        <v>#VALUE!</v>
      </c>
      <c r="DL48" t="e">
        <f>AND(Plan1!L810,"AAAAAD+fe3M=")</f>
        <v>#VALUE!</v>
      </c>
      <c r="DM48" t="e">
        <f>AND(Plan1!M810,"AAAAAD+fe3Q=")</f>
        <v>#VALUE!</v>
      </c>
      <c r="DN48" t="e">
        <f>AND(Plan1!N810,"AAAAAD+fe3U=")</f>
        <v>#VALUE!</v>
      </c>
      <c r="DO48">
        <f>IF(Plan1!811:811,"AAAAAD+fe3Y=",0)</f>
        <v>0</v>
      </c>
      <c r="DP48" t="e">
        <f>AND(Plan1!A811,"AAAAAD+fe3c=")</f>
        <v>#VALUE!</v>
      </c>
      <c r="DQ48" t="e">
        <f>AND(Plan1!B811,"AAAAAD+fe3g=")</f>
        <v>#VALUE!</v>
      </c>
      <c r="DR48" t="e">
        <f>AND(Plan1!C811,"AAAAAD+fe3k=")</f>
        <v>#VALUE!</v>
      </c>
      <c r="DS48" t="e">
        <f>AND(Plan1!D811,"AAAAAD+fe3o=")</f>
        <v>#VALUE!</v>
      </c>
      <c r="DT48" t="e">
        <f>AND(Plan1!E811,"AAAAAD+fe3s=")</f>
        <v>#VALUE!</v>
      </c>
      <c r="DU48" t="e">
        <f>AND(Plan1!F811,"AAAAAD+fe3w=")</f>
        <v>#VALUE!</v>
      </c>
      <c r="DV48" t="e">
        <f>AND(Plan1!G811,"AAAAAD+fe30=")</f>
        <v>#VALUE!</v>
      </c>
      <c r="DW48" t="e">
        <f>AND(Plan1!H811,"AAAAAD+fe34=")</f>
        <v>#VALUE!</v>
      </c>
      <c r="DX48" t="e">
        <f>AND(Plan1!I811,"AAAAAD+fe38=")</f>
        <v>#VALUE!</v>
      </c>
      <c r="DY48" t="e">
        <f>AND(Plan1!J811,"AAAAAD+fe4A=")</f>
        <v>#VALUE!</v>
      </c>
      <c r="DZ48" t="e">
        <f>AND(Plan1!K811,"AAAAAD+fe4E=")</f>
        <v>#VALUE!</v>
      </c>
      <c r="EA48" t="e">
        <f>AND(Plan1!L811,"AAAAAD+fe4I=")</f>
        <v>#VALUE!</v>
      </c>
      <c r="EB48" t="e">
        <f>AND(Plan1!M811,"AAAAAD+fe4M=")</f>
        <v>#VALUE!</v>
      </c>
      <c r="EC48" t="e">
        <f>AND(Plan1!N811,"AAAAAD+fe4Q=")</f>
        <v>#VALUE!</v>
      </c>
      <c r="ED48">
        <f>IF(Plan1!812:812,"AAAAAD+fe4U=",0)</f>
        <v>0</v>
      </c>
      <c r="EE48" t="e">
        <f>AND(Plan1!A812,"AAAAAD+fe4Y=")</f>
        <v>#VALUE!</v>
      </c>
      <c r="EF48" t="e">
        <f>AND(Plan1!B812,"AAAAAD+fe4c=")</f>
        <v>#VALUE!</v>
      </c>
      <c r="EG48" t="e">
        <f>AND(Plan1!C812,"AAAAAD+fe4g=")</f>
        <v>#VALUE!</v>
      </c>
      <c r="EH48" t="e">
        <f>AND(Plan1!D812,"AAAAAD+fe4k=")</f>
        <v>#VALUE!</v>
      </c>
      <c r="EI48" t="e">
        <f>AND(Plan1!E812,"AAAAAD+fe4o=")</f>
        <v>#VALUE!</v>
      </c>
      <c r="EJ48" t="e">
        <f>AND(Plan1!F812,"AAAAAD+fe4s=")</f>
        <v>#VALUE!</v>
      </c>
      <c r="EK48" t="e">
        <f>AND(Plan1!G812,"AAAAAD+fe4w=")</f>
        <v>#VALUE!</v>
      </c>
      <c r="EL48" t="e">
        <f>AND(Plan1!H812,"AAAAAD+fe40=")</f>
        <v>#VALUE!</v>
      </c>
      <c r="EM48" t="e">
        <f>AND(Plan1!I812,"AAAAAD+fe44=")</f>
        <v>#VALUE!</v>
      </c>
      <c r="EN48" t="e">
        <f>AND(Plan1!J812,"AAAAAD+fe48=")</f>
        <v>#VALUE!</v>
      </c>
      <c r="EO48" t="e">
        <f>AND(Plan1!K812,"AAAAAD+fe5A=")</f>
        <v>#VALUE!</v>
      </c>
      <c r="EP48" t="e">
        <f>AND(Plan1!L812,"AAAAAD+fe5E=")</f>
        <v>#VALUE!</v>
      </c>
      <c r="EQ48" t="e">
        <f>AND(Plan1!M812,"AAAAAD+fe5I=")</f>
        <v>#VALUE!</v>
      </c>
      <c r="ER48" t="e">
        <f>AND(Plan1!N812,"AAAAAD+fe5M=")</f>
        <v>#VALUE!</v>
      </c>
      <c r="ES48">
        <f>IF(Plan1!813:813,"AAAAAD+fe5Q=",0)</f>
        <v>0</v>
      </c>
      <c r="ET48" t="e">
        <f>AND(Plan1!A813,"AAAAAD+fe5U=")</f>
        <v>#VALUE!</v>
      </c>
      <c r="EU48" t="e">
        <f>AND(Plan1!B813,"AAAAAD+fe5Y=")</f>
        <v>#VALUE!</v>
      </c>
      <c r="EV48" t="e">
        <f>AND(Plan1!C813,"AAAAAD+fe5c=")</f>
        <v>#VALUE!</v>
      </c>
      <c r="EW48" t="e">
        <f>AND(Plan1!D813,"AAAAAD+fe5g=")</f>
        <v>#VALUE!</v>
      </c>
      <c r="EX48" t="e">
        <f>AND(Plan1!E813,"AAAAAD+fe5k=")</f>
        <v>#VALUE!</v>
      </c>
      <c r="EY48" t="e">
        <f>AND(Plan1!F813,"AAAAAD+fe5o=")</f>
        <v>#VALUE!</v>
      </c>
      <c r="EZ48" t="e">
        <f>AND(Plan1!G813,"AAAAAD+fe5s=")</f>
        <v>#VALUE!</v>
      </c>
      <c r="FA48" t="e">
        <f>AND(Plan1!H813,"AAAAAD+fe5w=")</f>
        <v>#VALUE!</v>
      </c>
      <c r="FB48" t="e">
        <f>AND(Plan1!I813,"AAAAAD+fe50=")</f>
        <v>#VALUE!</v>
      </c>
      <c r="FC48" t="e">
        <f>AND(Plan1!J813,"AAAAAD+fe54=")</f>
        <v>#VALUE!</v>
      </c>
      <c r="FD48" t="e">
        <f>AND(Plan1!K813,"AAAAAD+fe58=")</f>
        <v>#VALUE!</v>
      </c>
      <c r="FE48" t="e">
        <f>AND(Plan1!L813,"AAAAAD+fe6A=")</f>
        <v>#VALUE!</v>
      </c>
      <c r="FF48" t="e">
        <f>AND(Plan1!M813,"AAAAAD+fe6E=")</f>
        <v>#VALUE!</v>
      </c>
      <c r="FG48" t="e">
        <f>AND(Plan1!N813,"AAAAAD+fe6I=")</f>
        <v>#VALUE!</v>
      </c>
      <c r="FH48">
        <f>IF(Plan1!814:814,"AAAAAD+fe6M=",0)</f>
        <v>0</v>
      </c>
      <c r="FI48" t="e">
        <f>AND(Plan1!A814,"AAAAAD+fe6Q=")</f>
        <v>#VALUE!</v>
      </c>
      <c r="FJ48" t="e">
        <f>AND(Plan1!B814,"AAAAAD+fe6U=")</f>
        <v>#VALUE!</v>
      </c>
      <c r="FK48" t="e">
        <f>AND(Plan1!C814,"AAAAAD+fe6Y=")</f>
        <v>#VALUE!</v>
      </c>
      <c r="FL48" t="e">
        <f>AND(Plan1!D814,"AAAAAD+fe6c=")</f>
        <v>#VALUE!</v>
      </c>
      <c r="FM48" t="e">
        <f>AND(Plan1!E814,"AAAAAD+fe6g=")</f>
        <v>#VALUE!</v>
      </c>
      <c r="FN48" t="e">
        <f>AND(Plan1!F814,"AAAAAD+fe6k=")</f>
        <v>#VALUE!</v>
      </c>
      <c r="FO48" t="e">
        <f>AND(Plan1!G814,"AAAAAD+fe6o=")</f>
        <v>#VALUE!</v>
      </c>
      <c r="FP48" t="e">
        <f>AND(Plan1!H814,"AAAAAD+fe6s=")</f>
        <v>#VALUE!</v>
      </c>
      <c r="FQ48" t="e">
        <f>AND(Plan1!I814,"AAAAAD+fe6w=")</f>
        <v>#VALUE!</v>
      </c>
      <c r="FR48" t="e">
        <f>AND(Plan1!J814,"AAAAAD+fe60=")</f>
        <v>#VALUE!</v>
      </c>
      <c r="FS48" t="e">
        <f>AND(Plan1!K814,"AAAAAD+fe64=")</f>
        <v>#VALUE!</v>
      </c>
      <c r="FT48" t="e">
        <f>AND(Plan1!L814,"AAAAAD+fe68=")</f>
        <v>#VALUE!</v>
      </c>
      <c r="FU48" t="e">
        <f>AND(Plan1!M814,"AAAAAD+fe7A=")</f>
        <v>#VALUE!</v>
      </c>
      <c r="FV48" t="e">
        <f>AND(Plan1!N814,"AAAAAD+fe7E=")</f>
        <v>#VALUE!</v>
      </c>
      <c r="FW48">
        <f>IF(Plan1!815:815,"AAAAAD+fe7I=",0)</f>
        <v>0</v>
      </c>
      <c r="FX48" t="e">
        <f>AND(Plan1!A815,"AAAAAD+fe7M=")</f>
        <v>#VALUE!</v>
      </c>
      <c r="FY48" t="e">
        <f>AND(Plan1!B815,"AAAAAD+fe7Q=")</f>
        <v>#VALUE!</v>
      </c>
      <c r="FZ48" t="e">
        <f>AND(Plan1!C815,"AAAAAD+fe7U=")</f>
        <v>#VALUE!</v>
      </c>
      <c r="GA48" t="e">
        <f>AND(Plan1!D815,"AAAAAD+fe7Y=")</f>
        <v>#VALUE!</v>
      </c>
      <c r="GB48" t="e">
        <f>AND(Plan1!E815,"AAAAAD+fe7c=")</f>
        <v>#VALUE!</v>
      </c>
      <c r="GC48" t="e">
        <f>AND(Plan1!F815,"AAAAAD+fe7g=")</f>
        <v>#VALUE!</v>
      </c>
      <c r="GD48" t="e">
        <f>AND(Plan1!G815,"AAAAAD+fe7k=")</f>
        <v>#VALUE!</v>
      </c>
      <c r="GE48" t="e">
        <f>AND(Plan1!H815,"AAAAAD+fe7o=")</f>
        <v>#VALUE!</v>
      </c>
      <c r="GF48" t="e">
        <f>AND(Plan1!I815,"AAAAAD+fe7s=")</f>
        <v>#VALUE!</v>
      </c>
      <c r="GG48" t="e">
        <f>AND(Plan1!J815,"AAAAAD+fe7w=")</f>
        <v>#VALUE!</v>
      </c>
      <c r="GH48" t="e">
        <f>AND(Plan1!K815,"AAAAAD+fe70=")</f>
        <v>#VALUE!</v>
      </c>
      <c r="GI48" t="e">
        <f>AND(Plan1!L815,"AAAAAD+fe74=")</f>
        <v>#VALUE!</v>
      </c>
      <c r="GJ48" t="e">
        <f>AND(Plan1!M815,"AAAAAD+fe78=")</f>
        <v>#VALUE!</v>
      </c>
      <c r="GK48" t="e">
        <f>AND(Plan1!N815,"AAAAAD+fe8A=")</f>
        <v>#VALUE!</v>
      </c>
      <c r="GL48">
        <f>IF(Plan1!816:816,"AAAAAD+fe8E=",0)</f>
        <v>0</v>
      </c>
      <c r="GM48" t="e">
        <f>AND(Plan1!A816,"AAAAAD+fe8I=")</f>
        <v>#VALUE!</v>
      </c>
      <c r="GN48" t="e">
        <f>AND(Plan1!B816,"AAAAAD+fe8M=")</f>
        <v>#VALUE!</v>
      </c>
      <c r="GO48" t="e">
        <f>AND(Plan1!C816,"AAAAAD+fe8Q=")</f>
        <v>#VALUE!</v>
      </c>
      <c r="GP48" t="e">
        <f>AND(Plan1!D816,"AAAAAD+fe8U=")</f>
        <v>#VALUE!</v>
      </c>
      <c r="GQ48" t="e">
        <f>AND(Plan1!E816,"AAAAAD+fe8Y=")</f>
        <v>#VALUE!</v>
      </c>
      <c r="GR48" t="e">
        <f>AND(Plan1!F816,"AAAAAD+fe8c=")</f>
        <v>#VALUE!</v>
      </c>
      <c r="GS48" t="e">
        <f>AND(Plan1!G816,"AAAAAD+fe8g=")</f>
        <v>#VALUE!</v>
      </c>
      <c r="GT48" t="e">
        <f>AND(Plan1!H816,"AAAAAD+fe8k=")</f>
        <v>#VALUE!</v>
      </c>
      <c r="GU48" t="e">
        <f>AND(Plan1!I816,"AAAAAD+fe8o=")</f>
        <v>#VALUE!</v>
      </c>
      <c r="GV48" t="e">
        <f>AND(Plan1!J816,"AAAAAD+fe8s=")</f>
        <v>#VALUE!</v>
      </c>
      <c r="GW48" t="e">
        <f>AND(Plan1!K816,"AAAAAD+fe8w=")</f>
        <v>#VALUE!</v>
      </c>
      <c r="GX48" t="e">
        <f>AND(Plan1!L816,"AAAAAD+fe80=")</f>
        <v>#VALUE!</v>
      </c>
      <c r="GY48" t="e">
        <f>AND(Plan1!M816,"AAAAAD+fe84=")</f>
        <v>#VALUE!</v>
      </c>
      <c r="GZ48" t="e">
        <f>AND(Plan1!N816,"AAAAAD+fe88=")</f>
        <v>#VALUE!</v>
      </c>
      <c r="HA48">
        <f>IF(Plan1!817:817,"AAAAAD+fe9A=",0)</f>
        <v>0</v>
      </c>
      <c r="HB48" t="e">
        <f>AND(Plan1!A817,"AAAAAD+fe9E=")</f>
        <v>#VALUE!</v>
      </c>
      <c r="HC48" t="e">
        <f>AND(Plan1!B817,"AAAAAD+fe9I=")</f>
        <v>#VALUE!</v>
      </c>
      <c r="HD48" t="e">
        <f>AND(Plan1!C817,"AAAAAD+fe9M=")</f>
        <v>#VALUE!</v>
      </c>
      <c r="HE48" t="e">
        <f>AND(Plan1!D817,"AAAAAD+fe9Q=")</f>
        <v>#VALUE!</v>
      </c>
      <c r="HF48" t="e">
        <f>AND(Plan1!E817,"AAAAAD+fe9U=")</f>
        <v>#VALUE!</v>
      </c>
      <c r="HG48" t="e">
        <f>AND(Plan1!F817,"AAAAAD+fe9Y=")</f>
        <v>#VALUE!</v>
      </c>
      <c r="HH48" t="e">
        <f>AND(Plan1!G817,"AAAAAD+fe9c=")</f>
        <v>#VALUE!</v>
      </c>
      <c r="HI48" t="e">
        <f>AND(Plan1!H817,"AAAAAD+fe9g=")</f>
        <v>#VALUE!</v>
      </c>
      <c r="HJ48" t="e">
        <f>AND(Plan1!I817,"AAAAAD+fe9k=")</f>
        <v>#VALUE!</v>
      </c>
      <c r="HK48" t="e">
        <f>AND(Plan1!J817,"AAAAAD+fe9o=")</f>
        <v>#VALUE!</v>
      </c>
      <c r="HL48" t="e">
        <f>AND(Plan1!K817,"AAAAAD+fe9s=")</f>
        <v>#VALUE!</v>
      </c>
      <c r="HM48" t="e">
        <f>AND(Plan1!L817,"AAAAAD+fe9w=")</f>
        <v>#VALUE!</v>
      </c>
      <c r="HN48" t="e">
        <f>AND(Plan1!M817,"AAAAAD+fe90=")</f>
        <v>#VALUE!</v>
      </c>
      <c r="HO48" t="e">
        <f>AND(Plan1!N817,"AAAAAD+fe94=")</f>
        <v>#VALUE!</v>
      </c>
      <c r="HP48">
        <f>IF(Plan1!818:818,"AAAAAD+fe98=",0)</f>
        <v>0</v>
      </c>
      <c r="HQ48" t="e">
        <f>AND(Plan1!A818,"AAAAAD+fe+A=")</f>
        <v>#VALUE!</v>
      </c>
      <c r="HR48" t="e">
        <f>AND(Plan1!B818,"AAAAAD+fe+E=")</f>
        <v>#VALUE!</v>
      </c>
      <c r="HS48" t="e">
        <f>AND(Plan1!C818,"AAAAAD+fe+I=")</f>
        <v>#VALUE!</v>
      </c>
      <c r="HT48" t="e">
        <f>AND(Plan1!D818,"AAAAAD+fe+M=")</f>
        <v>#VALUE!</v>
      </c>
      <c r="HU48" t="e">
        <f>AND(Plan1!E818,"AAAAAD+fe+Q=")</f>
        <v>#VALUE!</v>
      </c>
      <c r="HV48" t="e">
        <f>AND(Plan1!F818,"AAAAAD+fe+U=")</f>
        <v>#VALUE!</v>
      </c>
      <c r="HW48" t="e">
        <f>AND(Plan1!G818,"AAAAAD+fe+Y=")</f>
        <v>#VALUE!</v>
      </c>
      <c r="HX48" t="e">
        <f>AND(Plan1!H818,"AAAAAD+fe+c=")</f>
        <v>#VALUE!</v>
      </c>
      <c r="HY48" t="e">
        <f>AND(Plan1!I818,"AAAAAD+fe+g=")</f>
        <v>#VALUE!</v>
      </c>
      <c r="HZ48" t="e">
        <f>AND(Plan1!J818,"AAAAAD+fe+k=")</f>
        <v>#VALUE!</v>
      </c>
      <c r="IA48" t="e">
        <f>AND(Plan1!K818,"AAAAAD+fe+o=")</f>
        <v>#VALUE!</v>
      </c>
      <c r="IB48" t="e">
        <f>AND(Plan1!L818,"AAAAAD+fe+s=")</f>
        <v>#VALUE!</v>
      </c>
      <c r="IC48" t="e">
        <f>AND(Plan1!M818,"AAAAAD+fe+w=")</f>
        <v>#VALUE!</v>
      </c>
      <c r="ID48" t="e">
        <f>AND(Plan1!N818,"AAAAAD+fe+0=")</f>
        <v>#VALUE!</v>
      </c>
      <c r="IE48">
        <f>IF(Plan1!819:819,"AAAAAD+fe+4=",0)</f>
        <v>0</v>
      </c>
      <c r="IF48" t="e">
        <f>AND(Plan1!A819,"AAAAAD+fe+8=")</f>
        <v>#VALUE!</v>
      </c>
      <c r="IG48" t="e">
        <f>AND(Plan1!B819,"AAAAAD+fe/A=")</f>
        <v>#VALUE!</v>
      </c>
      <c r="IH48" t="e">
        <f>AND(Plan1!C819,"AAAAAD+fe/E=")</f>
        <v>#VALUE!</v>
      </c>
      <c r="II48" t="e">
        <f>AND(Plan1!D819,"AAAAAD+fe/I=")</f>
        <v>#VALUE!</v>
      </c>
      <c r="IJ48" t="e">
        <f>AND(Plan1!E819,"AAAAAD+fe/M=")</f>
        <v>#VALUE!</v>
      </c>
      <c r="IK48" t="e">
        <f>AND(Plan1!F819,"AAAAAD+fe/Q=")</f>
        <v>#VALUE!</v>
      </c>
      <c r="IL48" t="e">
        <f>AND(Plan1!G819,"AAAAAD+fe/U=")</f>
        <v>#VALUE!</v>
      </c>
      <c r="IM48" t="e">
        <f>AND(Plan1!H819,"AAAAAD+fe/Y=")</f>
        <v>#VALUE!</v>
      </c>
      <c r="IN48" t="e">
        <f>AND(Plan1!I819,"AAAAAD+fe/c=")</f>
        <v>#VALUE!</v>
      </c>
      <c r="IO48" t="e">
        <f>AND(Plan1!J819,"AAAAAD+fe/g=")</f>
        <v>#VALUE!</v>
      </c>
      <c r="IP48" t="e">
        <f>AND(Plan1!K819,"AAAAAD+fe/k=")</f>
        <v>#VALUE!</v>
      </c>
      <c r="IQ48" t="e">
        <f>AND(Plan1!L819,"AAAAAD+fe/o=")</f>
        <v>#VALUE!</v>
      </c>
      <c r="IR48" t="e">
        <f>AND(Plan1!M819,"AAAAAD+fe/s=")</f>
        <v>#VALUE!</v>
      </c>
      <c r="IS48" t="e">
        <f>AND(Plan1!N819,"AAAAAD+fe/w=")</f>
        <v>#VALUE!</v>
      </c>
      <c r="IT48">
        <f>IF(Plan1!820:820,"AAAAAD+fe/0=",0)</f>
        <v>0</v>
      </c>
      <c r="IU48" t="e">
        <f>AND(Plan1!A820,"AAAAAD+fe/4=")</f>
        <v>#VALUE!</v>
      </c>
      <c r="IV48" t="e">
        <f>AND(Plan1!B820,"AAAAAD+fe/8=")</f>
        <v>#VALUE!</v>
      </c>
    </row>
    <row r="49" spans="1:256">
      <c r="A49" t="e">
        <f>AND(Plan1!C820,"AAAAAG3/vwA=")</f>
        <v>#VALUE!</v>
      </c>
      <c r="B49" t="e">
        <f>AND(Plan1!D820,"AAAAAG3/vwE=")</f>
        <v>#VALUE!</v>
      </c>
      <c r="C49" t="e">
        <f>AND(Plan1!E820,"AAAAAG3/vwI=")</f>
        <v>#VALUE!</v>
      </c>
      <c r="D49" t="e">
        <f>AND(Plan1!F820,"AAAAAG3/vwM=")</f>
        <v>#VALUE!</v>
      </c>
      <c r="E49" t="e">
        <f>AND(Plan1!G820,"AAAAAG3/vwQ=")</f>
        <v>#VALUE!</v>
      </c>
      <c r="F49" t="e">
        <f>AND(Plan1!H820,"AAAAAG3/vwU=")</f>
        <v>#VALUE!</v>
      </c>
      <c r="G49" t="e">
        <f>AND(Plan1!I820,"AAAAAG3/vwY=")</f>
        <v>#VALUE!</v>
      </c>
      <c r="H49" t="e">
        <f>AND(Plan1!J820,"AAAAAG3/vwc=")</f>
        <v>#VALUE!</v>
      </c>
      <c r="I49" t="e">
        <f>AND(Plan1!K820,"AAAAAG3/vwg=")</f>
        <v>#VALUE!</v>
      </c>
      <c r="J49" t="e">
        <f>AND(Plan1!L820,"AAAAAG3/vwk=")</f>
        <v>#VALUE!</v>
      </c>
      <c r="K49" t="e">
        <f>AND(Plan1!M820,"AAAAAG3/vwo=")</f>
        <v>#VALUE!</v>
      </c>
      <c r="L49" t="e">
        <f>AND(Plan1!N820,"AAAAAG3/vws=")</f>
        <v>#VALUE!</v>
      </c>
      <c r="M49" t="e">
        <f>IF(Plan1!821:821,"AAAAAG3/vww=",0)</f>
        <v>#VALUE!</v>
      </c>
      <c r="N49" t="e">
        <f>AND(Plan1!A821,"AAAAAG3/vw0=")</f>
        <v>#VALUE!</v>
      </c>
      <c r="O49" t="e">
        <f>AND(Plan1!B821,"AAAAAG3/vw4=")</f>
        <v>#VALUE!</v>
      </c>
      <c r="P49" t="e">
        <f>AND(Plan1!C821,"AAAAAG3/vw8=")</f>
        <v>#VALUE!</v>
      </c>
      <c r="Q49" t="e">
        <f>AND(Plan1!D821,"AAAAAG3/vxA=")</f>
        <v>#VALUE!</v>
      </c>
      <c r="R49" t="e">
        <f>AND(Plan1!E821,"AAAAAG3/vxE=")</f>
        <v>#VALUE!</v>
      </c>
      <c r="S49" t="e">
        <f>AND(Plan1!F821,"AAAAAG3/vxI=")</f>
        <v>#VALUE!</v>
      </c>
      <c r="T49" t="e">
        <f>AND(Plan1!G821,"AAAAAG3/vxM=")</f>
        <v>#VALUE!</v>
      </c>
      <c r="U49" t="e">
        <f>AND(Plan1!H821,"AAAAAG3/vxQ=")</f>
        <v>#VALUE!</v>
      </c>
      <c r="V49" t="e">
        <f>AND(Plan1!I821,"AAAAAG3/vxU=")</f>
        <v>#VALUE!</v>
      </c>
      <c r="W49" t="e">
        <f>AND(Plan1!J821,"AAAAAG3/vxY=")</f>
        <v>#VALUE!</v>
      </c>
      <c r="X49" t="e">
        <f>AND(Plan1!K821,"AAAAAG3/vxc=")</f>
        <v>#VALUE!</v>
      </c>
      <c r="Y49" t="e">
        <f>AND(Plan1!L821,"AAAAAG3/vxg=")</f>
        <v>#VALUE!</v>
      </c>
      <c r="Z49" t="e">
        <f>AND(Plan1!M821,"AAAAAG3/vxk=")</f>
        <v>#VALUE!</v>
      </c>
      <c r="AA49" t="e">
        <f>AND(Plan1!N821,"AAAAAG3/vxo=")</f>
        <v>#VALUE!</v>
      </c>
      <c r="AB49">
        <f>IF(Plan1!822:822,"AAAAAG3/vxs=",0)</f>
        <v>0</v>
      </c>
      <c r="AC49" t="e">
        <f>AND(Plan1!A822,"AAAAAG3/vxw=")</f>
        <v>#VALUE!</v>
      </c>
      <c r="AD49" t="e">
        <f>AND(Plan1!B822,"AAAAAG3/vx0=")</f>
        <v>#VALUE!</v>
      </c>
      <c r="AE49" t="e">
        <f>AND(Plan1!C822,"AAAAAG3/vx4=")</f>
        <v>#VALUE!</v>
      </c>
      <c r="AF49" t="e">
        <f>AND(Plan1!D822,"AAAAAG3/vx8=")</f>
        <v>#VALUE!</v>
      </c>
      <c r="AG49" t="e">
        <f>AND(Plan1!E822,"AAAAAG3/vyA=")</f>
        <v>#VALUE!</v>
      </c>
      <c r="AH49" t="e">
        <f>AND(Plan1!F822,"AAAAAG3/vyE=")</f>
        <v>#VALUE!</v>
      </c>
      <c r="AI49" t="e">
        <f>AND(Plan1!G822,"AAAAAG3/vyI=")</f>
        <v>#VALUE!</v>
      </c>
      <c r="AJ49" t="e">
        <f>AND(Plan1!H822,"AAAAAG3/vyM=")</f>
        <v>#VALUE!</v>
      </c>
      <c r="AK49" t="e">
        <f>AND(Plan1!I822,"AAAAAG3/vyQ=")</f>
        <v>#VALUE!</v>
      </c>
      <c r="AL49" t="e">
        <f>AND(Plan1!J822,"AAAAAG3/vyU=")</f>
        <v>#VALUE!</v>
      </c>
      <c r="AM49" t="e">
        <f>AND(Plan1!K822,"AAAAAG3/vyY=")</f>
        <v>#VALUE!</v>
      </c>
      <c r="AN49" t="e">
        <f>AND(Plan1!L822,"AAAAAG3/vyc=")</f>
        <v>#VALUE!</v>
      </c>
      <c r="AO49" t="e">
        <f>AND(Plan1!M822,"AAAAAG3/vyg=")</f>
        <v>#VALUE!</v>
      </c>
      <c r="AP49" t="e">
        <f>AND(Plan1!N822,"AAAAAG3/vyk=")</f>
        <v>#VALUE!</v>
      </c>
      <c r="AQ49">
        <f>IF(Plan1!823:823,"AAAAAG3/vyo=",0)</f>
        <v>0</v>
      </c>
      <c r="AR49" t="e">
        <f>AND(Plan1!A823,"AAAAAG3/vys=")</f>
        <v>#VALUE!</v>
      </c>
      <c r="AS49" t="e">
        <f>AND(Plan1!B823,"AAAAAG3/vyw=")</f>
        <v>#VALUE!</v>
      </c>
      <c r="AT49" t="e">
        <f>AND(Plan1!C823,"AAAAAG3/vy0=")</f>
        <v>#VALUE!</v>
      </c>
      <c r="AU49" t="e">
        <f>AND(Plan1!D823,"AAAAAG3/vy4=")</f>
        <v>#VALUE!</v>
      </c>
      <c r="AV49" t="e">
        <f>AND(Plan1!E823,"AAAAAG3/vy8=")</f>
        <v>#VALUE!</v>
      </c>
      <c r="AW49" t="e">
        <f>AND(Plan1!F823,"AAAAAG3/vzA=")</f>
        <v>#VALUE!</v>
      </c>
      <c r="AX49" t="e">
        <f>AND(Plan1!G823,"AAAAAG3/vzE=")</f>
        <v>#VALUE!</v>
      </c>
      <c r="AY49" t="e">
        <f>AND(Plan1!H823,"AAAAAG3/vzI=")</f>
        <v>#VALUE!</v>
      </c>
      <c r="AZ49" t="e">
        <f>AND(Plan1!I823,"AAAAAG3/vzM=")</f>
        <v>#VALUE!</v>
      </c>
      <c r="BA49" t="e">
        <f>AND(Plan1!J823,"AAAAAG3/vzQ=")</f>
        <v>#VALUE!</v>
      </c>
      <c r="BB49" t="e">
        <f>AND(Plan1!K823,"AAAAAG3/vzU=")</f>
        <v>#VALUE!</v>
      </c>
      <c r="BC49" t="e">
        <f>AND(Plan1!L823,"AAAAAG3/vzY=")</f>
        <v>#VALUE!</v>
      </c>
      <c r="BD49" t="e">
        <f>AND(Plan1!M823,"AAAAAG3/vzc=")</f>
        <v>#VALUE!</v>
      </c>
      <c r="BE49" t="e">
        <f>AND(Plan1!N823,"AAAAAG3/vzg=")</f>
        <v>#VALUE!</v>
      </c>
      <c r="BF49">
        <f>IF(Plan1!824:824,"AAAAAG3/vzk=",0)</f>
        <v>0</v>
      </c>
      <c r="BG49" t="e">
        <f>AND(Plan1!A824,"AAAAAG3/vzo=")</f>
        <v>#VALUE!</v>
      </c>
      <c r="BH49" t="e">
        <f>AND(Plan1!B824,"AAAAAG3/vzs=")</f>
        <v>#VALUE!</v>
      </c>
      <c r="BI49" t="e">
        <f>AND(Plan1!C824,"AAAAAG3/vzw=")</f>
        <v>#VALUE!</v>
      </c>
      <c r="BJ49" t="e">
        <f>AND(Plan1!D824,"AAAAAG3/vz0=")</f>
        <v>#VALUE!</v>
      </c>
      <c r="BK49" t="e">
        <f>AND(Plan1!E824,"AAAAAG3/vz4=")</f>
        <v>#VALUE!</v>
      </c>
      <c r="BL49" t="e">
        <f>AND(Plan1!F824,"AAAAAG3/vz8=")</f>
        <v>#VALUE!</v>
      </c>
      <c r="BM49" t="e">
        <f>AND(Plan1!G824,"AAAAAG3/v0A=")</f>
        <v>#VALUE!</v>
      </c>
      <c r="BN49" t="e">
        <f>AND(Plan1!H824,"AAAAAG3/v0E=")</f>
        <v>#VALUE!</v>
      </c>
      <c r="BO49" t="e">
        <f>AND(Plan1!I824,"AAAAAG3/v0I=")</f>
        <v>#VALUE!</v>
      </c>
      <c r="BP49" t="e">
        <f>AND(Plan1!J824,"AAAAAG3/v0M=")</f>
        <v>#VALUE!</v>
      </c>
      <c r="BQ49" t="e">
        <f>AND(Plan1!K824,"AAAAAG3/v0Q=")</f>
        <v>#VALUE!</v>
      </c>
      <c r="BR49" t="e">
        <f>AND(Plan1!L824,"AAAAAG3/v0U=")</f>
        <v>#VALUE!</v>
      </c>
      <c r="BS49" t="e">
        <f>AND(Plan1!M824,"AAAAAG3/v0Y=")</f>
        <v>#VALUE!</v>
      </c>
      <c r="BT49" t="e">
        <f>AND(Plan1!N824,"AAAAAG3/v0c=")</f>
        <v>#VALUE!</v>
      </c>
      <c r="BU49">
        <f>IF(Plan1!825:825,"AAAAAG3/v0g=",0)</f>
        <v>0</v>
      </c>
      <c r="BV49" t="e">
        <f>AND(Plan1!A825,"AAAAAG3/v0k=")</f>
        <v>#VALUE!</v>
      </c>
      <c r="BW49" t="e">
        <f>AND(Plan1!B825,"AAAAAG3/v0o=")</f>
        <v>#VALUE!</v>
      </c>
      <c r="BX49" t="e">
        <f>AND(Plan1!C825,"AAAAAG3/v0s=")</f>
        <v>#VALUE!</v>
      </c>
      <c r="BY49" t="e">
        <f>AND(Plan1!D825,"AAAAAG3/v0w=")</f>
        <v>#VALUE!</v>
      </c>
      <c r="BZ49" t="e">
        <f>AND(Plan1!E825,"AAAAAG3/v00=")</f>
        <v>#VALUE!</v>
      </c>
      <c r="CA49" t="e">
        <f>AND(Plan1!F825,"AAAAAG3/v04=")</f>
        <v>#VALUE!</v>
      </c>
      <c r="CB49" t="e">
        <f>AND(Plan1!G825,"AAAAAG3/v08=")</f>
        <v>#VALUE!</v>
      </c>
      <c r="CC49" t="e">
        <f>AND(Plan1!H825,"AAAAAG3/v1A=")</f>
        <v>#VALUE!</v>
      </c>
      <c r="CD49" t="e">
        <f>AND(Plan1!I825,"AAAAAG3/v1E=")</f>
        <v>#VALUE!</v>
      </c>
      <c r="CE49" t="e">
        <f>AND(Plan1!J825,"AAAAAG3/v1I=")</f>
        <v>#VALUE!</v>
      </c>
      <c r="CF49" t="e">
        <f>AND(Plan1!K825,"AAAAAG3/v1M=")</f>
        <v>#VALUE!</v>
      </c>
      <c r="CG49" t="e">
        <f>AND(Plan1!L825,"AAAAAG3/v1Q=")</f>
        <v>#VALUE!</v>
      </c>
      <c r="CH49" t="e">
        <f>AND(Plan1!M825,"AAAAAG3/v1U=")</f>
        <v>#VALUE!</v>
      </c>
      <c r="CI49" t="e">
        <f>AND(Plan1!N825,"AAAAAG3/v1Y=")</f>
        <v>#VALUE!</v>
      </c>
      <c r="CJ49">
        <f>IF(Plan1!826:826,"AAAAAG3/v1c=",0)</f>
        <v>0</v>
      </c>
      <c r="CK49" t="e">
        <f>AND(Plan1!A826,"AAAAAG3/v1g=")</f>
        <v>#VALUE!</v>
      </c>
      <c r="CL49" t="e">
        <f>AND(Plan1!B826,"AAAAAG3/v1k=")</f>
        <v>#VALUE!</v>
      </c>
      <c r="CM49" t="e">
        <f>AND(Plan1!C826,"AAAAAG3/v1o=")</f>
        <v>#VALUE!</v>
      </c>
      <c r="CN49" t="e">
        <f>AND(Plan1!D826,"AAAAAG3/v1s=")</f>
        <v>#VALUE!</v>
      </c>
      <c r="CO49" t="e">
        <f>AND(Plan1!E826,"AAAAAG3/v1w=")</f>
        <v>#VALUE!</v>
      </c>
      <c r="CP49" t="e">
        <f>AND(Plan1!F826,"AAAAAG3/v10=")</f>
        <v>#VALUE!</v>
      </c>
      <c r="CQ49" t="e">
        <f>AND(Plan1!G826,"AAAAAG3/v14=")</f>
        <v>#VALUE!</v>
      </c>
      <c r="CR49" t="e">
        <f>AND(Plan1!H826,"AAAAAG3/v18=")</f>
        <v>#VALUE!</v>
      </c>
      <c r="CS49" t="e">
        <f>AND(Plan1!I826,"AAAAAG3/v2A=")</f>
        <v>#VALUE!</v>
      </c>
      <c r="CT49" t="e">
        <f>AND(Plan1!J826,"AAAAAG3/v2E=")</f>
        <v>#VALUE!</v>
      </c>
      <c r="CU49" t="e">
        <f>AND(Plan1!K826,"AAAAAG3/v2I=")</f>
        <v>#VALUE!</v>
      </c>
      <c r="CV49" t="e">
        <f>AND(Plan1!L826,"AAAAAG3/v2M=")</f>
        <v>#VALUE!</v>
      </c>
      <c r="CW49" t="e">
        <f>AND(Plan1!M826,"AAAAAG3/v2Q=")</f>
        <v>#VALUE!</v>
      </c>
      <c r="CX49" t="e">
        <f>AND(Plan1!N826,"AAAAAG3/v2U=")</f>
        <v>#VALUE!</v>
      </c>
      <c r="CY49">
        <f>IF(Plan1!827:827,"AAAAAG3/v2Y=",0)</f>
        <v>0</v>
      </c>
      <c r="CZ49" t="e">
        <f>AND(Plan1!A827,"AAAAAG3/v2c=")</f>
        <v>#VALUE!</v>
      </c>
      <c r="DA49" t="e">
        <f>AND(Plan1!B827,"AAAAAG3/v2g=")</f>
        <v>#VALUE!</v>
      </c>
      <c r="DB49" t="e">
        <f>AND(Plan1!C827,"AAAAAG3/v2k=")</f>
        <v>#VALUE!</v>
      </c>
      <c r="DC49" t="e">
        <f>AND(Plan1!D827,"AAAAAG3/v2o=")</f>
        <v>#VALUE!</v>
      </c>
      <c r="DD49" t="e">
        <f>AND(Plan1!E827,"AAAAAG3/v2s=")</f>
        <v>#VALUE!</v>
      </c>
      <c r="DE49" t="e">
        <f>AND(Plan1!F827,"AAAAAG3/v2w=")</f>
        <v>#VALUE!</v>
      </c>
      <c r="DF49" t="e">
        <f>AND(Plan1!G827,"AAAAAG3/v20=")</f>
        <v>#VALUE!</v>
      </c>
      <c r="DG49" t="e">
        <f>AND(Plan1!H827,"AAAAAG3/v24=")</f>
        <v>#VALUE!</v>
      </c>
      <c r="DH49" t="e">
        <f>AND(Plan1!I827,"AAAAAG3/v28=")</f>
        <v>#VALUE!</v>
      </c>
      <c r="DI49" t="e">
        <f>AND(Plan1!J827,"AAAAAG3/v3A=")</f>
        <v>#VALUE!</v>
      </c>
      <c r="DJ49" t="e">
        <f>AND(Plan1!K827,"AAAAAG3/v3E=")</f>
        <v>#VALUE!</v>
      </c>
      <c r="DK49" t="e">
        <f>AND(Plan1!L827,"AAAAAG3/v3I=")</f>
        <v>#VALUE!</v>
      </c>
      <c r="DL49" t="e">
        <f>AND(Plan1!M827,"AAAAAG3/v3M=")</f>
        <v>#VALUE!</v>
      </c>
      <c r="DM49" t="e">
        <f>AND(Plan1!N827,"AAAAAG3/v3Q=")</f>
        <v>#VALUE!</v>
      </c>
      <c r="DN49">
        <f>IF(Plan1!828:828,"AAAAAG3/v3U=",0)</f>
        <v>0</v>
      </c>
      <c r="DO49" t="e">
        <f>AND(Plan1!A828,"AAAAAG3/v3Y=")</f>
        <v>#VALUE!</v>
      </c>
      <c r="DP49" t="e">
        <f>AND(Plan1!B828,"AAAAAG3/v3c=")</f>
        <v>#VALUE!</v>
      </c>
      <c r="DQ49" t="e">
        <f>AND(Plan1!C828,"AAAAAG3/v3g=")</f>
        <v>#VALUE!</v>
      </c>
      <c r="DR49" t="e">
        <f>AND(Plan1!D828,"AAAAAG3/v3k=")</f>
        <v>#VALUE!</v>
      </c>
      <c r="DS49" t="e">
        <f>AND(Plan1!E828,"AAAAAG3/v3o=")</f>
        <v>#VALUE!</v>
      </c>
      <c r="DT49" t="e">
        <f>AND(Plan1!F828,"AAAAAG3/v3s=")</f>
        <v>#VALUE!</v>
      </c>
      <c r="DU49" t="e">
        <f>AND(Plan1!G828,"AAAAAG3/v3w=")</f>
        <v>#VALUE!</v>
      </c>
      <c r="DV49" t="e">
        <f>AND(Plan1!H828,"AAAAAG3/v30=")</f>
        <v>#VALUE!</v>
      </c>
      <c r="DW49" t="e">
        <f>AND(Plan1!I828,"AAAAAG3/v34=")</f>
        <v>#VALUE!</v>
      </c>
      <c r="DX49" t="e">
        <f>AND(Plan1!J828,"AAAAAG3/v38=")</f>
        <v>#VALUE!</v>
      </c>
      <c r="DY49" t="e">
        <f>AND(Plan1!K828,"AAAAAG3/v4A=")</f>
        <v>#VALUE!</v>
      </c>
      <c r="DZ49" t="e">
        <f>AND(Plan1!L828,"AAAAAG3/v4E=")</f>
        <v>#VALUE!</v>
      </c>
      <c r="EA49" t="e">
        <f>AND(Plan1!M828,"AAAAAG3/v4I=")</f>
        <v>#VALUE!</v>
      </c>
      <c r="EB49" t="e">
        <f>AND(Plan1!N828,"AAAAAG3/v4M=")</f>
        <v>#VALUE!</v>
      </c>
      <c r="EC49">
        <f>IF(Plan1!829:829,"AAAAAG3/v4Q=",0)</f>
        <v>0</v>
      </c>
      <c r="ED49" t="e">
        <f>AND(Plan1!A829,"AAAAAG3/v4U=")</f>
        <v>#VALUE!</v>
      </c>
      <c r="EE49" t="e">
        <f>AND(Plan1!B829,"AAAAAG3/v4Y=")</f>
        <v>#VALUE!</v>
      </c>
      <c r="EF49" t="e">
        <f>AND(Plan1!C829,"AAAAAG3/v4c=")</f>
        <v>#VALUE!</v>
      </c>
      <c r="EG49" t="e">
        <f>AND(Plan1!D829,"AAAAAG3/v4g=")</f>
        <v>#VALUE!</v>
      </c>
      <c r="EH49" t="e">
        <f>AND(Plan1!E829,"AAAAAG3/v4k=")</f>
        <v>#VALUE!</v>
      </c>
      <c r="EI49" t="e">
        <f>AND(Plan1!F829,"AAAAAG3/v4o=")</f>
        <v>#VALUE!</v>
      </c>
      <c r="EJ49" t="e">
        <f>AND(Plan1!G829,"AAAAAG3/v4s=")</f>
        <v>#VALUE!</v>
      </c>
      <c r="EK49" t="e">
        <f>AND(Plan1!H829,"AAAAAG3/v4w=")</f>
        <v>#VALUE!</v>
      </c>
      <c r="EL49" t="e">
        <f>AND(Plan1!I829,"AAAAAG3/v40=")</f>
        <v>#VALUE!</v>
      </c>
      <c r="EM49" t="e">
        <f>AND(Plan1!J829,"AAAAAG3/v44=")</f>
        <v>#VALUE!</v>
      </c>
      <c r="EN49" t="e">
        <f>AND(Plan1!K829,"AAAAAG3/v48=")</f>
        <v>#VALUE!</v>
      </c>
      <c r="EO49" t="e">
        <f>AND(Plan1!L829,"AAAAAG3/v5A=")</f>
        <v>#VALUE!</v>
      </c>
      <c r="EP49" t="e">
        <f>AND(Plan1!M829,"AAAAAG3/v5E=")</f>
        <v>#VALUE!</v>
      </c>
      <c r="EQ49" t="e">
        <f>AND(Plan1!N829,"AAAAAG3/v5I=")</f>
        <v>#VALUE!</v>
      </c>
      <c r="ER49">
        <f>IF(Plan1!830:830,"AAAAAG3/v5M=",0)</f>
        <v>0</v>
      </c>
      <c r="ES49" t="e">
        <f>AND(Plan1!A830,"AAAAAG3/v5Q=")</f>
        <v>#VALUE!</v>
      </c>
      <c r="ET49" t="e">
        <f>AND(Plan1!B830,"AAAAAG3/v5U=")</f>
        <v>#VALUE!</v>
      </c>
      <c r="EU49" t="e">
        <f>AND(Plan1!C830,"AAAAAG3/v5Y=")</f>
        <v>#VALUE!</v>
      </c>
      <c r="EV49" t="e">
        <f>AND(Plan1!D830,"AAAAAG3/v5c=")</f>
        <v>#VALUE!</v>
      </c>
      <c r="EW49" t="e">
        <f>AND(Plan1!E830,"AAAAAG3/v5g=")</f>
        <v>#VALUE!</v>
      </c>
      <c r="EX49" t="e">
        <f>AND(Plan1!F830,"AAAAAG3/v5k=")</f>
        <v>#VALUE!</v>
      </c>
      <c r="EY49" t="e">
        <f>AND(Plan1!G830,"AAAAAG3/v5o=")</f>
        <v>#VALUE!</v>
      </c>
      <c r="EZ49" t="e">
        <f>AND(Plan1!H830,"AAAAAG3/v5s=")</f>
        <v>#VALUE!</v>
      </c>
      <c r="FA49" t="e">
        <f>AND(Plan1!I830,"AAAAAG3/v5w=")</f>
        <v>#VALUE!</v>
      </c>
      <c r="FB49" t="e">
        <f>AND(Plan1!J830,"AAAAAG3/v50=")</f>
        <v>#VALUE!</v>
      </c>
      <c r="FC49" t="e">
        <f>AND(Plan1!K830,"AAAAAG3/v54=")</f>
        <v>#VALUE!</v>
      </c>
      <c r="FD49" t="e">
        <f>AND(Plan1!L830,"AAAAAG3/v58=")</f>
        <v>#VALUE!</v>
      </c>
      <c r="FE49" t="e">
        <f>AND(Plan1!M830,"AAAAAG3/v6A=")</f>
        <v>#VALUE!</v>
      </c>
      <c r="FF49" t="e">
        <f>AND(Plan1!N830,"AAAAAG3/v6E=")</f>
        <v>#VALUE!</v>
      </c>
      <c r="FG49">
        <f>IF(Plan1!831:831,"AAAAAG3/v6I=",0)</f>
        <v>0</v>
      </c>
      <c r="FH49" t="e">
        <f>AND(Plan1!A831,"AAAAAG3/v6M=")</f>
        <v>#VALUE!</v>
      </c>
      <c r="FI49" t="e">
        <f>AND(Plan1!B831,"AAAAAG3/v6Q=")</f>
        <v>#VALUE!</v>
      </c>
      <c r="FJ49" t="e">
        <f>AND(Plan1!C831,"AAAAAG3/v6U=")</f>
        <v>#VALUE!</v>
      </c>
      <c r="FK49" t="e">
        <f>AND(Plan1!D831,"AAAAAG3/v6Y=")</f>
        <v>#VALUE!</v>
      </c>
      <c r="FL49" t="e">
        <f>AND(Plan1!E831,"AAAAAG3/v6c=")</f>
        <v>#VALUE!</v>
      </c>
      <c r="FM49" t="e">
        <f>AND(Plan1!F831,"AAAAAG3/v6g=")</f>
        <v>#VALUE!</v>
      </c>
      <c r="FN49" t="e">
        <f>AND(Plan1!G831,"AAAAAG3/v6k=")</f>
        <v>#VALUE!</v>
      </c>
      <c r="FO49" t="e">
        <f>AND(Plan1!H831,"AAAAAG3/v6o=")</f>
        <v>#VALUE!</v>
      </c>
      <c r="FP49" t="e">
        <f>AND(Plan1!I831,"AAAAAG3/v6s=")</f>
        <v>#VALUE!</v>
      </c>
      <c r="FQ49" t="e">
        <f>AND(Plan1!J831,"AAAAAG3/v6w=")</f>
        <v>#VALUE!</v>
      </c>
      <c r="FR49" t="e">
        <f>AND(Plan1!K831,"AAAAAG3/v60=")</f>
        <v>#VALUE!</v>
      </c>
      <c r="FS49" t="e">
        <f>AND(Plan1!L831,"AAAAAG3/v64=")</f>
        <v>#VALUE!</v>
      </c>
      <c r="FT49" t="e">
        <f>AND(Plan1!M831,"AAAAAG3/v68=")</f>
        <v>#VALUE!</v>
      </c>
      <c r="FU49" t="e">
        <f>AND(Plan1!N831,"AAAAAG3/v7A=")</f>
        <v>#VALUE!</v>
      </c>
      <c r="FV49">
        <f>IF(Plan1!832:832,"AAAAAG3/v7E=",0)</f>
        <v>0</v>
      </c>
      <c r="FW49" t="e">
        <f>AND(Plan1!A832,"AAAAAG3/v7I=")</f>
        <v>#VALUE!</v>
      </c>
      <c r="FX49" t="e">
        <f>AND(Plan1!B832,"AAAAAG3/v7M=")</f>
        <v>#VALUE!</v>
      </c>
      <c r="FY49" t="e">
        <f>AND(Plan1!C832,"AAAAAG3/v7Q=")</f>
        <v>#VALUE!</v>
      </c>
      <c r="FZ49" t="e">
        <f>AND(Plan1!D832,"AAAAAG3/v7U=")</f>
        <v>#VALUE!</v>
      </c>
      <c r="GA49" t="e">
        <f>AND(Plan1!E832,"AAAAAG3/v7Y=")</f>
        <v>#VALUE!</v>
      </c>
      <c r="GB49" t="e">
        <f>AND(Plan1!F832,"AAAAAG3/v7c=")</f>
        <v>#VALUE!</v>
      </c>
      <c r="GC49" t="e">
        <f>AND(Plan1!G832,"AAAAAG3/v7g=")</f>
        <v>#VALUE!</v>
      </c>
      <c r="GD49" t="e">
        <f>AND(Plan1!H832,"AAAAAG3/v7k=")</f>
        <v>#VALUE!</v>
      </c>
      <c r="GE49" t="e">
        <f>AND(Plan1!I832,"AAAAAG3/v7o=")</f>
        <v>#VALUE!</v>
      </c>
      <c r="GF49" t="e">
        <f>AND(Plan1!J832,"AAAAAG3/v7s=")</f>
        <v>#VALUE!</v>
      </c>
      <c r="GG49" t="e">
        <f>AND(Plan1!K832,"AAAAAG3/v7w=")</f>
        <v>#VALUE!</v>
      </c>
      <c r="GH49" t="e">
        <f>AND(Plan1!L832,"AAAAAG3/v70=")</f>
        <v>#VALUE!</v>
      </c>
      <c r="GI49" t="e">
        <f>AND(Plan1!M832,"AAAAAG3/v74=")</f>
        <v>#VALUE!</v>
      </c>
      <c r="GJ49" t="e">
        <f>AND(Plan1!N832,"AAAAAG3/v78=")</f>
        <v>#VALUE!</v>
      </c>
      <c r="GK49">
        <f>IF(Plan1!833:833,"AAAAAG3/v8A=",0)</f>
        <v>0</v>
      </c>
      <c r="GL49" t="e">
        <f>AND(Plan1!A833,"AAAAAG3/v8E=")</f>
        <v>#VALUE!</v>
      </c>
      <c r="GM49" t="e">
        <f>AND(Plan1!B833,"AAAAAG3/v8I=")</f>
        <v>#VALUE!</v>
      </c>
      <c r="GN49" t="e">
        <f>AND(Plan1!C833,"AAAAAG3/v8M=")</f>
        <v>#VALUE!</v>
      </c>
      <c r="GO49" t="e">
        <f>AND(Plan1!D833,"AAAAAG3/v8Q=")</f>
        <v>#VALUE!</v>
      </c>
      <c r="GP49" t="e">
        <f>AND(Plan1!E833,"AAAAAG3/v8U=")</f>
        <v>#VALUE!</v>
      </c>
      <c r="GQ49" t="e">
        <f>AND(Plan1!F833,"AAAAAG3/v8Y=")</f>
        <v>#VALUE!</v>
      </c>
      <c r="GR49" t="e">
        <f>AND(Plan1!G833,"AAAAAG3/v8c=")</f>
        <v>#VALUE!</v>
      </c>
      <c r="GS49" t="e">
        <f>AND(Plan1!H833,"AAAAAG3/v8g=")</f>
        <v>#VALUE!</v>
      </c>
      <c r="GT49" t="e">
        <f>AND(Plan1!I833,"AAAAAG3/v8k=")</f>
        <v>#VALUE!</v>
      </c>
      <c r="GU49" t="e">
        <f>AND(Plan1!J833,"AAAAAG3/v8o=")</f>
        <v>#VALUE!</v>
      </c>
      <c r="GV49" t="e">
        <f>AND(Plan1!K833,"AAAAAG3/v8s=")</f>
        <v>#VALUE!</v>
      </c>
      <c r="GW49" t="e">
        <f>AND(Plan1!L833,"AAAAAG3/v8w=")</f>
        <v>#VALUE!</v>
      </c>
      <c r="GX49" t="e">
        <f>AND(Plan1!M833,"AAAAAG3/v80=")</f>
        <v>#VALUE!</v>
      </c>
      <c r="GY49" t="e">
        <f>AND(Plan1!N833,"AAAAAG3/v84=")</f>
        <v>#VALUE!</v>
      </c>
      <c r="GZ49">
        <f>IF(Plan1!834:834,"AAAAAG3/v88=",0)</f>
        <v>0</v>
      </c>
      <c r="HA49" t="e">
        <f>AND(Plan1!A834,"AAAAAG3/v9A=")</f>
        <v>#VALUE!</v>
      </c>
      <c r="HB49" t="e">
        <f>AND(Plan1!B834,"AAAAAG3/v9E=")</f>
        <v>#VALUE!</v>
      </c>
      <c r="HC49" t="e">
        <f>AND(Plan1!C834,"AAAAAG3/v9I=")</f>
        <v>#VALUE!</v>
      </c>
      <c r="HD49" t="e">
        <f>AND(Plan1!D834,"AAAAAG3/v9M=")</f>
        <v>#VALUE!</v>
      </c>
      <c r="HE49" t="e">
        <f>AND(Plan1!E834,"AAAAAG3/v9Q=")</f>
        <v>#VALUE!</v>
      </c>
      <c r="HF49" t="e">
        <f>AND(Plan1!F834,"AAAAAG3/v9U=")</f>
        <v>#VALUE!</v>
      </c>
      <c r="HG49" t="e">
        <f>AND(Plan1!G834,"AAAAAG3/v9Y=")</f>
        <v>#VALUE!</v>
      </c>
      <c r="HH49" t="e">
        <f>AND(Plan1!H834,"AAAAAG3/v9c=")</f>
        <v>#VALUE!</v>
      </c>
      <c r="HI49" t="e">
        <f>AND(Plan1!I834,"AAAAAG3/v9g=")</f>
        <v>#VALUE!</v>
      </c>
      <c r="HJ49" t="e">
        <f>AND(Plan1!J834,"AAAAAG3/v9k=")</f>
        <v>#VALUE!</v>
      </c>
      <c r="HK49" t="e">
        <f>AND(Plan1!K834,"AAAAAG3/v9o=")</f>
        <v>#VALUE!</v>
      </c>
      <c r="HL49" t="e">
        <f>AND(Plan1!L834,"AAAAAG3/v9s=")</f>
        <v>#VALUE!</v>
      </c>
      <c r="HM49" t="e">
        <f>AND(Plan1!M834,"AAAAAG3/v9w=")</f>
        <v>#VALUE!</v>
      </c>
      <c r="HN49" t="e">
        <f>AND(Plan1!N834,"AAAAAG3/v90=")</f>
        <v>#VALUE!</v>
      </c>
      <c r="HO49">
        <f>IF(Plan1!835:835,"AAAAAG3/v94=",0)</f>
        <v>0</v>
      </c>
      <c r="HP49" t="e">
        <f>AND(Plan1!A835,"AAAAAG3/v98=")</f>
        <v>#VALUE!</v>
      </c>
      <c r="HQ49" t="e">
        <f>AND(Plan1!B835,"AAAAAG3/v+A=")</f>
        <v>#VALUE!</v>
      </c>
      <c r="HR49" t="e">
        <f>AND(Plan1!C835,"AAAAAG3/v+E=")</f>
        <v>#VALUE!</v>
      </c>
      <c r="HS49" t="e">
        <f>AND(Plan1!D835,"AAAAAG3/v+I=")</f>
        <v>#VALUE!</v>
      </c>
      <c r="HT49" t="e">
        <f>AND(Plan1!E835,"AAAAAG3/v+M=")</f>
        <v>#VALUE!</v>
      </c>
      <c r="HU49" t="e">
        <f>AND(Plan1!F835,"AAAAAG3/v+Q=")</f>
        <v>#VALUE!</v>
      </c>
      <c r="HV49" t="e">
        <f>AND(Plan1!G835,"AAAAAG3/v+U=")</f>
        <v>#VALUE!</v>
      </c>
      <c r="HW49" t="e">
        <f>AND(Plan1!H835,"AAAAAG3/v+Y=")</f>
        <v>#VALUE!</v>
      </c>
      <c r="HX49" t="e">
        <f>AND(Plan1!I835,"AAAAAG3/v+c=")</f>
        <v>#VALUE!</v>
      </c>
      <c r="HY49" t="e">
        <f>AND(Plan1!J835,"AAAAAG3/v+g=")</f>
        <v>#VALUE!</v>
      </c>
      <c r="HZ49" t="e">
        <f>AND(Plan1!K835,"AAAAAG3/v+k=")</f>
        <v>#VALUE!</v>
      </c>
      <c r="IA49" t="e">
        <f>AND(Plan1!L835,"AAAAAG3/v+o=")</f>
        <v>#VALUE!</v>
      </c>
      <c r="IB49" t="e">
        <f>AND(Plan1!M835,"AAAAAG3/v+s=")</f>
        <v>#VALUE!</v>
      </c>
      <c r="IC49" t="e">
        <f>AND(Plan1!N835,"AAAAAG3/v+w=")</f>
        <v>#VALUE!</v>
      </c>
      <c r="ID49">
        <f>IF(Plan1!836:836,"AAAAAG3/v+0=",0)</f>
        <v>0</v>
      </c>
      <c r="IE49" t="e">
        <f>AND(Plan1!A836,"AAAAAG3/v+4=")</f>
        <v>#VALUE!</v>
      </c>
      <c r="IF49" t="e">
        <f>AND(Plan1!B836,"AAAAAG3/v+8=")</f>
        <v>#VALUE!</v>
      </c>
      <c r="IG49" t="e">
        <f>AND(Plan1!C836,"AAAAAG3/v/A=")</f>
        <v>#VALUE!</v>
      </c>
      <c r="IH49" t="e">
        <f>AND(Plan1!D836,"AAAAAG3/v/E=")</f>
        <v>#VALUE!</v>
      </c>
      <c r="II49" t="e">
        <f>AND(Plan1!E836,"AAAAAG3/v/I=")</f>
        <v>#VALUE!</v>
      </c>
      <c r="IJ49" t="e">
        <f>AND(Plan1!F836,"AAAAAG3/v/M=")</f>
        <v>#VALUE!</v>
      </c>
      <c r="IK49" t="e">
        <f>AND(Plan1!G836,"AAAAAG3/v/Q=")</f>
        <v>#VALUE!</v>
      </c>
      <c r="IL49" t="e">
        <f>AND(Plan1!H836,"AAAAAG3/v/U=")</f>
        <v>#VALUE!</v>
      </c>
      <c r="IM49" t="e">
        <f>AND(Plan1!I836,"AAAAAG3/v/Y=")</f>
        <v>#VALUE!</v>
      </c>
      <c r="IN49" t="e">
        <f>AND(Plan1!J836,"AAAAAG3/v/c=")</f>
        <v>#VALUE!</v>
      </c>
      <c r="IO49" t="e">
        <f>AND(Plan1!K836,"AAAAAG3/v/g=")</f>
        <v>#VALUE!</v>
      </c>
      <c r="IP49" t="e">
        <f>AND(Plan1!L836,"AAAAAG3/v/k=")</f>
        <v>#VALUE!</v>
      </c>
      <c r="IQ49" t="e">
        <f>AND(Plan1!M836,"AAAAAG3/v/o=")</f>
        <v>#VALUE!</v>
      </c>
      <c r="IR49" t="e">
        <f>AND(Plan1!N836,"AAAAAG3/v/s=")</f>
        <v>#VALUE!</v>
      </c>
      <c r="IS49">
        <f>IF(Plan1!837:837,"AAAAAG3/v/w=",0)</f>
        <v>0</v>
      </c>
      <c r="IT49" t="e">
        <f>AND(Plan1!A837,"AAAAAG3/v/0=")</f>
        <v>#VALUE!</v>
      </c>
      <c r="IU49" t="e">
        <f>AND(Plan1!B837,"AAAAAG3/v/4=")</f>
        <v>#VALUE!</v>
      </c>
      <c r="IV49" t="e">
        <f>AND(Plan1!C837,"AAAAAG3/v/8=")</f>
        <v>#VALUE!</v>
      </c>
    </row>
    <row r="50" spans="1:256">
      <c r="A50" t="e">
        <f>AND(Plan1!D837,"AAAAAH5v/QA=")</f>
        <v>#VALUE!</v>
      </c>
      <c r="B50" t="e">
        <f>AND(Plan1!E837,"AAAAAH5v/QE=")</f>
        <v>#VALUE!</v>
      </c>
      <c r="C50" t="e">
        <f>AND(Plan1!F837,"AAAAAH5v/QI=")</f>
        <v>#VALUE!</v>
      </c>
      <c r="D50" t="e">
        <f>AND(Plan1!G837,"AAAAAH5v/QM=")</f>
        <v>#VALUE!</v>
      </c>
      <c r="E50" t="e">
        <f>AND(Plan1!H837,"AAAAAH5v/QQ=")</f>
        <v>#VALUE!</v>
      </c>
      <c r="F50" t="e">
        <f>AND(Plan1!I837,"AAAAAH5v/QU=")</f>
        <v>#VALUE!</v>
      </c>
      <c r="G50" t="e">
        <f>AND(Plan1!J837,"AAAAAH5v/QY=")</f>
        <v>#VALUE!</v>
      </c>
      <c r="H50" t="e">
        <f>AND(Plan1!K837,"AAAAAH5v/Qc=")</f>
        <v>#VALUE!</v>
      </c>
      <c r="I50" t="e">
        <f>AND(Plan1!L837,"AAAAAH5v/Qg=")</f>
        <v>#VALUE!</v>
      </c>
      <c r="J50" t="e">
        <f>AND(Plan1!M837,"AAAAAH5v/Qk=")</f>
        <v>#VALUE!</v>
      </c>
      <c r="K50" t="e">
        <f>AND(Plan1!N837,"AAAAAH5v/Qo=")</f>
        <v>#VALUE!</v>
      </c>
      <c r="L50" t="e">
        <f>IF(Plan1!838:838,"AAAAAH5v/Qs=",0)</f>
        <v>#VALUE!</v>
      </c>
      <c r="M50" t="e">
        <f>AND(Plan1!A838,"AAAAAH5v/Qw=")</f>
        <v>#VALUE!</v>
      </c>
      <c r="N50" t="e">
        <f>AND(Plan1!B838,"AAAAAH5v/Q0=")</f>
        <v>#VALUE!</v>
      </c>
      <c r="O50" t="e">
        <f>AND(Plan1!C838,"AAAAAH5v/Q4=")</f>
        <v>#VALUE!</v>
      </c>
      <c r="P50" t="e">
        <f>AND(Plan1!D838,"AAAAAH5v/Q8=")</f>
        <v>#VALUE!</v>
      </c>
      <c r="Q50" t="e">
        <f>AND(Plan1!E838,"AAAAAH5v/RA=")</f>
        <v>#VALUE!</v>
      </c>
      <c r="R50" t="e">
        <f>AND(Plan1!F838,"AAAAAH5v/RE=")</f>
        <v>#VALUE!</v>
      </c>
      <c r="S50" t="e">
        <f>AND(Plan1!G838,"AAAAAH5v/RI=")</f>
        <v>#VALUE!</v>
      </c>
      <c r="T50" t="e">
        <f>AND(Plan1!H838,"AAAAAH5v/RM=")</f>
        <v>#VALUE!</v>
      </c>
      <c r="U50" t="e">
        <f>AND(Plan1!I838,"AAAAAH5v/RQ=")</f>
        <v>#VALUE!</v>
      </c>
      <c r="V50" t="e">
        <f>AND(Plan1!J838,"AAAAAH5v/RU=")</f>
        <v>#VALUE!</v>
      </c>
      <c r="W50" t="e">
        <f>AND(Plan1!K838,"AAAAAH5v/RY=")</f>
        <v>#VALUE!</v>
      </c>
      <c r="X50" t="e">
        <f>AND(Plan1!L838,"AAAAAH5v/Rc=")</f>
        <v>#VALUE!</v>
      </c>
      <c r="Y50" t="e">
        <f>AND(Plan1!M838,"AAAAAH5v/Rg=")</f>
        <v>#VALUE!</v>
      </c>
      <c r="Z50" t="e">
        <f>AND(Plan1!N838,"AAAAAH5v/Rk=")</f>
        <v>#VALUE!</v>
      </c>
      <c r="AA50">
        <f>IF(Plan1!839:839,"AAAAAH5v/Ro=",0)</f>
        <v>0</v>
      </c>
      <c r="AB50" t="e">
        <f>AND(Plan1!A839,"AAAAAH5v/Rs=")</f>
        <v>#VALUE!</v>
      </c>
      <c r="AC50" t="e">
        <f>AND(Plan1!B839,"AAAAAH5v/Rw=")</f>
        <v>#VALUE!</v>
      </c>
      <c r="AD50" t="e">
        <f>AND(Plan1!C839,"AAAAAH5v/R0=")</f>
        <v>#VALUE!</v>
      </c>
      <c r="AE50" t="e">
        <f>AND(Plan1!D839,"AAAAAH5v/R4=")</f>
        <v>#VALUE!</v>
      </c>
      <c r="AF50" t="e">
        <f>AND(Plan1!E839,"AAAAAH5v/R8=")</f>
        <v>#VALUE!</v>
      </c>
      <c r="AG50" t="e">
        <f>AND(Plan1!F839,"AAAAAH5v/SA=")</f>
        <v>#VALUE!</v>
      </c>
      <c r="AH50" t="e">
        <f>AND(Plan1!G839,"AAAAAH5v/SE=")</f>
        <v>#VALUE!</v>
      </c>
      <c r="AI50" t="e">
        <f>AND(Plan1!H839,"AAAAAH5v/SI=")</f>
        <v>#VALUE!</v>
      </c>
      <c r="AJ50" t="e">
        <f>AND(Plan1!I839,"AAAAAH5v/SM=")</f>
        <v>#VALUE!</v>
      </c>
      <c r="AK50" t="e">
        <f>AND(Plan1!J839,"AAAAAH5v/SQ=")</f>
        <v>#VALUE!</v>
      </c>
      <c r="AL50" t="e">
        <f>AND(Plan1!K839,"AAAAAH5v/SU=")</f>
        <v>#VALUE!</v>
      </c>
      <c r="AM50" t="e">
        <f>AND(Plan1!L839,"AAAAAH5v/SY=")</f>
        <v>#VALUE!</v>
      </c>
      <c r="AN50" t="e">
        <f>AND(Plan1!M839,"AAAAAH5v/Sc=")</f>
        <v>#VALUE!</v>
      </c>
      <c r="AO50" t="e">
        <f>AND(Plan1!N839,"AAAAAH5v/Sg=")</f>
        <v>#VALUE!</v>
      </c>
      <c r="AP50">
        <f>IF(Plan1!840:840,"AAAAAH5v/Sk=",0)</f>
        <v>0</v>
      </c>
      <c r="AQ50" t="e">
        <f>AND(Plan1!A840,"AAAAAH5v/So=")</f>
        <v>#VALUE!</v>
      </c>
      <c r="AR50" t="e">
        <f>AND(Plan1!B840,"AAAAAH5v/Ss=")</f>
        <v>#VALUE!</v>
      </c>
      <c r="AS50" t="e">
        <f>AND(Plan1!C840,"AAAAAH5v/Sw=")</f>
        <v>#VALUE!</v>
      </c>
      <c r="AT50" t="e">
        <f>AND(Plan1!D840,"AAAAAH5v/S0=")</f>
        <v>#VALUE!</v>
      </c>
      <c r="AU50" t="e">
        <f>AND(Plan1!E840,"AAAAAH5v/S4=")</f>
        <v>#VALUE!</v>
      </c>
      <c r="AV50" t="e">
        <f>AND(Plan1!F840,"AAAAAH5v/S8=")</f>
        <v>#VALUE!</v>
      </c>
      <c r="AW50" t="e">
        <f>AND(Plan1!G840,"AAAAAH5v/TA=")</f>
        <v>#VALUE!</v>
      </c>
      <c r="AX50" t="e">
        <f>AND(Plan1!H840,"AAAAAH5v/TE=")</f>
        <v>#VALUE!</v>
      </c>
      <c r="AY50" t="e">
        <f>AND(Plan1!I840,"AAAAAH5v/TI=")</f>
        <v>#VALUE!</v>
      </c>
      <c r="AZ50" t="e">
        <f>AND(Plan1!J840,"AAAAAH5v/TM=")</f>
        <v>#VALUE!</v>
      </c>
      <c r="BA50" t="e">
        <f>AND(Plan1!K840,"AAAAAH5v/TQ=")</f>
        <v>#VALUE!</v>
      </c>
      <c r="BB50" t="e">
        <f>AND(Plan1!L840,"AAAAAH5v/TU=")</f>
        <v>#VALUE!</v>
      </c>
      <c r="BC50" t="e">
        <f>AND(Plan1!M840,"AAAAAH5v/TY=")</f>
        <v>#VALUE!</v>
      </c>
      <c r="BD50" t="e">
        <f>AND(Plan1!N840,"AAAAAH5v/Tc=")</f>
        <v>#VALUE!</v>
      </c>
      <c r="BE50">
        <f>IF(Plan1!841:841,"AAAAAH5v/Tg=",0)</f>
        <v>0</v>
      </c>
      <c r="BF50" t="e">
        <f>AND(Plan1!A841,"AAAAAH5v/Tk=")</f>
        <v>#VALUE!</v>
      </c>
      <c r="BG50" t="e">
        <f>AND(Plan1!B841,"AAAAAH5v/To=")</f>
        <v>#VALUE!</v>
      </c>
      <c r="BH50" t="e">
        <f>AND(Plan1!C841,"AAAAAH5v/Ts=")</f>
        <v>#VALUE!</v>
      </c>
      <c r="BI50" t="e">
        <f>AND(Plan1!D841,"AAAAAH5v/Tw=")</f>
        <v>#VALUE!</v>
      </c>
      <c r="BJ50" t="e">
        <f>AND(Plan1!E841,"AAAAAH5v/T0=")</f>
        <v>#VALUE!</v>
      </c>
      <c r="BK50" t="e">
        <f>AND(Plan1!F841,"AAAAAH5v/T4=")</f>
        <v>#VALUE!</v>
      </c>
      <c r="BL50" t="e">
        <f>AND(Plan1!G841,"AAAAAH5v/T8=")</f>
        <v>#VALUE!</v>
      </c>
      <c r="BM50" t="e">
        <f>AND(Plan1!H841,"AAAAAH5v/UA=")</f>
        <v>#VALUE!</v>
      </c>
      <c r="BN50" t="e">
        <f>AND(Plan1!I841,"AAAAAH5v/UE=")</f>
        <v>#VALUE!</v>
      </c>
      <c r="BO50" t="e">
        <f>AND(Plan1!J841,"AAAAAH5v/UI=")</f>
        <v>#VALUE!</v>
      </c>
      <c r="BP50" t="e">
        <f>AND(Plan1!K841,"AAAAAH5v/UM=")</f>
        <v>#VALUE!</v>
      </c>
      <c r="BQ50" t="e">
        <f>AND(Plan1!L841,"AAAAAH5v/UQ=")</f>
        <v>#VALUE!</v>
      </c>
      <c r="BR50" t="e">
        <f>AND(Plan1!M841,"AAAAAH5v/UU=")</f>
        <v>#VALUE!</v>
      </c>
      <c r="BS50" t="e">
        <f>AND(Plan1!N841,"AAAAAH5v/UY=")</f>
        <v>#VALUE!</v>
      </c>
      <c r="BT50">
        <f>IF(Plan1!842:842,"AAAAAH5v/Uc=",0)</f>
        <v>0</v>
      </c>
      <c r="BU50" t="e">
        <f>AND(Plan1!A842,"AAAAAH5v/Ug=")</f>
        <v>#VALUE!</v>
      </c>
      <c r="BV50" t="e">
        <f>AND(Plan1!B842,"AAAAAH5v/Uk=")</f>
        <v>#VALUE!</v>
      </c>
      <c r="BW50" t="e">
        <f>AND(Plan1!C842,"AAAAAH5v/Uo=")</f>
        <v>#VALUE!</v>
      </c>
      <c r="BX50" t="e">
        <f>AND(Plan1!D842,"AAAAAH5v/Us=")</f>
        <v>#VALUE!</v>
      </c>
      <c r="BY50" t="e">
        <f>AND(Plan1!E842,"AAAAAH5v/Uw=")</f>
        <v>#VALUE!</v>
      </c>
      <c r="BZ50" t="e">
        <f>AND(Plan1!F842,"AAAAAH5v/U0=")</f>
        <v>#VALUE!</v>
      </c>
      <c r="CA50" t="e">
        <f>AND(Plan1!G842,"AAAAAH5v/U4=")</f>
        <v>#VALUE!</v>
      </c>
      <c r="CB50" t="e">
        <f>AND(Plan1!H842,"AAAAAH5v/U8=")</f>
        <v>#VALUE!</v>
      </c>
      <c r="CC50" t="e">
        <f>AND(Plan1!I842,"AAAAAH5v/VA=")</f>
        <v>#VALUE!</v>
      </c>
      <c r="CD50" t="e">
        <f>AND(Plan1!J842,"AAAAAH5v/VE=")</f>
        <v>#VALUE!</v>
      </c>
      <c r="CE50" t="e">
        <f>AND(Plan1!K842,"AAAAAH5v/VI=")</f>
        <v>#VALUE!</v>
      </c>
      <c r="CF50" t="e">
        <f>AND(Plan1!L842,"AAAAAH5v/VM=")</f>
        <v>#VALUE!</v>
      </c>
      <c r="CG50" t="e">
        <f>AND(Plan1!M842,"AAAAAH5v/VQ=")</f>
        <v>#VALUE!</v>
      </c>
      <c r="CH50" t="e">
        <f>AND(Plan1!N842,"AAAAAH5v/VU=")</f>
        <v>#VALUE!</v>
      </c>
      <c r="CI50">
        <f>IF(Plan1!843:843,"AAAAAH5v/VY=",0)</f>
        <v>0</v>
      </c>
      <c r="CJ50" t="e">
        <f>AND(Plan1!A843,"AAAAAH5v/Vc=")</f>
        <v>#VALUE!</v>
      </c>
      <c r="CK50" t="e">
        <f>AND(Plan1!B843,"AAAAAH5v/Vg=")</f>
        <v>#VALUE!</v>
      </c>
      <c r="CL50" t="e">
        <f>AND(Plan1!C843,"AAAAAH5v/Vk=")</f>
        <v>#VALUE!</v>
      </c>
      <c r="CM50" t="e">
        <f>AND(Plan1!D843,"AAAAAH5v/Vo=")</f>
        <v>#VALUE!</v>
      </c>
      <c r="CN50" t="e">
        <f>AND(Plan1!E843,"AAAAAH5v/Vs=")</f>
        <v>#VALUE!</v>
      </c>
      <c r="CO50" t="e">
        <f>AND(Plan1!F843,"AAAAAH5v/Vw=")</f>
        <v>#VALUE!</v>
      </c>
      <c r="CP50" t="e">
        <f>AND(Plan1!G843,"AAAAAH5v/V0=")</f>
        <v>#VALUE!</v>
      </c>
      <c r="CQ50" t="e">
        <f>AND(Plan1!H843,"AAAAAH5v/V4=")</f>
        <v>#VALUE!</v>
      </c>
      <c r="CR50" t="e">
        <f>AND(Plan1!I843,"AAAAAH5v/V8=")</f>
        <v>#VALUE!</v>
      </c>
      <c r="CS50" t="e">
        <f>AND(Plan1!J843,"AAAAAH5v/WA=")</f>
        <v>#VALUE!</v>
      </c>
      <c r="CT50" t="e">
        <f>AND(Plan1!K843,"AAAAAH5v/WE=")</f>
        <v>#VALUE!</v>
      </c>
      <c r="CU50" t="e">
        <f>AND(Plan1!L843,"AAAAAH5v/WI=")</f>
        <v>#VALUE!</v>
      </c>
      <c r="CV50" t="e">
        <f>AND(Plan1!M843,"AAAAAH5v/WM=")</f>
        <v>#VALUE!</v>
      </c>
      <c r="CW50" t="e">
        <f>AND(Plan1!N843,"AAAAAH5v/WQ=")</f>
        <v>#VALUE!</v>
      </c>
      <c r="CX50">
        <f>IF(Plan1!844:844,"AAAAAH5v/WU=",0)</f>
        <v>0</v>
      </c>
      <c r="CY50" t="e">
        <f>AND(Plan1!A844,"AAAAAH5v/WY=")</f>
        <v>#VALUE!</v>
      </c>
      <c r="CZ50" t="e">
        <f>AND(Plan1!B844,"AAAAAH5v/Wc=")</f>
        <v>#VALUE!</v>
      </c>
      <c r="DA50" t="e">
        <f>AND(Plan1!C844,"AAAAAH5v/Wg=")</f>
        <v>#VALUE!</v>
      </c>
      <c r="DB50" t="e">
        <f>AND(Plan1!D844,"AAAAAH5v/Wk=")</f>
        <v>#VALUE!</v>
      </c>
      <c r="DC50" t="e">
        <f>AND(Plan1!E844,"AAAAAH5v/Wo=")</f>
        <v>#VALUE!</v>
      </c>
      <c r="DD50" t="e">
        <f>AND(Plan1!F844,"AAAAAH5v/Ws=")</f>
        <v>#VALUE!</v>
      </c>
      <c r="DE50" t="e">
        <f>AND(Plan1!G844,"AAAAAH5v/Ww=")</f>
        <v>#VALUE!</v>
      </c>
      <c r="DF50" t="e">
        <f>AND(Plan1!H844,"AAAAAH5v/W0=")</f>
        <v>#VALUE!</v>
      </c>
      <c r="DG50" t="e">
        <f>AND(Plan1!I844,"AAAAAH5v/W4=")</f>
        <v>#VALUE!</v>
      </c>
      <c r="DH50" t="e">
        <f>AND(Plan1!J844,"AAAAAH5v/W8=")</f>
        <v>#VALUE!</v>
      </c>
      <c r="DI50" t="e">
        <f>AND(Plan1!K844,"AAAAAH5v/XA=")</f>
        <v>#VALUE!</v>
      </c>
      <c r="DJ50" t="e">
        <f>AND(Plan1!L844,"AAAAAH5v/XE=")</f>
        <v>#VALUE!</v>
      </c>
      <c r="DK50" t="e">
        <f>AND(Plan1!M844,"AAAAAH5v/XI=")</f>
        <v>#VALUE!</v>
      </c>
      <c r="DL50" t="e">
        <f>AND(Plan1!N844,"AAAAAH5v/XM=")</f>
        <v>#VALUE!</v>
      </c>
      <c r="DM50">
        <f>IF(Plan1!845:845,"AAAAAH5v/XQ=",0)</f>
        <v>0</v>
      </c>
      <c r="DN50" t="e">
        <f>AND(Plan1!A845,"AAAAAH5v/XU=")</f>
        <v>#VALUE!</v>
      </c>
      <c r="DO50" t="e">
        <f>AND(Plan1!B845,"AAAAAH5v/XY=")</f>
        <v>#VALUE!</v>
      </c>
      <c r="DP50" t="e">
        <f>AND(Plan1!C845,"AAAAAH5v/Xc=")</f>
        <v>#VALUE!</v>
      </c>
      <c r="DQ50" t="e">
        <f>AND(Plan1!D845,"AAAAAH5v/Xg=")</f>
        <v>#VALUE!</v>
      </c>
      <c r="DR50" t="e">
        <f>AND(Plan1!E845,"AAAAAH5v/Xk=")</f>
        <v>#VALUE!</v>
      </c>
      <c r="DS50" t="e">
        <f>AND(Plan1!F845,"AAAAAH5v/Xo=")</f>
        <v>#VALUE!</v>
      </c>
      <c r="DT50" t="e">
        <f>AND(Plan1!G845,"AAAAAH5v/Xs=")</f>
        <v>#VALUE!</v>
      </c>
      <c r="DU50" t="e">
        <f>AND(Plan1!H845,"AAAAAH5v/Xw=")</f>
        <v>#VALUE!</v>
      </c>
      <c r="DV50" t="e">
        <f>AND(Plan1!I845,"AAAAAH5v/X0=")</f>
        <v>#VALUE!</v>
      </c>
      <c r="DW50" t="e">
        <f>AND(Plan1!J845,"AAAAAH5v/X4=")</f>
        <v>#VALUE!</v>
      </c>
      <c r="DX50" t="e">
        <f>AND(Plan1!K845,"AAAAAH5v/X8=")</f>
        <v>#VALUE!</v>
      </c>
      <c r="DY50" t="e">
        <f>AND(Plan1!L845,"AAAAAH5v/YA=")</f>
        <v>#VALUE!</v>
      </c>
      <c r="DZ50" t="e">
        <f>AND(Plan1!M845,"AAAAAH5v/YE=")</f>
        <v>#VALUE!</v>
      </c>
      <c r="EA50" t="e">
        <f>AND(Plan1!N845,"AAAAAH5v/YI=")</f>
        <v>#VALUE!</v>
      </c>
      <c r="EB50">
        <f>IF(Plan1!846:846,"AAAAAH5v/YM=",0)</f>
        <v>0</v>
      </c>
      <c r="EC50" t="e">
        <f>AND(Plan1!A846,"AAAAAH5v/YQ=")</f>
        <v>#VALUE!</v>
      </c>
      <c r="ED50" t="e">
        <f>AND(Plan1!B846,"AAAAAH5v/YU=")</f>
        <v>#VALUE!</v>
      </c>
      <c r="EE50" t="e">
        <f>AND(Plan1!C846,"AAAAAH5v/YY=")</f>
        <v>#VALUE!</v>
      </c>
      <c r="EF50" t="e">
        <f>AND(Plan1!D846,"AAAAAH5v/Yc=")</f>
        <v>#VALUE!</v>
      </c>
      <c r="EG50" t="e">
        <f>AND(Plan1!E846,"AAAAAH5v/Yg=")</f>
        <v>#VALUE!</v>
      </c>
      <c r="EH50" t="e">
        <f>AND(Plan1!F846,"AAAAAH5v/Yk=")</f>
        <v>#VALUE!</v>
      </c>
      <c r="EI50" t="e">
        <f>AND(Plan1!G846,"AAAAAH5v/Yo=")</f>
        <v>#VALUE!</v>
      </c>
      <c r="EJ50" t="e">
        <f>AND(Plan1!H846,"AAAAAH5v/Ys=")</f>
        <v>#VALUE!</v>
      </c>
      <c r="EK50" t="e">
        <f>AND(Plan1!I846,"AAAAAH5v/Yw=")</f>
        <v>#VALUE!</v>
      </c>
      <c r="EL50" t="e">
        <f>AND(Plan1!J846,"AAAAAH5v/Y0=")</f>
        <v>#VALUE!</v>
      </c>
      <c r="EM50" t="e">
        <f>AND(Plan1!K846,"AAAAAH5v/Y4=")</f>
        <v>#VALUE!</v>
      </c>
      <c r="EN50" t="e">
        <f>AND(Plan1!L846,"AAAAAH5v/Y8=")</f>
        <v>#VALUE!</v>
      </c>
      <c r="EO50" t="e">
        <f>AND(Plan1!M846,"AAAAAH5v/ZA=")</f>
        <v>#VALUE!</v>
      </c>
      <c r="EP50" t="e">
        <f>AND(Plan1!N846,"AAAAAH5v/ZE=")</f>
        <v>#VALUE!</v>
      </c>
      <c r="EQ50">
        <f>IF(Plan1!847:847,"AAAAAH5v/ZI=",0)</f>
        <v>0</v>
      </c>
      <c r="ER50" t="e">
        <f>AND(Plan1!A847,"AAAAAH5v/ZM=")</f>
        <v>#VALUE!</v>
      </c>
      <c r="ES50" t="e">
        <f>AND(Plan1!B847,"AAAAAH5v/ZQ=")</f>
        <v>#VALUE!</v>
      </c>
      <c r="ET50" t="e">
        <f>AND(Plan1!C847,"AAAAAH5v/ZU=")</f>
        <v>#VALUE!</v>
      </c>
      <c r="EU50" t="e">
        <f>AND(Plan1!D847,"AAAAAH5v/ZY=")</f>
        <v>#VALUE!</v>
      </c>
      <c r="EV50" t="e">
        <f>AND(Plan1!E847,"AAAAAH5v/Zc=")</f>
        <v>#VALUE!</v>
      </c>
      <c r="EW50" t="e">
        <f>AND(Plan1!F847,"AAAAAH5v/Zg=")</f>
        <v>#VALUE!</v>
      </c>
      <c r="EX50" t="e">
        <f>AND(Plan1!G847,"AAAAAH5v/Zk=")</f>
        <v>#VALUE!</v>
      </c>
      <c r="EY50" t="e">
        <f>AND(Plan1!H847,"AAAAAH5v/Zo=")</f>
        <v>#VALUE!</v>
      </c>
      <c r="EZ50" t="e">
        <f>AND(Plan1!I847,"AAAAAH5v/Zs=")</f>
        <v>#VALUE!</v>
      </c>
      <c r="FA50" t="e">
        <f>AND(Plan1!J847,"AAAAAH5v/Zw=")</f>
        <v>#VALUE!</v>
      </c>
      <c r="FB50" t="e">
        <f>AND(Plan1!K847,"AAAAAH5v/Z0=")</f>
        <v>#VALUE!</v>
      </c>
      <c r="FC50" t="e">
        <f>AND(Plan1!L847,"AAAAAH5v/Z4=")</f>
        <v>#VALUE!</v>
      </c>
      <c r="FD50" t="e">
        <f>AND(Plan1!M847,"AAAAAH5v/Z8=")</f>
        <v>#VALUE!</v>
      </c>
      <c r="FE50" t="e">
        <f>AND(Plan1!N847,"AAAAAH5v/aA=")</f>
        <v>#VALUE!</v>
      </c>
      <c r="FF50">
        <f>IF(Plan1!848:848,"AAAAAH5v/aE=",0)</f>
        <v>0</v>
      </c>
      <c r="FG50" t="e">
        <f>AND(Plan1!A848,"AAAAAH5v/aI=")</f>
        <v>#VALUE!</v>
      </c>
      <c r="FH50" t="e">
        <f>AND(Plan1!B848,"AAAAAH5v/aM=")</f>
        <v>#VALUE!</v>
      </c>
      <c r="FI50" t="e">
        <f>AND(Plan1!C848,"AAAAAH5v/aQ=")</f>
        <v>#VALUE!</v>
      </c>
      <c r="FJ50" t="e">
        <f>AND(Plan1!D848,"AAAAAH5v/aU=")</f>
        <v>#VALUE!</v>
      </c>
      <c r="FK50" t="e">
        <f>AND(Plan1!E848,"AAAAAH5v/aY=")</f>
        <v>#VALUE!</v>
      </c>
      <c r="FL50" t="e">
        <f>AND(Plan1!F848,"AAAAAH5v/ac=")</f>
        <v>#VALUE!</v>
      </c>
      <c r="FM50" t="e">
        <f>AND(Plan1!G848,"AAAAAH5v/ag=")</f>
        <v>#VALUE!</v>
      </c>
      <c r="FN50" t="e">
        <f>AND(Plan1!H848,"AAAAAH5v/ak=")</f>
        <v>#VALUE!</v>
      </c>
      <c r="FO50" t="e">
        <f>AND(Plan1!I848,"AAAAAH5v/ao=")</f>
        <v>#VALUE!</v>
      </c>
      <c r="FP50" t="e">
        <f>AND(Plan1!J848,"AAAAAH5v/as=")</f>
        <v>#VALUE!</v>
      </c>
      <c r="FQ50" t="e">
        <f>AND(Plan1!K848,"AAAAAH5v/aw=")</f>
        <v>#VALUE!</v>
      </c>
      <c r="FR50" t="e">
        <f>AND(Plan1!L848,"AAAAAH5v/a0=")</f>
        <v>#VALUE!</v>
      </c>
      <c r="FS50" t="e">
        <f>AND(Plan1!M848,"AAAAAH5v/a4=")</f>
        <v>#VALUE!</v>
      </c>
      <c r="FT50" t="e">
        <f>AND(Plan1!N848,"AAAAAH5v/a8=")</f>
        <v>#VALUE!</v>
      </c>
      <c r="FU50">
        <f>IF(Plan1!849:849,"AAAAAH5v/bA=",0)</f>
        <v>0</v>
      </c>
      <c r="FV50" t="e">
        <f>AND(Plan1!A849,"AAAAAH5v/bE=")</f>
        <v>#VALUE!</v>
      </c>
      <c r="FW50" t="e">
        <f>AND(Plan1!B849,"AAAAAH5v/bI=")</f>
        <v>#VALUE!</v>
      </c>
      <c r="FX50" t="e">
        <f>AND(Plan1!C849,"AAAAAH5v/bM=")</f>
        <v>#VALUE!</v>
      </c>
      <c r="FY50" t="e">
        <f>AND(Plan1!D849,"AAAAAH5v/bQ=")</f>
        <v>#VALUE!</v>
      </c>
      <c r="FZ50" t="e">
        <f>AND(Plan1!E849,"AAAAAH5v/bU=")</f>
        <v>#VALUE!</v>
      </c>
      <c r="GA50" t="e">
        <f>AND(Plan1!F849,"AAAAAH5v/bY=")</f>
        <v>#VALUE!</v>
      </c>
      <c r="GB50" t="e">
        <f>AND(Plan1!G849,"AAAAAH5v/bc=")</f>
        <v>#VALUE!</v>
      </c>
      <c r="GC50" t="e">
        <f>AND(Plan1!H849,"AAAAAH5v/bg=")</f>
        <v>#VALUE!</v>
      </c>
      <c r="GD50" t="e">
        <f>AND(Plan1!I849,"AAAAAH5v/bk=")</f>
        <v>#VALUE!</v>
      </c>
      <c r="GE50" t="e">
        <f>AND(Plan1!J849,"AAAAAH5v/bo=")</f>
        <v>#VALUE!</v>
      </c>
      <c r="GF50" t="e">
        <f>AND(Plan1!K849,"AAAAAH5v/bs=")</f>
        <v>#VALUE!</v>
      </c>
      <c r="GG50" t="e">
        <f>AND(Plan1!L849,"AAAAAH5v/bw=")</f>
        <v>#VALUE!</v>
      </c>
      <c r="GH50" t="e">
        <f>AND(Plan1!M849,"AAAAAH5v/b0=")</f>
        <v>#VALUE!</v>
      </c>
      <c r="GI50" t="e">
        <f>AND(Plan1!N849,"AAAAAH5v/b4=")</f>
        <v>#VALUE!</v>
      </c>
      <c r="GJ50">
        <f>IF(Plan1!850:850,"AAAAAH5v/b8=",0)</f>
        <v>0</v>
      </c>
      <c r="GK50" t="e">
        <f>AND(Plan1!A850,"AAAAAH5v/cA=")</f>
        <v>#VALUE!</v>
      </c>
      <c r="GL50" t="e">
        <f>AND(Plan1!B850,"AAAAAH5v/cE=")</f>
        <v>#VALUE!</v>
      </c>
      <c r="GM50" t="e">
        <f>AND(Plan1!C850,"AAAAAH5v/cI=")</f>
        <v>#VALUE!</v>
      </c>
      <c r="GN50" t="e">
        <f>AND(Plan1!D850,"AAAAAH5v/cM=")</f>
        <v>#VALUE!</v>
      </c>
      <c r="GO50" t="e">
        <f>AND(Plan1!E850,"AAAAAH5v/cQ=")</f>
        <v>#VALUE!</v>
      </c>
      <c r="GP50" t="e">
        <f>AND(Plan1!F850,"AAAAAH5v/cU=")</f>
        <v>#VALUE!</v>
      </c>
      <c r="GQ50" t="e">
        <f>AND(Plan1!G850,"AAAAAH5v/cY=")</f>
        <v>#VALUE!</v>
      </c>
      <c r="GR50" t="e">
        <f>AND(Plan1!H850,"AAAAAH5v/cc=")</f>
        <v>#VALUE!</v>
      </c>
      <c r="GS50" t="e">
        <f>AND(Plan1!I850,"AAAAAH5v/cg=")</f>
        <v>#VALUE!</v>
      </c>
      <c r="GT50" t="e">
        <f>AND(Plan1!J850,"AAAAAH5v/ck=")</f>
        <v>#VALUE!</v>
      </c>
      <c r="GU50" t="e">
        <f>AND(Plan1!K850,"AAAAAH5v/co=")</f>
        <v>#VALUE!</v>
      </c>
      <c r="GV50" t="e">
        <f>AND(Plan1!L850,"AAAAAH5v/cs=")</f>
        <v>#VALUE!</v>
      </c>
      <c r="GW50" t="e">
        <f>AND(Plan1!M850,"AAAAAH5v/cw=")</f>
        <v>#VALUE!</v>
      </c>
      <c r="GX50" t="e">
        <f>AND(Plan1!N850,"AAAAAH5v/c0=")</f>
        <v>#VALUE!</v>
      </c>
      <c r="GY50">
        <f>IF(Plan1!851:851,"AAAAAH5v/c4=",0)</f>
        <v>0</v>
      </c>
      <c r="GZ50" t="e">
        <f>AND(Plan1!A851,"AAAAAH5v/c8=")</f>
        <v>#VALUE!</v>
      </c>
      <c r="HA50" t="e">
        <f>AND(Plan1!B851,"AAAAAH5v/dA=")</f>
        <v>#VALUE!</v>
      </c>
      <c r="HB50" t="e">
        <f>AND(Plan1!C851,"AAAAAH5v/dE=")</f>
        <v>#VALUE!</v>
      </c>
      <c r="HC50" t="e">
        <f>AND(Plan1!D851,"AAAAAH5v/dI=")</f>
        <v>#VALUE!</v>
      </c>
      <c r="HD50" t="e">
        <f>AND(Plan1!E851,"AAAAAH5v/dM=")</f>
        <v>#VALUE!</v>
      </c>
      <c r="HE50" t="e">
        <f>AND(Plan1!F851,"AAAAAH5v/dQ=")</f>
        <v>#VALUE!</v>
      </c>
      <c r="HF50" t="e">
        <f>AND(Plan1!G851,"AAAAAH5v/dU=")</f>
        <v>#VALUE!</v>
      </c>
      <c r="HG50" t="e">
        <f>AND(Plan1!H851,"AAAAAH5v/dY=")</f>
        <v>#VALUE!</v>
      </c>
      <c r="HH50" t="e">
        <f>AND(Plan1!I851,"AAAAAH5v/dc=")</f>
        <v>#VALUE!</v>
      </c>
      <c r="HI50" t="e">
        <f>AND(Plan1!J851,"AAAAAH5v/dg=")</f>
        <v>#VALUE!</v>
      </c>
      <c r="HJ50" t="e">
        <f>AND(Plan1!K851,"AAAAAH5v/dk=")</f>
        <v>#VALUE!</v>
      </c>
      <c r="HK50" t="e">
        <f>AND(Plan1!L851,"AAAAAH5v/do=")</f>
        <v>#VALUE!</v>
      </c>
      <c r="HL50" t="e">
        <f>AND(Plan1!M851,"AAAAAH5v/ds=")</f>
        <v>#VALUE!</v>
      </c>
      <c r="HM50" t="e">
        <f>AND(Plan1!N851,"AAAAAH5v/dw=")</f>
        <v>#VALUE!</v>
      </c>
      <c r="HN50">
        <f>IF(Plan1!852:852,"AAAAAH5v/d0=",0)</f>
        <v>0</v>
      </c>
      <c r="HO50" t="e">
        <f>AND(Plan1!A852,"AAAAAH5v/d4=")</f>
        <v>#VALUE!</v>
      </c>
      <c r="HP50" t="e">
        <f>AND(Plan1!B852,"AAAAAH5v/d8=")</f>
        <v>#VALUE!</v>
      </c>
      <c r="HQ50" t="e">
        <f>AND(Plan1!C852,"AAAAAH5v/eA=")</f>
        <v>#VALUE!</v>
      </c>
      <c r="HR50" t="e">
        <f>AND(Plan1!D852,"AAAAAH5v/eE=")</f>
        <v>#VALUE!</v>
      </c>
      <c r="HS50" t="e">
        <f>AND(Plan1!E852,"AAAAAH5v/eI=")</f>
        <v>#VALUE!</v>
      </c>
      <c r="HT50" t="e">
        <f>AND(Plan1!F852,"AAAAAH5v/eM=")</f>
        <v>#VALUE!</v>
      </c>
      <c r="HU50" t="e">
        <f>AND(Plan1!G852,"AAAAAH5v/eQ=")</f>
        <v>#VALUE!</v>
      </c>
      <c r="HV50" t="e">
        <f>AND(Plan1!H852,"AAAAAH5v/eU=")</f>
        <v>#VALUE!</v>
      </c>
      <c r="HW50" t="e">
        <f>AND(Plan1!I852,"AAAAAH5v/eY=")</f>
        <v>#VALUE!</v>
      </c>
      <c r="HX50" t="e">
        <f>AND(Plan1!J852,"AAAAAH5v/ec=")</f>
        <v>#VALUE!</v>
      </c>
      <c r="HY50" t="e">
        <f>AND(Plan1!K852,"AAAAAH5v/eg=")</f>
        <v>#VALUE!</v>
      </c>
      <c r="HZ50" t="e">
        <f>AND(Plan1!L852,"AAAAAH5v/ek=")</f>
        <v>#VALUE!</v>
      </c>
      <c r="IA50" t="e">
        <f>AND(Plan1!M852,"AAAAAH5v/eo=")</f>
        <v>#VALUE!</v>
      </c>
      <c r="IB50" t="e">
        <f>AND(Plan1!N852,"AAAAAH5v/es=")</f>
        <v>#VALUE!</v>
      </c>
      <c r="IC50">
        <f>IF(Plan1!853:853,"AAAAAH5v/ew=",0)</f>
        <v>0</v>
      </c>
      <c r="ID50" t="e">
        <f>AND(Plan1!A853,"AAAAAH5v/e0=")</f>
        <v>#VALUE!</v>
      </c>
      <c r="IE50" t="e">
        <f>AND(Plan1!B853,"AAAAAH5v/e4=")</f>
        <v>#VALUE!</v>
      </c>
      <c r="IF50" t="e">
        <f>AND(Plan1!C853,"AAAAAH5v/e8=")</f>
        <v>#VALUE!</v>
      </c>
      <c r="IG50" t="e">
        <f>AND(Plan1!D853,"AAAAAH5v/fA=")</f>
        <v>#VALUE!</v>
      </c>
      <c r="IH50" t="e">
        <f>AND(Plan1!E853,"AAAAAH5v/fE=")</f>
        <v>#VALUE!</v>
      </c>
      <c r="II50" t="e">
        <f>AND(Plan1!F853,"AAAAAH5v/fI=")</f>
        <v>#VALUE!</v>
      </c>
      <c r="IJ50" t="e">
        <f>AND(Plan1!G853,"AAAAAH5v/fM=")</f>
        <v>#VALUE!</v>
      </c>
      <c r="IK50" t="e">
        <f>AND(Plan1!H853,"AAAAAH5v/fQ=")</f>
        <v>#VALUE!</v>
      </c>
      <c r="IL50" t="e">
        <f>AND(Plan1!I853,"AAAAAH5v/fU=")</f>
        <v>#VALUE!</v>
      </c>
      <c r="IM50" t="e">
        <f>AND(Plan1!J853,"AAAAAH5v/fY=")</f>
        <v>#VALUE!</v>
      </c>
      <c r="IN50" t="e">
        <f>AND(Plan1!K853,"AAAAAH5v/fc=")</f>
        <v>#VALUE!</v>
      </c>
      <c r="IO50" t="e">
        <f>AND(Plan1!L853,"AAAAAH5v/fg=")</f>
        <v>#VALUE!</v>
      </c>
      <c r="IP50" t="e">
        <f>AND(Plan1!M853,"AAAAAH5v/fk=")</f>
        <v>#VALUE!</v>
      </c>
      <c r="IQ50" t="e">
        <f>AND(Plan1!N853,"AAAAAH5v/fo=")</f>
        <v>#VALUE!</v>
      </c>
      <c r="IR50">
        <f>IF(Plan1!854:854,"AAAAAH5v/fs=",0)</f>
        <v>0</v>
      </c>
      <c r="IS50" t="e">
        <f>AND(Plan1!A854,"AAAAAH5v/fw=")</f>
        <v>#VALUE!</v>
      </c>
      <c r="IT50" t="e">
        <f>AND(Plan1!B854,"AAAAAH5v/f0=")</f>
        <v>#VALUE!</v>
      </c>
      <c r="IU50" t="e">
        <f>AND(Plan1!C854,"AAAAAH5v/f4=")</f>
        <v>#VALUE!</v>
      </c>
      <c r="IV50" t="e">
        <f>AND(Plan1!D854,"AAAAAH5v/f8=")</f>
        <v>#VALUE!</v>
      </c>
    </row>
    <row r="51" spans="1:256">
      <c r="A51" t="e">
        <f>AND(Plan1!E854,"AAAAAHd1tQA=")</f>
        <v>#VALUE!</v>
      </c>
      <c r="B51" t="e">
        <f>AND(Plan1!F854,"AAAAAHd1tQE=")</f>
        <v>#VALUE!</v>
      </c>
      <c r="C51" t="e">
        <f>AND(Plan1!G854,"AAAAAHd1tQI=")</f>
        <v>#VALUE!</v>
      </c>
      <c r="D51" t="e">
        <f>AND(Plan1!H854,"AAAAAHd1tQM=")</f>
        <v>#VALUE!</v>
      </c>
      <c r="E51" t="e">
        <f>AND(Plan1!I854,"AAAAAHd1tQQ=")</f>
        <v>#VALUE!</v>
      </c>
      <c r="F51" t="e">
        <f>AND(Plan1!J854,"AAAAAHd1tQU=")</f>
        <v>#VALUE!</v>
      </c>
      <c r="G51" t="e">
        <f>AND(Plan1!K854,"AAAAAHd1tQY=")</f>
        <v>#VALUE!</v>
      </c>
      <c r="H51" t="e">
        <f>AND(Plan1!L854,"AAAAAHd1tQc=")</f>
        <v>#VALUE!</v>
      </c>
      <c r="I51" t="e">
        <f>AND(Plan1!M854,"AAAAAHd1tQg=")</f>
        <v>#VALUE!</v>
      </c>
      <c r="J51" t="e">
        <f>AND(Plan1!N854,"AAAAAHd1tQk=")</f>
        <v>#VALUE!</v>
      </c>
      <c r="K51">
        <f>IF(Plan1!855:855,"AAAAAHd1tQo=",0)</f>
        <v>0</v>
      </c>
      <c r="L51" t="e">
        <f>AND(Plan1!A855,"AAAAAHd1tQs=")</f>
        <v>#VALUE!</v>
      </c>
      <c r="M51" t="e">
        <f>AND(Plan1!B855,"AAAAAHd1tQw=")</f>
        <v>#VALUE!</v>
      </c>
      <c r="N51" t="e">
        <f>AND(Plan1!C855,"AAAAAHd1tQ0=")</f>
        <v>#VALUE!</v>
      </c>
      <c r="O51" t="e">
        <f>AND(Plan1!D855,"AAAAAHd1tQ4=")</f>
        <v>#VALUE!</v>
      </c>
      <c r="P51" t="e">
        <f>AND(Plan1!E855,"AAAAAHd1tQ8=")</f>
        <v>#VALUE!</v>
      </c>
      <c r="Q51" t="e">
        <f>AND(Plan1!F855,"AAAAAHd1tRA=")</f>
        <v>#VALUE!</v>
      </c>
      <c r="R51" t="e">
        <f>AND(Plan1!G855,"AAAAAHd1tRE=")</f>
        <v>#VALUE!</v>
      </c>
      <c r="S51" t="e">
        <f>AND(Plan1!H855,"AAAAAHd1tRI=")</f>
        <v>#VALUE!</v>
      </c>
      <c r="T51" t="e">
        <f>AND(Plan1!I855,"AAAAAHd1tRM=")</f>
        <v>#VALUE!</v>
      </c>
      <c r="U51" t="e">
        <f>AND(Plan1!J855,"AAAAAHd1tRQ=")</f>
        <v>#VALUE!</v>
      </c>
      <c r="V51" t="e">
        <f>AND(Plan1!K855,"AAAAAHd1tRU=")</f>
        <v>#VALUE!</v>
      </c>
      <c r="W51" t="e">
        <f>AND(Plan1!L855,"AAAAAHd1tRY=")</f>
        <v>#VALUE!</v>
      </c>
      <c r="X51" t="e">
        <f>AND(Plan1!M855,"AAAAAHd1tRc=")</f>
        <v>#VALUE!</v>
      </c>
      <c r="Y51" t="e">
        <f>AND(Plan1!N855,"AAAAAHd1tRg=")</f>
        <v>#VALUE!</v>
      </c>
      <c r="Z51">
        <f>IF(Plan1!856:856,"AAAAAHd1tRk=",0)</f>
        <v>0</v>
      </c>
      <c r="AA51" t="e">
        <f>AND(Plan1!A856,"AAAAAHd1tRo=")</f>
        <v>#VALUE!</v>
      </c>
      <c r="AB51" t="e">
        <f>AND(Plan1!B856,"AAAAAHd1tRs=")</f>
        <v>#VALUE!</v>
      </c>
      <c r="AC51" t="e">
        <f>AND(Plan1!C856,"AAAAAHd1tRw=")</f>
        <v>#VALUE!</v>
      </c>
      <c r="AD51" t="e">
        <f>AND(Plan1!D856,"AAAAAHd1tR0=")</f>
        <v>#VALUE!</v>
      </c>
      <c r="AE51" t="e">
        <f>AND(Plan1!E856,"AAAAAHd1tR4=")</f>
        <v>#VALUE!</v>
      </c>
      <c r="AF51" t="e">
        <f>AND(Plan1!F856,"AAAAAHd1tR8=")</f>
        <v>#VALUE!</v>
      </c>
      <c r="AG51" t="e">
        <f>AND(Plan1!G856,"AAAAAHd1tSA=")</f>
        <v>#VALUE!</v>
      </c>
      <c r="AH51" t="e">
        <f>AND(Plan1!H856,"AAAAAHd1tSE=")</f>
        <v>#VALUE!</v>
      </c>
      <c r="AI51" t="e">
        <f>AND(Plan1!I856,"AAAAAHd1tSI=")</f>
        <v>#VALUE!</v>
      </c>
      <c r="AJ51" t="e">
        <f>AND(Plan1!J856,"AAAAAHd1tSM=")</f>
        <v>#VALUE!</v>
      </c>
      <c r="AK51" t="e">
        <f>AND(Plan1!K856,"AAAAAHd1tSQ=")</f>
        <v>#VALUE!</v>
      </c>
      <c r="AL51" t="e">
        <f>AND(Plan1!L856,"AAAAAHd1tSU=")</f>
        <v>#VALUE!</v>
      </c>
      <c r="AM51" t="e">
        <f>AND(Plan1!M856,"AAAAAHd1tSY=")</f>
        <v>#VALUE!</v>
      </c>
      <c r="AN51" t="e">
        <f>AND(Plan1!N856,"AAAAAHd1tSc=")</f>
        <v>#VALUE!</v>
      </c>
      <c r="AO51">
        <f>IF(Plan1!857:857,"AAAAAHd1tSg=",0)</f>
        <v>0</v>
      </c>
      <c r="AP51" t="e">
        <f>AND(Plan1!A857,"AAAAAHd1tSk=")</f>
        <v>#VALUE!</v>
      </c>
      <c r="AQ51" t="e">
        <f>AND(Plan1!B857,"AAAAAHd1tSo=")</f>
        <v>#VALUE!</v>
      </c>
      <c r="AR51" t="e">
        <f>AND(Plan1!C857,"AAAAAHd1tSs=")</f>
        <v>#VALUE!</v>
      </c>
      <c r="AS51" t="e">
        <f>AND(Plan1!D857,"AAAAAHd1tSw=")</f>
        <v>#VALUE!</v>
      </c>
      <c r="AT51" t="e">
        <f>AND(Plan1!E857,"AAAAAHd1tS0=")</f>
        <v>#VALUE!</v>
      </c>
      <c r="AU51" t="e">
        <f>AND(Plan1!F857,"AAAAAHd1tS4=")</f>
        <v>#VALUE!</v>
      </c>
      <c r="AV51" t="e">
        <f>AND(Plan1!G857,"AAAAAHd1tS8=")</f>
        <v>#VALUE!</v>
      </c>
      <c r="AW51" t="e">
        <f>AND(Plan1!H857,"AAAAAHd1tTA=")</f>
        <v>#VALUE!</v>
      </c>
      <c r="AX51" t="e">
        <f>AND(Plan1!I857,"AAAAAHd1tTE=")</f>
        <v>#VALUE!</v>
      </c>
      <c r="AY51" t="e">
        <f>AND(Plan1!J857,"AAAAAHd1tTI=")</f>
        <v>#VALUE!</v>
      </c>
      <c r="AZ51" t="e">
        <f>AND(Plan1!K857,"AAAAAHd1tTM=")</f>
        <v>#VALUE!</v>
      </c>
      <c r="BA51" t="e">
        <f>AND(Plan1!L857,"AAAAAHd1tTQ=")</f>
        <v>#VALUE!</v>
      </c>
      <c r="BB51" t="e">
        <f>AND(Plan1!M857,"AAAAAHd1tTU=")</f>
        <v>#VALUE!</v>
      </c>
      <c r="BC51" t="e">
        <f>AND(Plan1!N857,"AAAAAHd1tTY=")</f>
        <v>#VALUE!</v>
      </c>
      <c r="BD51">
        <f>IF(Plan1!858:858,"AAAAAHd1tTc=",0)</f>
        <v>0</v>
      </c>
      <c r="BE51" t="e">
        <f>AND(Plan1!A858,"AAAAAHd1tTg=")</f>
        <v>#VALUE!</v>
      </c>
      <c r="BF51" t="e">
        <f>AND(Plan1!B858,"AAAAAHd1tTk=")</f>
        <v>#VALUE!</v>
      </c>
      <c r="BG51" t="e">
        <f>AND(Plan1!C858,"AAAAAHd1tTo=")</f>
        <v>#VALUE!</v>
      </c>
      <c r="BH51" t="e">
        <f>AND(Plan1!D858,"AAAAAHd1tTs=")</f>
        <v>#VALUE!</v>
      </c>
      <c r="BI51" t="e">
        <f>AND(Plan1!E858,"AAAAAHd1tTw=")</f>
        <v>#VALUE!</v>
      </c>
      <c r="BJ51" t="e">
        <f>AND(Plan1!F858,"AAAAAHd1tT0=")</f>
        <v>#VALUE!</v>
      </c>
      <c r="BK51" t="e">
        <f>AND(Plan1!G858,"AAAAAHd1tT4=")</f>
        <v>#VALUE!</v>
      </c>
      <c r="BL51" t="e">
        <f>AND(Plan1!H858,"AAAAAHd1tT8=")</f>
        <v>#VALUE!</v>
      </c>
      <c r="BM51" t="e">
        <f>AND(Plan1!I858,"AAAAAHd1tUA=")</f>
        <v>#VALUE!</v>
      </c>
      <c r="BN51" t="e">
        <f>AND(Plan1!J858,"AAAAAHd1tUE=")</f>
        <v>#VALUE!</v>
      </c>
      <c r="BO51" t="e">
        <f>AND(Plan1!K858,"AAAAAHd1tUI=")</f>
        <v>#VALUE!</v>
      </c>
      <c r="BP51" t="e">
        <f>AND(Plan1!L858,"AAAAAHd1tUM=")</f>
        <v>#VALUE!</v>
      </c>
      <c r="BQ51" t="e">
        <f>AND(Plan1!M858,"AAAAAHd1tUQ=")</f>
        <v>#VALUE!</v>
      </c>
      <c r="BR51" t="e">
        <f>AND(Plan1!N858,"AAAAAHd1tUU=")</f>
        <v>#VALUE!</v>
      </c>
      <c r="BS51">
        <f>IF(Plan1!859:859,"AAAAAHd1tUY=",0)</f>
        <v>0</v>
      </c>
      <c r="BT51" t="e">
        <f>AND(Plan1!A859,"AAAAAHd1tUc=")</f>
        <v>#VALUE!</v>
      </c>
      <c r="BU51" t="e">
        <f>AND(Plan1!B859,"AAAAAHd1tUg=")</f>
        <v>#VALUE!</v>
      </c>
      <c r="BV51" t="e">
        <f>AND(Plan1!C859,"AAAAAHd1tUk=")</f>
        <v>#VALUE!</v>
      </c>
      <c r="BW51" t="e">
        <f>AND(Plan1!D859,"AAAAAHd1tUo=")</f>
        <v>#VALUE!</v>
      </c>
      <c r="BX51" t="e">
        <f>AND(Plan1!E859,"AAAAAHd1tUs=")</f>
        <v>#VALUE!</v>
      </c>
      <c r="BY51" t="e">
        <f>AND(Plan1!F859,"AAAAAHd1tUw=")</f>
        <v>#VALUE!</v>
      </c>
      <c r="BZ51" t="e">
        <f>AND(Plan1!G859,"AAAAAHd1tU0=")</f>
        <v>#VALUE!</v>
      </c>
      <c r="CA51" t="e">
        <f>AND(Plan1!H859,"AAAAAHd1tU4=")</f>
        <v>#VALUE!</v>
      </c>
      <c r="CB51" t="e">
        <f>AND(Plan1!I859,"AAAAAHd1tU8=")</f>
        <v>#VALUE!</v>
      </c>
      <c r="CC51" t="e">
        <f>AND(Plan1!J859,"AAAAAHd1tVA=")</f>
        <v>#VALUE!</v>
      </c>
      <c r="CD51" t="e">
        <f>AND(Plan1!K859,"AAAAAHd1tVE=")</f>
        <v>#VALUE!</v>
      </c>
      <c r="CE51" t="e">
        <f>AND(Plan1!L859,"AAAAAHd1tVI=")</f>
        <v>#VALUE!</v>
      </c>
      <c r="CF51" t="e">
        <f>AND(Plan1!M859,"AAAAAHd1tVM=")</f>
        <v>#VALUE!</v>
      </c>
      <c r="CG51" t="e">
        <f>AND(Plan1!N859,"AAAAAHd1tVQ=")</f>
        <v>#VALUE!</v>
      </c>
      <c r="CH51">
        <f>IF(Plan1!860:860,"AAAAAHd1tVU=",0)</f>
        <v>0</v>
      </c>
      <c r="CI51" t="e">
        <f>AND(Plan1!A860,"AAAAAHd1tVY=")</f>
        <v>#VALUE!</v>
      </c>
      <c r="CJ51" t="e">
        <f>AND(Plan1!B860,"AAAAAHd1tVc=")</f>
        <v>#VALUE!</v>
      </c>
      <c r="CK51" t="e">
        <f>AND(Plan1!C860,"AAAAAHd1tVg=")</f>
        <v>#VALUE!</v>
      </c>
      <c r="CL51" t="e">
        <f>AND(Plan1!D860,"AAAAAHd1tVk=")</f>
        <v>#VALUE!</v>
      </c>
      <c r="CM51" t="e">
        <f>AND(Plan1!E860,"AAAAAHd1tVo=")</f>
        <v>#VALUE!</v>
      </c>
      <c r="CN51" t="e">
        <f>AND(Plan1!F860,"AAAAAHd1tVs=")</f>
        <v>#VALUE!</v>
      </c>
      <c r="CO51" t="e">
        <f>AND(Plan1!G860,"AAAAAHd1tVw=")</f>
        <v>#VALUE!</v>
      </c>
      <c r="CP51" t="e">
        <f>AND(Plan1!H860,"AAAAAHd1tV0=")</f>
        <v>#VALUE!</v>
      </c>
      <c r="CQ51" t="e">
        <f>AND(Plan1!I860,"AAAAAHd1tV4=")</f>
        <v>#VALUE!</v>
      </c>
      <c r="CR51" t="e">
        <f>AND(Plan1!J860,"AAAAAHd1tV8=")</f>
        <v>#VALUE!</v>
      </c>
      <c r="CS51" t="e">
        <f>AND(Plan1!K860,"AAAAAHd1tWA=")</f>
        <v>#VALUE!</v>
      </c>
      <c r="CT51" t="e">
        <f>AND(Plan1!L860,"AAAAAHd1tWE=")</f>
        <v>#VALUE!</v>
      </c>
      <c r="CU51" t="e">
        <f>AND(Plan1!M860,"AAAAAHd1tWI=")</f>
        <v>#VALUE!</v>
      </c>
      <c r="CV51" t="e">
        <f>AND(Plan1!N860,"AAAAAHd1tWM=")</f>
        <v>#VALUE!</v>
      </c>
      <c r="CW51">
        <f>IF(Plan1!861:861,"AAAAAHd1tWQ=",0)</f>
        <v>0</v>
      </c>
      <c r="CX51" t="e">
        <f>AND(Plan1!A861,"AAAAAHd1tWU=")</f>
        <v>#VALUE!</v>
      </c>
      <c r="CY51" t="e">
        <f>AND(Plan1!B861,"AAAAAHd1tWY=")</f>
        <v>#VALUE!</v>
      </c>
      <c r="CZ51" t="e">
        <f>AND(Plan1!C861,"AAAAAHd1tWc=")</f>
        <v>#VALUE!</v>
      </c>
      <c r="DA51" t="e">
        <f>AND(Plan1!D861,"AAAAAHd1tWg=")</f>
        <v>#VALUE!</v>
      </c>
      <c r="DB51" t="e">
        <f>AND(Plan1!E861,"AAAAAHd1tWk=")</f>
        <v>#VALUE!</v>
      </c>
      <c r="DC51" t="e">
        <f>AND(Plan1!F861,"AAAAAHd1tWo=")</f>
        <v>#VALUE!</v>
      </c>
      <c r="DD51" t="e">
        <f>AND(Plan1!G861,"AAAAAHd1tWs=")</f>
        <v>#VALUE!</v>
      </c>
      <c r="DE51" t="e">
        <f>AND(Plan1!H861,"AAAAAHd1tWw=")</f>
        <v>#VALUE!</v>
      </c>
      <c r="DF51" t="e">
        <f>AND(Plan1!I861,"AAAAAHd1tW0=")</f>
        <v>#VALUE!</v>
      </c>
      <c r="DG51" t="e">
        <f>AND(Plan1!J861,"AAAAAHd1tW4=")</f>
        <v>#VALUE!</v>
      </c>
      <c r="DH51" t="e">
        <f>AND(Plan1!K861,"AAAAAHd1tW8=")</f>
        <v>#VALUE!</v>
      </c>
      <c r="DI51" t="e">
        <f>AND(Plan1!L861,"AAAAAHd1tXA=")</f>
        <v>#VALUE!</v>
      </c>
      <c r="DJ51" t="e">
        <f>AND(Plan1!M861,"AAAAAHd1tXE=")</f>
        <v>#VALUE!</v>
      </c>
      <c r="DK51" t="e">
        <f>AND(Plan1!N861,"AAAAAHd1tXI=")</f>
        <v>#VALUE!</v>
      </c>
      <c r="DL51">
        <f>IF(Plan1!862:862,"AAAAAHd1tXM=",0)</f>
        <v>0</v>
      </c>
      <c r="DM51" t="e">
        <f>AND(Plan1!A862,"AAAAAHd1tXQ=")</f>
        <v>#VALUE!</v>
      </c>
      <c r="DN51" t="e">
        <f>AND(Plan1!B862,"AAAAAHd1tXU=")</f>
        <v>#VALUE!</v>
      </c>
      <c r="DO51" t="e">
        <f>AND(Plan1!C862,"AAAAAHd1tXY=")</f>
        <v>#VALUE!</v>
      </c>
      <c r="DP51" t="e">
        <f>AND(Plan1!D862,"AAAAAHd1tXc=")</f>
        <v>#VALUE!</v>
      </c>
      <c r="DQ51" t="e">
        <f>AND(Plan1!E862,"AAAAAHd1tXg=")</f>
        <v>#VALUE!</v>
      </c>
      <c r="DR51" t="e">
        <f>AND(Plan1!F862,"AAAAAHd1tXk=")</f>
        <v>#VALUE!</v>
      </c>
      <c r="DS51" t="e">
        <f>AND(Plan1!G862,"AAAAAHd1tXo=")</f>
        <v>#VALUE!</v>
      </c>
      <c r="DT51" t="e">
        <f>AND(Plan1!H862,"AAAAAHd1tXs=")</f>
        <v>#VALUE!</v>
      </c>
      <c r="DU51" t="e">
        <f>AND(Plan1!I862,"AAAAAHd1tXw=")</f>
        <v>#VALUE!</v>
      </c>
      <c r="DV51" t="e">
        <f>AND(Plan1!J862,"AAAAAHd1tX0=")</f>
        <v>#VALUE!</v>
      </c>
      <c r="DW51" t="e">
        <f>AND(Plan1!K862,"AAAAAHd1tX4=")</f>
        <v>#VALUE!</v>
      </c>
      <c r="DX51" t="e">
        <f>AND(Plan1!L862,"AAAAAHd1tX8=")</f>
        <v>#VALUE!</v>
      </c>
      <c r="DY51" t="e">
        <f>AND(Plan1!M862,"AAAAAHd1tYA=")</f>
        <v>#VALUE!</v>
      </c>
      <c r="DZ51" t="e">
        <f>AND(Plan1!N862,"AAAAAHd1tYE=")</f>
        <v>#VALUE!</v>
      </c>
      <c r="EA51">
        <f>IF(Plan1!863:863,"AAAAAHd1tYI=",0)</f>
        <v>0</v>
      </c>
      <c r="EB51" t="e">
        <f>AND(Plan1!A863,"AAAAAHd1tYM=")</f>
        <v>#VALUE!</v>
      </c>
      <c r="EC51" t="e">
        <f>AND(Plan1!B863,"AAAAAHd1tYQ=")</f>
        <v>#VALUE!</v>
      </c>
      <c r="ED51" t="e">
        <f>AND(Plan1!C863,"AAAAAHd1tYU=")</f>
        <v>#VALUE!</v>
      </c>
      <c r="EE51" t="e">
        <f>AND(Plan1!D863,"AAAAAHd1tYY=")</f>
        <v>#VALUE!</v>
      </c>
      <c r="EF51" t="e">
        <f>AND(Plan1!E863,"AAAAAHd1tYc=")</f>
        <v>#VALUE!</v>
      </c>
      <c r="EG51" t="e">
        <f>AND(Plan1!F863,"AAAAAHd1tYg=")</f>
        <v>#VALUE!</v>
      </c>
      <c r="EH51" t="e">
        <f>AND(Plan1!G863,"AAAAAHd1tYk=")</f>
        <v>#VALUE!</v>
      </c>
      <c r="EI51" t="e">
        <f>AND(Plan1!H863,"AAAAAHd1tYo=")</f>
        <v>#VALUE!</v>
      </c>
      <c r="EJ51" t="e">
        <f>AND(Plan1!I863,"AAAAAHd1tYs=")</f>
        <v>#VALUE!</v>
      </c>
      <c r="EK51" t="e">
        <f>AND(Plan1!J863,"AAAAAHd1tYw=")</f>
        <v>#VALUE!</v>
      </c>
      <c r="EL51" t="e">
        <f>AND(Plan1!K863,"AAAAAHd1tY0=")</f>
        <v>#VALUE!</v>
      </c>
      <c r="EM51" t="e">
        <f>AND(Plan1!L863,"AAAAAHd1tY4=")</f>
        <v>#VALUE!</v>
      </c>
      <c r="EN51" t="e">
        <f>AND(Plan1!M863,"AAAAAHd1tY8=")</f>
        <v>#VALUE!</v>
      </c>
      <c r="EO51" t="e">
        <f>AND(Plan1!N863,"AAAAAHd1tZA=")</f>
        <v>#VALUE!</v>
      </c>
      <c r="EP51">
        <f>IF(Plan1!864:864,"AAAAAHd1tZE=",0)</f>
        <v>0</v>
      </c>
      <c r="EQ51" t="e">
        <f>AND(Plan1!A864,"AAAAAHd1tZI=")</f>
        <v>#VALUE!</v>
      </c>
      <c r="ER51" t="e">
        <f>AND(Plan1!B864,"AAAAAHd1tZM=")</f>
        <v>#VALUE!</v>
      </c>
      <c r="ES51" t="e">
        <f>AND(Plan1!C864,"AAAAAHd1tZQ=")</f>
        <v>#VALUE!</v>
      </c>
      <c r="ET51" t="e">
        <f>AND(Plan1!D864,"AAAAAHd1tZU=")</f>
        <v>#VALUE!</v>
      </c>
      <c r="EU51" t="e">
        <f>AND(Plan1!E864,"AAAAAHd1tZY=")</f>
        <v>#VALUE!</v>
      </c>
      <c r="EV51" t="e">
        <f>AND(Plan1!F864,"AAAAAHd1tZc=")</f>
        <v>#VALUE!</v>
      </c>
      <c r="EW51" t="e">
        <f>AND(Plan1!G864,"AAAAAHd1tZg=")</f>
        <v>#VALUE!</v>
      </c>
      <c r="EX51" t="e">
        <f>AND(Plan1!H864,"AAAAAHd1tZk=")</f>
        <v>#VALUE!</v>
      </c>
      <c r="EY51" t="e">
        <f>AND(Plan1!I864,"AAAAAHd1tZo=")</f>
        <v>#VALUE!</v>
      </c>
      <c r="EZ51" t="e">
        <f>AND(Plan1!J864,"AAAAAHd1tZs=")</f>
        <v>#VALUE!</v>
      </c>
      <c r="FA51" t="e">
        <f>AND(Plan1!K864,"AAAAAHd1tZw=")</f>
        <v>#VALUE!</v>
      </c>
      <c r="FB51" t="e">
        <f>AND(Plan1!L864,"AAAAAHd1tZ0=")</f>
        <v>#VALUE!</v>
      </c>
      <c r="FC51" t="e">
        <f>AND(Plan1!M864,"AAAAAHd1tZ4=")</f>
        <v>#VALUE!</v>
      </c>
      <c r="FD51" t="e">
        <f>AND(Plan1!N864,"AAAAAHd1tZ8=")</f>
        <v>#VALUE!</v>
      </c>
      <c r="FE51">
        <f>IF(Plan1!865:865,"AAAAAHd1taA=",0)</f>
        <v>0</v>
      </c>
      <c r="FF51" t="e">
        <f>AND(Plan1!A865,"AAAAAHd1taE=")</f>
        <v>#VALUE!</v>
      </c>
      <c r="FG51" t="e">
        <f>AND(Plan1!B865,"AAAAAHd1taI=")</f>
        <v>#VALUE!</v>
      </c>
      <c r="FH51" t="e">
        <f>AND(Plan1!C865,"AAAAAHd1taM=")</f>
        <v>#VALUE!</v>
      </c>
      <c r="FI51" t="e">
        <f>AND(Plan1!D865,"AAAAAHd1taQ=")</f>
        <v>#VALUE!</v>
      </c>
      <c r="FJ51" t="e">
        <f>AND(Plan1!E865,"AAAAAHd1taU=")</f>
        <v>#VALUE!</v>
      </c>
      <c r="FK51" t="e">
        <f>AND(Plan1!F865,"AAAAAHd1taY=")</f>
        <v>#VALUE!</v>
      </c>
      <c r="FL51" t="e">
        <f>AND(Plan1!G865,"AAAAAHd1tac=")</f>
        <v>#VALUE!</v>
      </c>
      <c r="FM51" t="e">
        <f>AND(Plan1!H865,"AAAAAHd1tag=")</f>
        <v>#VALUE!</v>
      </c>
      <c r="FN51" t="e">
        <f>AND(Plan1!I865,"AAAAAHd1tak=")</f>
        <v>#VALUE!</v>
      </c>
      <c r="FO51" t="e">
        <f>AND(Plan1!J865,"AAAAAHd1tao=")</f>
        <v>#VALUE!</v>
      </c>
      <c r="FP51" t="e">
        <f>AND(Plan1!K865,"AAAAAHd1tas=")</f>
        <v>#VALUE!</v>
      </c>
      <c r="FQ51" t="e">
        <f>AND(Plan1!L865,"AAAAAHd1taw=")</f>
        <v>#VALUE!</v>
      </c>
      <c r="FR51" t="e">
        <f>AND(Plan1!M865,"AAAAAHd1ta0=")</f>
        <v>#VALUE!</v>
      </c>
      <c r="FS51" t="e">
        <f>AND(Plan1!N865,"AAAAAHd1ta4=")</f>
        <v>#VALUE!</v>
      </c>
      <c r="FT51">
        <f>IF(Plan1!866:866,"AAAAAHd1ta8=",0)</f>
        <v>0</v>
      </c>
      <c r="FU51" t="e">
        <f>AND(Plan1!A866,"AAAAAHd1tbA=")</f>
        <v>#VALUE!</v>
      </c>
      <c r="FV51" t="e">
        <f>AND(Plan1!B866,"AAAAAHd1tbE=")</f>
        <v>#VALUE!</v>
      </c>
      <c r="FW51" t="e">
        <f>AND(Plan1!C866,"AAAAAHd1tbI=")</f>
        <v>#VALUE!</v>
      </c>
      <c r="FX51" t="e">
        <f>AND(Plan1!D866,"AAAAAHd1tbM=")</f>
        <v>#VALUE!</v>
      </c>
      <c r="FY51" t="e">
        <f>AND(Plan1!E866,"AAAAAHd1tbQ=")</f>
        <v>#VALUE!</v>
      </c>
      <c r="FZ51" t="e">
        <f>AND(Plan1!F866,"AAAAAHd1tbU=")</f>
        <v>#VALUE!</v>
      </c>
      <c r="GA51" t="e">
        <f>AND(Plan1!G866,"AAAAAHd1tbY=")</f>
        <v>#VALUE!</v>
      </c>
      <c r="GB51" t="e">
        <f>AND(Plan1!H866,"AAAAAHd1tbc=")</f>
        <v>#VALUE!</v>
      </c>
      <c r="GC51" t="e">
        <f>AND(Plan1!I866,"AAAAAHd1tbg=")</f>
        <v>#VALUE!</v>
      </c>
      <c r="GD51" t="e">
        <f>AND(Plan1!J866,"AAAAAHd1tbk=")</f>
        <v>#VALUE!</v>
      </c>
      <c r="GE51" t="e">
        <f>AND(Plan1!K866,"AAAAAHd1tbo=")</f>
        <v>#VALUE!</v>
      </c>
      <c r="GF51" t="e">
        <f>AND(Plan1!L866,"AAAAAHd1tbs=")</f>
        <v>#VALUE!</v>
      </c>
      <c r="GG51" t="e">
        <f>AND(Plan1!M866,"AAAAAHd1tbw=")</f>
        <v>#VALUE!</v>
      </c>
      <c r="GH51" t="e">
        <f>AND(Plan1!N866,"AAAAAHd1tb0=")</f>
        <v>#VALUE!</v>
      </c>
      <c r="GI51">
        <f>IF(Plan1!867:867,"AAAAAHd1tb4=",0)</f>
        <v>0</v>
      </c>
      <c r="GJ51" t="e">
        <f>AND(Plan1!A867,"AAAAAHd1tb8=")</f>
        <v>#VALUE!</v>
      </c>
      <c r="GK51" t="e">
        <f>AND(Plan1!B867,"AAAAAHd1tcA=")</f>
        <v>#VALUE!</v>
      </c>
      <c r="GL51" t="e">
        <f>AND(Plan1!C867,"AAAAAHd1tcE=")</f>
        <v>#VALUE!</v>
      </c>
      <c r="GM51" t="e">
        <f>AND(Plan1!D867,"AAAAAHd1tcI=")</f>
        <v>#VALUE!</v>
      </c>
      <c r="GN51" t="e">
        <f>AND(Plan1!E867,"AAAAAHd1tcM=")</f>
        <v>#VALUE!</v>
      </c>
      <c r="GO51" t="e">
        <f>AND(Plan1!F867,"AAAAAHd1tcQ=")</f>
        <v>#VALUE!</v>
      </c>
      <c r="GP51" t="e">
        <f>AND(Plan1!G867,"AAAAAHd1tcU=")</f>
        <v>#VALUE!</v>
      </c>
      <c r="GQ51" t="e">
        <f>AND(Plan1!H867,"AAAAAHd1tcY=")</f>
        <v>#VALUE!</v>
      </c>
      <c r="GR51" t="e">
        <f>AND(Plan1!I867,"AAAAAHd1tcc=")</f>
        <v>#VALUE!</v>
      </c>
      <c r="GS51" t="e">
        <f>AND(Plan1!J867,"AAAAAHd1tcg=")</f>
        <v>#VALUE!</v>
      </c>
      <c r="GT51" t="e">
        <f>AND(Plan1!K867,"AAAAAHd1tck=")</f>
        <v>#VALUE!</v>
      </c>
      <c r="GU51" t="e">
        <f>AND(Plan1!L867,"AAAAAHd1tco=")</f>
        <v>#VALUE!</v>
      </c>
      <c r="GV51" t="e">
        <f>AND(Plan1!M867,"AAAAAHd1tcs=")</f>
        <v>#VALUE!</v>
      </c>
      <c r="GW51" t="e">
        <f>AND(Plan1!N867,"AAAAAHd1tcw=")</f>
        <v>#VALUE!</v>
      </c>
      <c r="GX51">
        <f>IF(Plan1!868:868,"AAAAAHd1tc0=",0)</f>
        <v>0</v>
      </c>
      <c r="GY51" t="e">
        <f>AND(Plan1!A868,"AAAAAHd1tc4=")</f>
        <v>#VALUE!</v>
      </c>
      <c r="GZ51" t="e">
        <f>AND(Plan1!B868,"AAAAAHd1tc8=")</f>
        <v>#VALUE!</v>
      </c>
      <c r="HA51" t="e">
        <f>AND(Plan1!C868,"AAAAAHd1tdA=")</f>
        <v>#VALUE!</v>
      </c>
      <c r="HB51" t="e">
        <f>AND(Plan1!D868,"AAAAAHd1tdE=")</f>
        <v>#VALUE!</v>
      </c>
      <c r="HC51" t="e">
        <f>AND(Plan1!E868,"AAAAAHd1tdI=")</f>
        <v>#VALUE!</v>
      </c>
      <c r="HD51" t="e">
        <f>AND(Plan1!F868,"AAAAAHd1tdM=")</f>
        <v>#VALUE!</v>
      </c>
      <c r="HE51" t="e">
        <f>AND(Plan1!G868,"AAAAAHd1tdQ=")</f>
        <v>#VALUE!</v>
      </c>
      <c r="HF51" t="e">
        <f>AND(Plan1!H868,"AAAAAHd1tdU=")</f>
        <v>#VALUE!</v>
      </c>
      <c r="HG51" t="e">
        <f>AND(Plan1!I868,"AAAAAHd1tdY=")</f>
        <v>#VALUE!</v>
      </c>
      <c r="HH51" t="e">
        <f>AND(Plan1!J868,"AAAAAHd1tdc=")</f>
        <v>#VALUE!</v>
      </c>
      <c r="HI51" t="e">
        <f>AND(Plan1!K868,"AAAAAHd1tdg=")</f>
        <v>#VALUE!</v>
      </c>
      <c r="HJ51" t="e">
        <f>AND(Plan1!L868,"AAAAAHd1tdk=")</f>
        <v>#VALUE!</v>
      </c>
      <c r="HK51" t="e">
        <f>AND(Plan1!M868,"AAAAAHd1tdo=")</f>
        <v>#VALUE!</v>
      </c>
      <c r="HL51" t="e">
        <f>AND(Plan1!N868,"AAAAAHd1tds=")</f>
        <v>#VALUE!</v>
      </c>
      <c r="HM51">
        <f>IF(Plan1!869:869,"AAAAAHd1tdw=",0)</f>
        <v>0</v>
      </c>
      <c r="HN51" t="e">
        <f>AND(Plan1!A869,"AAAAAHd1td0=")</f>
        <v>#VALUE!</v>
      </c>
      <c r="HO51" t="e">
        <f>AND(Plan1!B869,"AAAAAHd1td4=")</f>
        <v>#VALUE!</v>
      </c>
      <c r="HP51" t="e">
        <f>AND(Plan1!C869,"AAAAAHd1td8=")</f>
        <v>#VALUE!</v>
      </c>
      <c r="HQ51" t="e">
        <f>AND(Plan1!D869,"AAAAAHd1teA=")</f>
        <v>#VALUE!</v>
      </c>
      <c r="HR51" t="e">
        <f>AND(Plan1!E869,"AAAAAHd1teE=")</f>
        <v>#VALUE!</v>
      </c>
      <c r="HS51" t="e">
        <f>AND(Plan1!F869,"AAAAAHd1teI=")</f>
        <v>#VALUE!</v>
      </c>
      <c r="HT51" t="e">
        <f>AND(Plan1!G869,"AAAAAHd1teM=")</f>
        <v>#VALUE!</v>
      </c>
      <c r="HU51" t="e">
        <f>AND(Plan1!H869,"AAAAAHd1teQ=")</f>
        <v>#VALUE!</v>
      </c>
      <c r="HV51" t="e">
        <f>AND(Plan1!I869,"AAAAAHd1teU=")</f>
        <v>#VALUE!</v>
      </c>
      <c r="HW51" t="e">
        <f>AND(Plan1!J869,"AAAAAHd1teY=")</f>
        <v>#VALUE!</v>
      </c>
      <c r="HX51" t="e">
        <f>AND(Plan1!K869,"AAAAAHd1tec=")</f>
        <v>#VALUE!</v>
      </c>
      <c r="HY51" t="e">
        <f>AND(Plan1!L869,"AAAAAHd1teg=")</f>
        <v>#VALUE!</v>
      </c>
      <c r="HZ51" t="e">
        <f>AND(Plan1!M869,"AAAAAHd1tek=")</f>
        <v>#VALUE!</v>
      </c>
      <c r="IA51" t="e">
        <f>AND(Plan1!N869,"AAAAAHd1teo=")</f>
        <v>#VALUE!</v>
      </c>
      <c r="IB51">
        <f>IF(Plan1!870:870,"AAAAAHd1tes=",0)</f>
        <v>0</v>
      </c>
      <c r="IC51" t="e">
        <f>AND(Plan1!A870,"AAAAAHd1tew=")</f>
        <v>#VALUE!</v>
      </c>
      <c r="ID51" t="e">
        <f>AND(Plan1!B870,"AAAAAHd1te0=")</f>
        <v>#VALUE!</v>
      </c>
      <c r="IE51" t="e">
        <f>AND(Plan1!C870,"AAAAAHd1te4=")</f>
        <v>#VALUE!</v>
      </c>
      <c r="IF51" t="e">
        <f>AND(Plan1!D870,"AAAAAHd1te8=")</f>
        <v>#VALUE!</v>
      </c>
      <c r="IG51" t="e">
        <f>AND(Plan1!E870,"AAAAAHd1tfA=")</f>
        <v>#VALUE!</v>
      </c>
      <c r="IH51" t="e">
        <f>AND(Plan1!F870,"AAAAAHd1tfE=")</f>
        <v>#VALUE!</v>
      </c>
      <c r="II51" t="e">
        <f>AND(Plan1!G870,"AAAAAHd1tfI=")</f>
        <v>#VALUE!</v>
      </c>
      <c r="IJ51" t="e">
        <f>AND(Plan1!H870,"AAAAAHd1tfM=")</f>
        <v>#VALUE!</v>
      </c>
      <c r="IK51" t="e">
        <f>AND(Plan1!I870,"AAAAAHd1tfQ=")</f>
        <v>#VALUE!</v>
      </c>
      <c r="IL51" t="e">
        <f>AND(Plan1!J870,"AAAAAHd1tfU=")</f>
        <v>#VALUE!</v>
      </c>
      <c r="IM51" t="e">
        <f>AND(Plan1!K870,"AAAAAHd1tfY=")</f>
        <v>#VALUE!</v>
      </c>
      <c r="IN51" t="e">
        <f>AND(Plan1!L870,"AAAAAHd1tfc=")</f>
        <v>#VALUE!</v>
      </c>
      <c r="IO51" t="e">
        <f>AND(Plan1!M870,"AAAAAHd1tfg=")</f>
        <v>#VALUE!</v>
      </c>
      <c r="IP51" t="e">
        <f>AND(Plan1!N870,"AAAAAHd1tfk=")</f>
        <v>#VALUE!</v>
      </c>
      <c r="IQ51">
        <f>IF(Plan1!871:871,"AAAAAHd1tfo=",0)</f>
        <v>0</v>
      </c>
      <c r="IR51" t="e">
        <f>AND(Plan1!A871,"AAAAAHd1tfs=")</f>
        <v>#VALUE!</v>
      </c>
      <c r="IS51" t="e">
        <f>AND(Plan1!B871,"AAAAAHd1tfw=")</f>
        <v>#VALUE!</v>
      </c>
      <c r="IT51" t="e">
        <f>AND(Plan1!C871,"AAAAAHd1tf0=")</f>
        <v>#VALUE!</v>
      </c>
      <c r="IU51" t="e">
        <f>AND(Plan1!D871,"AAAAAHd1tf4=")</f>
        <v>#VALUE!</v>
      </c>
      <c r="IV51" t="e">
        <f>AND(Plan1!E871,"AAAAAHd1tf8=")</f>
        <v>#VALUE!</v>
      </c>
    </row>
    <row r="52" spans="1:256">
      <c r="A52" t="e">
        <f>AND(Plan1!F871,"AAAAAH/g3gA=")</f>
        <v>#VALUE!</v>
      </c>
      <c r="B52" t="e">
        <f>AND(Plan1!G871,"AAAAAH/g3gE=")</f>
        <v>#VALUE!</v>
      </c>
      <c r="C52" t="e">
        <f>AND(Plan1!H871,"AAAAAH/g3gI=")</f>
        <v>#VALUE!</v>
      </c>
      <c r="D52" t="e">
        <f>AND(Plan1!I871,"AAAAAH/g3gM=")</f>
        <v>#VALUE!</v>
      </c>
      <c r="E52" t="e">
        <f>AND(Plan1!J871,"AAAAAH/g3gQ=")</f>
        <v>#VALUE!</v>
      </c>
      <c r="F52" t="e">
        <f>AND(Plan1!K871,"AAAAAH/g3gU=")</f>
        <v>#VALUE!</v>
      </c>
      <c r="G52" t="e">
        <f>AND(Plan1!L871,"AAAAAH/g3gY=")</f>
        <v>#VALUE!</v>
      </c>
      <c r="H52" t="e">
        <f>AND(Plan1!M871,"AAAAAH/g3gc=")</f>
        <v>#VALUE!</v>
      </c>
      <c r="I52" t="e">
        <f>AND(Plan1!N871,"AAAAAH/g3gg=")</f>
        <v>#VALUE!</v>
      </c>
      <c r="J52">
        <f>IF(Plan1!872:872,"AAAAAH/g3gk=",0)</f>
        <v>0</v>
      </c>
      <c r="K52" t="e">
        <f>AND(Plan1!A872,"AAAAAH/g3go=")</f>
        <v>#VALUE!</v>
      </c>
      <c r="L52" t="e">
        <f>AND(Plan1!B872,"AAAAAH/g3gs=")</f>
        <v>#VALUE!</v>
      </c>
      <c r="M52" t="e">
        <f>AND(Plan1!C872,"AAAAAH/g3gw=")</f>
        <v>#VALUE!</v>
      </c>
      <c r="N52" t="e">
        <f>AND(Plan1!D872,"AAAAAH/g3g0=")</f>
        <v>#VALUE!</v>
      </c>
      <c r="O52" t="e">
        <f>AND(Plan1!E872,"AAAAAH/g3g4=")</f>
        <v>#VALUE!</v>
      </c>
      <c r="P52" t="e">
        <f>AND(Plan1!F872,"AAAAAH/g3g8=")</f>
        <v>#VALUE!</v>
      </c>
      <c r="Q52" t="e">
        <f>AND(Plan1!G872,"AAAAAH/g3hA=")</f>
        <v>#VALUE!</v>
      </c>
      <c r="R52" t="e">
        <f>AND(Plan1!H872,"AAAAAH/g3hE=")</f>
        <v>#VALUE!</v>
      </c>
      <c r="S52" t="e">
        <f>AND(Plan1!I872,"AAAAAH/g3hI=")</f>
        <v>#VALUE!</v>
      </c>
      <c r="T52" t="e">
        <f>AND(Plan1!J872,"AAAAAH/g3hM=")</f>
        <v>#VALUE!</v>
      </c>
      <c r="U52" t="e">
        <f>AND(Plan1!K872,"AAAAAH/g3hQ=")</f>
        <v>#VALUE!</v>
      </c>
      <c r="V52" t="e">
        <f>AND(Plan1!L872,"AAAAAH/g3hU=")</f>
        <v>#VALUE!</v>
      </c>
      <c r="W52" t="e">
        <f>AND(Plan1!M872,"AAAAAH/g3hY=")</f>
        <v>#VALUE!</v>
      </c>
      <c r="X52" t="e">
        <f>AND(Plan1!N872,"AAAAAH/g3hc=")</f>
        <v>#VALUE!</v>
      </c>
      <c r="Y52">
        <f>IF(Plan1!873:873,"AAAAAH/g3hg=",0)</f>
        <v>0</v>
      </c>
      <c r="Z52" t="e">
        <f>AND(Plan1!A873,"AAAAAH/g3hk=")</f>
        <v>#VALUE!</v>
      </c>
      <c r="AA52" t="e">
        <f>AND(Plan1!B873,"AAAAAH/g3ho=")</f>
        <v>#VALUE!</v>
      </c>
      <c r="AB52" t="e">
        <f>AND(Plan1!C873,"AAAAAH/g3hs=")</f>
        <v>#VALUE!</v>
      </c>
      <c r="AC52" t="e">
        <f>AND(Plan1!D873,"AAAAAH/g3hw=")</f>
        <v>#VALUE!</v>
      </c>
      <c r="AD52" t="e">
        <f>AND(Plan1!E873,"AAAAAH/g3h0=")</f>
        <v>#VALUE!</v>
      </c>
      <c r="AE52" t="e">
        <f>AND(Plan1!F873,"AAAAAH/g3h4=")</f>
        <v>#VALUE!</v>
      </c>
      <c r="AF52" t="e">
        <f>AND(Plan1!G873,"AAAAAH/g3h8=")</f>
        <v>#VALUE!</v>
      </c>
      <c r="AG52" t="e">
        <f>AND(Plan1!H873,"AAAAAH/g3iA=")</f>
        <v>#VALUE!</v>
      </c>
      <c r="AH52" t="e">
        <f>AND(Plan1!I873,"AAAAAH/g3iE=")</f>
        <v>#VALUE!</v>
      </c>
      <c r="AI52" t="e">
        <f>AND(Plan1!J873,"AAAAAH/g3iI=")</f>
        <v>#VALUE!</v>
      </c>
      <c r="AJ52" t="e">
        <f>AND(Plan1!K873,"AAAAAH/g3iM=")</f>
        <v>#VALUE!</v>
      </c>
      <c r="AK52" t="e">
        <f>AND(Plan1!L873,"AAAAAH/g3iQ=")</f>
        <v>#VALUE!</v>
      </c>
      <c r="AL52" t="e">
        <f>AND(Plan1!M873,"AAAAAH/g3iU=")</f>
        <v>#VALUE!</v>
      </c>
      <c r="AM52" t="e">
        <f>AND(Plan1!N873,"AAAAAH/g3iY=")</f>
        <v>#VALUE!</v>
      </c>
      <c r="AN52">
        <f>IF(Plan1!874:874,"AAAAAH/g3ic=",0)</f>
        <v>0</v>
      </c>
      <c r="AO52" t="e">
        <f>AND(Plan1!A874,"AAAAAH/g3ig=")</f>
        <v>#VALUE!</v>
      </c>
      <c r="AP52" t="e">
        <f>AND(Plan1!B874,"AAAAAH/g3ik=")</f>
        <v>#VALUE!</v>
      </c>
      <c r="AQ52" t="e">
        <f>AND(Plan1!C874,"AAAAAH/g3io=")</f>
        <v>#VALUE!</v>
      </c>
      <c r="AR52" t="e">
        <f>AND(Plan1!D874,"AAAAAH/g3is=")</f>
        <v>#VALUE!</v>
      </c>
      <c r="AS52" t="e">
        <f>AND(Plan1!E874,"AAAAAH/g3iw=")</f>
        <v>#VALUE!</v>
      </c>
      <c r="AT52" t="e">
        <f>AND(Plan1!F874,"AAAAAH/g3i0=")</f>
        <v>#VALUE!</v>
      </c>
      <c r="AU52" t="e">
        <f>AND(Plan1!G874,"AAAAAH/g3i4=")</f>
        <v>#VALUE!</v>
      </c>
      <c r="AV52" t="e">
        <f>AND(Plan1!H874,"AAAAAH/g3i8=")</f>
        <v>#VALUE!</v>
      </c>
      <c r="AW52" t="e">
        <f>AND(Plan1!I874,"AAAAAH/g3jA=")</f>
        <v>#VALUE!</v>
      </c>
      <c r="AX52" t="e">
        <f>AND(Plan1!J874,"AAAAAH/g3jE=")</f>
        <v>#VALUE!</v>
      </c>
      <c r="AY52" t="e">
        <f>AND(Plan1!K874,"AAAAAH/g3jI=")</f>
        <v>#VALUE!</v>
      </c>
      <c r="AZ52" t="e">
        <f>AND(Plan1!L874,"AAAAAH/g3jM=")</f>
        <v>#VALUE!</v>
      </c>
      <c r="BA52" t="e">
        <f>AND(Plan1!M874,"AAAAAH/g3jQ=")</f>
        <v>#VALUE!</v>
      </c>
      <c r="BB52" t="e">
        <f>AND(Plan1!N874,"AAAAAH/g3jU=")</f>
        <v>#VALUE!</v>
      </c>
      <c r="BC52">
        <f>IF(Plan1!875:875,"AAAAAH/g3jY=",0)</f>
        <v>0</v>
      </c>
      <c r="BD52" t="e">
        <f>AND(Plan1!A875,"AAAAAH/g3jc=")</f>
        <v>#VALUE!</v>
      </c>
      <c r="BE52" t="e">
        <f>AND(Plan1!B875,"AAAAAH/g3jg=")</f>
        <v>#VALUE!</v>
      </c>
      <c r="BF52" t="e">
        <f>AND(Plan1!C875,"AAAAAH/g3jk=")</f>
        <v>#VALUE!</v>
      </c>
      <c r="BG52" t="e">
        <f>AND(Plan1!D875,"AAAAAH/g3jo=")</f>
        <v>#VALUE!</v>
      </c>
      <c r="BH52" t="e">
        <f>AND(Plan1!E875,"AAAAAH/g3js=")</f>
        <v>#VALUE!</v>
      </c>
      <c r="BI52" t="e">
        <f>AND(Plan1!F875,"AAAAAH/g3jw=")</f>
        <v>#VALUE!</v>
      </c>
      <c r="BJ52" t="e">
        <f>AND(Plan1!G875,"AAAAAH/g3j0=")</f>
        <v>#VALUE!</v>
      </c>
      <c r="BK52" t="e">
        <f>AND(Plan1!H875,"AAAAAH/g3j4=")</f>
        <v>#VALUE!</v>
      </c>
      <c r="BL52" t="e">
        <f>AND(Plan1!I875,"AAAAAH/g3j8=")</f>
        <v>#VALUE!</v>
      </c>
      <c r="BM52" t="e">
        <f>AND(Plan1!J875,"AAAAAH/g3kA=")</f>
        <v>#VALUE!</v>
      </c>
      <c r="BN52" t="e">
        <f>AND(Plan1!K875,"AAAAAH/g3kE=")</f>
        <v>#VALUE!</v>
      </c>
      <c r="BO52" t="e">
        <f>AND(Plan1!L875,"AAAAAH/g3kI=")</f>
        <v>#VALUE!</v>
      </c>
      <c r="BP52" t="e">
        <f>AND(Plan1!M875,"AAAAAH/g3kM=")</f>
        <v>#VALUE!</v>
      </c>
      <c r="BQ52" t="e">
        <f>AND(Plan1!N875,"AAAAAH/g3kQ=")</f>
        <v>#VALUE!</v>
      </c>
      <c r="BR52">
        <f>IF(Plan1!876:876,"AAAAAH/g3kU=",0)</f>
        <v>0</v>
      </c>
      <c r="BS52" t="e">
        <f>AND(Plan1!A876,"AAAAAH/g3kY=")</f>
        <v>#VALUE!</v>
      </c>
      <c r="BT52" t="e">
        <f>AND(Plan1!B876,"AAAAAH/g3kc=")</f>
        <v>#VALUE!</v>
      </c>
      <c r="BU52" t="e">
        <f>AND(Plan1!C876,"AAAAAH/g3kg=")</f>
        <v>#VALUE!</v>
      </c>
      <c r="BV52" t="e">
        <f>AND(Plan1!D876,"AAAAAH/g3kk=")</f>
        <v>#VALUE!</v>
      </c>
      <c r="BW52" t="e">
        <f>AND(Plan1!E876,"AAAAAH/g3ko=")</f>
        <v>#VALUE!</v>
      </c>
      <c r="BX52" t="e">
        <f>AND(Plan1!F876,"AAAAAH/g3ks=")</f>
        <v>#VALUE!</v>
      </c>
      <c r="BY52" t="e">
        <f>AND(Plan1!G876,"AAAAAH/g3kw=")</f>
        <v>#VALUE!</v>
      </c>
      <c r="BZ52" t="e">
        <f>AND(Plan1!H876,"AAAAAH/g3k0=")</f>
        <v>#VALUE!</v>
      </c>
      <c r="CA52" t="e">
        <f>AND(Plan1!I876,"AAAAAH/g3k4=")</f>
        <v>#VALUE!</v>
      </c>
      <c r="CB52" t="e">
        <f>AND(Plan1!J876,"AAAAAH/g3k8=")</f>
        <v>#VALUE!</v>
      </c>
      <c r="CC52" t="e">
        <f>AND(Plan1!K876,"AAAAAH/g3lA=")</f>
        <v>#VALUE!</v>
      </c>
      <c r="CD52" t="e">
        <f>AND(Plan1!L876,"AAAAAH/g3lE=")</f>
        <v>#VALUE!</v>
      </c>
      <c r="CE52" t="e">
        <f>AND(Plan1!M876,"AAAAAH/g3lI=")</f>
        <v>#VALUE!</v>
      </c>
      <c r="CF52" t="e">
        <f>AND(Plan1!N876,"AAAAAH/g3lM=")</f>
        <v>#VALUE!</v>
      </c>
      <c r="CG52">
        <f>IF(Plan1!877:877,"AAAAAH/g3lQ=",0)</f>
        <v>0</v>
      </c>
      <c r="CH52" t="e">
        <f>AND(Plan1!A877,"AAAAAH/g3lU=")</f>
        <v>#VALUE!</v>
      </c>
      <c r="CI52" t="e">
        <f>AND(Plan1!B877,"AAAAAH/g3lY=")</f>
        <v>#VALUE!</v>
      </c>
      <c r="CJ52" t="e">
        <f>AND(Plan1!C877,"AAAAAH/g3lc=")</f>
        <v>#VALUE!</v>
      </c>
      <c r="CK52" t="e">
        <f>AND(Plan1!D877,"AAAAAH/g3lg=")</f>
        <v>#VALUE!</v>
      </c>
      <c r="CL52" t="e">
        <f>AND(Plan1!E877,"AAAAAH/g3lk=")</f>
        <v>#VALUE!</v>
      </c>
      <c r="CM52" t="e">
        <f>AND(Plan1!F877,"AAAAAH/g3lo=")</f>
        <v>#VALUE!</v>
      </c>
      <c r="CN52" t="e">
        <f>AND(Plan1!G877,"AAAAAH/g3ls=")</f>
        <v>#VALUE!</v>
      </c>
      <c r="CO52" t="e">
        <f>AND(Plan1!H877,"AAAAAH/g3lw=")</f>
        <v>#VALUE!</v>
      </c>
      <c r="CP52" t="e">
        <f>AND(Plan1!I877,"AAAAAH/g3l0=")</f>
        <v>#VALUE!</v>
      </c>
      <c r="CQ52" t="e">
        <f>AND(Plan1!J877,"AAAAAH/g3l4=")</f>
        <v>#VALUE!</v>
      </c>
      <c r="CR52" t="e">
        <f>AND(Plan1!K877,"AAAAAH/g3l8=")</f>
        <v>#VALUE!</v>
      </c>
      <c r="CS52" t="e">
        <f>AND(Plan1!L877,"AAAAAH/g3mA=")</f>
        <v>#VALUE!</v>
      </c>
      <c r="CT52" t="e">
        <f>AND(Plan1!M877,"AAAAAH/g3mE=")</f>
        <v>#VALUE!</v>
      </c>
      <c r="CU52" t="e">
        <f>AND(Plan1!N877,"AAAAAH/g3mI=")</f>
        <v>#VALUE!</v>
      </c>
      <c r="CV52">
        <f>IF(Plan1!878:878,"AAAAAH/g3mM=",0)</f>
        <v>0</v>
      </c>
      <c r="CW52" t="e">
        <f>AND(Plan1!A878,"AAAAAH/g3mQ=")</f>
        <v>#VALUE!</v>
      </c>
      <c r="CX52" t="e">
        <f>AND(Plan1!B878,"AAAAAH/g3mU=")</f>
        <v>#VALUE!</v>
      </c>
      <c r="CY52" t="e">
        <f>AND(Plan1!C878,"AAAAAH/g3mY=")</f>
        <v>#VALUE!</v>
      </c>
      <c r="CZ52" t="e">
        <f>AND(Plan1!D878,"AAAAAH/g3mc=")</f>
        <v>#VALUE!</v>
      </c>
      <c r="DA52" t="e">
        <f>AND(Plan1!E878,"AAAAAH/g3mg=")</f>
        <v>#VALUE!</v>
      </c>
      <c r="DB52" t="e">
        <f>AND(Plan1!F878,"AAAAAH/g3mk=")</f>
        <v>#VALUE!</v>
      </c>
      <c r="DC52" t="e">
        <f>AND(Plan1!G878,"AAAAAH/g3mo=")</f>
        <v>#VALUE!</v>
      </c>
      <c r="DD52" t="e">
        <f>AND(Plan1!H878,"AAAAAH/g3ms=")</f>
        <v>#VALUE!</v>
      </c>
      <c r="DE52" t="e">
        <f>AND(Plan1!I878,"AAAAAH/g3mw=")</f>
        <v>#VALUE!</v>
      </c>
      <c r="DF52" t="e">
        <f>AND(Plan1!J878,"AAAAAH/g3m0=")</f>
        <v>#VALUE!</v>
      </c>
      <c r="DG52" t="e">
        <f>AND(Plan1!K878,"AAAAAH/g3m4=")</f>
        <v>#VALUE!</v>
      </c>
      <c r="DH52" t="e">
        <f>AND(Plan1!L878,"AAAAAH/g3m8=")</f>
        <v>#VALUE!</v>
      </c>
      <c r="DI52" t="e">
        <f>AND(Plan1!M878,"AAAAAH/g3nA=")</f>
        <v>#VALUE!</v>
      </c>
      <c r="DJ52" t="e">
        <f>AND(Plan1!N878,"AAAAAH/g3nE=")</f>
        <v>#VALUE!</v>
      </c>
      <c r="DK52">
        <f>IF(Plan1!879:879,"AAAAAH/g3nI=",0)</f>
        <v>0</v>
      </c>
      <c r="DL52" t="e">
        <f>AND(Plan1!A879,"AAAAAH/g3nM=")</f>
        <v>#VALUE!</v>
      </c>
      <c r="DM52" t="e">
        <f>AND(Plan1!B879,"AAAAAH/g3nQ=")</f>
        <v>#VALUE!</v>
      </c>
      <c r="DN52" t="e">
        <f>AND(Plan1!C879,"AAAAAH/g3nU=")</f>
        <v>#VALUE!</v>
      </c>
      <c r="DO52" t="e">
        <f>AND(Plan1!D879,"AAAAAH/g3nY=")</f>
        <v>#VALUE!</v>
      </c>
      <c r="DP52" t="e">
        <f>AND(Plan1!E879,"AAAAAH/g3nc=")</f>
        <v>#VALUE!</v>
      </c>
      <c r="DQ52" t="e">
        <f>AND(Plan1!F879,"AAAAAH/g3ng=")</f>
        <v>#VALUE!</v>
      </c>
      <c r="DR52" t="e">
        <f>AND(Plan1!G879,"AAAAAH/g3nk=")</f>
        <v>#VALUE!</v>
      </c>
      <c r="DS52" t="e">
        <f>AND(Plan1!H879,"AAAAAH/g3no=")</f>
        <v>#VALUE!</v>
      </c>
      <c r="DT52" t="e">
        <f>AND(Plan1!I879,"AAAAAH/g3ns=")</f>
        <v>#VALUE!</v>
      </c>
      <c r="DU52" t="e">
        <f>AND(Plan1!J879,"AAAAAH/g3nw=")</f>
        <v>#VALUE!</v>
      </c>
      <c r="DV52" t="e">
        <f>AND(Plan1!K879,"AAAAAH/g3n0=")</f>
        <v>#VALUE!</v>
      </c>
      <c r="DW52" t="e">
        <f>AND(Plan1!L879,"AAAAAH/g3n4=")</f>
        <v>#VALUE!</v>
      </c>
      <c r="DX52" t="e">
        <f>AND(Plan1!M879,"AAAAAH/g3n8=")</f>
        <v>#VALUE!</v>
      </c>
      <c r="DY52" t="e">
        <f>AND(Plan1!N879,"AAAAAH/g3oA=")</f>
        <v>#VALUE!</v>
      </c>
      <c r="DZ52">
        <f>IF(Plan1!880:880,"AAAAAH/g3oE=",0)</f>
        <v>0</v>
      </c>
      <c r="EA52" t="e">
        <f>AND(Plan1!A880,"AAAAAH/g3oI=")</f>
        <v>#VALUE!</v>
      </c>
      <c r="EB52" t="e">
        <f>AND(Plan1!B880,"AAAAAH/g3oM=")</f>
        <v>#VALUE!</v>
      </c>
      <c r="EC52" t="e">
        <f>AND(Plan1!C880,"AAAAAH/g3oQ=")</f>
        <v>#VALUE!</v>
      </c>
      <c r="ED52" t="e">
        <f>AND(Plan1!D880,"AAAAAH/g3oU=")</f>
        <v>#VALUE!</v>
      </c>
      <c r="EE52" t="e">
        <f>AND(Plan1!E880,"AAAAAH/g3oY=")</f>
        <v>#VALUE!</v>
      </c>
      <c r="EF52" t="e">
        <f>AND(Plan1!F880,"AAAAAH/g3oc=")</f>
        <v>#VALUE!</v>
      </c>
      <c r="EG52" t="e">
        <f>AND(Plan1!G880,"AAAAAH/g3og=")</f>
        <v>#VALUE!</v>
      </c>
      <c r="EH52" t="e">
        <f>AND(Plan1!H880,"AAAAAH/g3ok=")</f>
        <v>#VALUE!</v>
      </c>
      <c r="EI52" t="e">
        <f>AND(Plan1!I880,"AAAAAH/g3oo=")</f>
        <v>#VALUE!</v>
      </c>
      <c r="EJ52" t="e">
        <f>AND(Plan1!J880,"AAAAAH/g3os=")</f>
        <v>#VALUE!</v>
      </c>
      <c r="EK52" t="e">
        <f>AND(Plan1!K880,"AAAAAH/g3ow=")</f>
        <v>#VALUE!</v>
      </c>
      <c r="EL52" t="e">
        <f>AND(Plan1!L880,"AAAAAH/g3o0=")</f>
        <v>#VALUE!</v>
      </c>
      <c r="EM52" t="e">
        <f>AND(Plan1!M880,"AAAAAH/g3o4=")</f>
        <v>#VALUE!</v>
      </c>
      <c r="EN52" t="e">
        <f>AND(Plan1!N880,"AAAAAH/g3o8=")</f>
        <v>#VALUE!</v>
      </c>
      <c r="EO52">
        <f>IF(Plan1!881:881,"AAAAAH/g3pA=",0)</f>
        <v>0</v>
      </c>
      <c r="EP52" t="e">
        <f>AND(Plan1!A881,"AAAAAH/g3pE=")</f>
        <v>#VALUE!</v>
      </c>
      <c r="EQ52" t="e">
        <f>AND(Plan1!B881,"AAAAAH/g3pI=")</f>
        <v>#VALUE!</v>
      </c>
      <c r="ER52" t="e">
        <f>AND(Plan1!C881,"AAAAAH/g3pM=")</f>
        <v>#VALUE!</v>
      </c>
      <c r="ES52" t="e">
        <f>AND(Plan1!D881,"AAAAAH/g3pQ=")</f>
        <v>#VALUE!</v>
      </c>
      <c r="ET52" t="e">
        <f>AND(Plan1!E881,"AAAAAH/g3pU=")</f>
        <v>#VALUE!</v>
      </c>
      <c r="EU52" t="e">
        <f>AND(Plan1!F881,"AAAAAH/g3pY=")</f>
        <v>#VALUE!</v>
      </c>
      <c r="EV52" t="e">
        <f>AND(Plan1!G881,"AAAAAH/g3pc=")</f>
        <v>#VALUE!</v>
      </c>
      <c r="EW52" t="e">
        <f>AND(Plan1!H881,"AAAAAH/g3pg=")</f>
        <v>#VALUE!</v>
      </c>
      <c r="EX52" t="e">
        <f>AND(Plan1!I881,"AAAAAH/g3pk=")</f>
        <v>#VALUE!</v>
      </c>
      <c r="EY52" t="e">
        <f>AND(Plan1!J881,"AAAAAH/g3po=")</f>
        <v>#VALUE!</v>
      </c>
      <c r="EZ52" t="e">
        <f>AND(Plan1!K881,"AAAAAH/g3ps=")</f>
        <v>#VALUE!</v>
      </c>
      <c r="FA52" t="e">
        <f>AND(Plan1!L881,"AAAAAH/g3pw=")</f>
        <v>#VALUE!</v>
      </c>
      <c r="FB52" t="e">
        <f>AND(Plan1!M881,"AAAAAH/g3p0=")</f>
        <v>#VALUE!</v>
      </c>
      <c r="FC52" t="e">
        <f>AND(Plan1!N881,"AAAAAH/g3p4=")</f>
        <v>#VALUE!</v>
      </c>
      <c r="FD52">
        <f>IF(Plan1!882:882,"AAAAAH/g3p8=",0)</f>
        <v>0</v>
      </c>
      <c r="FE52" t="e">
        <f>AND(Plan1!A882,"AAAAAH/g3qA=")</f>
        <v>#VALUE!</v>
      </c>
      <c r="FF52" t="e">
        <f>AND(Plan1!B882,"AAAAAH/g3qE=")</f>
        <v>#VALUE!</v>
      </c>
      <c r="FG52" t="e">
        <f>AND(Plan1!C882,"AAAAAH/g3qI=")</f>
        <v>#VALUE!</v>
      </c>
      <c r="FH52" t="e">
        <f>AND(Plan1!D882,"AAAAAH/g3qM=")</f>
        <v>#VALUE!</v>
      </c>
      <c r="FI52" t="e">
        <f>AND(Plan1!E882,"AAAAAH/g3qQ=")</f>
        <v>#VALUE!</v>
      </c>
      <c r="FJ52" t="e">
        <f>AND(Plan1!F882,"AAAAAH/g3qU=")</f>
        <v>#VALUE!</v>
      </c>
      <c r="FK52" t="e">
        <f>AND(Plan1!G882,"AAAAAH/g3qY=")</f>
        <v>#VALUE!</v>
      </c>
      <c r="FL52" t="e">
        <f>AND(Plan1!H882,"AAAAAH/g3qc=")</f>
        <v>#VALUE!</v>
      </c>
      <c r="FM52" t="e">
        <f>AND(Plan1!I882,"AAAAAH/g3qg=")</f>
        <v>#VALUE!</v>
      </c>
      <c r="FN52" t="e">
        <f>AND(Plan1!J882,"AAAAAH/g3qk=")</f>
        <v>#VALUE!</v>
      </c>
      <c r="FO52" t="e">
        <f>AND(Plan1!K882,"AAAAAH/g3qo=")</f>
        <v>#VALUE!</v>
      </c>
      <c r="FP52" t="e">
        <f>AND(Plan1!L882,"AAAAAH/g3qs=")</f>
        <v>#VALUE!</v>
      </c>
      <c r="FQ52" t="e">
        <f>AND(Plan1!M882,"AAAAAH/g3qw=")</f>
        <v>#VALUE!</v>
      </c>
      <c r="FR52" t="e">
        <f>AND(Plan1!N882,"AAAAAH/g3q0=")</f>
        <v>#VALUE!</v>
      </c>
      <c r="FS52">
        <f>IF(Plan1!883:883,"AAAAAH/g3q4=",0)</f>
        <v>0</v>
      </c>
      <c r="FT52" t="e">
        <f>AND(Plan1!A883,"AAAAAH/g3q8=")</f>
        <v>#VALUE!</v>
      </c>
      <c r="FU52" t="e">
        <f>AND(Plan1!B883,"AAAAAH/g3rA=")</f>
        <v>#VALUE!</v>
      </c>
      <c r="FV52" t="e">
        <f>AND(Plan1!C883,"AAAAAH/g3rE=")</f>
        <v>#VALUE!</v>
      </c>
      <c r="FW52" t="e">
        <f>AND(Plan1!D883,"AAAAAH/g3rI=")</f>
        <v>#VALUE!</v>
      </c>
      <c r="FX52" t="e">
        <f>AND(Plan1!E883,"AAAAAH/g3rM=")</f>
        <v>#VALUE!</v>
      </c>
      <c r="FY52" t="e">
        <f>AND(Plan1!F883,"AAAAAH/g3rQ=")</f>
        <v>#VALUE!</v>
      </c>
      <c r="FZ52" t="e">
        <f>AND(Plan1!G883,"AAAAAH/g3rU=")</f>
        <v>#VALUE!</v>
      </c>
      <c r="GA52" t="e">
        <f>AND(Plan1!H883,"AAAAAH/g3rY=")</f>
        <v>#VALUE!</v>
      </c>
      <c r="GB52" t="e">
        <f>AND(Plan1!I883,"AAAAAH/g3rc=")</f>
        <v>#VALUE!</v>
      </c>
      <c r="GC52" t="e">
        <f>AND(Plan1!J883,"AAAAAH/g3rg=")</f>
        <v>#VALUE!</v>
      </c>
      <c r="GD52" t="e">
        <f>AND(Plan1!K883,"AAAAAH/g3rk=")</f>
        <v>#VALUE!</v>
      </c>
      <c r="GE52" t="e">
        <f>AND(Plan1!L883,"AAAAAH/g3ro=")</f>
        <v>#VALUE!</v>
      </c>
      <c r="GF52" t="e">
        <f>AND(Plan1!M883,"AAAAAH/g3rs=")</f>
        <v>#VALUE!</v>
      </c>
      <c r="GG52" t="e">
        <f>AND(Plan1!N883,"AAAAAH/g3rw=")</f>
        <v>#VALUE!</v>
      </c>
      <c r="GH52">
        <f>IF(Plan1!884:884,"AAAAAH/g3r0=",0)</f>
        <v>0</v>
      </c>
      <c r="GI52" t="e">
        <f>AND(Plan1!A884,"AAAAAH/g3r4=")</f>
        <v>#VALUE!</v>
      </c>
      <c r="GJ52" t="e">
        <f>AND(Plan1!B884,"AAAAAH/g3r8=")</f>
        <v>#VALUE!</v>
      </c>
      <c r="GK52" t="e">
        <f>AND(Plan1!C884,"AAAAAH/g3sA=")</f>
        <v>#VALUE!</v>
      </c>
      <c r="GL52" t="e">
        <f>AND(Plan1!D884,"AAAAAH/g3sE=")</f>
        <v>#VALUE!</v>
      </c>
      <c r="GM52" t="e">
        <f>AND(Plan1!E884,"AAAAAH/g3sI=")</f>
        <v>#VALUE!</v>
      </c>
      <c r="GN52" t="e">
        <f>AND(Plan1!F884,"AAAAAH/g3sM=")</f>
        <v>#VALUE!</v>
      </c>
      <c r="GO52" t="e">
        <f>AND(Plan1!G884,"AAAAAH/g3sQ=")</f>
        <v>#VALUE!</v>
      </c>
      <c r="GP52" t="e">
        <f>AND(Plan1!H884,"AAAAAH/g3sU=")</f>
        <v>#VALUE!</v>
      </c>
      <c r="GQ52" t="e">
        <f>AND(Plan1!I884,"AAAAAH/g3sY=")</f>
        <v>#VALUE!</v>
      </c>
      <c r="GR52" t="e">
        <f>AND(Plan1!J884,"AAAAAH/g3sc=")</f>
        <v>#VALUE!</v>
      </c>
      <c r="GS52" t="e">
        <f>AND(Plan1!K884,"AAAAAH/g3sg=")</f>
        <v>#VALUE!</v>
      </c>
      <c r="GT52" t="e">
        <f>AND(Plan1!L884,"AAAAAH/g3sk=")</f>
        <v>#VALUE!</v>
      </c>
      <c r="GU52" t="e">
        <f>AND(Plan1!M884,"AAAAAH/g3so=")</f>
        <v>#VALUE!</v>
      </c>
      <c r="GV52" t="e">
        <f>AND(Plan1!N884,"AAAAAH/g3ss=")</f>
        <v>#VALUE!</v>
      </c>
      <c r="GW52">
        <f>IF(Plan1!885:885,"AAAAAH/g3sw=",0)</f>
        <v>0</v>
      </c>
      <c r="GX52" t="e">
        <f>AND(Plan1!A885,"AAAAAH/g3s0=")</f>
        <v>#VALUE!</v>
      </c>
      <c r="GY52" t="e">
        <f>AND(Plan1!B885,"AAAAAH/g3s4=")</f>
        <v>#VALUE!</v>
      </c>
      <c r="GZ52" t="e">
        <f>AND(Plan1!C885,"AAAAAH/g3s8=")</f>
        <v>#VALUE!</v>
      </c>
      <c r="HA52" t="e">
        <f>AND(Plan1!D885,"AAAAAH/g3tA=")</f>
        <v>#VALUE!</v>
      </c>
      <c r="HB52" t="e">
        <f>AND(Plan1!E885,"AAAAAH/g3tE=")</f>
        <v>#VALUE!</v>
      </c>
      <c r="HC52" t="e">
        <f>AND(Plan1!F885,"AAAAAH/g3tI=")</f>
        <v>#VALUE!</v>
      </c>
      <c r="HD52" t="e">
        <f>AND(Plan1!G885,"AAAAAH/g3tM=")</f>
        <v>#VALUE!</v>
      </c>
      <c r="HE52" t="e">
        <f>AND(Plan1!H885,"AAAAAH/g3tQ=")</f>
        <v>#VALUE!</v>
      </c>
      <c r="HF52" t="e">
        <f>AND(Plan1!I885,"AAAAAH/g3tU=")</f>
        <v>#VALUE!</v>
      </c>
      <c r="HG52" t="e">
        <f>AND(Plan1!J885,"AAAAAH/g3tY=")</f>
        <v>#VALUE!</v>
      </c>
      <c r="HH52" t="e">
        <f>AND(Plan1!K885,"AAAAAH/g3tc=")</f>
        <v>#VALUE!</v>
      </c>
      <c r="HI52" t="e">
        <f>AND(Plan1!L885,"AAAAAH/g3tg=")</f>
        <v>#VALUE!</v>
      </c>
      <c r="HJ52" t="e">
        <f>AND(Plan1!M885,"AAAAAH/g3tk=")</f>
        <v>#VALUE!</v>
      </c>
      <c r="HK52" t="e">
        <f>AND(Plan1!N885,"AAAAAH/g3to=")</f>
        <v>#VALUE!</v>
      </c>
      <c r="HL52">
        <f>IF(Plan1!886:886,"AAAAAH/g3ts=",0)</f>
        <v>0</v>
      </c>
      <c r="HM52" t="e">
        <f>AND(Plan1!A886,"AAAAAH/g3tw=")</f>
        <v>#VALUE!</v>
      </c>
      <c r="HN52" t="e">
        <f>AND(Plan1!B886,"AAAAAH/g3t0=")</f>
        <v>#VALUE!</v>
      </c>
      <c r="HO52" t="e">
        <f>AND(Plan1!C886,"AAAAAH/g3t4=")</f>
        <v>#VALUE!</v>
      </c>
      <c r="HP52" t="e">
        <f>AND(Plan1!D886,"AAAAAH/g3t8=")</f>
        <v>#VALUE!</v>
      </c>
      <c r="HQ52" t="e">
        <f>AND(Plan1!E886,"AAAAAH/g3uA=")</f>
        <v>#VALUE!</v>
      </c>
      <c r="HR52" t="e">
        <f>AND(Plan1!F886,"AAAAAH/g3uE=")</f>
        <v>#VALUE!</v>
      </c>
      <c r="HS52" t="e">
        <f>AND(Plan1!G886,"AAAAAH/g3uI=")</f>
        <v>#VALUE!</v>
      </c>
      <c r="HT52" t="e">
        <f>AND(Plan1!H886,"AAAAAH/g3uM=")</f>
        <v>#VALUE!</v>
      </c>
      <c r="HU52" t="e">
        <f>AND(Plan1!I886,"AAAAAH/g3uQ=")</f>
        <v>#VALUE!</v>
      </c>
      <c r="HV52" t="e">
        <f>AND(Plan1!J886,"AAAAAH/g3uU=")</f>
        <v>#VALUE!</v>
      </c>
      <c r="HW52" t="e">
        <f>AND(Plan1!K886,"AAAAAH/g3uY=")</f>
        <v>#VALUE!</v>
      </c>
      <c r="HX52" t="e">
        <f>AND(Plan1!L886,"AAAAAH/g3uc=")</f>
        <v>#VALUE!</v>
      </c>
      <c r="HY52" t="e">
        <f>AND(Plan1!M886,"AAAAAH/g3ug=")</f>
        <v>#VALUE!</v>
      </c>
      <c r="HZ52" t="e">
        <f>AND(Plan1!N886,"AAAAAH/g3uk=")</f>
        <v>#VALUE!</v>
      </c>
      <c r="IA52">
        <f>IF(Plan1!887:887,"AAAAAH/g3uo=",0)</f>
        <v>0</v>
      </c>
      <c r="IB52" t="e">
        <f>AND(Plan1!A887,"AAAAAH/g3us=")</f>
        <v>#VALUE!</v>
      </c>
      <c r="IC52" t="e">
        <f>AND(Plan1!B887,"AAAAAH/g3uw=")</f>
        <v>#VALUE!</v>
      </c>
      <c r="ID52" t="e">
        <f>AND(Plan1!C887,"AAAAAH/g3u0=")</f>
        <v>#VALUE!</v>
      </c>
      <c r="IE52" t="e">
        <f>AND(Plan1!D887,"AAAAAH/g3u4=")</f>
        <v>#VALUE!</v>
      </c>
      <c r="IF52" t="e">
        <f>AND(Plan1!E887,"AAAAAH/g3u8=")</f>
        <v>#VALUE!</v>
      </c>
      <c r="IG52" t="e">
        <f>AND(Plan1!F887,"AAAAAH/g3vA=")</f>
        <v>#VALUE!</v>
      </c>
      <c r="IH52" t="e">
        <f>AND(Plan1!G887,"AAAAAH/g3vE=")</f>
        <v>#VALUE!</v>
      </c>
      <c r="II52" t="e">
        <f>AND(Plan1!H887,"AAAAAH/g3vI=")</f>
        <v>#VALUE!</v>
      </c>
      <c r="IJ52" t="e">
        <f>AND(Plan1!I887,"AAAAAH/g3vM=")</f>
        <v>#VALUE!</v>
      </c>
      <c r="IK52" t="e">
        <f>AND(Plan1!J887,"AAAAAH/g3vQ=")</f>
        <v>#VALUE!</v>
      </c>
      <c r="IL52" t="e">
        <f>AND(Plan1!K887,"AAAAAH/g3vU=")</f>
        <v>#VALUE!</v>
      </c>
      <c r="IM52" t="e">
        <f>AND(Plan1!L887,"AAAAAH/g3vY=")</f>
        <v>#VALUE!</v>
      </c>
      <c r="IN52" t="e">
        <f>AND(Plan1!M887,"AAAAAH/g3vc=")</f>
        <v>#VALUE!</v>
      </c>
      <c r="IO52" t="e">
        <f>AND(Plan1!N887,"AAAAAH/g3vg=")</f>
        <v>#VALUE!</v>
      </c>
      <c r="IP52">
        <f>IF(Plan1!888:888,"AAAAAH/g3vk=",0)</f>
        <v>0</v>
      </c>
      <c r="IQ52" t="e">
        <f>AND(Plan1!A888,"AAAAAH/g3vo=")</f>
        <v>#VALUE!</v>
      </c>
      <c r="IR52" t="e">
        <f>AND(Plan1!B888,"AAAAAH/g3vs=")</f>
        <v>#VALUE!</v>
      </c>
      <c r="IS52" t="e">
        <f>AND(Plan1!C888,"AAAAAH/g3vw=")</f>
        <v>#VALUE!</v>
      </c>
      <c r="IT52" t="e">
        <f>AND(Plan1!D888,"AAAAAH/g3v0=")</f>
        <v>#VALUE!</v>
      </c>
      <c r="IU52" t="e">
        <f>AND(Plan1!E888,"AAAAAH/g3v4=")</f>
        <v>#VALUE!</v>
      </c>
      <c r="IV52" t="e">
        <f>AND(Plan1!F888,"AAAAAH/g3v8=")</f>
        <v>#VALUE!</v>
      </c>
    </row>
    <row r="53" spans="1:256">
      <c r="A53" t="e">
        <f>AND(Plan1!G888,"AAAAAHwxaQA=")</f>
        <v>#VALUE!</v>
      </c>
      <c r="B53" t="e">
        <f>AND(Plan1!H888,"AAAAAHwxaQE=")</f>
        <v>#VALUE!</v>
      </c>
      <c r="C53" t="e">
        <f>AND(Plan1!I888,"AAAAAHwxaQI=")</f>
        <v>#VALUE!</v>
      </c>
      <c r="D53" t="e">
        <f>AND(Plan1!J888,"AAAAAHwxaQM=")</f>
        <v>#VALUE!</v>
      </c>
      <c r="E53" t="e">
        <f>AND(Plan1!K888,"AAAAAHwxaQQ=")</f>
        <v>#VALUE!</v>
      </c>
      <c r="F53" t="e">
        <f>AND(Plan1!L888,"AAAAAHwxaQU=")</f>
        <v>#VALUE!</v>
      </c>
      <c r="G53" t="e">
        <f>AND(Plan1!M888,"AAAAAHwxaQY=")</f>
        <v>#VALUE!</v>
      </c>
      <c r="H53" t="e">
        <f>AND(Plan1!N888,"AAAAAHwxaQc=")</f>
        <v>#VALUE!</v>
      </c>
      <c r="I53" t="str">
        <f>IF(Plan1!889:889,"AAAAAHwxaQg=",0)</f>
        <v>AAAAAHwxaQg=</v>
      </c>
      <c r="J53" t="e">
        <f>AND(Plan1!A889,"AAAAAHwxaQk=")</f>
        <v>#VALUE!</v>
      </c>
      <c r="K53" t="e">
        <f>AND(Plan1!B889,"AAAAAHwxaQo=")</f>
        <v>#VALUE!</v>
      </c>
      <c r="L53" t="e">
        <f>AND(Plan1!C889,"AAAAAHwxaQs=")</f>
        <v>#VALUE!</v>
      </c>
      <c r="M53" t="e">
        <f>AND(Plan1!D889,"AAAAAHwxaQw=")</f>
        <v>#VALUE!</v>
      </c>
      <c r="N53" t="e">
        <f>AND(Plan1!E889,"AAAAAHwxaQ0=")</f>
        <v>#VALUE!</v>
      </c>
      <c r="O53" t="e">
        <f>AND(Plan1!F889,"AAAAAHwxaQ4=")</f>
        <v>#VALUE!</v>
      </c>
      <c r="P53" t="e">
        <f>AND(Plan1!G889,"AAAAAHwxaQ8=")</f>
        <v>#VALUE!</v>
      </c>
      <c r="Q53" t="e">
        <f>AND(Plan1!H889,"AAAAAHwxaRA=")</f>
        <v>#VALUE!</v>
      </c>
      <c r="R53" t="e">
        <f>AND(Plan1!I889,"AAAAAHwxaRE=")</f>
        <v>#VALUE!</v>
      </c>
      <c r="S53" t="e">
        <f>AND(Plan1!J889,"AAAAAHwxaRI=")</f>
        <v>#VALUE!</v>
      </c>
      <c r="T53" t="e">
        <f>AND(Plan1!K889,"AAAAAHwxaRM=")</f>
        <v>#VALUE!</v>
      </c>
      <c r="U53" t="e">
        <f>AND(Plan1!L889,"AAAAAHwxaRQ=")</f>
        <v>#VALUE!</v>
      </c>
      <c r="V53" t="e">
        <f>AND(Plan1!M889,"AAAAAHwxaRU=")</f>
        <v>#VALUE!</v>
      </c>
      <c r="W53" t="e">
        <f>AND(Plan1!N889,"AAAAAHwxaRY=")</f>
        <v>#VALUE!</v>
      </c>
      <c r="X53">
        <f>IF(Plan1!890:890,"AAAAAHwxaRc=",0)</f>
        <v>0</v>
      </c>
      <c r="Y53" t="e">
        <f>AND(Plan1!A890,"AAAAAHwxaRg=")</f>
        <v>#VALUE!</v>
      </c>
      <c r="Z53" t="e">
        <f>AND(Plan1!B890,"AAAAAHwxaRk=")</f>
        <v>#VALUE!</v>
      </c>
      <c r="AA53" t="e">
        <f>AND(Plan1!C890,"AAAAAHwxaRo=")</f>
        <v>#VALUE!</v>
      </c>
      <c r="AB53" t="e">
        <f>AND(Plan1!D890,"AAAAAHwxaRs=")</f>
        <v>#VALUE!</v>
      </c>
      <c r="AC53" t="e">
        <f>AND(Plan1!E890,"AAAAAHwxaRw=")</f>
        <v>#VALUE!</v>
      </c>
      <c r="AD53" t="e">
        <f>AND(Plan1!F890,"AAAAAHwxaR0=")</f>
        <v>#VALUE!</v>
      </c>
      <c r="AE53" t="e">
        <f>AND(Plan1!G890,"AAAAAHwxaR4=")</f>
        <v>#VALUE!</v>
      </c>
      <c r="AF53" t="e">
        <f>AND(Plan1!H890,"AAAAAHwxaR8=")</f>
        <v>#VALUE!</v>
      </c>
      <c r="AG53" t="e">
        <f>AND(Plan1!I890,"AAAAAHwxaSA=")</f>
        <v>#VALUE!</v>
      </c>
      <c r="AH53" t="e">
        <f>AND(Plan1!J890,"AAAAAHwxaSE=")</f>
        <v>#VALUE!</v>
      </c>
      <c r="AI53" t="e">
        <f>AND(Plan1!K890,"AAAAAHwxaSI=")</f>
        <v>#VALUE!</v>
      </c>
      <c r="AJ53" t="e">
        <f>AND(Plan1!L890,"AAAAAHwxaSM=")</f>
        <v>#VALUE!</v>
      </c>
      <c r="AK53" t="e">
        <f>AND(Plan1!M890,"AAAAAHwxaSQ=")</f>
        <v>#VALUE!</v>
      </c>
      <c r="AL53" t="e">
        <f>AND(Plan1!N890,"AAAAAHwxaSU=")</f>
        <v>#VALUE!</v>
      </c>
      <c r="AM53">
        <f>IF(Plan1!891:891,"AAAAAHwxaSY=",0)</f>
        <v>0</v>
      </c>
      <c r="AN53" t="e">
        <f>AND(Plan1!A891,"AAAAAHwxaSc=")</f>
        <v>#VALUE!</v>
      </c>
      <c r="AO53" t="e">
        <f>AND(Plan1!B891,"AAAAAHwxaSg=")</f>
        <v>#VALUE!</v>
      </c>
      <c r="AP53" t="e">
        <f>AND(Plan1!C891,"AAAAAHwxaSk=")</f>
        <v>#VALUE!</v>
      </c>
      <c r="AQ53" t="e">
        <f>AND(Plan1!D891,"AAAAAHwxaSo=")</f>
        <v>#VALUE!</v>
      </c>
      <c r="AR53" t="e">
        <f>AND(Plan1!E891,"AAAAAHwxaSs=")</f>
        <v>#VALUE!</v>
      </c>
      <c r="AS53" t="e">
        <f>AND(Plan1!F891,"AAAAAHwxaSw=")</f>
        <v>#VALUE!</v>
      </c>
      <c r="AT53" t="e">
        <f>AND(Plan1!G891,"AAAAAHwxaS0=")</f>
        <v>#VALUE!</v>
      </c>
      <c r="AU53" t="e">
        <f>AND(Plan1!H891,"AAAAAHwxaS4=")</f>
        <v>#VALUE!</v>
      </c>
      <c r="AV53" t="e">
        <f>AND(Plan1!I891,"AAAAAHwxaS8=")</f>
        <v>#VALUE!</v>
      </c>
      <c r="AW53" t="e">
        <f>AND(Plan1!J891,"AAAAAHwxaTA=")</f>
        <v>#VALUE!</v>
      </c>
      <c r="AX53" t="e">
        <f>AND(Plan1!K891,"AAAAAHwxaTE=")</f>
        <v>#VALUE!</v>
      </c>
      <c r="AY53" t="e">
        <f>AND(Plan1!L891,"AAAAAHwxaTI=")</f>
        <v>#VALUE!</v>
      </c>
      <c r="AZ53" t="e">
        <f>AND(Plan1!M891,"AAAAAHwxaTM=")</f>
        <v>#VALUE!</v>
      </c>
      <c r="BA53" t="e">
        <f>AND(Plan1!N891,"AAAAAHwxaTQ=")</f>
        <v>#VALUE!</v>
      </c>
      <c r="BB53">
        <f>IF(Plan1!892:892,"AAAAAHwxaTU=",0)</f>
        <v>0</v>
      </c>
      <c r="BC53" t="e">
        <f>AND(Plan1!A892,"AAAAAHwxaTY=")</f>
        <v>#VALUE!</v>
      </c>
      <c r="BD53" t="e">
        <f>AND(Plan1!B892,"AAAAAHwxaTc=")</f>
        <v>#VALUE!</v>
      </c>
      <c r="BE53" t="e">
        <f>AND(Plan1!C892,"AAAAAHwxaTg=")</f>
        <v>#VALUE!</v>
      </c>
      <c r="BF53" t="e">
        <f>AND(Plan1!D892,"AAAAAHwxaTk=")</f>
        <v>#VALUE!</v>
      </c>
      <c r="BG53" t="e">
        <f>AND(Plan1!E892,"AAAAAHwxaTo=")</f>
        <v>#VALUE!</v>
      </c>
      <c r="BH53" t="e">
        <f>AND(Plan1!F892,"AAAAAHwxaTs=")</f>
        <v>#VALUE!</v>
      </c>
      <c r="BI53" t="e">
        <f>AND(Plan1!G892,"AAAAAHwxaTw=")</f>
        <v>#VALUE!</v>
      </c>
      <c r="BJ53" t="e">
        <f>AND(Plan1!H892,"AAAAAHwxaT0=")</f>
        <v>#VALUE!</v>
      </c>
      <c r="BK53" t="e">
        <f>AND(Plan1!I892,"AAAAAHwxaT4=")</f>
        <v>#VALUE!</v>
      </c>
      <c r="BL53" t="e">
        <f>AND(Plan1!J892,"AAAAAHwxaT8=")</f>
        <v>#VALUE!</v>
      </c>
      <c r="BM53" t="e">
        <f>AND(Plan1!K892,"AAAAAHwxaUA=")</f>
        <v>#VALUE!</v>
      </c>
      <c r="BN53" t="e">
        <f>AND(Plan1!L892,"AAAAAHwxaUE=")</f>
        <v>#VALUE!</v>
      </c>
      <c r="BO53" t="e">
        <f>AND(Plan1!M892,"AAAAAHwxaUI=")</f>
        <v>#VALUE!</v>
      </c>
      <c r="BP53" t="e">
        <f>AND(Plan1!N892,"AAAAAHwxaUM=")</f>
        <v>#VALUE!</v>
      </c>
      <c r="BQ53">
        <f>IF(Plan1!893:893,"AAAAAHwxaUQ=",0)</f>
        <v>0</v>
      </c>
      <c r="BR53" t="e">
        <f>AND(Plan1!A893,"AAAAAHwxaUU=")</f>
        <v>#VALUE!</v>
      </c>
      <c r="BS53" t="e">
        <f>AND(Plan1!B893,"AAAAAHwxaUY=")</f>
        <v>#VALUE!</v>
      </c>
      <c r="BT53" t="e">
        <f>AND(Plan1!C893,"AAAAAHwxaUc=")</f>
        <v>#VALUE!</v>
      </c>
      <c r="BU53" t="e">
        <f>AND(Plan1!D893,"AAAAAHwxaUg=")</f>
        <v>#VALUE!</v>
      </c>
      <c r="BV53" t="e">
        <f>AND(Plan1!E893,"AAAAAHwxaUk=")</f>
        <v>#VALUE!</v>
      </c>
      <c r="BW53" t="e">
        <f>AND(Plan1!F893,"AAAAAHwxaUo=")</f>
        <v>#VALUE!</v>
      </c>
      <c r="BX53" t="e">
        <f>AND(Plan1!G893,"AAAAAHwxaUs=")</f>
        <v>#VALUE!</v>
      </c>
      <c r="BY53" t="e">
        <f>AND(Plan1!H893,"AAAAAHwxaUw=")</f>
        <v>#VALUE!</v>
      </c>
      <c r="BZ53" t="e">
        <f>AND(Plan1!I893,"AAAAAHwxaU0=")</f>
        <v>#VALUE!</v>
      </c>
      <c r="CA53" t="e">
        <f>AND(Plan1!J893,"AAAAAHwxaU4=")</f>
        <v>#VALUE!</v>
      </c>
      <c r="CB53" t="e">
        <f>AND(Plan1!K893,"AAAAAHwxaU8=")</f>
        <v>#VALUE!</v>
      </c>
      <c r="CC53" t="e">
        <f>AND(Plan1!L893,"AAAAAHwxaVA=")</f>
        <v>#VALUE!</v>
      </c>
      <c r="CD53" t="e">
        <f>AND(Plan1!M893,"AAAAAHwxaVE=")</f>
        <v>#VALUE!</v>
      </c>
      <c r="CE53" t="e">
        <f>AND(Plan1!N893,"AAAAAHwxaVI=")</f>
        <v>#VALUE!</v>
      </c>
      <c r="CF53">
        <f>IF(Plan1!894:894,"AAAAAHwxaVM=",0)</f>
        <v>0</v>
      </c>
      <c r="CG53" t="e">
        <f>AND(Plan1!A894,"AAAAAHwxaVQ=")</f>
        <v>#VALUE!</v>
      </c>
      <c r="CH53" t="e">
        <f>AND(Plan1!B894,"AAAAAHwxaVU=")</f>
        <v>#VALUE!</v>
      </c>
      <c r="CI53" t="e">
        <f>AND(Plan1!C894,"AAAAAHwxaVY=")</f>
        <v>#VALUE!</v>
      </c>
      <c r="CJ53" t="e">
        <f>AND(Plan1!D894,"AAAAAHwxaVc=")</f>
        <v>#VALUE!</v>
      </c>
      <c r="CK53" t="e">
        <f>AND(Plan1!E894,"AAAAAHwxaVg=")</f>
        <v>#VALUE!</v>
      </c>
      <c r="CL53" t="e">
        <f>AND(Plan1!F894,"AAAAAHwxaVk=")</f>
        <v>#VALUE!</v>
      </c>
      <c r="CM53" t="e">
        <f>AND(Plan1!G894,"AAAAAHwxaVo=")</f>
        <v>#VALUE!</v>
      </c>
      <c r="CN53" t="e">
        <f>AND(Plan1!H894,"AAAAAHwxaVs=")</f>
        <v>#VALUE!</v>
      </c>
      <c r="CO53" t="e">
        <f>AND(Plan1!I894,"AAAAAHwxaVw=")</f>
        <v>#VALUE!</v>
      </c>
      <c r="CP53" t="e">
        <f>AND(Plan1!J894,"AAAAAHwxaV0=")</f>
        <v>#VALUE!</v>
      </c>
      <c r="CQ53" t="e">
        <f>AND(Plan1!K894,"AAAAAHwxaV4=")</f>
        <v>#VALUE!</v>
      </c>
      <c r="CR53" t="e">
        <f>AND(Plan1!L894,"AAAAAHwxaV8=")</f>
        <v>#VALUE!</v>
      </c>
      <c r="CS53" t="e">
        <f>AND(Plan1!M894,"AAAAAHwxaWA=")</f>
        <v>#VALUE!</v>
      </c>
      <c r="CT53" t="e">
        <f>AND(Plan1!N894,"AAAAAHwxaWE=")</f>
        <v>#VALUE!</v>
      </c>
      <c r="CU53">
        <f>IF(Plan1!895:895,"AAAAAHwxaWI=",0)</f>
        <v>0</v>
      </c>
      <c r="CV53" t="e">
        <f>AND(Plan1!A895,"AAAAAHwxaWM=")</f>
        <v>#VALUE!</v>
      </c>
      <c r="CW53" t="e">
        <f>AND(Plan1!B895,"AAAAAHwxaWQ=")</f>
        <v>#VALUE!</v>
      </c>
      <c r="CX53" t="e">
        <f>AND(Plan1!C895,"AAAAAHwxaWU=")</f>
        <v>#VALUE!</v>
      </c>
      <c r="CY53" t="e">
        <f>AND(Plan1!D895,"AAAAAHwxaWY=")</f>
        <v>#VALUE!</v>
      </c>
      <c r="CZ53" t="e">
        <f>AND(Plan1!E895,"AAAAAHwxaWc=")</f>
        <v>#VALUE!</v>
      </c>
      <c r="DA53" t="e">
        <f>AND(Plan1!F895,"AAAAAHwxaWg=")</f>
        <v>#VALUE!</v>
      </c>
      <c r="DB53" t="e">
        <f>AND(Plan1!G895,"AAAAAHwxaWk=")</f>
        <v>#VALUE!</v>
      </c>
      <c r="DC53" t="e">
        <f>AND(Plan1!H895,"AAAAAHwxaWo=")</f>
        <v>#VALUE!</v>
      </c>
      <c r="DD53" t="e">
        <f>AND(Plan1!I895,"AAAAAHwxaWs=")</f>
        <v>#VALUE!</v>
      </c>
      <c r="DE53" t="e">
        <f>AND(Plan1!J895,"AAAAAHwxaWw=")</f>
        <v>#VALUE!</v>
      </c>
      <c r="DF53" t="e">
        <f>AND(Plan1!K895,"AAAAAHwxaW0=")</f>
        <v>#VALUE!</v>
      </c>
      <c r="DG53" t="e">
        <f>AND(Plan1!L895,"AAAAAHwxaW4=")</f>
        <v>#VALUE!</v>
      </c>
      <c r="DH53" t="e">
        <f>AND(Plan1!M895,"AAAAAHwxaW8=")</f>
        <v>#VALUE!</v>
      </c>
      <c r="DI53" t="e">
        <f>AND(Plan1!N895,"AAAAAHwxaXA=")</f>
        <v>#VALUE!</v>
      </c>
      <c r="DJ53">
        <f>IF(Plan1!896:896,"AAAAAHwxaXE=",0)</f>
        <v>0</v>
      </c>
      <c r="DK53" t="e">
        <f>AND(Plan1!A896,"AAAAAHwxaXI=")</f>
        <v>#VALUE!</v>
      </c>
      <c r="DL53" t="e">
        <f>AND(Plan1!B896,"AAAAAHwxaXM=")</f>
        <v>#VALUE!</v>
      </c>
      <c r="DM53" t="e">
        <f>AND(Plan1!C896,"AAAAAHwxaXQ=")</f>
        <v>#VALUE!</v>
      </c>
      <c r="DN53" t="e">
        <f>AND(Plan1!D896,"AAAAAHwxaXU=")</f>
        <v>#VALUE!</v>
      </c>
      <c r="DO53" t="e">
        <f>AND(Plan1!E896,"AAAAAHwxaXY=")</f>
        <v>#VALUE!</v>
      </c>
      <c r="DP53" t="e">
        <f>AND(Plan1!F896,"AAAAAHwxaXc=")</f>
        <v>#VALUE!</v>
      </c>
      <c r="DQ53" t="e">
        <f>AND(Plan1!G896,"AAAAAHwxaXg=")</f>
        <v>#VALUE!</v>
      </c>
      <c r="DR53" t="e">
        <f>AND(Plan1!H896,"AAAAAHwxaXk=")</f>
        <v>#VALUE!</v>
      </c>
      <c r="DS53" t="e">
        <f>AND(Plan1!I896,"AAAAAHwxaXo=")</f>
        <v>#VALUE!</v>
      </c>
      <c r="DT53" t="e">
        <f>AND(Plan1!J896,"AAAAAHwxaXs=")</f>
        <v>#VALUE!</v>
      </c>
      <c r="DU53" t="e">
        <f>AND(Plan1!K896,"AAAAAHwxaXw=")</f>
        <v>#VALUE!</v>
      </c>
      <c r="DV53" t="e">
        <f>AND(Plan1!L896,"AAAAAHwxaX0=")</f>
        <v>#VALUE!</v>
      </c>
      <c r="DW53" t="e">
        <f>AND(Plan1!M896,"AAAAAHwxaX4=")</f>
        <v>#VALUE!</v>
      </c>
      <c r="DX53" t="e">
        <f>AND(Plan1!N896,"AAAAAHwxaX8=")</f>
        <v>#VALUE!</v>
      </c>
      <c r="DY53">
        <f>IF(Plan1!897:897,"AAAAAHwxaYA=",0)</f>
        <v>0</v>
      </c>
      <c r="DZ53" t="e">
        <f>AND(Plan1!A897,"AAAAAHwxaYE=")</f>
        <v>#VALUE!</v>
      </c>
      <c r="EA53" t="e">
        <f>AND(Plan1!B897,"AAAAAHwxaYI=")</f>
        <v>#VALUE!</v>
      </c>
      <c r="EB53" t="e">
        <f>AND(Plan1!C897,"AAAAAHwxaYM=")</f>
        <v>#VALUE!</v>
      </c>
      <c r="EC53" t="e">
        <f>AND(Plan1!D897,"AAAAAHwxaYQ=")</f>
        <v>#VALUE!</v>
      </c>
      <c r="ED53" t="e">
        <f>AND(Plan1!E897,"AAAAAHwxaYU=")</f>
        <v>#VALUE!</v>
      </c>
      <c r="EE53" t="e">
        <f>AND(Plan1!F897,"AAAAAHwxaYY=")</f>
        <v>#VALUE!</v>
      </c>
      <c r="EF53" t="e">
        <f>AND(Plan1!G897,"AAAAAHwxaYc=")</f>
        <v>#VALUE!</v>
      </c>
      <c r="EG53" t="e">
        <f>AND(Plan1!H897,"AAAAAHwxaYg=")</f>
        <v>#VALUE!</v>
      </c>
      <c r="EH53" t="e">
        <f>AND(Plan1!I897,"AAAAAHwxaYk=")</f>
        <v>#VALUE!</v>
      </c>
      <c r="EI53" t="e">
        <f>AND(Plan1!J897,"AAAAAHwxaYo=")</f>
        <v>#VALUE!</v>
      </c>
      <c r="EJ53" t="e">
        <f>AND(Plan1!K897,"AAAAAHwxaYs=")</f>
        <v>#VALUE!</v>
      </c>
      <c r="EK53" t="e">
        <f>AND(Plan1!L897,"AAAAAHwxaYw=")</f>
        <v>#VALUE!</v>
      </c>
      <c r="EL53" t="e">
        <f>AND(Plan1!M897,"AAAAAHwxaY0=")</f>
        <v>#VALUE!</v>
      </c>
      <c r="EM53" t="e">
        <f>AND(Plan1!N897,"AAAAAHwxaY4=")</f>
        <v>#VALUE!</v>
      </c>
      <c r="EN53">
        <f>IF(Plan1!898:898,"AAAAAHwxaY8=",0)</f>
        <v>0</v>
      </c>
      <c r="EO53" t="e">
        <f>AND(Plan1!A898,"AAAAAHwxaZA=")</f>
        <v>#VALUE!</v>
      </c>
      <c r="EP53" t="e">
        <f>AND(Plan1!B898,"AAAAAHwxaZE=")</f>
        <v>#VALUE!</v>
      </c>
      <c r="EQ53" t="e">
        <f>AND(Plan1!C898,"AAAAAHwxaZI=")</f>
        <v>#VALUE!</v>
      </c>
      <c r="ER53" t="e">
        <f>AND(Plan1!D898,"AAAAAHwxaZM=")</f>
        <v>#VALUE!</v>
      </c>
      <c r="ES53" t="e">
        <f>AND(Plan1!E898,"AAAAAHwxaZQ=")</f>
        <v>#VALUE!</v>
      </c>
      <c r="ET53" t="e">
        <f>AND(Plan1!F898,"AAAAAHwxaZU=")</f>
        <v>#VALUE!</v>
      </c>
      <c r="EU53" t="e">
        <f>AND(Plan1!G898,"AAAAAHwxaZY=")</f>
        <v>#VALUE!</v>
      </c>
      <c r="EV53" t="e">
        <f>AND(Plan1!H898,"AAAAAHwxaZc=")</f>
        <v>#VALUE!</v>
      </c>
      <c r="EW53" t="e">
        <f>AND(Plan1!I898,"AAAAAHwxaZg=")</f>
        <v>#VALUE!</v>
      </c>
      <c r="EX53" t="e">
        <f>AND(Plan1!J898,"AAAAAHwxaZk=")</f>
        <v>#VALUE!</v>
      </c>
      <c r="EY53" t="e">
        <f>AND(Plan1!K898,"AAAAAHwxaZo=")</f>
        <v>#VALUE!</v>
      </c>
      <c r="EZ53" t="e">
        <f>AND(Plan1!L898,"AAAAAHwxaZs=")</f>
        <v>#VALUE!</v>
      </c>
      <c r="FA53" t="e">
        <f>AND(Plan1!M898,"AAAAAHwxaZw=")</f>
        <v>#VALUE!</v>
      </c>
      <c r="FB53" t="e">
        <f>AND(Plan1!N898,"AAAAAHwxaZ0=")</f>
        <v>#VALUE!</v>
      </c>
      <c r="FC53">
        <f>IF(Plan1!899:899,"AAAAAHwxaZ4=",0)</f>
        <v>0</v>
      </c>
      <c r="FD53" t="e">
        <f>AND(Plan1!A899,"AAAAAHwxaZ8=")</f>
        <v>#VALUE!</v>
      </c>
      <c r="FE53" t="e">
        <f>AND(Plan1!B899,"AAAAAHwxaaA=")</f>
        <v>#VALUE!</v>
      </c>
      <c r="FF53" t="e">
        <f>AND(Plan1!C899,"AAAAAHwxaaE=")</f>
        <v>#VALUE!</v>
      </c>
      <c r="FG53" t="e">
        <f>AND(Plan1!D899,"AAAAAHwxaaI=")</f>
        <v>#VALUE!</v>
      </c>
      <c r="FH53" t="e">
        <f>AND(Plan1!E899,"AAAAAHwxaaM=")</f>
        <v>#VALUE!</v>
      </c>
      <c r="FI53" t="e">
        <f>AND(Plan1!F899,"AAAAAHwxaaQ=")</f>
        <v>#VALUE!</v>
      </c>
      <c r="FJ53" t="e">
        <f>AND(Plan1!G899,"AAAAAHwxaaU=")</f>
        <v>#VALUE!</v>
      </c>
      <c r="FK53" t="e">
        <f>AND(Plan1!H899,"AAAAAHwxaaY=")</f>
        <v>#VALUE!</v>
      </c>
      <c r="FL53" t="e">
        <f>AND(Plan1!I899,"AAAAAHwxaac=")</f>
        <v>#VALUE!</v>
      </c>
      <c r="FM53" t="e">
        <f>AND(Plan1!J899,"AAAAAHwxaag=")</f>
        <v>#VALUE!</v>
      </c>
      <c r="FN53" t="e">
        <f>AND(Plan1!K899,"AAAAAHwxaak=")</f>
        <v>#VALUE!</v>
      </c>
      <c r="FO53" t="e">
        <f>AND(Plan1!L899,"AAAAAHwxaao=")</f>
        <v>#VALUE!</v>
      </c>
      <c r="FP53" t="e">
        <f>AND(Plan1!M899,"AAAAAHwxaas=")</f>
        <v>#VALUE!</v>
      </c>
      <c r="FQ53" t="e">
        <f>AND(Plan1!N899,"AAAAAHwxaaw=")</f>
        <v>#VALUE!</v>
      </c>
      <c r="FR53">
        <f>IF(Plan1!900:900,"AAAAAHwxaa0=",0)</f>
        <v>0</v>
      </c>
      <c r="FS53" t="e">
        <f>AND(Plan1!A900,"AAAAAHwxaa4=")</f>
        <v>#VALUE!</v>
      </c>
      <c r="FT53" t="e">
        <f>AND(Plan1!B900,"AAAAAHwxaa8=")</f>
        <v>#VALUE!</v>
      </c>
      <c r="FU53" t="e">
        <f>AND(Plan1!C900,"AAAAAHwxabA=")</f>
        <v>#VALUE!</v>
      </c>
      <c r="FV53" t="e">
        <f>AND(Plan1!D900,"AAAAAHwxabE=")</f>
        <v>#VALUE!</v>
      </c>
      <c r="FW53" t="e">
        <f>AND(Plan1!E900,"AAAAAHwxabI=")</f>
        <v>#VALUE!</v>
      </c>
      <c r="FX53" t="e">
        <f>AND(Plan1!F900,"AAAAAHwxabM=")</f>
        <v>#VALUE!</v>
      </c>
      <c r="FY53" t="e">
        <f>AND(Plan1!G900,"AAAAAHwxabQ=")</f>
        <v>#VALUE!</v>
      </c>
      <c r="FZ53" t="e">
        <f>AND(Plan1!H900,"AAAAAHwxabU=")</f>
        <v>#VALUE!</v>
      </c>
      <c r="GA53" t="e">
        <f>AND(Plan1!I900,"AAAAAHwxabY=")</f>
        <v>#VALUE!</v>
      </c>
      <c r="GB53" t="e">
        <f>AND(Plan1!J900,"AAAAAHwxabc=")</f>
        <v>#VALUE!</v>
      </c>
      <c r="GC53" t="e">
        <f>AND(Plan1!K900,"AAAAAHwxabg=")</f>
        <v>#VALUE!</v>
      </c>
      <c r="GD53" t="e">
        <f>AND(Plan1!L900,"AAAAAHwxabk=")</f>
        <v>#VALUE!</v>
      </c>
      <c r="GE53" t="e">
        <f>AND(Plan1!M900,"AAAAAHwxabo=")</f>
        <v>#VALUE!</v>
      </c>
      <c r="GF53" t="e">
        <f>AND(Plan1!N900,"AAAAAHwxabs=")</f>
        <v>#VALUE!</v>
      </c>
      <c r="GG53">
        <f>IF(Plan1!901:901,"AAAAAHwxabw=",0)</f>
        <v>0</v>
      </c>
      <c r="GH53" t="e">
        <f>AND(Plan1!A901,"AAAAAHwxab0=")</f>
        <v>#VALUE!</v>
      </c>
      <c r="GI53" t="e">
        <f>AND(Plan1!B901,"AAAAAHwxab4=")</f>
        <v>#VALUE!</v>
      </c>
      <c r="GJ53" t="e">
        <f>AND(Plan1!C901,"AAAAAHwxab8=")</f>
        <v>#VALUE!</v>
      </c>
      <c r="GK53" t="e">
        <f>AND(Plan1!D901,"AAAAAHwxacA=")</f>
        <v>#VALUE!</v>
      </c>
      <c r="GL53" t="e">
        <f>AND(Plan1!E901,"AAAAAHwxacE=")</f>
        <v>#VALUE!</v>
      </c>
      <c r="GM53" t="e">
        <f>AND(Plan1!F901,"AAAAAHwxacI=")</f>
        <v>#VALUE!</v>
      </c>
      <c r="GN53" t="e">
        <f>AND(Plan1!G901,"AAAAAHwxacM=")</f>
        <v>#VALUE!</v>
      </c>
      <c r="GO53" t="e">
        <f>AND(Plan1!H901,"AAAAAHwxacQ=")</f>
        <v>#VALUE!</v>
      </c>
      <c r="GP53" t="e">
        <f>AND(Plan1!I901,"AAAAAHwxacU=")</f>
        <v>#VALUE!</v>
      </c>
      <c r="GQ53" t="e">
        <f>AND(Plan1!J901,"AAAAAHwxacY=")</f>
        <v>#VALUE!</v>
      </c>
      <c r="GR53" t="e">
        <f>AND(Plan1!K901,"AAAAAHwxacc=")</f>
        <v>#VALUE!</v>
      </c>
      <c r="GS53" t="e">
        <f>AND(Plan1!L901,"AAAAAHwxacg=")</f>
        <v>#VALUE!</v>
      </c>
      <c r="GT53" t="e">
        <f>AND(Plan1!M901,"AAAAAHwxack=")</f>
        <v>#VALUE!</v>
      </c>
      <c r="GU53" t="e">
        <f>AND(Plan1!N901,"AAAAAHwxaco=")</f>
        <v>#VALUE!</v>
      </c>
      <c r="GV53">
        <f>IF(Plan1!902:902,"AAAAAHwxacs=",0)</f>
        <v>0</v>
      </c>
      <c r="GW53" t="e">
        <f>AND(Plan1!A902,"AAAAAHwxacw=")</f>
        <v>#VALUE!</v>
      </c>
      <c r="GX53" t="e">
        <f>AND(Plan1!B902,"AAAAAHwxac0=")</f>
        <v>#VALUE!</v>
      </c>
      <c r="GY53" t="e">
        <f>AND(Plan1!C902,"AAAAAHwxac4=")</f>
        <v>#VALUE!</v>
      </c>
      <c r="GZ53" t="e">
        <f>AND(Plan1!D902,"AAAAAHwxac8=")</f>
        <v>#VALUE!</v>
      </c>
      <c r="HA53" t="e">
        <f>AND(Plan1!E902,"AAAAAHwxadA=")</f>
        <v>#VALUE!</v>
      </c>
      <c r="HB53" t="e">
        <f>AND(Plan1!F902,"AAAAAHwxadE=")</f>
        <v>#VALUE!</v>
      </c>
      <c r="HC53" t="e">
        <f>AND(Plan1!G902,"AAAAAHwxadI=")</f>
        <v>#VALUE!</v>
      </c>
      <c r="HD53" t="e">
        <f>AND(Plan1!H902,"AAAAAHwxadM=")</f>
        <v>#VALUE!</v>
      </c>
      <c r="HE53" t="e">
        <f>AND(Plan1!I902,"AAAAAHwxadQ=")</f>
        <v>#VALUE!</v>
      </c>
      <c r="HF53" t="e">
        <f>AND(Plan1!J902,"AAAAAHwxadU=")</f>
        <v>#VALUE!</v>
      </c>
      <c r="HG53" t="e">
        <f>AND(Plan1!K902,"AAAAAHwxadY=")</f>
        <v>#VALUE!</v>
      </c>
      <c r="HH53" t="e">
        <f>AND(Plan1!L902,"AAAAAHwxadc=")</f>
        <v>#VALUE!</v>
      </c>
      <c r="HI53" t="e">
        <f>AND(Plan1!M902,"AAAAAHwxadg=")</f>
        <v>#VALUE!</v>
      </c>
      <c r="HJ53" t="e">
        <f>AND(Plan1!N902,"AAAAAHwxadk=")</f>
        <v>#VALUE!</v>
      </c>
      <c r="HK53">
        <f>IF(Plan1!903:903,"AAAAAHwxado=",0)</f>
        <v>0</v>
      </c>
      <c r="HL53" t="e">
        <f>AND(Plan1!A903,"AAAAAHwxads=")</f>
        <v>#VALUE!</v>
      </c>
      <c r="HM53" t="e">
        <f>AND(Plan1!B903,"AAAAAHwxadw=")</f>
        <v>#VALUE!</v>
      </c>
      <c r="HN53" t="e">
        <f>AND(Plan1!C903,"AAAAAHwxad0=")</f>
        <v>#VALUE!</v>
      </c>
      <c r="HO53" t="e">
        <f>AND(Plan1!D903,"AAAAAHwxad4=")</f>
        <v>#VALUE!</v>
      </c>
      <c r="HP53" t="e">
        <f>AND(Plan1!E903,"AAAAAHwxad8=")</f>
        <v>#VALUE!</v>
      </c>
      <c r="HQ53" t="e">
        <f>AND(Plan1!F903,"AAAAAHwxaeA=")</f>
        <v>#VALUE!</v>
      </c>
      <c r="HR53" t="e">
        <f>AND(Plan1!G903,"AAAAAHwxaeE=")</f>
        <v>#VALUE!</v>
      </c>
      <c r="HS53" t="e">
        <f>AND(Plan1!H903,"AAAAAHwxaeI=")</f>
        <v>#VALUE!</v>
      </c>
      <c r="HT53" t="e">
        <f>AND(Plan1!I903,"AAAAAHwxaeM=")</f>
        <v>#VALUE!</v>
      </c>
      <c r="HU53" t="e">
        <f>AND(Plan1!J903,"AAAAAHwxaeQ=")</f>
        <v>#VALUE!</v>
      </c>
      <c r="HV53" t="e">
        <f>AND(Plan1!K903,"AAAAAHwxaeU=")</f>
        <v>#VALUE!</v>
      </c>
      <c r="HW53" t="e">
        <f>AND(Plan1!L903,"AAAAAHwxaeY=")</f>
        <v>#VALUE!</v>
      </c>
      <c r="HX53" t="e">
        <f>AND(Plan1!M903,"AAAAAHwxaec=")</f>
        <v>#VALUE!</v>
      </c>
      <c r="HY53" t="e">
        <f>AND(Plan1!N903,"AAAAAHwxaeg=")</f>
        <v>#VALUE!</v>
      </c>
      <c r="HZ53">
        <f>IF(Plan1!904:904,"AAAAAHwxaek=",0)</f>
        <v>0</v>
      </c>
      <c r="IA53" t="e">
        <f>AND(Plan1!A904,"AAAAAHwxaeo=")</f>
        <v>#VALUE!</v>
      </c>
      <c r="IB53" t="e">
        <f>AND(Plan1!B904,"AAAAAHwxaes=")</f>
        <v>#VALUE!</v>
      </c>
      <c r="IC53" t="e">
        <f>AND(Plan1!C904,"AAAAAHwxaew=")</f>
        <v>#VALUE!</v>
      </c>
      <c r="ID53" t="e">
        <f>AND(Plan1!D904,"AAAAAHwxae0=")</f>
        <v>#VALUE!</v>
      </c>
      <c r="IE53" t="e">
        <f>AND(Plan1!E904,"AAAAAHwxae4=")</f>
        <v>#VALUE!</v>
      </c>
      <c r="IF53" t="e">
        <f>AND(Plan1!F904,"AAAAAHwxae8=")</f>
        <v>#VALUE!</v>
      </c>
      <c r="IG53" t="e">
        <f>AND(Plan1!G904,"AAAAAHwxafA=")</f>
        <v>#VALUE!</v>
      </c>
      <c r="IH53" t="e">
        <f>AND(Plan1!H904,"AAAAAHwxafE=")</f>
        <v>#VALUE!</v>
      </c>
      <c r="II53" t="e">
        <f>AND(Plan1!I904,"AAAAAHwxafI=")</f>
        <v>#VALUE!</v>
      </c>
      <c r="IJ53" t="e">
        <f>AND(Plan1!J904,"AAAAAHwxafM=")</f>
        <v>#VALUE!</v>
      </c>
      <c r="IK53" t="e">
        <f>AND(Plan1!K904,"AAAAAHwxafQ=")</f>
        <v>#VALUE!</v>
      </c>
      <c r="IL53" t="e">
        <f>AND(Plan1!L904,"AAAAAHwxafU=")</f>
        <v>#VALUE!</v>
      </c>
      <c r="IM53" t="e">
        <f>AND(Plan1!M904,"AAAAAHwxafY=")</f>
        <v>#VALUE!</v>
      </c>
      <c r="IN53" t="e">
        <f>AND(Plan1!N904,"AAAAAHwxafc=")</f>
        <v>#VALUE!</v>
      </c>
      <c r="IO53">
        <f>IF(Plan1!905:905,"AAAAAHwxafg=",0)</f>
        <v>0</v>
      </c>
      <c r="IP53" t="e">
        <f>AND(Plan1!A905,"AAAAAHwxafk=")</f>
        <v>#VALUE!</v>
      </c>
      <c r="IQ53" t="e">
        <f>AND(Plan1!B905,"AAAAAHwxafo=")</f>
        <v>#VALUE!</v>
      </c>
      <c r="IR53" t="e">
        <f>AND(Plan1!C905,"AAAAAHwxafs=")</f>
        <v>#VALUE!</v>
      </c>
      <c r="IS53" t="e">
        <f>AND(Plan1!D905,"AAAAAHwxafw=")</f>
        <v>#VALUE!</v>
      </c>
      <c r="IT53" t="e">
        <f>AND(Plan1!E905,"AAAAAHwxaf0=")</f>
        <v>#VALUE!</v>
      </c>
      <c r="IU53" t="e">
        <f>AND(Plan1!F905,"AAAAAHwxaf4=")</f>
        <v>#VALUE!</v>
      </c>
      <c r="IV53" t="e">
        <f>AND(Plan1!G905,"AAAAAHwxaf8=")</f>
        <v>#VALUE!</v>
      </c>
    </row>
    <row r="54" spans="1:256">
      <c r="A54" t="e">
        <f>AND(Plan1!H905,"AAAAAH5uZwA=")</f>
        <v>#VALUE!</v>
      </c>
      <c r="B54" t="e">
        <f>AND(Plan1!I905,"AAAAAH5uZwE=")</f>
        <v>#VALUE!</v>
      </c>
      <c r="C54" t="e">
        <f>AND(Plan1!J905,"AAAAAH5uZwI=")</f>
        <v>#VALUE!</v>
      </c>
      <c r="D54" t="e">
        <f>AND(Plan1!K905,"AAAAAH5uZwM=")</f>
        <v>#VALUE!</v>
      </c>
      <c r="E54" t="e">
        <f>AND(Plan1!L905,"AAAAAH5uZwQ=")</f>
        <v>#VALUE!</v>
      </c>
      <c r="F54" t="e">
        <f>AND(Plan1!M905,"AAAAAH5uZwU=")</f>
        <v>#VALUE!</v>
      </c>
      <c r="G54" t="e">
        <f>AND(Plan1!N905,"AAAAAH5uZwY=")</f>
        <v>#VALUE!</v>
      </c>
      <c r="H54" t="str">
        <f>IF(Plan1!906:906,"AAAAAH5uZwc=",0)</f>
        <v>AAAAAH5uZwc=</v>
      </c>
      <c r="I54" t="e">
        <f>AND(Plan1!A906,"AAAAAH5uZwg=")</f>
        <v>#VALUE!</v>
      </c>
      <c r="J54" t="e">
        <f>AND(Plan1!B906,"AAAAAH5uZwk=")</f>
        <v>#VALUE!</v>
      </c>
      <c r="K54" t="e">
        <f>AND(Plan1!C906,"AAAAAH5uZwo=")</f>
        <v>#VALUE!</v>
      </c>
      <c r="L54" t="e">
        <f>AND(Plan1!D906,"AAAAAH5uZws=")</f>
        <v>#VALUE!</v>
      </c>
      <c r="M54" t="e">
        <f>AND(Plan1!E906,"AAAAAH5uZww=")</f>
        <v>#VALUE!</v>
      </c>
      <c r="N54" t="e">
        <f>AND(Plan1!F906,"AAAAAH5uZw0=")</f>
        <v>#VALUE!</v>
      </c>
      <c r="O54" t="e">
        <f>AND(Plan1!G906,"AAAAAH5uZw4=")</f>
        <v>#VALUE!</v>
      </c>
      <c r="P54" t="e">
        <f>AND(Plan1!H906,"AAAAAH5uZw8=")</f>
        <v>#VALUE!</v>
      </c>
      <c r="Q54" t="e">
        <f>AND(Plan1!I906,"AAAAAH5uZxA=")</f>
        <v>#VALUE!</v>
      </c>
      <c r="R54" t="e">
        <f>AND(Plan1!J906,"AAAAAH5uZxE=")</f>
        <v>#VALUE!</v>
      </c>
      <c r="S54" t="e">
        <f>AND(Plan1!K906,"AAAAAH5uZxI=")</f>
        <v>#VALUE!</v>
      </c>
      <c r="T54" t="e">
        <f>AND(Plan1!L906,"AAAAAH5uZxM=")</f>
        <v>#VALUE!</v>
      </c>
      <c r="U54" t="e">
        <f>AND(Plan1!M906,"AAAAAH5uZxQ=")</f>
        <v>#VALUE!</v>
      </c>
      <c r="V54" t="e">
        <f>AND(Plan1!N906,"AAAAAH5uZxU=")</f>
        <v>#VALUE!</v>
      </c>
      <c r="W54">
        <f>IF(Plan1!907:907,"AAAAAH5uZxY=",0)</f>
        <v>0</v>
      </c>
      <c r="X54" t="e">
        <f>AND(Plan1!A907,"AAAAAH5uZxc=")</f>
        <v>#VALUE!</v>
      </c>
      <c r="Y54" t="e">
        <f>AND(Plan1!B907,"AAAAAH5uZxg=")</f>
        <v>#VALUE!</v>
      </c>
      <c r="Z54" t="e">
        <f>AND(Plan1!C907,"AAAAAH5uZxk=")</f>
        <v>#VALUE!</v>
      </c>
      <c r="AA54" t="e">
        <f>AND(Plan1!D907,"AAAAAH5uZxo=")</f>
        <v>#VALUE!</v>
      </c>
      <c r="AB54" t="e">
        <f>AND(Plan1!E907,"AAAAAH5uZxs=")</f>
        <v>#VALUE!</v>
      </c>
      <c r="AC54" t="e">
        <f>AND(Plan1!F907,"AAAAAH5uZxw=")</f>
        <v>#VALUE!</v>
      </c>
      <c r="AD54" t="e">
        <f>AND(Plan1!G907,"AAAAAH5uZx0=")</f>
        <v>#VALUE!</v>
      </c>
      <c r="AE54" t="e">
        <f>AND(Plan1!H907,"AAAAAH5uZx4=")</f>
        <v>#VALUE!</v>
      </c>
      <c r="AF54" t="e">
        <f>AND(Plan1!I907,"AAAAAH5uZx8=")</f>
        <v>#VALUE!</v>
      </c>
      <c r="AG54" t="e">
        <f>AND(Plan1!J907,"AAAAAH5uZyA=")</f>
        <v>#VALUE!</v>
      </c>
      <c r="AH54" t="e">
        <f>AND(Plan1!K907,"AAAAAH5uZyE=")</f>
        <v>#VALUE!</v>
      </c>
      <c r="AI54" t="e">
        <f>AND(Plan1!L907,"AAAAAH5uZyI=")</f>
        <v>#VALUE!</v>
      </c>
      <c r="AJ54" t="e">
        <f>AND(Plan1!M907,"AAAAAH5uZyM=")</f>
        <v>#VALUE!</v>
      </c>
      <c r="AK54" t="e">
        <f>AND(Plan1!N907,"AAAAAH5uZyQ=")</f>
        <v>#VALUE!</v>
      </c>
      <c r="AL54">
        <f>IF(Plan1!908:908,"AAAAAH5uZyU=",0)</f>
        <v>0</v>
      </c>
      <c r="AM54" t="e">
        <f>AND(Plan1!A908,"AAAAAH5uZyY=")</f>
        <v>#VALUE!</v>
      </c>
      <c r="AN54" t="e">
        <f>AND(Plan1!B908,"AAAAAH5uZyc=")</f>
        <v>#VALUE!</v>
      </c>
      <c r="AO54" t="e">
        <f>AND(Plan1!C908,"AAAAAH5uZyg=")</f>
        <v>#VALUE!</v>
      </c>
      <c r="AP54" t="e">
        <f>AND(Plan1!D908,"AAAAAH5uZyk=")</f>
        <v>#VALUE!</v>
      </c>
      <c r="AQ54" t="e">
        <f>AND(Plan1!E908,"AAAAAH5uZyo=")</f>
        <v>#VALUE!</v>
      </c>
      <c r="AR54" t="e">
        <f>AND(Plan1!F908,"AAAAAH5uZys=")</f>
        <v>#VALUE!</v>
      </c>
      <c r="AS54" t="e">
        <f>AND(Plan1!G908,"AAAAAH5uZyw=")</f>
        <v>#VALUE!</v>
      </c>
      <c r="AT54" t="e">
        <f>AND(Plan1!H908,"AAAAAH5uZy0=")</f>
        <v>#VALUE!</v>
      </c>
      <c r="AU54" t="e">
        <f>AND(Plan1!I908,"AAAAAH5uZy4=")</f>
        <v>#VALUE!</v>
      </c>
      <c r="AV54" t="e">
        <f>AND(Plan1!J908,"AAAAAH5uZy8=")</f>
        <v>#VALUE!</v>
      </c>
      <c r="AW54" t="e">
        <f>AND(Plan1!K908,"AAAAAH5uZzA=")</f>
        <v>#VALUE!</v>
      </c>
      <c r="AX54" t="e">
        <f>AND(Plan1!L908,"AAAAAH5uZzE=")</f>
        <v>#VALUE!</v>
      </c>
      <c r="AY54" t="e">
        <f>AND(Plan1!M908,"AAAAAH5uZzI=")</f>
        <v>#VALUE!</v>
      </c>
      <c r="AZ54" t="e">
        <f>AND(Plan1!N908,"AAAAAH5uZzM=")</f>
        <v>#VALUE!</v>
      </c>
      <c r="BA54">
        <f>IF(Plan1!909:909,"AAAAAH5uZzQ=",0)</f>
        <v>0</v>
      </c>
      <c r="BB54" t="e">
        <f>AND(Plan1!A909,"AAAAAH5uZzU=")</f>
        <v>#VALUE!</v>
      </c>
      <c r="BC54" t="e">
        <f>AND(Plan1!B909,"AAAAAH5uZzY=")</f>
        <v>#VALUE!</v>
      </c>
      <c r="BD54" t="e">
        <f>AND(Plan1!C909,"AAAAAH5uZzc=")</f>
        <v>#VALUE!</v>
      </c>
      <c r="BE54" t="e">
        <f>AND(Plan1!D909,"AAAAAH5uZzg=")</f>
        <v>#VALUE!</v>
      </c>
      <c r="BF54" t="e">
        <f>AND(Plan1!E909,"AAAAAH5uZzk=")</f>
        <v>#VALUE!</v>
      </c>
      <c r="BG54" t="e">
        <f>AND(Plan1!F909,"AAAAAH5uZzo=")</f>
        <v>#VALUE!</v>
      </c>
      <c r="BH54" t="e">
        <f>AND(Plan1!G909,"AAAAAH5uZzs=")</f>
        <v>#VALUE!</v>
      </c>
      <c r="BI54" t="e">
        <f>AND(Plan1!H909,"AAAAAH5uZzw=")</f>
        <v>#VALUE!</v>
      </c>
      <c r="BJ54" t="e">
        <f>AND(Plan1!I909,"AAAAAH5uZz0=")</f>
        <v>#VALUE!</v>
      </c>
      <c r="BK54" t="e">
        <f>AND(Plan1!J909,"AAAAAH5uZz4=")</f>
        <v>#VALUE!</v>
      </c>
      <c r="BL54" t="e">
        <f>AND(Plan1!K909,"AAAAAH5uZz8=")</f>
        <v>#VALUE!</v>
      </c>
      <c r="BM54" t="e">
        <f>AND(Plan1!L909,"AAAAAH5uZ0A=")</f>
        <v>#VALUE!</v>
      </c>
      <c r="BN54" t="e">
        <f>AND(Plan1!M909,"AAAAAH5uZ0E=")</f>
        <v>#VALUE!</v>
      </c>
      <c r="BO54" t="e">
        <f>AND(Plan1!N909,"AAAAAH5uZ0I=")</f>
        <v>#VALUE!</v>
      </c>
      <c r="BP54">
        <f>IF(Plan1!910:910,"AAAAAH5uZ0M=",0)</f>
        <v>0</v>
      </c>
      <c r="BQ54" t="e">
        <f>AND(Plan1!A910,"AAAAAH5uZ0Q=")</f>
        <v>#VALUE!</v>
      </c>
      <c r="BR54" t="e">
        <f>AND(Plan1!B910,"AAAAAH5uZ0U=")</f>
        <v>#VALUE!</v>
      </c>
      <c r="BS54" t="e">
        <f>AND(Plan1!C910,"AAAAAH5uZ0Y=")</f>
        <v>#VALUE!</v>
      </c>
      <c r="BT54" t="e">
        <f>AND(Plan1!D910,"AAAAAH5uZ0c=")</f>
        <v>#VALUE!</v>
      </c>
      <c r="BU54" t="e">
        <f>AND(Plan1!E910,"AAAAAH5uZ0g=")</f>
        <v>#VALUE!</v>
      </c>
      <c r="BV54" t="e">
        <f>AND(Plan1!F910,"AAAAAH5uZ0k=")</f>
        <v>#VALUE!</v>
      </c>
      <c r="BW54" t="e">
        <f>AND(Plan1!G910,"AAAAAH5uZ0o=")</f>
        <v>#VALUE!</v>
      </c>
      <c r="BX54" t="e">
        <f>AND(Plan1!H910,"AAAAAH5uZ0s=")</f>
        <v>#VALUE!</v>
      </c>
      <c r="BY54" t="e">
        <f>AND(Plan1!I910,"AAAAAH5uZ0w=")</f>
        <v>#VALUE!</v>
      </c>
      <c r="BZ54" t="e">
        <f>AND(Plan1!J910,"AAAAAH5uZ00=")</f>
        <v>#VALUE!</v>
      </c>
      <c r="CA54" t="e">
        <f>AND(Plan1!K910,"AAAAAH5uZ04=")</f>
        <v>#VALUE!</v>
      </c>
      <c r="CB54" t="e">
        <f>AND(Plan1!L910,"AAAAAH5uZ08=")</f>
        <v>#VALUE!</v>
      </c>
      <c r="CC54" t="e">
        <f>AND(Plan1!M910,"AAAAAH5uZ1A=")</f>
        <v>#VALUE!</v>
      </c>
      <c r="CD54" t="e">
        <f>AND(Plan1!N910,"AAAAAH5uZ1E=")</f>
        <v>#VALUE!</v>
      </c>
      <c r="CE54">
        <f>IF(Plan1!911:911,"AAAAAH5uZ1I=",0)</f>
        <v>0</v>
      </c>
      <c r="CF54" t="e">
        <f>AND(Plan1!A911,"AAAAAH5uZ1M=")</f>
        <v>#VALUE!</v>
      </c>
      <c r="CG54" t="e">
        <f>AND(Plan1!B911,"AAAAAH5uZ1Q=")</f>
        <v>#VALUE!</v>
      </c>
      <c r="CH54" t="e">
        <f>AND(Plan1!C911,"AAAAAH5uZ1U=")</f>
        <v>#VALUE!</v>
      </c>
      <c r="CI54" t="e">
        <f>AND(Plan1!D911,"AAAAAH5uZ1Y=")</f>
        <v>#VALUE!</v>
      </c>
      <c r="CJ54" t="e">
        <f>AND(Plan1!E911,"AAAAAH5uZ1c=")</f>
        <v>#VALUE!</v>
      </c>
      <c r="CK54" t="e">
        <f>AND(Plan1!F911,"AAAAAH5uZ1g=")</f>
        <v>#VALUE!</v>
      </c>
      <c r="CL54" t="e">
        <f>AND(Plan1!G911,"AAAAAH5uZ1k=")</f>
        <v>#VALUE!</v>
      </c>
      <c r="CM54" t="e">
        <f>AND(Plan1!H911,"AAAAAH5uZ1o=")</f>
        <v>#VALUE!</v>
      </c>
      <c r="CN54" t="e">
        <f>AND(Plan1!I911,"AAAAAH5uZ1s=")</f>
        <v>#VALUE!</v>
      </c>
      <c r="CO54" t="e">
        <f>AND(Plan1!J911,"AAAAAH5uZ1w=")</f>
        <v>#VALUE!</v>
      </c>
      <c r="CP54" t="e">
        <f>AND(Plan1!K911,"AAAAAH5uZ10=")</f>
        <v>#VALUE!</v>
      </c>
      <c r="CQ54" t="e">
        <f>AND(Plan1!L911,"AAAAAH5uZ14=")</f>
        <v>#VALUE!</v>
      </c>
      <c r="CR54" t="e">
        <f>AND(Plan1!M911,"AAAAAH5uZ18=")</f>
        <v>#VALUE!</v>
      </c>
      <c r="CS54" t="e">
        <f>AND(Plan1!N911,"AAAAAH5uZ2A=")</f>
        <v>#VALUE!</v>
      </c>
      <c r="CT54">
        <f>IF(Plan1!912:912,"AAAAAH5uZ2E=",0)</f>
        <v>0</v>
      </c>
      <c r="CU54" t="e">
        <f>AND(Plan1!A912,"AAAAAH5uZ2I=")</f>
        <v>#VALUE!</v>
      </c>
      <c r="CV54" t="e">
        <f>AND(Plan1!B912,"AAAAAH5uZ2M=")</f>
        <v>#VALUE!</v>
      </c>
      <c r="CW54" t="e">
        <f>AND(Plan1!C912,"AAAAAH5uZ2Q=")</f>
        <v>#VALUE!</v>
      </c>
      <c r="CX54" t="e">
        <f>AND(Plan1!D912,"AAAAAH5uZ2U=")</f>
        <v>#VALUE!</v>
      </c>
      <c r="CY54" t="e">
        <f>AND(Plan1!E912,"AAAAAH5uZ2Y=")</f>
        <v>#VALUE!</v>
      </c>
      <c r="CZ54" t="e">
        <f>AND(Plan1!F912,"AAAAAH5uZ2c=")</f>
        <v>#VALUE!</v>
      </c>
      <c r="DA54" t="e">
        <f>AND(Plan1!G912,"AAAAAH5uZ2g=")</f>
        <v>#VALUE!</v>
      </c>
      <c r="DB54" t="e">
        <f>AND(Plan1!H912,"AAAAAH5uZ2k=")</f>
        <v>#VALUE!</v>
      </c>
      <c r="DC54" t="e">
        <f>AND(Plan1!I912,"AAAAAH5uZ2o=")</f>
        <v>#VALUE!</v>
      </c>
      <c r="DD54" t="e">
        <f>AND(Plan1!J912,"AAAAAH5uZ2s=")</f>
        <v>#VALUE!</v>
      </c>
      <c r="DE54" t="e">
        <f>AND(Plan1!K912,"AAAAAH5uZ2w=")</f>
        <v>#VALUE!</v>
      </c>
      <c r="DF54" t="e">
        <f>AND(Plan1!L912,"AAAAAH5uZ20=")</f>
        <v>#VALUE!</v>
      </c>
      <c r="DG54" t="e">
        <f>AND(Plan1!M912,"AAAAAH5uZ24=")</f>
        <v>#VALUE!</v>
      </c>
      <c r="DH54" t="e">
        <f>AND(Plan1!N912,"AAAAAH5uZ28=")</f>
        <v>#VALUE!</v>
      </c>
      <c r="DI54">
        <f>IF(Plan1!913:913,"AAAAAH5uZ3A=",0)</f>
        <v>0</v>
      </c>
      <c r="DJ54" t="e">
        <f>AND(Plan1!A913,"AAAAAH5uZ3E=")</f>
        <v>#VALUE!</v>
      </c>
      <c r="DK54" t="e">
        <f>AND(Plan1!B913,"AAAAAH5uZ3I=")</f>
        <v>#VALUE!</v>
      </c>
      <c r="DL54" t="e">
        <f>AND(Plan1!C913,"AAAAAH5uZ3M=")</f>
        <v>#VALUE!</v>
      </c>
      <c r="DM54" t="e">
        <f>AND(Plan1!D913,"AAAAAH5uZ3Q=")</f>
        <v>#VALUE!</v>
      </c>
      <c r="DN54" t="e">
        <f>AND(Plan1!E913,"AAAAAH5uZ3U=")</f>
        <v>#VALUE!</v>
      </c>
      <c r="DO54" t="e">
        <f>AND(Plan1!F913,"AAAAAH5uZ3Y=")</f>
        <v>#VALUE!</v>
      </c>
      <c r="DP54" t="e">
        <f>AND(Plan1!G913,"AAAAAH5uZ3c=")</f>
        <v>#VALUE!</v>
      </c>
      <c r="DQ54" t="e">
        <f>AND(Plan1!H913,"AAAAAH5uZ3g=")</f>
        <v>#VALUE!</v>
      </c>
      <c r="DR54" t="e">
        <f>AND(Plan1!I913,"AAAAAH5uZ3k=")</f>
        <v>#VALUE!</v>
      </c>
      <c r="DS54" t="e">
        <f>AND(Plan1!J913,"AAAAAH5uZ3o=")</f>
        <v>#VALUE!</v>
      </c>
      <c r="DT54" t="e">
        <f>AND(Plan1!K913,"AAAAAH5uZ3s=")</f>
        <v>#VALUE!</v>
      </c>
      <c r="DU54" t="e">
        <f>AND(Plan1!L913,"AAAAAH5uZ3w=")</f>
        <v>#VALUE!</v>
      </c>
      <c r="DV54" t="e">
        <f>AND(Plan1!M913,"AAAAAH5uZ30=")</f>
        <v>#VALUE!</v>
      </c>
      <c r="DW54" t="e">
        <f>AND(Plan1!N913,"AAAAAH5uZ34=")</f>
        <v>#VALUE!</v>
      </c>
      <c r="DX54">
        <f>IF(Plan1!914:914,"AAAAAH5uZ38=",0)</f>
        <v>0</v>
      </c>
      <c r="DY54" t="e">
        <f>AND(Plan1!A914,"AAAAAH5uZ4A=")</f>
        <v>#VALUE!</v>
      </c>
      <c r="DZ54" t="e">
        <f>AND(Plan1!B914,"AAAAAH5uZ4E=")</f>
        <v>#VALUE!</v>
      </c>
      <c r="EA54" t="e">
        <f>AND(Plan1!C914,"AAAAAH5uZ4I=")</f>
        <v>#VALUE!</v>
      </c>
      <c r="EB54" t="e">
        <f>AND(Plan1!D914,"AAAAAH5uZ4M=")</f>
        <v>#VALUE!</v>
      </c>
      <c r="EC54" t="e">
        <f>AND(Plan1!E914,"AAAAAH5uZ4Q=")</f>
        <v>#VALUE!</v>
      </c>
      <c r="ED54" t="e">
        <f>AND(Plan1!F914,"AAAAAH5uZ4U=")</f>
        <v>#VALUE!</v>
      </c>
      <c r="EE54" t="e">
        <f>AND(Plan1!G914,"AAAAAH5uZ4Y=")</f>
        <v>#VALUE!</v>
      </c>
      <c r="EF54" t="e">
        <f>AND(Plan1!H914,"AAAAAH5uZ4c=")</f>
        <v>#VALUE!</v>
      </c>
      <c r="EG54" t="e">
        <f>AND(Plan1!I914,"AAAAAH5uZ4g=")</f>
        <v>#VALUE!</v>
      </c>
      <c r="EH54" t="e">
        <f>AND(Plan1!J914,"AAAAAH5uZ4k=")</f>
        <v>#VALUE!</v>
      </c>
      <c r="EI54" t="e">
        <f>AND(Plan1!K914,"AAAAAH5uZ4o=")</f>
        <v>#VALUE!</v>
      </c>
      <c r="EJ54" t="e">
        <f>AND(Plan1!L914,"AAAAAH5uZ4s=")</f>
        <v>#VALUE!</v>
      </c>
      <c r="EK54" t="e">
        <f>AND(Plan1!M914,"AAAAAH5uZ4w=")</f>
        <v>#VALUE!</v>
      </c>
      <c r="EL54" t="e">
        <f>AND(Plan1!N914,"AAAAAH5uZ40=")</f>
        <v>#VALUE!</v>
      </c>
      <c r="EM54">
        <f>IF(Plan1!915:915,"AAAAAH5uZ44=",0)</f>
        <v>0</v>
      </c>
      <c r="EN54" t="e">
        <f>AND(Plan1!A915,"AAAAAH5uZ48=")</f>
        <v>#VALUE!</v>
      </c>
      <c r="EO54" t="e">
        <f>AND(Plan1!B915,"AAAAAH5uZ5A=")</f>
        <v>#VALUE!</v>
      </c>
      <c r="EP54" t="e">
        <f>AND(Plan1!C915,"AAAAAH5uZ5E=")</f>
        <v>#VALUE!</v>
      </c>
      <c r="EQ54" t="e">
        <f>AND(Plan1!D915,"AAAAAH5uZ5I=")</f>
        <v>#VALUE!</v>
      </c>
      <c r="ER54" t="e">
        <f>AND(Plan1!E915,"AAAAAH5uZ5M=")</f>
        <v>#VALUE!</v>
      </c>
      <c r="ES54" t="e">
        <f>AND(Plan1!F915,"AAAAAH5uZ5Q=")</f>
        <v>#VALUE!</v>
      </c>
      <c r="ET54" t="e">
        <f>AND(Plan1!G915,"AAAAAH5uZ5U=")</f>
        <v>#VALUE!</v>
      </c>
      <c r="EU54" t="e">
        <f>AND(Plan1!H915,"AAAAAH5uZ5Y=")</f>
        <v>#VALUE!</v>
      </c>
      <c r="EV54" t="e">
        <f>AND(Plan1!I915,"AAAAAH5uZ5c=")</f>
        <v>#VALUE!</v>
      </c>
      <c r="EW54" t="e">
        <f>AND(Plan1!J915,"AAAAAH5uZ5g=")</f>
        <v>#VALUE!</v>
      </c>
      <c r="EX54" t="e">
        <f>AND(Plan1!K915,"AAAAAH5uZ5k=")</f>
        <v>#VALUE!</v>
      </c>
      <c r="EY54" t="e">
        <f>AND(Plan1!L915,"AAAAAH5uZ5o=")</f>
        <v>#VALUE!</v>
      </c>
      <c r="EZ54" t="e">
        <f>AND(Plan1!M915,"AAAAAH5uZ5s=")</f>
        <v>#VALUE!</v>
      </c>
      <c r="FA54" t="e">
        <f>AND(Plan1!N915,"AAAAAH5uZ5w=")</f>
        <v>#VALUE!</v>
      </c>
      <c r="FB54">
        <f>IF(Plan1!916:916,"AAAAAH5uZ50=",0)</f>
        <v>0</v>
      </c>
      <c r="FC54" t="e">
        <f>AND(Plan1!A916,"AAAAAH5uZ54=")</f>
        <v>#VALUE!</v>
      </c>
      <c r="FD54" t="e">
        <f>AND(Plan1!B916,"AAAAAH5uZ58=")</f>
        <v>#VALUE!</v>
      </c>
      <c r="FE54" t="e">
        <f>AND(Plan1!C916,"AAAAAH5uZ6A=")</f>
        <v>#VALUE!</v>
      </c>
      <c r="FF54" t="e">
        <f>AND(Plan1!D916,"AAAAAH5uZ6E=")</f>
        <v>#VALUE!</v>
      </c>
      <c r="FG54" t="e">
        <f>AND(Plan1!E916,"AAAAAH5uZ6I=")</f>
        <v>#VALUE!</v>
      </c>
      <c r="FH54" t="e">
        <f>AND(Plan1!F916,"AAAAAH5uZ6M=")</f>
        <v>#VALUE!</v>
      </c>
      <c r="FI54" t="e">
        <f>AND(Plan1!G916,"AAAAAH5uZ6Q=")</f>
        <v>#VALUE!</v>
      </c>
      <c r="FJ54" t="e">
        <f>AND(Plan1!H916,"AAAAAH5uZ6U=")</f>
        <v>#VALUE!</v>
      </c>
      <c r="FK54" t="e">
        <f>AND(Plan1!I916,"AAAAAH5uZ6Y=")</f>
        <v>#VALUE!</v>
      </c>
      <c r="FL54" t="e">
        <f>AND(Plan1!J916,"AAAAAH5uZ6c=")</f>
        <v>#VALUE!</v>
      </c>
      <c r="FM54" t="e">
        <f>AND(Plan1!K916,"AAAAAH5uZ6g=")</f>
        <v>#VALUE!</v>
      </c>
      <c r="FN54" t="e">
        <f>AND(Plan1!L916,"AAAAAH5uZ6k=")</f>
        <v>#VALUE!</v>
      </c>
      <c r="FO54" t="e">
        <f>AND(Plan1!M916,"AAAAAH5uZ6o=")</f>
        <v>#VALUE!</v>
      </c>
      <c r="FP54" t="e">
        <f>AND(Plan1!N916,"AAAAAH5uZ6s=")</f>
        <v>#VALUE!</v>
      </c>
      <c r="FQ54">
        <f>IF(Plan1!917:917,"AAAAAH5uZ6w=",0)</f>
        <v>0</v>
      </c>
      <c r="FR54" t="e">
        <f>AND(Plan1!A917,"AAAAAH5uZ60=")</f>
        <v>#VALUE!</v>
      </c>
      <c r="FS54" t="e">
        <f>AND(Plan1!B917,"AAAAAH5uZ64=")</f>
        <v>#VALUE!</v>
      </c>
      <c r="FT54" t="e">
        <f>AND(Plan1!C917,"AAAAAH5uZ68=")</f>
        <v>#VALUE!</v>
      </c>
      <c r="FU54" t="e">
        <f>AND(Plan1!D917,"AAAAAH5uZ7A=")</f>
        <v>#VALUE!</v>
      </c>
      <c r="FV54" t="e">
        <f>AND(Plan1!E917,"AAAAAH5uZ7E=")</f>
        <v>#VALUE!</v>
      </c>
      <c r="FW54" t="e">
        <f>AND(Plan1!F917,"AAAAAH5uZ7I=")</f>
        <v>#VALUE!</v>
      </c>
      <c r="FX54" t="e">
        <f>AND(Plan1!G917,"AAAAAH5uZ7M=")</f>
        <v>#VALUE!</v>
      </c>
      <c r="FY54" t="e">
        <f>AND(Plan1!H917,"AAAAAH5uZ7Q=")</f>
        <v>#VALUE!</v>
      </c>
      <c r="FZ54" t="e">
        <f>AND(Plan1!I917,"AAAAAH5uZ7U=")</f>
        <v>#VALUE!</v>
      </c>
      <c r="GA54" t="e">
        <f>AND(Plan1!J917,"AAAAAH5uZ7Y=")</f>
        <v>#VALUE!</v>
      </c>
      <c r="GB54" t="e">
        <f>AND(Plan1!K917,"AAAAAH5uZ7c=")</f>
        <v>#VALUE!</v>
      </c>
      <c r="GC54" t="e">
        <f>AND(Plan1!L917,"AAAAAH5uZ7g=")</f>
        <v>#VALUE!</v>
      </c>
      <c r="GD54" t="e">
        <f>AND(Plan1!M917,"AAAAAH5uZ7k=")</f>
        <v>#VALUE!</v>
      </c>
      <c r="GE54" t="e">
        <f>AND(Plan1!N917,"AAAAAH5uZ7o=")</f>
        <v>#VALUE!</v>
      </c>
      <c r="GF54">
        <f>IF(Plan1!918:918,"AAAAAH5uZ7s=",0)</f>
        <v>0</v>
      </c>
      <c r="GG54" t="e">
        <f>AND(Plan1!A918,"AAAAAH5uZ7w=")</f>
        <v>#VALUE!</v>
      </c>
      <c r="GH54" t="e">
        <f>AND(Plan1!B918,"AAAAAH5uZ70=")</f>
        <v>#VALUE!</v>
      </c>
      <c r="GI54" t="e">
        <f>AND(Plan1!C918,"AAAAAH5uZ74=")</f>
        <v>#VALUE!</v>
      </c>
      <c r="GJ54" t="e">
        <f>AND(Plan1!D918,"AAAAAH5uZ78=")</f>
        <v>#VALUE!</v>
      </c>
      <c r="GK54" t="e">
        <f>AND(Plan1!E918,"AAAAAH5uZ8A=")</f>
        <v>#VALUE!</v>
      </c>
      <c r="GL54" t="e">
        <f>AND(Plan1!F918,"AAAAAH5uZ8E=")</f>
        <v>#VALUE!</v>
      </c>
      <c r="GM54" t="e">
        <f>AND(Plan1!G918,"AAAAAH5uZ8I=")</f>
        <v>#VALUE!</v>
      </c>
      <c r="GN54" t="e">
        <f>AND(Plan1!H918,"AAAAAH5uZ8M=")</f>
        <v>#VALUE!</v>
      </c>
      <c r="GO54" t="e">
        <f>AND(Plan1!I918,"AAAAAH5uZ8Q=")</f>
        <v>#VALUE!</v>
      </c>
      <c r="GP54" t="e">
        <f>AND(Plan1!J918,"AAAAAH5uZ8U=")</f>
        <v>#VALUE!</v>
      </c>
      <c r="GQ54" t="e">
        <f>AND(Plan1!K918,"AAAAAH5uZ8Y=")</f>
        <v>#VALUE!</v>
      </c>
      <c r="GR54" t="e">
        <f>AND(Plan1!L918,"AAAAAH5uZ8c=")</f>
        <v>#VALUE!</v>
      </c>
      <c r="GS54" t="e">
        <f>AND(Plan1!M918,"AAAAAH5uZ8g=")</f>
        <v>#VALUE!</v>
      </c>
      <c r="GT54" t="e">
        <f>AND(Plan1!N918,"AAAAAH5uZ8k=")</f>
        <v>#VALUE!</v>
      </c>
      <c r="GU54">
        <f>IF(Plan1!919:919,"AAAAAH5uZ8o=",0)</f>
        <v>0</v>
      </c>
      <c r="GV54" t="e">
        <f>AND(Plan1!A919,"AAAAAH5uZ8s=")</f>
        <v>#VALUE!</v>
      </c>
      <c r="GW54" t="e">
        <f>AND(Plan1!B919,"AAAAAH5uZ8w=")</f>
        <v>#VALUE!</v>
      </c>
      <c r="GX54" t="e">
        <f>AND(Plan1!C919,"AAAAAH5uZ80=")</f>
        <v>#VALUE!</v>
      </c>
      <c r="GY54" t="e">
        <f>AND(Plan1!D919,"AAAAAH5uZ84=")</f>
        <v>#VALUE!</v>
      </c>
      <c r="GZ54" t="e">
        <f>AND(Plan1!E919,"AAAAAH5uZ88=")</f>
        <v>#VALUE!</v>
      </c>
      <c r="HA54" t="e">
        <f>AND(Plan1!F919,"AAAAAH5uZ9A=")</f>
        <v>#VALUE!</v>
      </c>
      <c r="HB54" t="e">
        <f>AND(Plan1!G919,"AAAAAH5uZ9E=")</f>
        <v>#VALUE!</v>
      </c>
      <c r="HC54" t="e">
        <f>AND(Plan1!H919,"AAAAAH5uZ9I=")</f>
        <v>#VALUE!</v>
      </c>
      <c r="HD54" t="e">
        <f>AND(Plan1!I919,"AAAAAH5uZ9M=")</f>
        <v>#VALUE!</v>
      </c>
      <c r="HE54" t="e">
        <f>AND(Plan1!J919,"AAAAAH5uZ9Q=")</f>
        <v>#VALUE!</v>
      </c>
      <c r="HF54" t="e">
        <f>AND(Plan1!K919,"AAAAAH5uZ9U=")</f>
        <v>#VALUE!</v>
      </c>
      <c r="HG54" t="e">
        <f>AND(Plan1!L919,"AAAAAH5uZ9Y=")</f>
        <v>#VALUE!</v>
      </c>
      <c r="HH54" t="e">
        <f>AND(Plan1!M919,"AAAAAH5uZ9c=")</f>
        <v>#VALUE!</v>
      </c>
      <c r="HI54" t="e">
        <f>AND(Plan1!N919,"AAAAAH5uZ9g=")</f>
        <v>#VALUE!</v>
      </c>
      <c r="HJ54">
        <f>IF(Plan1!920:920,"AAAAAH5uZ9k=",0)</f>
        <v>0</v>
      </c>
      <c r="HK54" t="e">
        <f>AND(Plan1!A920,"AAAAAH5uZ9o=")</f>
        <v>#VALUE!</v>
      </c>
      <c r="HL54" t="e">
        <f>AND(Plan1!B920,"AAAAAH5uZ9s=")</f>
        <v>#VALUE!</v>
      </c>
      <c r="HM54" t="e">
        <f>AND(Plan1!C920,"AAAAAH5uZ9w=")</f>
        <v>#VALUE!</v>
      </c>
      <c r="HN54" t="e">
        <f>AND(Plan1!D920,"AAAAAH5uZ90=")</f>
        <v>#VALUE!</v>
      </c>
      <c r="HO54" t="e">
        <f>AND(Plan1!E920,"AAAAAH5uZ94=")</f>
        <v>#VALUE!</v>
      </c>
      <c r="HP54" t="e">
        <f>AND(Plan1!F920,"AAAAAH5uZ98=")</f>
        <v>#VALUE!</v>
      </c>
      <c r="HQ54" t="e">
        <f>AND(Plan1!G920,"AAAAAH5uZ+A=")</f>
        <v>#VALUE!</v>
      </c>
      <c r="HR54" t="e">
        <f>AND(Plan1!H920,"AAAAAH5uZ+E=")</f>
        <v>#VALUE!</v>
      </c>
      <c r="HS54" t="e">
        <f>AND(Plan1!I920,"AAAAAH5uZ+I=")</f>
        <v>#VALUE!</v>
      </c>
      <c r="HT54" t="e">
        <f>AND(Plan1!J920,"AAAAAH5uZ+M=")</f>
        <v>#VALUE!</v>
      </c>
      <c r="HU54" t="e">
        <f>AND(Plan1!K920,"AAAAAH5uZ+Q=")</f>
        <v>#VALUE!</v>
      </c>
      <c r="HV54" t="e">
        <f>AND(Plan1!L920,"AAAAAH5uZ+U=")</f>
        <v>#VALUE!</v>
      </c>
      <c r="HW54" t="e">
        <f>AND(Plan1!M920,"AAAAAH5uZ+Y=")</f>
        <v>#VALUE!</v>
      </c>
      <c r="HX54" t="e">
        <f>AND(Plan1!N920,"AAAAAH5uZ+c=")</f>
        <v>#VALUE!</v>
      </c>
      <c r="HY54">
        <f>IF(Plan1!921:921,"AAAAAH5uZ+g=",0)</f>
        <v>0</v>
      </c>
      <c r="HZ54" t="e">
        <f>AND(Plan1!A921,"AAAAAH5uZ+k=")</f>
        <v>#VALUE!</v>
      </c>
      <c r="IA54" t="e">
        <f>AND(Plan1!B921,"AAAAAH5uZ+o=")</f>
        <v>#VALUE!</v>
      </c>
      <c r="IB54" t="e">
        <f>AND(Plan1!C921,"AAAAAH5uZ+s=")</f>
        <v>#VALUE!</v>
      </c>
      <c r="IC54" t="e">
        <f>AND(Plan1!D921,"AAAAAH5uZ+w=")</f>
        <v>#VALUE!</v>
      </c>
      <c r="ID54" t="e">
        <f>AND(Plan1!E921,"AAAAAH5uZ+0=")</f>
        <v>#VALUE!</v>
      </c>
      <c r="IE54" t="e">
        <f>AND(Plan1!F921,"AAAAAH5uZ+4=")</f>
        <v>#VALUE!</v>
      </c>
      <c r="IF54" t="e">
        <f>AND(Plan1!G921,"AAAAAH5uZ+8=")</f>
        <v>#VALUE!</v>
      </c>
      <c r="IG54" t="e">
        <f>AND(Plan1!H921,"AAAAAH5uZ/A=")</f>
        <v>#VALUE!</v>
      </c>
      <c r="IH54" t="e">
        <f>AND(Plan1!I921,"AAAAAH5uZ/E=")</f>
        <v>#VALUE!</v>
      </c>
      <c r="II54" t="e">
        <f>AND(Plan1!J921,"AAAAAH5uZ/I=")</f>
        <v>#VALUE!</v>
      </c>
      <c r="IJ54" t="e">
        <f>AND(Plan1!K921,"AAAAAH5uZ/M=")</f>
        <v>#VALUE!</v>
      </c>
      <c r="IK54" t="e">
        <f>AND(Plan1!L921,"AAAAAH5uZ/Q=")</f>
        <v>#VALUE!</v>
      </c>
      <c r="IL54" t="e">
        <f>AND(Plan1!M921,"AAAAAH5uZ/U=")</f>
        <v>#VALUE!</v>
      </c>
      <c r="IM54" t="e">
        <f>AND(Plan1!N921,"AAAAAH5uZ/Y=")</f>
        <v>#VALUE!</v>
      </c>
      <c r="IN54">
        <f>IF(Plan1!922:922,"AAAAAH5uZ/c=",0)</f>
        <v>0</v>
      </c>
      <c r="IO54" t="e">
        <f>AND(Plan1!A922,"AAAAAH5uZ/g=")</f>
        <v>#VALUE!</v>
      </c>
      <c r="IP54" t="e">
        <f>AND(Plan1!B922,"AAAAAH5uZ/k=")</f>
        <v>#VALUE!</v>
      </c>
      <c r="IQ54" t="e">
        <f>AND(Plan1!C922,"AAAAAH5uZ/o=")</f>
        <v>#VALUE!</v>
      </c>
      <c r="IR54" t="e">
        <f>AND(Plan1!D922,"AAAAAH5uZ/s=")</f>
        <v>#VALUE!</v>
      </c>
      <c r="IS54" t="e">
        <f>AND(Plan1!E922,"AAAAAH5uZ/w=")</f>
        <v>#VALUE!</v>
      </c>
      <c r="IT54" t="e">
        <f>AND(Plan1!F922,"AAAAAH5uZ/0=")</f>
        <v>#VALUE!</v>
      </c>
      <c r="IU54" t="e">
        <f>AND(Plan1!G922,"AAAAAH5uZ/4=")</f>
        <v>#VALUE!</v>
      </c>
      <c r="IV54" t="e">
        <f>AND(Plan1!H922,"AAAAAH5uZ/8=")</f>
        <v>#VALUE!</v>
      </c>
    </row>
    <row r="55" spans="1:256">
      <c r="A55" t="e">
        <f>AND(Plan1!I922,"AAAAAG/f7QA=")</f>
        <v>#VALUE!</v>
      </c>
      <c r="B55" t="e">
        <f>AND(Plan1!J922,"AAAAAG/f7QE=")</f>
        <v>#VALUE!</v>
      </c>
      <c r="C55" t="e">
        <f>AND(Plan1!K922,"AAAAAG/f7QI=")</f>
        <v>#VALUE!</v>
      </c>
      <c r="D55" t="e">
        <f>AND(Plan1!L922,"AAAAAG/f7QM=")</f>
        <v>#VALUE!</v>
      </c>
      <c r="E55" t="e">
        <f>AND(Plan1!M922,"AAAAAG/f7QQ=")</f>
        <v>#VALUE!</v>
      </c>
      <c r="F55" t="e">
        <f>AND(Plan1!N922,"AAAAAG/f7QU=")</f>
        <v>#VALUE!</v>
      </c>
      <c r="G55">
        <f>IF(Plan1!923:923,"AAAAAG/f7QY=",0)</f>
        <v>0</v>
      </c>
      <c r="H55" t="e">
        <f>AND(Plan1!A923,"AAAAAG/f7Qc=")</f>
        <v>#VALUE!</v>
      </c>
      <c r="I55" t="e">
        <f>AND(Plan1!B923,"AAAAAG/f7Qg=")</f>
        <v>#VALUE!</v>
      </c>
      <c r="J55" t="e">
        <f>AND(Plan1!C923,"AAAAAG/f7Qk=")</f>
        <v>#VALUE!</v>
      </c>
      <c r="K55" t="e">
        <f>AND(Plan1!D923,"AAAAAG/f7Qo=")</f>
        <v>#VALUE!</v>
      </c>
      <c r="L55" t="e">
        <f>AND(Plan1!E923,"AAAAAG/f7Qs=")</f>
        <v>#VALUE!</v>
      </c>
      <c r="M55" t="e">
        <f>AND(Plan1!F923,"AAAAAG/f7Qw=")</f>
        <v>#VALUE!</v>
      </c>
      <c r="N55" t="e">
        <f>AND(Plan1!G923,"AAAAAG/f7Q0=")</f>
        <v>#VALUE!</v>
      </c>
      <c r="O55" t="e">
        <f>AND(Plan1!H923,"AAAAAG/f7Q4=")</f>
        <v>#VALUE!</v>
      </c>
      <c r="P55" t="e">
        <f>AND(Plan1!I923,"AAAAAG/f7Q8=")</f>
        <v>#VALUE!</v>
      </c>
      <c r="Q55" t="e">
        <f>AND(Plan1!J923,"AAAAAG/f7RA=")</f>
        <v>#VALUE!</v>
      </c>
      <c r="R55" t="e">
        <f>AND(Plan1!K923,"AAAAAG/f7RE=")</f>
        <v>#VALUE!</v>
      </c>
      <c r="S55" t="e">
        <f>AND(Plan1!L923,"AAAAAG/f7RI=")</f>
        <v>#VALUE!</v>
      </c>
      <c r="T55" t="e">
        <f>AND(Plan1!M923,"AAAAAG/f7RM=")</f>
        <v>#VALUE!</v>
      </c>
      <c r="U55" t="e">
        <f>AND(Plan1!N923,"AAAAAG/f7RQ=")</f>
        <v>#VALUE!</v>
      </c>
      <c r="V55">
        <f>IF(Plan1!924:924,"AAAAAG/f7RU=",0)</f>
        <v>0</v>
      </c>
      <c r="W55" t="e">
        <f>AND(Plan1!A924,"AAAAAG/f7RY=")</f>
        <v>#VALUE!</v>
      </c>
      <c r="X55" t="e">
        <f>AND(Plan1!B924,"AAAAAG/f7Rc=")</f>
        <v>#VALUE!</v>
      </c>
      <c r="Y55" t="e">
        <f>AND(Plan1!C924,"AAAAAG/f7Rg=")</f>
        <v>#VALUE!</v>
      </c>
      <c r="Z55" t="e">
        <f>AND(Plan1!D924,"AAAAAG/f7Rk=")</f>
        <v>#VALUE!</v>
      </c>
      <c r="AA55" t="e">
        <f>AND(Plan1!E924,"AAAAAG/f7Ro=")</f>
        <v>#VALUE!</v>
      </c>
      <c r="AB55" t="e">
        <f>AND(Plan1!F924,"AAAAAG/f7Rs=")</f>
        <v>#VALUE!</v>
      </c>
      <c r="AC55" t="e">
        <f>AND(Plan1!G924,"AAAAAG/f7Rw=")</f>
        <v>#VALUE!</v>
      </c>
      <c r="AD55" t="e">
        <f>AND(Plan1!H924,"AAAAAG/f7R0=")</f>
        <v>#VALUE!</v>
      </c>
      <c r="AE55" t="e">
        <f>AND(Plan1!I924,"AAAAAG/f7R4=")</f>
        <v>#VALUE!</v>
      </c>
      <c r="AF55" t="e">
        <f>AND(Plan1!J924,"AAAAAG/f7R8=")</f>
        <v>#VALUE!</v>
      </c>
      <c r="AG55" t="e">
        <f>AND(Plan1!K924,"AAAAAG/f7SA=")</f>
        <v>#VALUE!</v>
      </c>
      <c r="AH55" t="e">
        <f>AND(Plan1!L924,"AAAAAG/f7SE=")</f>
        <v>#VALUE!</v>
      </c>
      <c r="AI55" t="e">
        <f>AND(Plan1!M924,"AAAAAG/f7SI=")</f>
        <v>#VALUE!</v>
      </c>
      <c r="AJ55" t="e">
        <f>AND(Plan1!N924,"AAAAAG/f7SM=")</f>
        <v>#VALUE!</v>
      </c>
      <c r="AK55">
        <f>IF(Plan1!925:925,"AAAAAG/f7SQ=",0)</f>
        <v>0</v>
      </c>
      <c r="AL55" t="e">
        <f>AND(Plan1!A925,"AAAAAG/f7SU=")</f>
        <v>#VALUE!</v>
      </c>
      <c r="AM55" t="e">
        <f>AND(Plan1!B925,"AAAAAG/f7SY=")</f>
        <v>#VALUE!</v>
      </c>
      <c r="AN55" t="e">
        <f>AND(Plan1!C925,"AAAAAG/f7Sc=")</f>
        <v>#VALUE!</v>
      </c>
      <c r="AO55" t="e">
        <f>AND(Plan1!D925,"AAAAAG/f7Sg=")</f>
        <v>#VALUE!</v>
      </c>
      <c r="AP55" t="e">
        <f>AND(Plan1!E925,"AAAAAG/f7Sk=")</f>
        <v>#VALUE!</v>
      </c>
      <c r="AQ55" t="e">
        <f>AND(Plan1!F925,"AAAAAG/f7So=")</f>
        <v>#VALUE!</v>
      </c>
      <c r="AR55" t="e">
        <f>AND(Plan1!G925,"AAAAAG/f7Ss=")</f>
        <v>#VALUE!</v>
      </c>
      <c r="AS55" t="e">
        <f>AND(Plan1!H925,"AAAAAG/f7Sw=")</f>
        <v>#VALUE!</v>
      </c>
      <c r="AT55" t="e">
        <f>AND(Plan1!I925,"AAAAAG/f7S0=")</f>
        <v>#VALUE!</v>
      </c>
      <c r="AU55" t="e">
        <f>AND(Plan1!J925,"AAAAAG/f7S4=")</f>
        <v>#VALUE!</v>
      </c>
      <c r="AV55" t="e">
        <f>AND(Plan1!K925,"AAAAAG/f7S8=")</f>
        <v>#VALUE!</v>
      </c>
      <c r="AW55" t="e">
        <f>AND(Plan1!L925,"AAAAAG/f7TA=")</f>
        <v>#VALUE!</v>
      </c>
      <c r="AX55" t="e">
        <f>AND(Plan1!M925,"AAAAAG/f7TE=")</f>
        <v>#VALUE!</v>
      </c>
      <c r="AY55" t="e">
        <f>AND(Plan1!N925,"AAAAAG/f7TI=")</f>
        <v>#VALUE!</v>
      </c>
      <c r="AZ55">
        <f>IF(Plan1!926:926,"AAAAAG/f7TM=",0)</f>
        <v>0</v>
      </c>
      <c r="BA55" t="e">
        <f>AND(Plan1!A926,"AAAAAG/f7TQ=")</f>
        <v>#VALUE!</v>
      </c>
      <c r="BB55" t="e">
        <f>AND(Plan1!B926,"AAAAAG/f7TU=")</f>
        <v>#VALUE!</v>
      </c>
      <c r="BC55" t="e">
        <f>AND(Plan1!C926,"AAAAAG/f7TY=")</f>
        <v>#VALUE!</v>
      </c>
      <c r="BD55" t="e">
        <f>AND(Plan1!D926,"AAAAAG/f7Tc=")</f>
        <v>#VALUE!</v>
      </c>
      <c r="BE55" t="e">
        <f>AND(Plan1!E926,"AAAAAG/f7Tg=")</f>
        <v>#VALUE!</v>
      </c>
      <c r="BF55" t="e">
        <f>AND(Plan1!F926,"AAAAAG/f7Tk=")</f>
        <v>#VALUE!</v>
      </c>
      <c r="BG55" t="e">
        <f>AND(Plan1!G926,"AAAAAG/f7To=")</f>
        <v>#VALUE!</v>
      </c>
      <c r="BH55" t="e">
        <f>AND(Plan1!H926,"AAAAAG/f7Ts=")</f>
        <v>#VALUE!</v>
      </c>
      <c r="BI55" t="e">
        <f>AND(Plan1!I926,"AAAAAG/f7Tw=")</f>
        <v>#VALUE!</v>
      </c>
      <c r="BJ55" t="e">
        <f>AND(Plan1!J926,"AAAAAG/f7T0=")</f>
        <v>#VALUE!</v>
      </c>
      <c r="BK55" t="e">
        <f>AND(Plan1!K926,"AAAAAG/f7T4=")</f>
        <v>#VALUE!</v>
      </c>
      <c r="BL55" t="e">
        <f>AND(Plan1!L926,"AAAAAG/f7T8=")</f>
        <v>#VALUE!</v>
      </c>
      <c r="BM55" t="e">
        <f>AND(Plan1!M926,"AAAAAG/f7UA=")</f>
        <v>#VALUE!</v>
      </c>
      <c r="BN55" t="e">
        <f>AND(Plan1!N926,"AAAAAG/f7UE=")</f>
        <v>#VALUE!</v>
      </c>
      <c r="BO55">
        <f>IF(Plan1!927:927,"AAAAAG/f7UI=",0)</f>
        <v>0</v>
      </c>
      <c r="BP55" t="e">
        <f>AND(Plan1!A927,"AAAAAG/f7UM=")</f>
        <v>#VALUE!</v>
      </c>
      <c r="BQ55" t="e">
        <f>AND(Plan1!B927,"AAAAAG/f7UQ=")</f>
        <v>#VALUE!</v>
      </c>
      <c r="BR55" t="e">
        <f>AND(Plan1!C927,"AAAAAG/f7UU=")</f>
        <v>#VALUE!</v>
      </c>
      <c r="BS55" t="e">
        <f>AND(Plan1!D927,"AAAAAG/f7UY=")</f>
        <v>#VALUE!</v>
      </c>
      <c r="BT55" t="e">
        <f>AND(Plan1!E927,"AAAAAG/f7Uc=")</f>
        <v>#VALUE!</v>
      </c>
      <c r="BU55" t="e">
        <f>AND(Plan1!F927,"AAAAAG/f7Ug=")</f>
        <v>#VALUE!</v>
      </c>
      <c r="BV55" t="e">
        <f>AND(Plan1!G927,"AAAAAG/f7Uk=")</f>
        <v>#VALUE!</v>
      </c>
      <c r="BW55" t="e">
        <f>AND(Plan1!H927,"AAAAAG/f7Uo=")</f>
        <v>#VALUE!</v>
      </c>
      <c r="BX55" t="e">
        <f>AND(Plan1!I927,"AAAAAG/f7Us=")</f>
        <v>#VALUE!</v>
      </c>
      <c r="BY55" t="e">
        <f>AND(Plan1!J927,"AAAAAG/f7Uw=")</f>
        <v>#VALUE!</v>
      </c>
      <c r="BZ55" t="e">
        <f>AND(Plan1!K927,"AAAAAG/f7U0=")</f>
        <v>#VALUE!</v>
      </c>
      <c r="CA55" t="e">
        <f>AND(Plan1!L927,"AAAAAG/f7U4=")</f>
        <v>#VALUE!</v>
      </c>
      <c r="CB55" t="e">
        <f>AND(Plan1!M927,"AAAAAG/f7U8=")</f>
        <v>#VALUE!</v>
      </c>
      <c r="CC55" t="e">
        <f>AND(Plan1!N927,"AAAAAG/f7VA=")</f>
        <v>#VALUE!</v>
      </c>
      <c r="CD55">
        <f>IF(Plan1!928:928,"AAAAAG/f7VE=",0)</f>
        <v>0</v>
      </c>
      <c r="CE55" t="e">
        <f>AND(Plan1!A928,"AAAAAG/f7VI=")</f>
        <v>#VALUE!</v>
      </c>
      <c r="CF55" t="e">
        <f>AND(Plan1!B928,"AAAAAG/f7VM=")</f>
        <v>#VALUE!</v>
      </c>
      <c r="CG55" t="e">
        <f>AND(Plan1!C928,"AAAAAG/f7VQ=")</f>
        <v>#VALUE!</v>
      </c>
      <c r="CH55" t="e">
        <f>AND(Plan1!D928,"AAAAAG/f7VU=")</f>
        <v>#VALUE!</v>
      </c>
      <c r="CI55" t="e">
        <f>AND(Plan1!E928,"AAAAAG/f7VY=")</f>
        <v>#VALUE!</v>
      </c>
      <c r="CJ55" t="e">
        <f>AND(Plan1!F928,"AAAAAG/f7Vc=")</f>
        <v>#VALUE!</v>
      </c>
      <c r="CK55" t="e">
        <f>AND(Plan1!G928,"AAAAAG/f7Vg=")</f>
        <v>#VALUE!</v>
      </c>
      <c r="CL55" t="e">
        <f>AND(Plan1!H928,"AAAAAG/f7Vk=")</f>
        <v>#VALUE!</v>
      </c>
      <c r="CM55" t="e">
        <f>AND(Plan1!I928,"AAAAAG/f7Vo=")</f>
        <v>#VALUE!</v>
      </c>
      <c r="CN55" t="e">
        <f>AND(Plan1!J928,"AAAAAG/f7Vs=")</f>
        <v>#VALUE!</v>
      </c>
      <c r="CO55" t="e">
        <f>AND(Plan1!K928,"AAAAAG/f7Vw=")</f>
        <v>#VALUE!</v>
      </c>
      <c r="CP55" t="e">
        <f>AND(Plan1!L928,"AAAAAG/f7V0=")</f>
        <v>#VALUE!</v>
      </c>
      <c r="CQ55" t="e">
        <f>AND(Plan1!M928,"AAAAAG/f7V4=")</f>
        <v>#VALUE!</v>
      </c>
      <c r="CR55" t="e">
        <f>AND(Plan1!N928,"AAAAAG/f7V8=")</f>
        <v>#VALUE!</v>
      </c>
      <c r="CS55">
        <f>IF(Plan1!929:929,"AAAAAG/f7WA=",0)</f>
        <v>0</v>
      </c>
      <c r="CT55" t="e">
        <f>AND(Plan1!A929,"AAAAAG/f7WE=")</f>
        <v>#VALUE!</v>
      </c>
      <c r="CU55" t="e">
        <f>AND(Plan1!B929,"AAAAAG/f7WI=")</f>
        <v>#VALUE!</v>
      </c>
      <c r="CV55" t="e">
        <f>AND(Plan1!C929,"AAAAAG/f7WM=")</f>
        <v>#VALUE!</v>
      </c>
      <c r="CW55" t="e">
        <f>AND(Plan1!D929,"AAAAAG/f7WQ=")</f>
        <v>#VALUE!</v>
      </c>
      <c r="CX55" t="e">
        <f>AND(Plan1!E929,"AAAAAG/f7WU=")</f>
        <v>#VALUE!</v>
      </c>
      <c r="CY55" t="e">
        <f>AND(Plan1!F929,"AAAAAG/f7WY=")</f>
        <v>#VALUE!</v>
      </c>
      <c r="CZ55" t="e">
        <f>AND(Plan1!G929,"AAAAAG/f7Wc=")</f>
        <v>#VALUE!</v>
      </c>
      <c r="DA55" t="e">
        <f>AND(Plan1!H929,"AAAAAG/f7Wg=")</f>
        <v>#VALUE!</v>
      </c>
      <c r="DB55" t="e">
        <f>AND(Plan1!I929,"AAAAAG/f7Wk=")</f>
        <v>#VALUE!</v>
      </c>
      <c r="DC55" t="e">
        <f>AND(Plan1!J929,"AAAAAG/f7Wo=")</f>
        <v>#VALUE!</v>
      </c>
      <c r="DD55" t="e">
        <f>AND(Plan1!K929,"AAAAAG/f7Ws=")</f>
        <v>#VALUE!</v>
      </c>
      <c r="DE55" t="e">
        <f>AND(Plan1!L929,"AAAAAG/f7Ww=")</f>
        <v>#VALUE!</v>
      </c>
      <c r="DF55" t="e">
        <f>AND(Plan1!M929,"AAAAAG/f7W0=")</f>
        <v>#VALUE!</v>
      </c>
      <c r="DG55" t="e">
        <f>AND(Plan1!N929,"AAAAAG/f7W4=")</f>
        <v>#VALUE!</v>
      </c>
      <c r="DH55">
        <f>IF(Plan1!930:930,"AAAAAG/f7W8=",0)</f>
        <v>0</v>
      </c>
      <c r="DI55" t="e">
        <f>AND(Plan1!A930,"AAAAAG/f7XA=")</f>
        <v>#VALUE!</v>
      </c>
      <c r="DJ55" t="e">
        <f>AND(Plan1!B930,"AAAAAG/f7XE=")</f>
        <v>#VALUE!</v>
      </c>
      <c r="DK55" t="e">
        <f>AND(Plan1!C930,"AAAAAG/f7XI=")</f>
        <v>#VALUE!</v>
      </c>
      <c r="DL55" t="e">
        <f>AND(Plan1!D930,"AAAAAG/f7XM=")</f>
        <v>#VALUE!</v>
      </c>
      <c r="DM55" t="e">
        <f>AND(Plan1!E930,"AAAAAG/f7XQ=")</f>
        <v>#VALUE!</v>
      </c>
      <c r="DN55" t="e">
        <f>AND(Plan1!F930,"AAAAAG/f7XU=")</f>
        <v>#VALUE!</v>
      </c>
      <c r="DO55" t="e">
        <f>AND(Plan1!G930,"AAAAAG/f7XY=")</f>
        <v>#VALUE!</v>
      </c>
      <c r="DP55" t="e">
        <f>AND(Plan1!H930,"AAAAAG/f7Xc=")</f>
        <v>#VALUE!</v>
      </c>
      <c r="DQ55" t="e">
        <f>AND(Plan1!I930,"AAAAAG/f7Xg=")</f>
        <v>#VALUE!</v>
      </c>
      <c r="DR55" t="e">
        <f>AND(Plan1!J930,"AAAAAG/f7Xk=")</f>
        <v>#VALUE!</v>
      </c>
      <c r="DS55" t="e">
        <f>AND(Plan1!K930,"AAAAAG/f7Xo=")</f>
        <v>#VALUE!</v>
      </c>
      <c r="DT55" t="e">
        <f>AND(Plan1!L930,"AAAAAG/f7Xs=")</f>
        <v>#VALUE!</v>
      </c>
      <c r="DU55" t="e">
        <f>AND(Plan1!M930,"AAAAAG/f7Xw=")</f>
        <v>#VALUE!</v>
      </c>
      <c r="DV55" t="e">
        <f>AND(Plan1!N930,"AAAAAG/f7X0=")</f>
        <v>#VALUE!</v>
      </c>
      <c r="DW55">
        <f>IF(Plan1!931:931,"AAAAAG/f7X4=",0)</f>
        <v>0</v>
      </c>
      <c r="DX55" t="e">
        <f>AND(Plan1!A931,"AAAAAG/f7X8=")</f>
        <v>#VALUE!</v>
      </c>
      <c r="DY55" t="e">
        <f>AND(Plan1!B931,"AAAAAG/f7YA=")</f>
        <v>#VALUE!</v>
      </c>
      <c r="DZ55" t="e">
        <f>AND(Plan1!C931,"AAAAAG/f7YE=")</f>
        <v>#VALUE!</v>
      </c>
      <c r="EA55" t="e">
        <f>AND(Plan1!D931,"AAAAAG/f7YI=")</f>
        <v>#VALUE!</v>
      </c>
      <c r="EB55" t="e">
        <f>AND(Plan1!E931,"AAAAAG/f7YM=")</f>
        <v>#VALUE!</v>
      </c>
      <c r="EC55" t="e">
        <f>AND(Plan1!F931,"AAAAAG/f7YQ=")</f>
        <v>#VALUE!</v>
      </c>
      <c r="ED55" t="e">
        <f>AND(Plan1!G931,"AAAAAG/f7YU=")</f>
        <v>#VALUE!</v>
      </c>
      <c r="EE55" t="e">
        <f>AND(Plan1!H931,"AAAAAG/f7YY=")</f>
        <v>#VALUE!</v>
      </c>
      <c r="EF55" t="e">
        <f>AND(Plan1!I931,"AAAAAG/f7Yc=")</f>
        <v>#VALUE!</v>
      </c>
      <c r="EG55" t="e">
        <f>AND(Plan1!J931,"AAAAAG/f7Yg=")</f>
        <v>#VALUE!</v>
      </c>
      <c r="EH55" t="e">
        <f>AND(Plan1!K931,"AAAAAG/f7Yk=")</f>
        <v>#VALUE!</v>
      </c>
      <c r="EI55" t="e">
        <f>AND(Plan1!L931,"AAAAAG/f7Yo=")</f>
        <v>#VALUE!</v>
      </c>
      <c r="EJ55" t="e">
        <f>AND(Plan1!M931,"AAAAAG/f7Ys=")</f>
        <v>#VALUE!</v>
      </c>
      <c r="EK55" t="e">
        <f>AND(Plan1!N931,"AAAAAG/f7Yw=")</f>
        <v>#VALUE!</v>
      </c>
      <c r="EL55">
        <f>IF(Plan1!932:932,"AAAAAG/f7Y0=",0)</f>
        <v>0</v>
      </c>
      <c r="EM55" t="e">
        <f>AND(Plan1!A932,"AAAAAG/f7Y4=")</f>
        <v>#VALUE!</v>
      </c>
      <c r="EN55" t="e">
        <f>AND(Plan1!B932,"AAAAAG/f7Y8=")</f>
        <v>#VALUE!</v>
      </c>
      <c r="EO55" t="e">
        <f>AND(Plan1!C932,"AAAAAG/f7ZA=")</f>
        <v>#VALUE!</v>
      </c>
      <c r="EP55" t="e">
        <f>AND(Plan1!D932,"AAAAAG/f7ZE=")</f>
        <v>#VALUE!</v>
      </c>
      <c r="EQ55" t="e">
        <f>AND(Plan1!E932,"AAAAAG/f7ZI=")</f>
        <v>#VALUE!</v>
      </c>
      <c r="ER55" t="e">
        <f>AND(Plan1!F932,"AAAAAG/f7ZM=")</f>
        <v>#VALUE!</v>
      </c>
      <c r="ES55" t="e">
        <f>AND(Plan1!G932,"AAAAAG/f7ZQ=")</f>
        <v>#VALUE!</v>
      </c>
      <c r="ET55" t="e">
        <f>AND(Plan1!H932,"AAAAAG/f7ZU=")</f>
        <v>#VALUE!</v>
      </c>
      <c r="EU55" t="e">
        <f>AND(Plan1!I932,"AAAAAG/f7ZY=")</f>
        <v>#VALUE!</v>
      </c>
      <c r="EV55" t="e">
        <f>AND(Plan1!J932,"AAAAAG/f7Zc=")</f>
        <v>#VALUE!</v>
      </c>
      <c r="EW55" t="e">
        <f>AND(Plan1!K932,"AAAAAG/f7Zg=")</f>
        <v>#VALUE!</v>
      </c>
      <c r="EX55" t="e">
        <f>AND(Plan1!L932,"AAAAAG/f7Zk=")</f>
        <v>#VALUE!</v>
      </c>
      <c r="EY55" t="e">
        <f>AND(Plan1!M932,"AAAAAG/f7Zo=")</f>
        <v>#VALUE!</v>
      </c>
      <c r="EZ55" t="e">
        <f>AND(Plan1!N932,"AAAAAG/f7Zs=")</f>
        <v>#VALUE!</v>
      </c>
      <c r="FA55">
        <f>IF(Plan1!933:933,"AAAAAG/f7Zw=",0)</f>
        <v>0</v>
      </c>
      <c r="FB55" t="e">
        <f>AND(Plan1!A933,"AAAAAG/f7Z0=")</f>
        <v>#VALUE!</v>
      </c>
      <c r="FC55" t="e">
        <f>AND(Plan1!B933,"AAAAAG/f7Z4=")</f>
        <v>#VALUE!</v>
      </c>
      <c r="FD55" t="e">
        <f>AND(Plan1!C933,"AAAAAG/f7Z8=")</f>
        <v>#VALUE!</v>
      </c>
      <c r="FE55" t="e">
        <f>AND(Plan1!D933,"AAAAAG/f7aA=")</f>
        <v>#VALUE!</v>
      </c>
      <c r="FF55" t="e">
        <f>AND(Plan1!E933,"AAAAAG/f7aE=")</f>
        <v>#VALUE!</v>
      </c>
      <c r="FG55" t="e">
        <f>AND(Plan1!F933,"AAAAAG/f7aI=")</f>
        <v>#VALUE!</v>
      </c>
      <c r="FH55" t="e">
        <f>AND(Plan1!G933,"AAAAAG/f7aM=")</f>
        <v>#VALUE!</v>
      </c>
      <c r="FI55" t="e">
        <f>AND(Plan1!H933,"AAAAAG/f7aQ=")</f>
        <v>#VALUE!</v>
      </c>
      <c r="FJ55" t="e">
        <f>AND(Plan1!I933,"AAAAAG/f7aU=")</f>
        <v>#VALUE!</v>
      </c>
      <c r="FK55" t="e">
        <f>AND(Plan1!J933,"AAAAAG/f7aY=")</f>
        <v>#VALUE!</v>
      </c>
      <c r="FL55" t="e">
        <f>AND(Plan1!K933,"AAAAAG/f7ac=")</f>
        <v>#VALUE!</v>
      </c>
      <c r="FM55" t="e">
        <f>AND(Plan1!L933,"AAAAAG/f7ag=")</f>
        <v>#VALUE!</v>
      </c>
      <c r="FN55" t="e">
        <f>AND(Plan1!M933,"AAAAAG/f7ak=")</f>
        <v>#VALUE!</v>
      </c>
      <c r="FO55" t="e">
        <f>AND(Plan1!N933,"AAAAAG/f7ao=")</f>
        <v>#VALUE!</v>
      </c>
      <c r="FP55">
        <f>IF(Plan1!934:934,"AAAAAG/f7as=",0)</f>
        <v>0</v>
      </c>
      <c r="FQ55" t="e">
        <f>AND(Plan1!A934,"AAAAAG/f7aw=")</f>
        <v>#VALUE!</v>
      </c>
      <c r="FR55" t="e">
        <f>AND(Plan1!B934,"AAAAAG/f7a0=")</f>
        <v>#VALUE!</v>
      </c>
      <c r="FS55" t="e">
        <f>AND(Plan1!C934,"AAAAAG/f7a4=")</f>
        <v>#VALUE!</v>
      </c>
      <c r="FT55" t="e">
        <f>AND(Plan1!D934,"AAAAAG/f7a8=")</f>
        <v>#VALUE!</v>
      </c>
      <c r="FU55" t="e">
        <f>AND(Plan1!E934,"AAAAAG/f7bA=")</f>
        <v>#VALUE!</v>
      </c>
      <c r="FV55" t="e">
        <f>AND(Plan1!F934,"AAAAAG/f7bE=")</f>
        <v>#VALUE!</v>
      </c>
      <c r="FW55" t="e">
        <f>AND(Plan1!G934,"AAAAAG/f7bI=")</f>
        <v>#VALUE!</v>
      </c>
      <c r="FX55" t="e">
        <f>AND(Plan1!H934,"AAAAAG/f7bM=")</f>
        <v>#VALUE!</v>
      </c>
      <c r="FY55" t="e">
        <f>AND(Plan1!I934,"AAAAAG/f7bQ=")</f>
        <v>#VALUE!</v>
      </c>
      <c r="FZ55" t="e">
        <f>AND(Plan1!J934,"AAAAAG/f7bU=")</f>
        <v>#VALUE!</v>
      </c>
      <c r="GA55" t="e">
        <f>AND(Plan1!K934,"AAAAAG/f7bY=")</f>
        <v>#VALUE!</v>
      </c>
      <c r="GB55" t="e">
        <f>AND(Plan1!L934,"AAAAAG/f7bc=")</f>
        <v>#VALUE!</v>
      </c>
      <c r="GC55" t="e">
        <f>AND(Plan1!M934,"AAAAAG/f7bg=")</f>
        <v>#VALUE!</v>
      </c>
      <c r="GD55" t="e">
        <f>AND(Plan1!N934,"AAAAAG/f7bk=")</f>
        <v>#VALUE!</v>
      </c>
      <c r="GE55">
        <f>IF(Plan1!935:935,"AAAAAG/f7bo=",0)</f>
        <v>0</v>
      </c>
      <c r="GF55" t="e">
        <f>AND(Plan1!A935,"AAAAAG/f7bs=")</f>
        <v>#VALUE!</v>
      </c>
      <c r="GG55" t="e">
        <f>AND(Plan1!B935,"AAAAAG/f7bw=")</f>
        <v>#VALUE!</v>
      </c>
      <c r="GH55" t="e">
        <f>AND(Plan1!C935,"AAAAAG/f7b0=")</f>
        <v>#VALUE!</v>
      </c>
      <c r="GI55" t="e">
        <f>AND(Plan1!D935,"AAAAAG/f7b4=")</f>
        <v>#VALUE!</v>
      </c>
      <c r="GJ55" t="e">
        <f>AND(Plan1!E935,"AAAAAG/f7b8=")</f>
        <v>#VALUE!</v>
      </c>
      <c r="GK55" t="e">
        <f>AND(Plan1!F935,"AAAAAG/f7cA=")</f>
        <v>#VALUE!</v>
      </c>
      <c r="GL55" t="e">
        <f>AND(Plan1!G935,"AAAAAG/f7cE=")</f>
        <v>#VALUE!</v>
      </c>
      <c r="GM55" t="e">
        <f>AND(Plan1!H935,"AAAAAG/f7cI=")</f>
        <v>#VALUE!</v>
      </c>
      <c r="GN55" t="e">
        <f>AND(Plan1!I935,"AAAAAG/f7cM=")</f>
        <v>#VALUE!</v>
      </c>
      <c r="GO55" t="e">
        <f>AND(Plan1!J935,"AAAAAG/f7cQ=")</f>
        <v>#VALUE!</v>
      </c>
      <c r="GP55" t="e">
        <f>AND(Plan1!K935,"AAAAAG/f7cU=")</f>
        <v>#VALUE!</v>
      </c>
      <c r="GQ55" t="e">
        <f>AND(Plan1!L935,"AAAAAG/f7cY=")</f>
        <v>#VALUE!</v>
      </c>
      <c r="GR55" t="e">
        <f>AND(Plan1!M935,"AAAAAG/f7cc=")</f>
        <v>#VALUE!</v>
      </c>
      <c r="GS55" t="e">
        <f>AND(Plan1!N935,"AAAAAG/f7cg=")</f>
        <v>#VALUE!</v>
      </c>
      <c r="GT55">
        <f>IF(Plan1!936:936,"AAAAAG/f7ck=",0)</f>
        <v>0</v>
      </c>
      <c r="GU55" t="e">
        <f>AND(Plan1!A936,"AAAAAG/f7co=")</f>
        <v>#VALUE!</v>
      </c>
      <c r="GV55" t="e">
        <f>AND(Plan1!B936,"AAAAAG/f7cs=")</f>
        <v>#VALUE!</v>
      </c>
      <c r="GW55" t="e">
        <f>AND(Plan1!C936,"AAAAAG/f7cw=")</f>
        <v>#VALUE!</v>
      </c>
      <c r="GX55" t="e">
        <f>AND(Plan1!D936,"AAAAAG/f7c0=")</f>
        <v>#VALUE!</v>
      </c>
      <c r="GY55" t="e">
        <f>AND(Plan1!E936,"AAAAAG/f7c4=")</f>
        <v>#VALUE!</v>
      </c>
      <c r="GZ55" t="e">
        <f>AND(Plan1!F936,"AAAAAG/f7c8=")</f>
        <v>#VALUE!</v>
      </c>
      <c r="HA55" t="e">
        <f>AND(Plan1!G936,"AAAAAG/f7dA=")</f>
        <v>#VALUE!</v>
      </c>
      <c r="HB55" t="e">
        <f>AND(Plan1!H936,"AAAAAG/f7dE=")</f>
        <v>#VALUE!</v>
      </c>
      <c r="HC55" t="e">
        <f>AND(Plan1!I936,"AAAAAG/f7dI=")</f>
        <v>#VALUE!</v>
      </c>
      <c r="HD55" t="e">
        <f>AND(Plan1!J936,"AAAAAG/f7dM=")</f>
        <v>#VALUE!</v>
      </c>
      <c r="HE55" t="e">
        <f>AND(Plan1!K936,"AAAAAG/f7dQ=")</f>
        <v>#VALUE!</v>
      </c>
      <c r="HF55" t="e">
        <f>AND(Plan1!L936,"AAAAAG/f7dU=")</f>
        <v>#VALUE!</v>
      </c>
      <c r="HG55" t="e">
        <f>AND(Plan1!M936,"AAAAAG/f7dY=")</f>
        <v>#VALUE!</v>
      </c>
      <c r="HH55" t="e">
        <f>AND(Plan1!N936,"AAAAAG/f7dc=")</f>
        <v>#VALUE!</v>
      </c>
      <c r="HI55">
        <f>IF(Plan1!937:937,"AAAAAG/f7dg=",0)</f>
        <v>0</v>
      </c>
      <c r="HJ55" t="e">
        <f>AND(Plan1!A937,"AAAAAG/f7dk=")</f>
        <v>#VALUE!</v>
      </c>
      <c r="HK55" t="e">
        <f>AND(Plan1!B937,"AAAAAG/f7do=")</f>
        <v>#VALUE!</v>
      </c>
      <c r="HL55" t="e">
        <f>AND(Plan1!C937,"AAAAAG/f7ds=")</f>
        <v>#VALUE!</v>
      </c>
      <c r="HM55" t="e">
        <f>AND(Plan1!D937,"AAAAAG/f7dw=")</f>
        <v>#VALUE!</v>
      </c>
      <c r="HN55" t="e">
        <f>AND(Plan1!E937,"AAAAAG/f7d0=")</f>
        <v>#VALUE!</v>
      </c>
      <c r="HO55" t="e">
        <f>AND(Plan1!F937,"AAAAAG/f7d4=")</f>
        <v>#VALUE!</v>
      </c>
      <c r="HP55" t="e">
        <f>AND(Plan1!G937,"AAAAAG/f7d8=")</f>
        <v>#VALUE!</v>
      </c>
      <c r="HQ55" t="e">
        <f>AND(Plan1!H937,"AAAAAG/f7eA=")</f>
        <v>#VALUE!</v>
      </c>
      <c r="HR55" t="e">
        <f>AND(Plan1!I937,"AAAAAG/f7eE=")</f>
        <v>#VALUE!</v>
      </c>
      <c r="HS55" t="e">
        <f>AND(Plan1!J937,"AAAAAG/f7eI=")</f>
        <v>#VALUE!</v>
      </c>
      <c r="HT55" t="e">
        <f>AND(Plan1!K937,"AAAAAG/f7eM=")</f>
        <v>#VALUE!</v>
      </c>
      <c r="HU55" t="e">
        <f>AND(Plan1!L937,"AAAAAG/f7eQ=")</f>
        <v>#VALUE!</v>
      </c>
      <c r="HV55" t="e">
        <f>AND(Plan1!M937,"AAAAAG/f7eU=")</f>
        <v>#VALUE!</v>
      </c>
      <c r="HW55" t="e">
        <f>AND(Plan1!N937,"AAAAAG/f7eY=")</f>
        <v>#VALUE!</v>
      </c>
      <c r="HX55">
        <f>IF(Plan1!938:938,"AAAAAG/f7ec=",0)</f>
        <v>0</v>
      </c>
      <c r="HY55" t="e">
        <f>AND(Plan1!A938,"AAAAAG/f7eg=")</f>
        <v>#VALUE!</v>
      </c>
      <c r="HZ55" t="e">
        <f>AND(Plan1!B938,"AAAAAG/f7ek=")</f>
        <v>#VALUE!</v>
      </c>
      <c r="IA55" t="e">
        <f>AND(Plan1!C938,"AAAAAG/f7eo=")</f>
        <v>#VALUE!</v>
      </c>
      <c r="IB55" t="e">
        <f>AND(Plan1!D938,"AAAAAG/f7es=")</f>
        <v>#VALUE!</v>
      </c>
      <c r="IC55" t="e">
        <f>AND(Plan1!E938,"AAAAAG/f7ew=")</f>
        <v>#VALUE!</v>
      </c>
      <c r="ID55" t="e">
        <f>AND(Plan1!F938,"AAAAAG/f7e0=")</f>
        <v>#VALUE!</v>
      </c>
      <c r="IE55" t="e">
        <f>AND(Plan1!G938,"AAAAAG/f7e4=")</f>
        <v>#VALUE!</v>
      </c>
      <c r="IF55" t="e">
        <f>AND(Plan1!H938,"AAAAAG/f7e8=")</f>
        <v>#VALUE!</v>
      </c>
      <c r="IG55" t="e">
        <f>AND(Plan1!I938,"AAAAAG/f7fA=")</f>
        <v>#VALUE!</v>
      </c>
      <c r="IH55" t="e">
        <f>AND(Plan1!J938,"AAAAAG/f7fE=")</f>
        <v>#VALUE!</v>
      </c>
      <c r="II55" t="e">
        <f>AND(Plan1!K938,"AAAAAG/f7fI=")</f>
        <v>#VALUE!</v>
      </c>
      <c r="IJ55" t="e">
        <f>AND(Plan1!L938,"AAAAAG/f7fM=")</f>
        <v>#VALUE!</v>
      </c>
      <c r="IK55" t="e">
        <f>AND(Plan1!M938,"AAAAAG/f7fQ=")</f>
        <v>#VALUE!</v>
      </c>
      <c r="IL55" t="e">
        <f>AND(Plan1!N938,"AAAAAG/f7fU=")</f>
        <v>#VALUE!</v>
      </c>
      <c r="IM55">
        <f>IF(Plan1!939:939,"AAAAAG/f7fY=",0)</f>
        <v>0</v>
      </c>
      <c r="IN55" t="e">
        <f>AND(Plan1!A939,"AAAAAG/f7fc=")</f>
        <v>#VALUE!</v>
      </c>
      <c r="IO55" t="e">
        <f>AND(Plan1!B939,"AAAAAG/f7fg=")</f>
        <v>#VALUE!</v>
      </c>
      <c r="IP55" t="e">
        <f>AND(Plan1!C939,"AAAAAG/f7fk=")</f>
        <v>#VALUE!</v>
      </c>
      <c r="IQ55" t="e">
        <f>AND(Plan1!D939,"AAAAAG/f7fo=")</f>
        <v>#VALUE!</v>
      </c>
      <c r="IR55" t="e">
        <f>AND(Plan1!E939,"AAAAAG/f7fs=")</f>
        <v>#VALUE!</v>
      </c>
      <c r="IS55" t="e">
        <f>AND(Plan1!F939,"AAAAAG/f7fw=")</f>
        <v>#VALUE!</v>
      </c>
      <c r="IT55" t="e">
        <f>AND(Plan1!G939,"AAAAAG/f7f0=")</f>
        <v>#VALUE!</v>
      </c>
      <c r="IU55" t="e">
        <f>AND(Plan1!H939,"AAAAAG/f7f4=")</f>
        <v>#VALUE!</v>
      </c>
      <c r="IV55" t="e">
        <f>AND(Plan1!I939,"AAAAAG/f7f8=")</f>
        <v>#VALUE!</v>
      </c>
    </row>
    <row r="56" spans="1:256">
      <c r="A56" t="e">
        <f>AND(Plan1!J939,"AAAAAEZ7/QA=")</f>
        <v>#VALUE!</v>
      </c>
      <c r="B56" t="e">
        <f>AND(Plan1!K939,"AAAAAEZ7/QE=")</f>
        <v>#VALUE!</v>
      </c>
      <c r="C56" t="e">
        <f>AND(Plan1!L939,"AAAAAEZ7/QI=")</f>
        <v>#VALUE!</v>
      </c>
      <c r="D56" t="e">
        <f>AND(Plan1!M939,"AAAAAEZ7/QM=")</f>
        <v>#VALUE!</v>
      </c>
      <c r="E56" t="e">
        <f>AND(Plan1!N939,"AAAAAEZ7/QQ=")</f>
        <v>#VALUE!</v>
      </c>
      <c r="F56" t="str">
        <f>IF(Plan1!940:940,"AAAAAEZ7/QU=",0)</f>
        <v>AAAAAEZ7/QU=</v>
      </c>
      <c r="G56" t="e">
        <f>AND(Plan1!A940,"AAAAAEZ7/QY=")</f>
        <v>#VALUE!</v>
      </c>
      <c r="H56" t="e">
        <f>AND(Plan1!B940,"AAAAAEZ7/Qc=")</f>
        <v>#VALUE!</v>
      </c>
      <c r="I56" t="e">
        <f>AND(Plan1!C940,"AAAAAEZ7/Qg=")</f>
        <v>#VALUE!</v>
      </c>
      <c r="J56" t="e">
        <f>AND(Plan1!D940,"AAAAAEZ7/Qk=")</f>
        <v>#VALUE!</v>
      </c>
      <c r="K56" t="e">
        <f>AND(Plan1!E940,"AAAAAEZ7/Qo=")</f>
        <v>#VALUE!</v>
      </c>
      <c r="L56" t="e">
        <f>AND(Plan1!F940,"AAAAAEZ7/Qs=")</f>
        <v>#VALUE!</v>
      </c>
      <c r="M56" t="e">
        <f>AND(Plan1!G940,"AAAAAEZ7/Qw=")</f>
        <v>#VALUE!</v>
      </c>
      <c r="N56" t="e">
        <f>AND(Plan1!H940,"AAAAAEZ7/Q0=")</f>
        <v>#VALUE!</v>
      </c>
      <c r="O56" t="e">
        <f>AND(Plan1!I940,"AAAAAEZ7/Q4=")</f>
        <v>#VALUE!</v>
      </c>
      <c r="P56" t="e">
        <f>AND(Plan1!J940,"AAAAAEZ7/Q8=")</f>
        <v>#VALUE!</v>
      </c>
      <c r="Q56" t="e">
        <f>AND(Plan1!K940,"AAAAAEZ7/RA=")</f>
        <v>#VALUE!</v>
      </c>
      <c r="R56" t="e">
        <f>AND(Plan1!L940,"AAAAAEZ7/RE=")</f>
        <v>#VALUE!</v>
      </c>
      <c r="S56" t="e">
        <f>AND(Plan1!M940,"AAAAAEZ7/RI=")</f>
        <v>#VALUE!</v>
      </c>
      <c r="T56" t="e">
        <f>AND(Plan1!N940,"AAAAAEZ7/RM=")</f>
        <v>#VALUE!</v>
      </c>
      <c r="U56">
        <f>IF(Plan1!941:941,"AAAAAEZ7/RQ=",0)</f>
        <v>0</v>
      </c>
      <c r="V56" t="e">
        <f>AND(Plan1!A941,"AAAAAEZ7/RU=")</f>
        <v>#VALUE!</v>
      </c>
      <c r="W56" t="e">
        <f>AND(Plan1!B941,"AAAAAEZ7/RY=")</f>
        <v>#VALUE!</v>
      </c>
      <c r="X56" t="e">
        <f>AND(Plan1!C941,"AAAAAEZ7/Rc=")</f>
        <v>#VALUE!</v>
      </c>
      <c r="Y56" t="e">
        <f>AND(Plan1!D941,"AAAAAEZ7/Rg=")</f>
        <v>#VALUE!</v>
      </c>
      <c r="Z56" t="e">
        <f>AND(Plan1!E941,"AAAAAEZ7/Rk=")</f>
        <v>#VALUE!</v>
      </c>
      <c r="AA56" t="e">
        <f>AND(Plan1!F941,"AAAAAEZ7/Ro=")</f>
        <v>#VALUE!</v>
      </c>
      <c r="AB56" t="e">
        <f>AND(Plan1!G941,"AAAAAEZ7/Rs=")</f>
        <v>#VALUE!</v>
      </c>
      <c r="AC56" t="e">
        <f>AND(Plan1!H941,"AAAAAEZ7/Rw=")</f>
        <v>#VALUE!</v>
      </c>
      <c r="AD56" t="e">
        <f>AND(Plan1!I941,"AAAAAEZ7/R0=")</f>
        <v>#VALUE!</v>
      </c>
      <c r="AE56" t="e">
        <f>AND(Plan1!J941,"AAAAAEZ7/R4=")</f>
        <v>#VALUE!</v>
      </c>
      <c r="AF56" t="e">
        <f>AND(Plan1!K941,"AAAAAEZ7/R8=")</f>
        <v>#VALUE!</v>
      </c>
      <c r="AG56" t="e">
        <f>AND(Plan1!L941,"AAAAAEZ7/SA=")</f>
        <v>#VALUE!</v>
      </c>
      <c r="AH56" t="e">
        <f>AND(Plan1!M941,"AAAAAEZ7/SE=")</f>
        <v>#VALUE!</v>
      </c>
      <c r="AI56" t="e">
        <f>AND(Plan1!N941,"AAAAAEZ7/SI=")</f>
        <v>#VALUE!</v>
      </c>
      <c r="AJ56">
        <f>IF(Plan1!942:942,"AAAAAEZ7/SM=",0)</f>
        <v>0</v>
      </c>
      <c r="AK56" t="e">
        <f>AND(Plan1!A942,"AAAAAEZ7/SQ=")</f>
        <v>#VALUE!</v>
      </c>
      <c r="AL56" t="e">
        <f>AND(Plan1!B942,"AAAAAEZ7/SU=")</f>
        <v>#VALUE!</v>
      </c>
      <c r="AM56" t="e">
        <f>AND(Plan1!C942,"AAAAAEZ7/SY=")</f>
        <v>#VALUE!</v>
      </c>
      <c r="AN56" t="e">
        <f>AND(Plan1!D942,"AAAAAEZ7/Sc=")</f>
        <v>#VALUE!</v>
      </c>
      <c r="AO56" t="e">
        <f>AND(Plan1!E942,"AAAAAEZ7/Sg=")</f>
        <v>#VALUE!</v>
      </c>
      <c r="AP56" t="e">
        <f>AND(Plan1!F942,"AAAAAEZ7/Sk=")</f>
        <v>#VALUE!</v>
      </c>
      <c r="AQ56" t="e">
        <f>AND(Plan1!G942,"AAAAAEZ7/So=")</f>
        <v>#VALUE!</v>
      </c>
      <c r="AR56" t="e">
        <f>AND(Plan1!H942,"AAAAAEZ7/Ss=")</f>
        <v>#VALUE!</v>
      </c>
      <c r="AS56" t="e">
        <f>AND(Plan1!I942,"AAAAAEZ7/Sw=")</f>
        <v>#VALUE!</v>
      </c>
      <c r="AT56" t="e">
        <f>AND(Plan1!J942,"AAAAAEZ7/S0=")</f>
        <v>#VALUE!</v>
      </c>
      <c r="AU56" t="e">
        <f>AND(Plan1!K942,"AAAAAEZ7/S4=")</f>
        <v>#VALUE!</v>
      </c>
      <c r="AV56" t="e">
        <f>AND(Plan1!L942,"AAAAAEZ7/S8=")</f>
        <v>#VALUE!</v>
      </c>
      <c r="AW56" t="e">
        <f>AND(Plan1!M942,"AAAAAEZ7/TA=")</f>
        <v>#VALUE!</v>
      </c>
      <c r="AX56" t="e">
        <f>AND(Plan1!N942,"AAAAAEZ7/TE=")</f>
        <v>#VALUE!</v>
      </c>
      <c r="AY56">
        <f>IF(Plan1!943:943,"AAAAAEZ7/TI=",0)</f>
        <v>0</v>
      </c>
      <c r="AZ56" t="e">
        <f>AND(Plan1!A943,"AAAAAEZ7/TM=")</f>
        <v>#VALUE!</v>
      </c>
      <c r="BA56" t="e">
        <f>AND(Plan1!B943,"AAAAAEZ7/TQ=")</f>
        <v>#VALUE!</v>
      </c>
      <c r="BB56" t="e">
        <f>AND(Plan1!C943,"AAAAAEZ7/TU=")</f>
        <v>#VALUE!</v>
      </c>
      <c r="BC56" t="e">
        <f>AND(Plan1!D943,"AAAAAEZ7/TY=")</f>
        <v>#VALUE!</v>
      </c>
      <c r="BD56" t="e">
        <f>AND(Plan1!E943,"AAAAAEZ7/Tc=")</f>
        <v>#VALUE!</v>
      </c>
      <c r="BE56" t="e">
        <f>AND(Plan1!F943,"AAAAAEZ7/Tg=")</f>
        <v>#VALUE!</v>
      </c>
      <c r="BF56" t="e">
        <f>AND(Plan1!G943,"AAAAAEZ7/Tk=")</f>
        <v>#VALUE!</v>
      </c>
      <c r="BG56" t="e">
        <f>AND(Plan1!H943,"AAAAAEZ7/To=")</f>
        <v>#VALUE!</v>
      </c>
      <c r="BH56" t="e">
        <f>AND(Plan1!I943,"AAAAAEZ7/Ts=")</f>
        <v>#VALUE!</v>
      </c>
      <c r="BI56" t="e">
        <f>AND(Plan1!J943,"AAAAAEZ7/Tw=")</f>
        <v>#VALUE!</v>
      </c>
      <c r="BJ56" t="e">
        <f>AND(Plan1!K943,"AAAAAEZ7/T0=")</f>
        <v>#VALUE!</v>
      </c>
      <c r="BK56" t="e">
        <f>AND(Plan1!L943,"AAAAAEZ7/T4=")</f>
        <v>#VALUE!</v>
      </c>
      <c r="BL56" t="e">
        <f>AND(Plan1!M943,"AAAAAEZ7/T8=")</f>
        <v>#VALUE!</v>
      </c>
      <c r="BM56" t="e">
        <f>AND(Plan1!N943,"AAAAAEZ7/UA=")</f>
        <v>#VALUE!</v>
      </c>
      <c r="BN56">
        <f>IF(Plan1!944:944,"AAAAAEZ7/UE=",0)</f>
        <v>0</v>
      </c>
      <c r="BO56" t="e">
        <f>AND(Plan1!A944,"AAAAAEZ7/UI=")</f>
        <v>#VALUE!</v>
      </c>
      <c r="BP56" t="e">
        <f>AND(Plan1!B944,"AAAAAEZ7/UM=")</f>
        <v>#VALUE!</v>
      </c>
      <c r="BQ56" t="e">
        <f>AND(Plan1!C944,"AAAAAEZ7/UQ=")</f>
        <v>#VALUE!</v>
      </c>
      <c r="BR56" t="e">
        <f>AND(Plan1!D944,"AAAAAEZ7/UU=")</f>
        <v>#VALUE!</v>
      </c>
      <c r="BS56" t="e">
        <f>AND(Plan1!E944,"AAAAAEZ7/UY=")</f>
        <v>#VALUE!</v>
      </c>
      <c r="BT56" t="e">
        <f>AND(Plan1!F944,"AAAAAEZ7/Uc=")</f>
        <v>#VALUE!</v>
      </c>
      <c r="BU56" t="e">
        <f>AND(Plan1!G944,"AAAAAEZ7/Ug=")</f>
        <v>#VALUE!</v>
      </c>
      <c r="BV56" t="e">
        <f>AND(Plan1!H944,"AAAAAEZ7/Uk=")</f>
        <v>#VALUE!</v>
      </c>
      <c r="BW56" t="e">
        <f>AND(Plan1!I944,"AAAAAEZ7/Uo=")</f>
        <v>#VALUE!</v>
      </c>
      <c r="BX56" t="e">
        <f>AND(Plan1!J944,"AAAAAEZ7/Us=")</f>
        <v>#VALUE!</v>
      </c>
      <c r="BY56" t="e">
        <f>AND(Plan1!K944,"AAAAAEZ7/Uw=")</f>
        <v>#VALUE!</v>
      </c>
      <c r="BZ56" t="e">
        <f>AND(Plan1!L944,"AAAAAEZ7/U0=")</f>
        <v>#VALUE!</v>
      </c>
      <c r="CA56" t="e">
        <f>AND(Plan1!M944,"AAAAAEZ7/U4=")</f>
        <v>#VALUE!</v>
      </c>
      <c r="CB56" t="e">
        <f>AND(Plan1!N944,"AAAAAEZ7/U8=")</f>
        <v>#VALUE!</v>
      </c>
      <c r="CC56">
        <f>IF(Plan1!945:945,"AAAAAEZ7/VA=",0)</f>
        <v>0</v>
      </c>
      <c r="CD56" t="e">
        <f>AND(Plan1!A945,"AAAAAEZ7/VE=")</f>
        <v>#VALUE!</v>
      </c>
      <c r="CE56" t="e">
        <f>AND(Plan1!B945,"AAAAAEZ7/VI=")</f>
        <v>#VALUE!</v>
      </c>
      <c r="CF56" t="e">
        <f>AND(Plan1!C945,"AAAAAEZ7/VM=")</f>
        <v>#VALUE!</v>
      </c>
      <c r="CG56" t="e">
        <f>AND(Plan1!D945,"AAAAAEZ7/VQ=")</f>
        <v>#VALUE!</v>
      </c>
      <c r="CH56" t="e">
        <f>AND(Plan1!E945,"AAAAAEZ7/VU=")</f>
        <v>#VALUE!</v>
      </c>
      <c r="CI56" t="e">
        <f>AND(Plan1!F945,"AAAAAEZ7/VY=")</f>
        <v>#VALUE!</v>
      </c>
      <c r="CJ56" t="e">
        <f>AND(Plan1!G945,"AAAAAEZ7/Vc=")</f>
        <v>#VALUE!</v>
      </c>
      <c r="CK56" t="e">
        <f>AND(Plan1!H945,"AAAAAEZ7/Vg=")</f>
        <v>#VALUE!</v>
      </c>
      <c r="CL56" t="e">
        <f>AND(Plan1!I945,"AAAAAEZ7/Vk=")</f>
        <v>#VALUE!</v>
      </c>
      <c r="CM56" t="e">
        <f>AND(Plan1!J945,"AAAAAEZ7/Vo=")</f>
        <v>#VALUE!</v>
      </c>
      <c r="CN56" t="e">
        <f>AND(Plan1!K945,"AAAAAEZ7/Vs=")</f>
        <v>#VALUE!</v>
      </c>
      <c r="CO56" t="e">
        <f>AND(Plan1!L945,"AAAAAEZ7/Vw=")</f>
        <v>#VALUE!</v>
      </c>
      <c r="CP56" t="e">
        <f>AND(Plan1!M945,"AAAAAEZ7/V0=")</f>
        <v>#VALUE!</v>
      </c>
      <c r="CQ56" t="e">
        <f>AND(Plan1!N945,"AAAAAEZ7/V4=")</f>
        <v>#VALUE!</v>
      </c>
      <c r="CR56">
        <f>IF(Plan1!946:946,"AAAAAEZ7/V8=",0)</f>
        <v>0</v>
      </c>
      <c r="CS56" t="e">
        <f>AND(Plan1!A946,"AAAAAEZ7/WA=")</f>
        <v>#VALUE!</v>
      </c>
      <c r="CT56" t="e">
        <f>AND(Plan1!B946,"AAAAAEZ7/WE=")</f>
        <v>#VALUE!</v>
      </c>
      <c r="CU56" t="e">
        <f>AND(Plan1!C946,"AAAAAEZ7/WI=")</f>
        <v>#VALUE!</v>
      </c>
      <c r="CV56" t="e">
        <f>AND(Plan1!D946,"AAAAAEZ7/WM=")</f>
        <v>#VALUE!</v>
      </c>
      <c r="CW56" t="e">
        <f>AND(Plan1!E946,"AAAAAEZ7/WQ=")</f>
        <v>#VALUE!</v>
      </c>
      <c r="CX56" t="e">
        <f>AND(Plan1!F946,"AAAAAEZ7/WU=")</f>
        <v>#VALUE!</v>
      </c>
      <c r="CY56" t="e">
        <f>AND(Plan1!G946,"AAAAAEZ7/WY=")</f>
        <v>#VALUE!</v>
      </c>
      <c r="CZ56" t="e">
        <f>AND(Plan1!H946,"AAAAAEZ7/Wc=")</f>
        <v>#VALUE!</v>
      </c>
      <c r="DA56" t="e">
        <f>AND(Plan1!I946,"AAAAAEZ7/Wg=")</f>
        <v>#VALUE!</v>
      </c>
      <c r="DB56" t="e">
        <f>AND(Plan1!J946,"AAAAAEZ7/Wk=")</f>
        <v>#VALUE!</v>
      </c>
      <c r="DC56" t="e">
        <f>AND(Plan1!K946,"AAAAAEZ7/Wo=")</f>
        <v>#VALUE!</v>
      </c>
      <c r="DD56" t="e">
        <f>AND(Plan1!L946,"AAAAAEZ7/Ws=")</f>
        <v>#VALUE!</v>
      </c>
      <c r="DE56" t="e">
        <f>AND(Plan1!M946,"AAAAAEZ7/Ww=")</f>
        <v>#VALUE!</v>
      </c>
      <c r="DF56" t="e">
        <f>AND(Plan1!N946,"AAAAAEZ7/W0=")</f>
        <v>#VALUE!</v>
      </c>
      <c r="DG56">
        <f>IF(Plan1!947:947,"AAAAAEZ7/W4=",0)</f>
        <v>0</v>
      </c>
      <c r="DH56" t="e">
        <f>AND(Plan1!A947,"AAAAAEZ7/W8=")</f>
        <v>#VALUE!</v>
      </c>
      <c r="DI56" t="e">
        <f>AND(Plan1!B947,"AAAAAEZ7/XA=")</f>
        <v>#VALUE!</v>
      </c>
      <c r="DJ56" t="e">
        <f>AND(Plan1!C947,"AAAAAEZ7/XE=")</f>
        <v>#VALUE!</v>
      </c>
      <c r="DK56" t="e">
        <f>AND(Plan1!D947,"AAAAAEZ7/XI=")</f>
        <v>#VALUE!</v>
      </c>
      <c r="DL56" t="e">
        <f>AND(Plan1!E947,"AAAAAEZ7/XM=")</f>
        <v>#VALUE!</v>
      </c>
      <c r="DM56" t="e">
        <f>AND(Plan1!F947,"AAAAAEZ7/XQ=")</f>
        <v>#VALUE!</v>
      </c>
      <c r="DN56" t="e">
        <f>AND(Plan1!G947,"AAAAAEZ7/XU=")</f>
        <v>#VALUE!</v>
      </c>
      <c r="DO56" t="e">
        <f>AND(Plan1!H947,"AAAAAEZ7/XY=")</f>
        <v>#VALUE!</v>
      </c>
      <c r="DP56" t="e">
        <f>AND(Plan1!I947,"AAAAAEZ7/Xc=")</f>
        <v>#VALUE!</v>
      </c>
      <c r="DQ56" t="e">
        <f>AND(Plan1!J947,"AAAAAEZ7/Xg=")</f>
        <v>#VALUE!</v>
      </c>
      <c r="DR56" t="e">
        <f>AND(Plan1!K947,"AAAAAEZ7/Xk=")</f>
        <v>#VALUE!</v>
      </c>
      <c r="DS56" t="e">
        <f>AND(Plan1!L947,"AAAAAEZ7/Xo=")</f>
        <v>#VALUE!</v>
      </c>
      <c r="DT56" t="e">
        <f>AND(Plan1!M947,"AAAAAEZ7/Xs=")</f>
        <v>#VALUE!</v>
      </c>
      <c r="DU56" t="e">
        <f>AND(Plan1!N947,"AAAAAEZ7/Xw=")</f>
        <v>#VALUE!</v>
      </c>
      <c r="DV56">
        <f>IF(Plan1!948:948,"AAAAAEZ7/X0=",0)</f>
        <v>0</v>
      </c>
      <c r="DW56" t="e">
        <f>AND(Plan1!A948,"AAAAAEZ7/X4=")</f>
        <v>#VALUE!</v>
      </c>
      <c r="DX56" t="e">
        <f>AND(Plan1!B948,"AAAAAEZ7/X8=")</f>
        <v>#VALUE!</v>
      </c>
      <c r="DY56" t="e">
        <f>AND(Plan1!C948,"AAAAAEZ7/YA=")</f>
        <v>#VALUE!</v>
      </c>
      <c r="DZ56" t="e">
        <f>AND(Plan1!D948,"AAAAAEZ7/YE=")</f>
        <v>#VALUE!</v>
      </c>
      <c r="EA56" t="e">
        <f>AND(Plan1!E948,"AAAAAEZ7/YI=")</f>
        <v>#VALUE!</v>
      </c>
      <c r="EB56" t="e">
        <f>AND(Plan1!F948,"AAAAAEZ7/YM=")</f>
        <v>#VALUE!</v>
      </c>
      <c r="EC56" t="e">
        <f>AND(Plan1!G948,"AAAAAEZ7/YQ=")</f>
        <v>#VALUE!</v>
      </c>
      <c r="ED56" t="e">
        <f>AND(Plan1!H948,"AAAAAEZ7/YU=")</f>
        <v>#VALUE!</v>
      </c>
      <c r="EE56" t="e">
        <f>AND(Plan1!I948,"AAAAAEZ7/YY=")</f>
        <v>#VALUE!</v>
      </c>
      <c r="EF56" t="e">
        <f>AND(Plan1!J948,"AAAAAEZ7/Yc=")</f>
        <v>#VALUE!</v>
      </c>
      <c r="EG56" t="e">
        <f>AND(Plan1!K948,"AAAAAEZ7/Yg=")</f>
        <v>#VALUE!</v>
      </c>
      <c r="EH56" t="e">
        <f>AND(Plan1!L948,"AAAAAEZ7/Yk=")</f>
        <v>#VALUE!</v>
      </c>
      <c r="EI56" t="e">
        <f>AND(Plan1!M948,"AAAAAEZ7/Yo=")</f>
        <v>#VALUE!</v>
      </c>
      <c r="EJ56" t="e">
        <f>AND(Plan1!N948,"AAAAAEZ7/Ys=")</f>
        <v>#VALUE!</v>
      </c>
      <c r="EK56">
        <f>IF(Plan1!949:949,"AAAAAEZ7/Yw=",0)</f>
        <v>0</v>
      </c>
      <c r="EL56" t="e">
        <f>AND(Plan1!A949,"AAAAAEZ7/Y0=")</f>
        <v>#VALUE!</v>
      </c>
      <c r="EM56" t="e">
        <f>AND(Plan1!B949,"AAAAAEZ7/Y4=")</f>
        <v>#VALUE!</v>
      </c>
      <c r="EN56" t="e">
        <f>AND(Plan1!C949,"AAAAAEZ7/Y8=")</f>
        <v>#VALUE!</v>
      </c>
      <c r="EO56" t="e">
        <f>AND(Plan1!D949,"AAAAAEZ7/ZA=")</f>
        <v>#VALUE!</v>
      </c>
      <c r="EP56" t="e">
        <f>AND(Plan1!E949,"AAAAAEZ7/ZE=")</f>
        <v>#VALUE!</v>
      </c>
      <c r="EQ56" t="e">
        <f>AND(Plan1!F949,"AAAAAEZ7/ZI=")</f>
        <v>#VALUE!</v>
      </c>
      <c r="ER56" t="e">
        <f>AND(Plan1!G949,"AAAAAEZ7/ZM=")</f>
        <v>#VALUE!</v>
      </c>
      <c r="ES56" t="e">
        <f>AND(Plan1!H949,"AAAAAEZ7/ZQ=")</f>
        <v>#VALUE!</v>
      </c>
      <c r="ET56" t="e">
        <f>AND(Plan1!I949,"AAAAAEZ7/ZU=")</f>
        <v>#VALUE!</v>
      </c>
      <c r="EU56" t="e">
        <f>AND(Plan1!J949,"AAAAAEZ7/ZY=")</f>
        <v>#VALUE!</v>
      </c>
      <c r="EV56" t="e">
        <f>AND(Plan1!K949,"AAAAAEZ7/Zc=")</f>
        <v>#VALUE!</v>
      </c>
      <c r="EW56" t="e">
        <f>AND(Plan1!L949,"AAAAAEZ7/Zg=")</f>
        <v>#VALUE!</v>
      </c>
      <c r="EX56" t="e">
        <f>AND(Plan1!M949,"AAAAAEZ7/Zk=")</f>
        <v>#VALUE!</v>
      </c>
      <c r="EY56" t="e">
        <f>AND(Plan1!N949,"AAAAAEZ7/Zo=")</f>
        <v>#VALUE!</v>
      </c>
      <c r="EZ56">
        <f>IF(Plan1!950:950,"AAAAAEZ7/Zs=",0)</f>
        <v>0</v>
      </c>
      <c r="FA56" t="e">
        <f>AND(Plan1!A950,"AAAAAEZ7/Zw=")</f>
        <v>#VALUE!</v>
      </c>
      <c r="FB56" t="e">
        <f>AND(Plan1!B950,"AAAAAEZ7/Z0=")</f>
        <v>#VALUE!</v>
      </c>
      <c r="FC56" t="e">
        <f>AND(Plan1!C950,"AAAAAEZ7/Z4=")</f>
        <v>#VALUE!</v>
      </c>
      <c r="FD56" t="e">
        <f>AND(Plan1!D950,"AAAAAEZ7/Z8=")</f>
        <v>#VALUE!</v>
      </c>
      <c r="FE56" t="e">
        <f>AND(Plan1!E950,"AAAAAEZ7/aA=")</f>
        <v>#VALUE!</v>
      </c>
      <c r="FF56" t="e">
        <f>AND(Plan1!F950,"AAAAAEZ7/aE=")</f>
        <v>#VALUE!</v>
      </c>
      <c r="FG56" t="e">
        <f>AND(Plan1!G950,"AAAAAEZ7/aI=")</f>
        <v>#VALUE!</v>
      </c>
      <c r="FH56" t="e">
        <f>AND(Plan1!H950,"AAAAAEZ7/aM=")</f>
        <v>#VALUE!</v>
      </c>
      <c r="FI56" t="e">
        <f>AND(Plan1!I950,"AAAAAEZ7/aQ=")</f>
        <v>#VALUE!</v>
      </c>
      <c r="FJ56" t="e">
        <f>AND(Plan1!J950,"AAAAAEZ7/aU=")</f>
        <v>#VALUE!</v>
      </c>
      <c r="FK56" t="e">
        <f>AND(Plan1!K950,"AAAAAEZ7/aY=")</f>
        <v>#VALUE!</v>
      </c>
      <c r="FL56" t="e">
        <f>AND(Plan1!L950,"AAAAAEZ7/ac=")</f>
        <v>#VALUE!</v>
      </c>
      <c r="FM56" t="e">
        <f>AND(Plan1!M950,"AAAAAEZ7/ag=")</f>
        <v>#VALUE!</v>
      </c>
      <c r="FN56" t="e">
        <f>AND(Plan1!N950,"AAAAAEZ7/ak=")</f>
        <v>#VALUE!</v>
      </c>
      <c r="FO56">
        <f>IF(Plan1!951:951,"AAAAAEZ7/ao=",0)</f>
        <v>0</v>
      </c>
      <c r="FP56" t="e">
        <f>AND(Plan1!A951,"AAAAAEZ7/as=")</f>
        <v>#VALUE!</v>
      </c>
      <c r="FQ56" t="e">
        <f>AND(Plan1!B951,"AAAAAEZ7/aw=")</f>
        <v>#VALUE!</v>
      </c>
      <c r="FR56" t="e">
        <f>AND(Plan1!C951,"AAAAAEZ7/a0=")</f>
        <v>#VALUE!</v>
      </c>
      <c r="FS56" t="e">
        <f>AND(Plan1!D951,"AAAAAEZ7/a4=")</f>
        <v>#VALUE!</v>
      </c>
      <c r="FT56" t="e">
        <f>AND(Plan1!E951,"AAAAAEZ7/a8=")</f>
        <v>#VALUE!</v>
      </c>
      <c r="FU56" t="e">
        <f>AND(Plan1!F951,"AAAAAEZ7/bA=")</f>
        <v>#VALUE!</v>
      </c>
      <c r="FV56" t="e">
        <f>AND(Plan1!G951,"AAAAAEZ7/bE=")</f>
        <v>#VALUE!</v>
      </c>
      <c r="FW56" t="e">
        <f>AND(Plan1!H951,"AAAAAEZ7/bI=")</f>
        <v>#VALUE!</v>
      </c>
      <c r="FX56" t="e">
        <f>AND(Plan1!I951,"AAAAAEZ7/bM=")</f>
        <v>#VALUE!</v>
      </c>
      <c r="FY56" t="e">
        <f>AND(Plan1!J951,"AAAAAEZ7/bQ=")</f>
        <v>#VALUE!</v>
      </c>
      <c r="FZ56" t="e">
        <f>AND(Plan1!K951,"AAAAAEZ7/bU=")</f>
        <v>#VALUE!</v>
      </c>
      <c r="GA56" t="e">
        <f>AND(Plan1!L951,"AAAAAEZ7/bY=")</f>
        <v>#VALUE!</v>
      </c>
      <c r="GB56" t="e">
        <f>AND(Plan1!M951,"AAAAAEZ7/bc=")</f>
        <v>#VALUE!</v>
      </c>
      <c r="GC56" t="e">
        <f>AND(Plan1!N951,"AAAAAEZ7/bg=")</f>
        <v>#VALUE!</v>
      </c>
      <c r="GD56">
        <f>IF(Plan1!952:952,"AAAAAEZ7/bk=",0)</f>
        <v>0</v>
      </c>
      <c r="GE56" t="e">
        <f>AND(Plan1!A952,"AAAAAEZ7/bo=")</f>
        <v>#VALUE!</v>
      </c>
      <c r="GF56" t="e">
        <f>AND(Plan1!B952,"AAAAAEZ7/bs=")</f>
        <v>#VALUE!</v>
      </c>
      <c r="GG56" t="e">
        <f>AND(Plan1!C952,"AAAAAEZ7/bw=")</f>
        <v>#VALUE!</v>
      </c>
      <c r="GH56" t="e">
        <f>AND(Plan1!D952,"AAAAAEZ7/b0=")</f>
        <v>#VALUE!</v>
      </c>
      <c r="GI56" t="e">
        <f>AND(Plan1!E952,"AAAAAEZ7/b4=")</f>
        <v>#VALUE!</v>
      </c>
      <c r="GJ56" t="e">
        <f>AND(Plan1!F952,"AAAAAEZ7/b8=")</f>
        <v>#VALUE!</v>
      </c>
      <c r="GK56" t="e">
        <f>AND(Plan1!G952,"AAAAAEZ7/cA=")</f>
        <v>#VALUE!</v>
      </c>
      <c r="GL56" t="e">
        <f>AND(Plan1!H952,"AAAAAEZ7/cE=")</f>
        <v>#VALUE!</v>
      </c>
      <c r="GM56" t="e">
        <f>AND(Plan1!I952,"AAAAAEZ7/cI=")</f>
        <v>#VALUE!</v>
      </c>
      <c r="GN56" t="e">
        <f>AND(Plan1!J952,"AAAAAEZ7/cM=")</f>
        <v>#VALUE!</v>
      </c>
      <c r="GO56" t="e">
        <f>AND(Plan1!K952,"AAAAAEZ7/cQ=")</f>
        <v>#VALUE!</v>
      </c>
      <c r="GP56" t="e">
        <f>AND(Plan1!L952,"AAAAAEZ7/cU=")</f>
        <v>#VALUE!</v>
      </c>
      <c r="GQ56" t="e">
        <f>AND(Plan1!M952,"AAAAAEZ7/cY=")</f>
        <v>#VALUE!</v>
      </c>
      <c r="GR56" t="e">
        <f>AND(Plan1!N952,"AAAAAEZ7/cc=")</f>
        <v>#VALUE!</v>
      </c>
      <c r="GS56">
        <f>IF(Plan1!953:953,"AAAAAEZ7/cg=",0)</f>
        <v>0</v>
      </c>
      <c r="GT56" t="e">
        <f>AND(Plan1!A953,"AAAAAEZ7/ck=")</f>
        <v>#VALUE!</v>
      </c>
      <c r="GU56" t="e">
        <f>AND(Plan1!B953,"AAAAAEZ7/co=")</f>
        <v>#VALUE!</v>
      </c>
      <c r="GV56" t="e">
        <f>AND(Plan1!C953,"AAAAAEZ7/cs=")</f>
        <v>#VALUE!</v>
      </c>
      <c r="GW56" t="e">
        <f>AND(Plan1!D953,"AAAAAEZ7/cw=")</f>
        <v>#VALUE!</v>
      </c>
      <c r="GX56" t="e">
        <f>AND(Plan1!E953,"AAAAAEZ7/c0=")</f>
        <v>#VALUE!</v>
      </c>
      <c r="GY56" t="e">
        <f>AND(Plan1!F953,"AAAAAEZ7/c4=")</f>
        <v>#VALUE!</v>
      </c>
      <c r="GZ56" t="e">
        <f>AND(Plan1!G953,"AAAAAEZ7/c8=")</f>
        <v>#VALUE!</v>
      </c>
      <c r="HA56" t="e">
        <f>AND(Plan1!H953,"AAAAAEZ7/dA=")</f>
        <v>#VALUE!</v>
      </c>
      <c r="HB56" t="e">
        <f>AND(Plan1!I953,"AAAAAEZ7/dE=")</f>
        <v>#VALUE!</v>
      </c>
      <c r="HC56" t="e">
        <f>AND(Plan1!J953,"AAAAAEZ7/dI=")</f>
        <v>#VALUE!</v>
      </c>
      <c r="HD56" t="e">
        <f>AND(Plan1!K953,"AAAAAEZ7/dM=")</f>
        <v>#VALUE!</v>
      </c>
      <c r="HE56" t="e">
        <f>AND(Plan1!L953,"AAAAAEZ7/dQ=")</f>
        <v>#VALUE!</v>
      </c>
      <c r="HF56" t="e">
        <f>AND(Plan1!M953,"AAAAAEZ7/dU=")</f>
        <v>#VALUE!</v>
      </c>
      <c r="HG56" t="e">
        <f>AND(Plan1!N953,"AAAAAEZ7/dY=")</f>
        <v>#VALUE!</v>
      </c>
      <c r="HH56">
        <f>IF(Plan1!954:954,"AAAAAEZ7/dc=",0)</f>
        <v>0</v>
      </c>
      <c r="HI56" t="e">
        <f>AND(Plan1!A954,"AAAAAEZ7/dg=")</f>
        <v>#VALUE!</v>
      </c>
      <c r="HJ56" t="e">
        <f>AND(Plan1!B954,"AAAAAEZ7/dk=")</f>
        <v>#VALUE!</v>
      </c>
      <c r="HK56" t="e">
        <f>AND(Plan1!C954,"AAAAAEZ7/do=")</f>
        <v>#VALUE!</v>
      </c>
      <c r="HL56" t="e">
        <f>AND(Plan1!D954,"AAAAAEZ7/ds=")</f>
        <v>#VALUE!</v>
      </c>
      <c r="HM56" t="e">
        <f>AND(Plan1!E954,"AAAAAEZ7/dw=")</f>
        <v>#VALUE!</v>
      </c>
      <c r="HN56" t="e">
        <f>AND(Plan1!F954,"AAAAAEZ7/d0=")</f>
        <v>#VALUE!</v>
      </c>
      <c r="HO56" t="e">
        <f>AND(Plan1!G954,"AAAAAEZ7/d4=")</f>
        <v>#VALUE!</v>
      </c>
      <c r="HP56" t="e">
        <f>AND(Plan1!H954,"AAAAAEZ7/d8=")</f>
        <v>#VALUE!</v>
      </c>
      <c r="HQ56" t="e">
        <f>AND(Plan1!I954,"AAAAAEZ7/eA=")</f>
        <v>#VALUE!</v>
      </c>
      <c r="HR56" t="e">
        <f>AND(Plan1!J954,"AAAAAEZ7/eE=")</f>
        <v>#VALUE!</v>
      </c>
      <c r="HS56" t="e">
        <f>AND(Plan1!K954,"AAAAAEZ7/eI=")</f>
        <v>#VALUE!</v>
      </c>
      <c r="HT56" t="e">
        <f>AND(Plan1!L954,"AAAAAEZ7/eM=")</f>
        <v>#VALUE!</v>
      </c>
      <c r="HU56" t="e">
        <f>AND(Plan1!M954,"AAAAAEZ7/eQ=")</f>
        <v>#VALUE!</v>
      </c>
      <c r="HV56" t="e">
        <f>AND(Plan1!N954,"AAAAAEZ7/eU=")</f>
        <v>#VALUE!</v>
      </c>
      <c r="HW56">
        <f>IF(Plan1!955:955,"AAAAAEZ7/eY=",0)</f>
        <v>0</v>
      </c>
      <c r="HX56" t="e">
        <f>AND(Plan1!A955,"AAAAAEZ7/ec=")</f>
        <v>#VALUE!</v>
      </c>
      <c r="HY56" t="e">
        <f>AND(Plan1!B955,"AAAAAEZ7/eg=")</f>
        <v>#VALUE!</v>
      </c>
      <c r="HZ56" t="e">
        <f>AND(Plan1!C955,"AAAAAEZ7/ek=")</f>
        <v>#VALUE!</v>
      </c>
      <c r="IA56" t="e">
        <f>AND(Plan1!D955,"AAAAAEZ7/eo=")</f>
        <v>#VALUE!</v>
      </c>
      <c r="IB56" t="e">
        <f>AND(Plan1!E955,"AAAAAEZ7/es=")</f>
        <v>#VALUE!</v>
      </c>
      <c r="IC56" t="e">
        <f>AND(Plan1!F955,"AAAAAEZ7/ew=")</f>
        <v>#VALUE!</v>
      </c>
      <c r="ID56" t="e">
        <f>AND(Plan1!G955,"AAAAAEZ7/e0=")</f>
        <v>#VALUE!</v>
      </c>
      <c r="IE56" t="e">
        <f>AND(Plan1!H955,"AAAAAEZ7/e4=")</f>
        <v>#VALUE!</v>
      </c>
      <c r="IF56" t="e">
        <f>AND(Plan1!I955,"AAAAAEZ7/e8=")</f>
        <v>#VALUE!</v>
      </c>
      <c r="IG56" t="e">
        <f>AND(Plan1!J955,"AAAAAEZ7/fA=")</f>
        <v>#VALUE!</v>
      </c>
      <c r="IH56" t="e">
        <f>AND(Plan1!K955,"AAAAAEZ7/fE=")</f>
        <v>#VALUE!</v>
      </c>
      <c r="II56" t="e">
        <f>AND(Plan1!L955,"AAAAAEZ7/fI=")</f>
        <v>#VALUE!</v>
      </c>
      <c r="IJ56" t="e">
        <f>AND(Plan1!M955,"AAAAAEZ7/fM=")</f>
        <v>#VALUE!</v>
      </c>
      <c r="IK56" t="e">
        <f>AND(Plan1!N955,"AAAAAEZ7/fQ=")</f>
        <v>#VALUE!</v>
      </c>
      <c r="IL56">
        <f>IF(Plan1!956:956,"AAAAAEZ7/fU=",0)</f>
        <v>0</v>
      </c>
      <c r="IM56" t="e">
        <f>AND(Plan1!A956,"AAAAAEZ7/fY=")</f>
        <v>#VALUE!</v>
      </c>
      <c r="IN56" t="e">
        <f>AND(Plan1!B956,"AAAAAEZ7/fc=")</f>
        <v>#VALUE!</v>
      </c>
      <c r="IO56" t="e">
        <f>AND(Plan1!C956,"AAAAAEZ7/fg=")</f>
        <v>#VALUE!</v>
      </c>
      <c r="IP56" t="e">
        <f>AND(Plan1!D956,"AAAAAEZ7/fk=")</f>
        <v>#VALUE!</v>
      </c>
      <c r="IQ56" t="e">
        <f>AND(Plan1!E956,"AAAAAEZ7/fo=")</f>
        <v>#VALUE!</v>
      </c>
      <c r="IR56" t="e">
        <f>AND(Plan1!F956,"AAAAAEZ7/fs=")</f>
        <v>#VALUE!</v>
      </c>
      <c r="IS56" t="e">
        <f>AND(Plan1!G956,"AAAAAEZ7/fw=")</f>
        <v>#VALUE!</v>
      </c>
      <c r="IT56" t="e">
        <f>AND(Plan1!H956,"AAAAAEZ7/f0=")</f>
        <v>#VALUE!</v>
      </c>
      <c r="IU56" t="e">
        <f>AND(Plan1!I956,"AAAAAEZ7/f4=")</f>
        <v>#VALUE!</v>
      </c>
      <c r="IV56" t="e">
        <f>AND(Plan1!J956,"AAAAAEZ7/f8=")</f>
        <v>#VALUE!</v>
      </c>
    </row>
    <row r="57" spans="1:256">
      <c r="A57" t="e">
        <f>AND(Plan1!K956,"AAAAAE355gA=")</f>
        <v>#VALUE!</v>
      </c>
      <c r="B57" t="e">
        <f>AND(Plan1!L956,"AAAAAE355gE=")</f>
        <v>#VALUE!</v>
      </c>
      <c r="C57" t="e">
        <f>AND(Plan1!M956,"AAAAAE355gI=")</f>
        <v>#VALUE!</v>
      </c>
      <c r="D57" t="e">
        <f>AND(Plan1!N956,"AAAAAE355gM=")</f>
        <v>#VALUE!</v>
      </c>
      <c r="E57" t="str">
        <f>IF(Plan1!957:957,"AAAAAE355gQ=",0)</f>
        <v>AAAAAE355gQ=</v>
      </c>
      <c r="F57" t="e">
        <f>AND(Plan1!A957,"AAAAAE355gU=")</f>
        <v>#VALUE!</v>
      </c>
      <c r="G57" t="e">
        <f>AND(Plan1!B957,"AAAAAE355gY=")</f>
        <v>#VALUE!</v>
      </c>
      <c r="H57" t="e">
        <f>AND(Plan1!C957,"AAAAAE355gc=")</f>
        <v>#VALUE!</v>
      </c>
      <c r="I57" t="e">
        <f>AND(Plan1!D957,"AAAAAE355gg=")</f>
        <v>#VALUE!</v>
      </c>
      <c r="J57" t="e">
        <f>AND(Plan1!E957,"AAAAAE355gk=")</f>
        <v>#VALUE!</v>
      </c>
      <c r="K57" t="e">
        <f>AND(Plan1!F957,"AAAAAE355go=")</f>
        <v>#VALUE!</v>
      </c>
      <c r="L57" t="e">
        <f>AND(Plan1!G957,"AAAAAE355gs=")</f>
        <v>#VALUE!</v>
      </c>
      <c r="M57" t="e">
        <f>AND(Plan1!H957,"AAAAAE355gw=")</f>
        <v>#VALUE!</v>
      </c>
      <c r="N57" t="e">
        <f>AND(Plan1!I957,"AAAAAE355g0=")</f>
        <v>#VALUE!</v>
      </c>
      <c r="O57" t="e">
        <f>AND(Plan1!J957,"AAAAAE355g4=")</f>
        <v>#VALUE!</v>
      </c>
      <c r="P57" t="e">
        <f>AND(Plan1!K957,"AAAAAE355g8=")</f>
        <v>#VALUE!</v>
      </c>
      <c r="Q57" t="e">
        <f>AND(Plan1!L957,"AAAAAE355hA=")</f>
        <v>#VALUE!</v>
      </c>
      <c r="R57" t="e">
        <f>AND(Plan1!M957,"AAAAAE355hE=")</f>
        <v>#VALUE!</v>
      </c>
      <c r="S57" t="e">
        <f>AND(Plan1!N957,"AAAAAE355hI=")</f>
        <v>#VALUE!</v>
      </c>
      <c r="T57">
        <f>IF(Plan1!958:958,"AAAAAE355hM=",0)</f>
        <v>0</v>
      </c>
      <c r="U57" t="e">
        <f>AND(Plan1!A958,"AAAAAE355hQ=")</f>
        <v>#VALUE!</v>
      </c>
      <c r="V57" t="e">
        <f>AND(Plan1!B958,"AAAAAE355hU=")</f>
        <v>#VALUE!</v>
      </c>
      <c r="W57" t="e">
        <f>AND(Plan1!C958,"AAAAAE355hY=")</f>
        <v>#VALUE!</v>
      </c>
      <c r="X57" t="e">
        <f>AND(Plan1!D958,"AAAAAE355hc=")</f>
        <v>#VALUE!</v>
      </c>
      <c r="Y57" t="e">
        <f>AND(Plan1!E958,"AAAAAE355hg=")</f>
        <v>#VALUE!</v>
      </c>
      <c r="Z57" t="e">
        <f>AND(Plan1!F958,"AAAAAE355hk=")</f>
        <v>#VALUE!</v>
      </c>
      <c r="AA57" t="e">
        <f>AND(Plan1!G958,"AAAAAE355ho=")</f>
        <v>#VALUE!</v>
      </c>
      <c r="AB57" t="e">
        <f>AND(Plan1!H958,"AAAAAE355hs=")</f>
        <v>#VALUE!</v>
      </c>
      <c r="AC57" t="e">
        <f>AND(Plan1!I958,"AAAAAE355hw=")</f>
        <v>#VALUE!</v>
      </c>
      <c r="AD57" t="e">
        <f>AND(Plan1!J958,"AAAAAE355h0=")</f>
        <v>#VALUE!</v>
      </c>
      <c r="AE57" t="e">
        <f>AND(Plan1!K958,"AAAAAE355h4=")</f>
        <v>#VALUE!</v>
      </c>
      <c r="AF57" t="e">
        <f>AND(Plan1!L958,"AAAAAE355h8=")</f>
        <v>#VALUE!</v>
      </c>
      <c r="AG57" t="e">
        <f>AND(Plan1!M958,"AAAAAE355iA=")</f>
        <v>#VALUE!</v>
      </c>
      <c r="AH57" t="e">
        <f>AND(Plan1!N958,"AAAAAE355iE=")</f>
        <v>#VALUE!</v>
      </c>
      <c r="AI57">
        <f>IF(Plan1!959:959,"AAAAAE355iI=",0)</f>
        <v>0</v>
      </c>
      <c r="AJ57" t="e">
        <f>AND(Plan1!A959,"AAAAAE355iM=")</f>
        <v>#VALUE!</v>
      </c>
      <c r="AK57" t="e">
        <f>AND(Plan1!B959,"AAAAAE355iQ=")</f>
        <v>#VALUE!</v>
      </c>
      <c r="AL57" t="e">
        <f>AND(Plan1!C959,"AAAAAE355iU=")</f>
        <v>#VALUE!</v>
      </c>
      <c r="AM57" t="e">
        <f>AND(Plan1!D959,"AAAAAE355iY=")</f>
        <v>#VALUE!</v>
      </c>
      <c r="AN57" t="e">
        <f>AND(Plan1!E959,"AAAAAE355ic=")</f>
        <v>#VALUE!</v>
      </c>
      <c r="AO57" t="e">
        <f>AND(Plan1!F959,"AAAAAE355ig=")</f>
        <v>#VALUE!</v>
      </c>
      <c r="AP57" t="e">
        <f>AND(Plan1!G959,"AAAAAE355ik=")</f>
        <v>#VALUE!</v>
      </c>
      <c r="AQ57" t="e">
        <f>AND(Plan1!H959,"AAAAAE355io=")</f>
        <v>#VALUE!</v>
      </c>
      <c r="AR57" t="e">
        <f>AND(Plan1!I959,"AAAAAE355is=")</f>
        <v>#VALUE!</v>
      </c>
      <c r="AS57" t="e">
        <f>AND(Plan1!J959,"AAAAAE355iw=")</f>
        <v>#VALUE!</v>
      </c>
      <c r="AT57" t="e">
        <f>AND(Plan1!K959,"AAAAAE355i0=")</f>
        <v>#VALUE!</v>
      </c>
      <c r="AU57" t="e">
        <f>AND(Plan1!L959,"AAAAAE355i4=")</f>
        <v>#VALUE!</v>
      </c>
      <c r="AV57" t="e">
        <f>AND(Plan1!M959,"AAAAAE355i8=")</f>
        <v>#VALUE!</v>
      </c>
      <c r="AW57" t="e">
        <f>AND(Plan1!N959,"AAAAAE355jA=")</f>
        <v>#VALUE!</v>
      </c>
      <c r="AX57">
        <f>IF(Plan1!960:960,"AAAAAE355jE=",0)</f>
        <v>0</v>
      </c>
      <c r="AY57" t="e">
        <f>AND(Plan1!A960,"AAAAAE355jI=")</f>
        <v>#VALUE!</v>
      </c>
      <c r="AZ57" t="e">
        <f>AND(Plan1!B960,"AAAAAE355jM=")</f>
        <v>#VALUE!</v>
      </c>
      <c r="BA57" t="e">
        <f>AND(Plan1!C960,"AAAAAE355jQ=")</f>
        <v>#VALUE!</v>
      </c>
      <c r="BB57" t="e">
        <f>AND(Plan1!D960,"AAAAAE355jU=")</f>
        <v>#VALUE!</v>
      </c>
      <c r="BC57" t="e">
        <f>AND(Plan1!E960,"AAAAAE355jY=")</f>
        <v>#VALUE!</v>
      </c>
      <c r="BD57" t="e">
        <f>AND(Plan1!F960,"AAAAAE355jc=")</f>
        <v>#VALUE!</v>
      </c>
      <c r="BE57" t="e">
        <f>AND(Plan1!G960,"AAAAAE355jg=")</f>
        <v>#VALUE!</v>
      </c>
      <c r="BF57" t="e">
        <f>AND(Plan1!H960,"AAAAAE355jk=")</f>
        <v>#VALUE!</v>
      </c>
      <c r="BG57" t="e">
        <f>AND(Plan1!I960,"AAAAAE355jo=")</f>
        <v>#VALUE!</v>
      </c>
      <c r="BH57" t="e">
        <f>AND(Plan1!J960,"AAAAAE355js=")</f>
        <v>#VALUE!</v>
      </c>
      <c r="BI57" t="e">
        <f>AND(Plan1!K960,"AAAAAE355jw=")</f>
        <v>#VALUE!</v>
      </c>
      <c r="BJ57" t="e">
        <f>AND(Plan1!L960,"AAAAAE355j0=")</f>
        <v>#VALUE!</v>
      </c>
      <c r="BK57" t="e">
        <f>AND(Plan1!M960,"AAAAAE355j4=")</f>
        <v>#VALUE!</v>
      </c>
      <c r="BL57" t="e">
        <f>AND(Plan1!N960,"AAAAAE355j8=")</f>
        <v>#VALUE!</v>
      </c>
      <c r="BM57">
        <f>IF(Plan1!961:961,"AAAAAE355kA=",0)</f>
        <v>0</v>
      </c>
      <c r="BN57" t="e">
        <f>AND(Plan1!A961,"AAAAAE355kE=")</f>
        <v>#VALUE!</v>
      </c>
      <c r="BO57" t="e">
        <f>AND(Plan1!B961,"AAAAAE355kI=")</f>
        <v>#VALUE!</v>
      </c>
      <c r="BP57" t="e">
        <f>AND(Plan1!C961,"AAAAAE355kM=")</f>
        <v>#VALUE!</v>
      </c>
      <c r="BQ57" t="e">
        <f>AND(Plan1!D961,"AAAAAE355kQ=")</f>
        <v>#VALUE!</v>
      </c>
      <c r="BR57" t="e">
        <f>AND(Plan1!E961,"AAAAAE355kU=")</f>
        <v>#VALUE!</v>
      </c>
      <c r="BS57" t="e">
        <f>AND(Plan1!F961,"AAAAAE355kY=")</f>
        <v>#VALUE!</v>
      </c>
      <c r="BT57" t="e">
        <f>AND(Plan1!G961,"AAAAAE355kc=")</f>
        <v>#VALUE!</v>
      </c>
      <c r="BU57" t="e">
        <f>AND(Plan1!H961,"AAAAAE355kg=")</f>
        <v>#VALUE!</v>
      </c>
      <c r="BV57" t="e">
        <f>AND(Plan1!I961,"AAAAAE355kk=")</f>
        <v>#VALUE!</v>
      </c>
      <c r="BW57" t="e">
        <f>AND(Plan1!J961,"AAAAAE355ko=")</f>
        <v>#VALUE!</v>
      </c>
      <c r="BX57" t="e">
        <f>AND(Plan1!K961,"AAAAAE355ks=")</f>
        <v>#VALUE!</v>
      </c>
      <c r="BY57" t="e">
        <f>AND(Plan1!L961,"AAAAAE355kw=")</f>
        <v>#VALUE!</v>
      </c>
      <c r="BZ57" t="e">
        <f>AND(Plan1!M961,"AAAAAE355k0=")</f>
        <v>#VALUE!</v>
      </c>
      <c r="CA57" t="e">
        <f>AND(Plan1!N961,"AAAAAE355k4=")</f>
        <v>#VALUE!</v>
      </c>
      <c r="CB57">
        <f>IF(Plan1!962:962,"AAAAAE355k8=",0)</f>
        <v>0</v>
      </c>
      <c r="CC57" t="e">
        <f>AND(Plan1!A962,"AAAAAE355lA=")</f>
        <v>#VALUE!</v>
      </c>
      <c r="CD57" t="e">
        <f>AND(Plan1!B962,"AAAAAE355lE=")</f>
        <v>#VALUE!</v>
      </c>
      <c r="CE57" t="e">
        <f>AND(Plan1!C962,"AAAAAE355lI=")</f>
        <v>#VALUE!</v>
      </c>
      <c r="CF57" t="e">
        <f>AND(Plan1!D962,"AAAAAE355lM=")</f>
        <v>#VALUE!</v>
      </c>
      <c r="CG57" t="e">
        <f>AND(Plan1!E962,"AAAAAE355lQ=")</f>
        <v>#VALUE!</v>
      </c>
      <c r="CH57" t="e">
        <f>AND(Plan1!F962,"AAAAAE355lU=")</f>
        <v>#VALUE!</v>
      </c>
      <c r="CI57" t="e">
        <f>AND(Plan1!G962,"AAAAAE355lY=")</f>
        <v>#VALUE!</v>
      </c>
      <c r="CJ57" t="e">
        <f>AND(Plan1!H962,"AAAAAE355lc=")</f>
        <v>#VALUE!</v>
      </c>
      <c r="CK57" t="e">
        <f>AND(Plan1!I962,"AAAAAE355lg=")</f>
        <v>#VALUE!</v>
      </c>
      <c r="CL57" t="e">
        <f>AND(Plan1!J962,"AAAAAE355lk=")</f>
        <v>#VALUE!</v>
      </c>
      <c r="CM57" t="e">
        <f>AND(Plan1!K962,"AAAAAE355lo=")</f>
        <v>#VALUE!</v>
      </c>
      <c r="CN57" t="e">
        <f>AND(Plan1!L962,"AAAAAE355ls=")</f>
        <v>#VALUE!</v>
      </c>
      <c r="CO57" t="e">
        <f>AND(Plan1!M962,"AAAAAE355lw=")</f>
        <v>#VALUE!</v>
      </c>
      <c r="CP57" t="e">
        <f>AND(Plan1!N962,"AAAAAE355l0=")</f>
        <v>#VALUE!</v>
      </c>
      <c r="CQ57">
        <f>IF(Plan1!963:963,"AAAAAE355l4=",0)</f>
        <v>0</v>
      </c>
      <c r="CR57" t="e">
        <f>AND(Plan1!A963,"AAAAAE355l8=")</f>
        <v>#VALUE!</v>
      </c>
      <c r="CS57" t="e">
        <f>AND(Plan1!B963,"AAAAAE355mA=")</f>
        <v>#VALUE!</v>
      </c>
      <c r="CT57" t="e">
        <f>AND(Plan1!C963,"AAAAAE355mE=")</f>
        <v>#VALUE!</v>
      </c>
      <c r="CU57" t="e">
        <f>AND(Plan1!D963,"AAAAAE355mI=")</f>
        <v>#VALUE!</v>
      </c>
      <c r="CV57" t="e">
        <f>AND(Plan1!E963,"AAAAAE355mM=")</f>
        <v>#VALUE!</v>
      </c>
      <c r="CW57" t="e">
        <f>AND(Plan1!F963,"AAAAAE355mQ=")</f>
        <v>#VALUE!</v>
      </c>
      <c r="CX57" t="e">
        <f>AND(Plan1!G963,"AAAAAE355mU=")</f>
        <v>#VALUE!</v>
      </c>
      <c r="CY57" t="e">
        <f>AND(Plan1!H963,"AAAAAE355mY=")</f>
        <v>#VALUE!</v>
      </c>
      <c r="CZ57" t="e">
        <f>AND(Plan1!I963,"AAAAAE355mc=")</f>
        <v>#VALUE!</v>
      </c>
      <c r="DA57" t="e">
        <f>AND(Plan1!J963,"AAAAAE355mg=")</f>
        <v>#VALUE!</v>
      </c>
      <c r="DB57" t="e">
        <f>AND(Plan1!K963,"AAAAAE355mk=")</f>
        <v>#VALUE!</v>
      </c>
      <c r="DC57" t="e">
        <f>AND(Plan1!L963,"AAAAAE355mo=")</f>
        <v>#VALUE!</v>
      </c>
      <c r="DD57" t="e">
        <f>AND(Plan1!M963,"AAAAAE355ms=")</f>
        <v>#VALUE!</v>
      </c>
      <c r="DE57" t="e">
        <f>AND(Plan1!N963,"AAAAAE355mw=")</f>
        <v>#VALUE!</v>
      </c>
      <c r="DF57">
        <f>IF(Plan1!964:964,"AAAAAE355m0=",0)</f>
        <v>0</v>
      </c>
      <c r="DG57" t="e">
        <f>AND(Plan1!A964,"AAAAAE355m4=")</f>
        <v>#VALUE!</v>
      </c>
      <c r="DH57" t="e">
        <f>AND(Plan1!B964,"AAAAAE355m8=")</f>
        <v>#VALUE!</v>
      </c>
      <c r="DI57" t="e">
        <f>AND(Plan1!C964,"AAAAAE355nA=")</f>
        <v>#VALUE!</v>
      </c>
      <c r="DJ57" t="e">
        <f>AND(Plan1!D964,"AAAAAE355nE=")</f>
        <v>#VALUE!</v>
      </c>
      <c r="DK57" t="e">
        <f>AND(Plan1!E964,"AAAAAE355nI=")</f>
        <v>#VALUE!</v>
      </c>
      <c r="DL57" t="e">
        <f>AND(Plan1!F964,"AAAAAE355nM=")</f>
        <v>#VALUE!</v>
      </c>
      <c r="DM57" t="e">
        <f>AND(Plan1!G964,"AAAAAE355nQ=")</f>
        <v>#VALUE!</v>
      </c>
      <c r="DN57" t="e">
        <f>AND(Plan1!H964,"AAAAAE355nU=")</f>
        <v>#VALUE!</v>
      </c>
      <c r="DO57" t="e">
        <f>AND(Plan1!I964,"AAAAAE355nY=")</f>
        <v>#VALUE!</v>
      </c>
      <c r="DP57" t="e">
        <f>AND(Plan1!J964,"AAAAAE355nc=")</f>
        <v>#VALUE!</v>
      </c>
      <c r="DQ57" t="e">
        <f>AND(Plan1!K964,"AAAAAE355ng=")</f>
        <v>#VALUE!</v>
      </c>
      <c r="DR57" t="e">
        <f>AND(Plan1!L964,"AAAAAE355nk=")</f>
        <v>#VALUE!</v>
      </c>
      <c r="DS57" t="e">
        <f>AND(Plan1!M964,"AAAAAE355no=")</f>
        <v>#VALUE!</v>
      </c>
      <c r="DT57" t="e">
        <f>AND(Plan1!N964,"AAAAAE355ns=")</f>
        <v>#VALUE!</v>
      </c>
      <c r="DU57">
        <f>IF(Plan1!965:965,"AAAAAE355nw=",0)</f>
        <v>0</v>
      </c>
      <c r="DV57" t="e">
        <f>AND(Plan1!A965,"AAAAAE355n0=")</f>
        <v>#VALUE!</v>
      </c>
      <c r="DW57" t="e">
        <f>AND(Plan1!B965,"AAAAAE355n4=")</f>
        <v>#VALUE!</v>
      </c>
      <c r="DX57" t="e">
        <f>AND(Plan1!C965,"AAAAAE355n8=")</f>
        <v>#VALUE!</v>
      </c>
      <c r="DY57" t="e">
        <f>AND(Plan1!D965,"AAAAAE355oA=")</f>
        <v>#VALUE!</v>
      </c>
      <c r="DZ57" t="e">
        <f>AND(Plan1!E965,"AAAAAE355oE=")</f>
        <v>#VALUE!</v>
      </c>
      <c r="EA57" t="e">
        <f>AND(Plan1!F965,"AAAAAE355oI=")</f>
        <v>#VALUE!</v>
      </c>
      <c r="EB57" t="e">
        <f>AND(Plan1!G965,"AAAAAE355oM=")</f>
        <v>#VALUE!</v>
      </c>
      <c r="EC57" t="e">
        <f>AND(Plan1!H965,"AAAAAE355oQ=")</f>
        <v>#VALUE!</v>
      </c>
      <c r="ED57" t="e">
        <f>AND(Plan1!I965,"AAAAAE355oU=")</f>
        <v>#VALUE!</v>
      </c>
      <c r="EE57" t="e">
        <f>AND(Plan1!J965,"AAAAAE355oY=")</f>
        <v>#VALUE!</v>
      </c>
      <c r="EF57" t="e">
        <f>AND(Plan1!K965,"AAAAAE355oc=")</f>
        <v>#VALUE!</v>
      </c>
      <c r="EG57" t="e">
        <f>AND(Plan1!L965,"AAAAAE355og=")</f>
        <v>#VALUE!</v>
      </c>
      <c r="EH57" t="e">
        <f>AND(Plan1!M965,"AAAAAE355ok=")</f>
        <v>#VALUE!</v>
      </c>
      <c r="EI57" t="e">
        <f>AND(Plan1!N965,"AAAAAE355oo=")</f>
        <v>#VALUE!</v>
      </c>
      <c r="EJ57">
        <f>IF(Plan1!966:966,"AAAAAE355os=",0)</f>
        <v>0</v>
      </c>
      <c r="EK57" t="e">
        <f>AND(Plan1!A966,"AAAAAE355ow=")</f>
        <v>#VALUE!</v>
      </c>
      <c r="EL57" t="e">
        <f>AND(Plan1!B966,"AAAAAE355o0=")</f>
        <v>#VALUE!</v>
      </c>
      <c r="EM57" t="e">
        <f>AND(Plan1!C966,"AAAAAE355o4=")</f>
        <v>#VALUE!</v>
      </c>
      <c r="EN57" t="e">
        <f>AND(Plan1!D966,"AAAAAE355o8=")</f>
        <v>#VALUE!</v>
      </c>
      <c r="EO57" t="e">
        <f>AND(Plan1!E966,"AAAAAE355pA=")</f>
        <v>#VALUE!</v>
      </c>
      <c r="EP57" t="e">
        <f>AND(Plan1!F966,"AAAAAE355pE=")</f>
        <v>#VALUE!</v>
      </c>
      <c r="EQ57" t="e">
        <f>AND(Plan1!G966,"AAAAAE355pI=")</f>
        <v>#VALUE!</v>
      </c>
      <c r="ER57" t="e">
        <f>AND(Plan1!H966,"AAAAAE355pM=")</f>
        <v>#VALUE!</v>
      </c>
      <c r="ES57" t="e">
        <f>AND(Plan1!I966,"AAAAAE355pQ=")</f>
        <v>#VALUE!</v>
      </c>
      <c r="ET57" t="e">
        <f>AND(Plan1!J966,"AAAAAE355pU=")</f>
        <v>#VALUE!</v>
      </c>
      <c r="EU57" t="e">
        <f>AND(Plan1!K966,"AAAAAE355pY=")</f>
        <v>#VALUE!</v>
      </c>
      <c r="EV57" t="e">
        <f>AND(Plan1!L966,"AAAAAE355pc=")</f>
        <v>#VALUE!</v>
      </c>
      <c r="EW57" t="e">
        <f>AND(Plan1!M966,"AAAAAE355pg=")</f>
        <v>#VALUE!</v>
      </c>
      <c r="EX57" t="e">
        <f>AND(Plan1!N966,"AAAAAE355pk=")</f>
        <v>#VALUE!</v>
      </c>
      <c r="EY57">
        <f>IF(Plan1!967:967,"AAAAAE355po=",0)</f>
        <v>0</v>
      </c>
      <c r="EZ57" t="e">
        <f>AND(Plan1!A967,"AAAAAE355ps=")</f>
        <v>#VALUE!</v>
      </c>
      <c r="FA57" t="e">
        <f>AND(Plan1!B967,"AAAAAE355pw=")</f>
        <v>#VALUE!</v>
      </c>
      <c r="FB57" t="e">
        <f>AND(Plan1!C967,"AAAAAE355p0=")</f>
        <v>#VALUE!</v>
      </c>
      <c r="FC57" t="e">
        <f>AND(Plan1!D967,"AAAAAE355p4=")</f>
        <v>#VALUE!</v>
      </c>
      <c r="FD57" t="e">
        <f>AND(Plan1!E967,"AAAAAE355p8=")</f>
        <v>#VALUE!</v>
      </c>
      <c r="FE57" t="e">
        <f>AND(Plan1!F967,"AAAAAE355qA=")</f>
        <v>#VALUE!</v>
      </c>
      <c r="FF57" t="e">
        <f>AND(Plan1!G967,"AAAAAE355qE=")</f>
        <v>#VALUE!</v>
      </c>
      <c r="FG57" t="e">
        <f>AND(Plan1!H967,"AAAAAE355qI=")</f>
        <v>#VALUE!</v>
      </c>
      <c r="FH57" t="e">
        <f>AND(Plan1!I967,"AAAAAE355qM=")</f>
        <v>#VALUE!</v>
      </c>
      <c r="FI57" t="e">
        <f>AND(Plan1!J967,"AAAAAE355qQ=")</f>
        <v>#VALUE!</v>
      </c>
      <c r="FJ57" t="e">
        <f>AND(Plan1!K967,"AAAAAE355qU=")</f>
        <v>#VALUE!</v>
      </c>
      <c r="FK57" t="e">
        <f>AND(Plan1!L967,"AAAAAE355qY=")</f>
        <v>#VALUE!</v>
      </c>
      <c r="FL57" t="e">
        <f>AND(Plan1!M967,"AAAAAE355qc=")</f>
        <v>#VALUE!</v>
      </c>
      <c r="FM57" t="e">
        <f>AND(Plan1!N967,"AAAAAE355qg=")</f>
        <v>#VALUE!</v>
      </c>
      <c r="FN57">
        <f>IF(Plan1!968:968,"AAAAAE355qk=",0)</f>
        <v>0</v>
      </c>
      <c r="FO57" t="e">
        <f>AND(Plan1!A968,"AAAAAE355qo=")</f>
        <v>#VALUE!</v>
      </c>
      <c r="FP57" t="e">
        <f>AND(Plan1!B968,"AAAAAE355qs=")</f>
        <v>#VALUE!</v>
      </c>
      <c r="FQ57" t="e">
        <f>AND(Plan1!C968,"AAAAAE355qw=")</f>
        <v>#VALUE!</v>
      </c>
      <c r="FR57" t="e">
        <f>AND(Plan1!D968,"AAAAAE355q0=")</f>
        <v>#VALUE!</v>
      </c>
      <c r="FS57" t="e">
        <f>AND(Plan1!E968,"AAAAAE355q4=")</f>
        <v>#VALUE!</v>
      </c>
      <c r="FT57" t="e">
        <f>AND(Plan1!F968,"AAAAAE355q8=")</f>
        <v>#VALUE!</v>
      </c>
      <c r="FU57" t="e">
        <f>AND(Plan1!G968,"AAAAAE355rA=")</f>
        <v>#VALUE!</v>
      </c>
      <c r="FV57" t="e">
        <f>AND(Plan1!H968,"AAAAAE355rE=")</f>
        <v>#VALUE!</v>
      </c>
      <c r="FW57" t="e">
        <f>AND(Plan1!I968,"AAAAAE355rI=")</f>
        <v>#VALUE!</v>
      </c>
      <c r="FX57" t="e">
        <f>AND(Plan1!J968,"AAAAAE355rM=")</f>
        <v>#VALUE!</v>
      </c>
      <c r="FY57" t="e">
        <f>AND(Plan1!K968,"AAAAAE355rQ=")</f>
        <v>#VALUE!</v>
      </c>
      <c r="FZ57" t="e">
        <f>AND(Plan1!L968,"AAAAAE355rU=")</f>
        <v>#VALUE!</v>
      </c>
      <c r="GA57" t="e">
        <f>AND(Plan1!M968,"AAAAAE355rY=")</f>
        <v>#VALUE!</v>
      </c>
      <c r="GB57" t="e">
        <f>AND(Plan1!N968,"AAAAAE355rc=")</f>
        <v>#VALUE!</v>
      </c>
      <c r="GC57">
        <f>IF(Plan1!969:969,"AAAAAE355rg=",0)</f>
        <v>0</v>
      </c>
      <c r="GD57" t="e">
        <f>AND(Plan1!A969,"AAAAAE355rk=")</f>
        <v>#VALUE!</v>
      </c>
      <c r="GE57" t="e">
        <f>AND(Plan1!B969,"AAAAAE355ro=")</f>
        <v>#VALUE!</v>
      </c>
      <c r="GF57" t="e">
        <f>AND(Plan1!C969,"AAAAAE355rs=")</f>
        <v>#VALUE!</v>
      </c>
      <c r="GG57" t="e">
        <f>AND(Plan1!D969,"AAAAAE355rw=")</f>
        <v>#VALUE!</v>
      </c>
      <c r="GH57" t="e">
        <f>AND(Plan1!E969,"AAAAAE355r0=")</f>
        <v>#VALUE!</v>
      </c>
      <c r="GI57" t="e">
        <f>AND(Plan1!F969,"AAAAAE355r4=")</f>
        <v>#VALUE!</v>
      </c>
      <c r="GJ57" t="e">
        <f>AND(Plan1!G969,"AAAAAE355r8=")</f>
        <v>#VALUE!</v>
      </c>
      <c r="GK57" t="e">
        <f>AND(Plan1!H969,"AAAAAE355sA=")</f>
        <v>#VALUE!</v>
      </c>
      <c r="GL57" t="e">
        <f>AND(Plan1!I969,"AAAAAE355sE=")</f>
        <v>#VALUE!</v>
      </c>
      <c r="GM57" t="e">
        <f>AND(Plan1!J969,"AAAAAE355sI=")</f>
        <v>#VALUE!</v>
      </c>
      <c r="GN57" t="e">
        <f>AND(Plan1!K969,"AAAAAE355sM=")</f>
        <v>#VALUE!</v>
      </c>
      <c r="GO57" t="e">
        <f>AND(Plan1!L969,"AAAAAE355sQ=")</f>
        <v>#VALUE!</v>
      </c>
      <c r="GP57" t="e">
        <f>AND(Plan1!M969,"AAAAAE355sU=")</f>
        <v>#VALUE!</v>
      </c>
      <c r="GQ57" t="e">
        <f>AND(Plan1!N969,"AAAAAE355sY=")</f>
        <v>#VALUE!</v>
      </c>
      <c r="GR57">
        <f>IF(Plan1!970:970,"AAAAAE355sc=",0)</f>
        <v>0</v>
      </c>
      <c r="GS57" t="e">
        <f>AND(Plan1!A970,"AAAAAE355sg=")</f>
        <v>#VALUE!</v>
      </c>
      <c r="GT57" t="e">
        <f>AND(Plan1!B970,"AAAAAE355sk=")</f>
        <v>#VALUE!</v>
      </c>
      <c r="GU57" t="e">
        <f>AND(Plan1!C970,"AAAAAE355so=")</f>
        <v>#VALUE!</v>
      </c>
      <c r="GV57" t="e">
        <f>AND(Plan1!D970,"AAAAAE355ss=")</f>
        <v>#VALUE!</v>
      </c>
      <c r="GW57" t="e">
        <f>AND(Plan1!E970,"AAAAAE355sw=")</f>
        <v>#VALUE!</v>
      </c>
      <c r="GX57" t="e">
        <f>AND(Plan1!F970,"AAAAAE355s0=")</f>
        <v>#VALUE!</v>
      </c>
      <c r="GY57" t="e">
        <f>AND(Plan1!G970,"AAAAAE355s4=")</f>
        <v>#VALUE!</v>
      </c>
      <c r="GZ57" t="e">
        <f>AND(Plan1!H970,"AAAAAE355s8=")</f>
        <v>#VALUE!</v>
      </c>
      <c r="HA57" t="e">
        <f>AND(Plan1!I970,"AAAAAE355tA=")</f>
        <v>#VALUE!</v>
      </c>
      <c r="HB57" t="e">
        <f>AND(Plan1!J970,"AAAAAE355tE=")</f>
        <v>#VALUE!</v>
      </c>
      <c r="HC57" t="e">
        <f>AND(Plan1!K970,"AAAAAE355tI=")</f>
        <v>#VALUE!</v>
      </c>
      <c r="HD57" t="e">
        <f>AND(Plan1!L970,"AAAAAE355tM=")</f>
        <v>#VALUE!</v>
      </c>
      <c r="HE57" t="e">
        <f>AND(Plan1!M970,"AAAAAE355tQ=")</f>
        <v>#VALUE!</v>
      </c>
      <c r="HF57" t="e">
        <f>AND(Plan1!N970,"AAAAAE355tU=")</f>
        <v>#VALUE!</v>
      </c>
      <c r="HG57">
        <f>IF(Plan1!971:971,"AAAAAE355tY=",0)</f>
        <v>0</v>
      </c>
      <c r="HH57" t="e">
        <f>AND(Plan1!A971,"AAAAAE355tc=")</f>
        <v>#VALUE!</v>
      </c>
      <c r="HI57" t="e">
        <f>AND(Plan1!B971,"AAAAAE355tg=")</f>
        <v>#VALUE!</v>
      </c>
      <c r="HJ57" t="e">
        <f>AND(Plan1!C971,"AAAAAE355tk=")</f>
        <v>#VALUE!</v>
      </c>
      <c r="HK57" t="e">
        <f>AND(Plan1!D971,"AAAAAE355to=")</f>
        <v>#VALUE!</v>
      </c>
      <c r="HL57" t="e">
        <f>AND(Plan1!E971,"AAAAAE355ts=")</f>
        <v>#VALUE!</v>
      </c>
      <c r="HM57" t="e">
        <f>AND(Plan1!F971,"AAAAAE355tw=")</f>
        <v>#VALUE!</v>
      </c>
      <c r="HN57" t="e">
        <f>AND(Plan1!G971,"AAAAAE355t0=")</f>
        <v>#VALUE!</v>
      </c>
      <c r="HO57" t="e">
        <f>AND(Plan1!H971,"AAAAAE355t4=")</f>
        <v>#VALUE!</v>
      </c>
      <c r="HP57" t="e">
        <f>AND(Plan1!I971,"AAAAAE355t8=")</f>
        <v>#VALUE!</v>
      </c>
      <c r="HQ57" t="e">
        <f>AND(Plan1!J971,"AAAAAE355uA=")</f>
        <v>#VALUE!</v>
      </c>
      <c r="HR57" t="e">
        <f>AND(Plan1!K971,"AAAAAE355uE=")</f>
        <v>#VALUE!</v>
      </c>
      <c r="HS57" t="e">
        <f>AND(Plan1!L971,"AAAAAE355uI=")</f>
        <v>#VALUE!</v>
      </c>
      <c r="HT57" t="e">
        <f>AND(Plan1!M971,"AAAAAE355uM=")</f>
        <v>#VALUE!</v>
      </c>
      <c r="HU57" t="e">
        <f>AND(Plan1!N971,"AAAAAE355uQ=")</f>
        <v>#VALUE!</v>
      </c>
      <c r="HV57">
        <f>IF(Plan1!972:972,"AAAAAE355uU=",0)</f>
        <v>0</v>
      </c>
      <c r="HW57" t="e">
        <f>AND(Plan1!A972,"AAAAAE355uY=")</f>
        <v>#VALUE!</v>
      </c>
      <c r="HX57" t="e">
        <f>AND(Plan1!B972,"AAAAAE355uc=")</f>
        <v>#VALUE!</v>
      </c>
      <c r="HY57" t="e">
        <f>AND(Plan1!C972,"AAAAAE355ug=")</f>
        <v>#VALUE!</v>
      </c>
      <c r="HZ57" t="e">
        <f>AND(Plan1!D972,"AAAAAE355uk=")</f>
        <v>#VALUE!</v>
      </c>
      <c r="IA57" t="e">
        <f>AND(Plan1!E972,"AAAAAE355uo=")</f>
        <v>#VALUE!</v>
      </c>
      <c r="IB57" t="e">
        <f>AND(Plan1!F972,"AAAAAE355us=")</f>
        <v>#VALUE!</v>
      </c>
      <c r="IC57" t="e">
        <f>AND(Plan1!G972,"AAAAAE355uw=")</f>
        <v>#VALUE!</v>
      </c>
      <c r="ID57" t="e">
        <f>AND(Plan1!H972,"AAAAAE355u0=")</f>
        <v>#VALUE!</v>
      </c>
      <c r="IE57" t="e">
        <f>AND(Plan1!I972,"AAAAAE355u4=")</f>
        <v>#VALUE!</v>
      </c>
      <c r="IF57" t="e">
        <f>AND(Plan1!J972,"AAAAAE355u8=")</f>
        <v>#VALUE!</v>
      </c>
      <c r="IG57" t="e">
        <f>AND(Plan1!K972,"AAAAAE355vA=")</f>
        <v>#VALUE!</v>
      </c>
      <c r="IH57" t="e">
        <f>AND(Plan1!L972,"AAAAAE355vE=")</f>
        <v>#VALUE!</v>
      </c>
      <c r="II57" t="e">
        <f>AND(Plan1!M972,"AAAAAE355vI=")</f>
        <v>#VALUE!</v>
      </c>
      <c r="IJ57" t="e">
        <f>AND(Plan1!N972,"AAAAAE355vM=")</f>
        <v>#VALUE!</v>
      </c>
      <c r="IK57">
        <f>IF(Plan1!973:973,"AAAAAE355vQ=",0)</f>
        <v>0</v>
      </c>
      <c r="IL57" t="e">
        <f>AND(Plan1!A973,"AAAAAE355vU=")</f>
        <v>#VALUE!</v>
      </c>
      <c r="IM57" t="e">
        <f>AND(Plan1!B973,"AAAAAE355vY=")</f>
        <v>#VALUE!</v>
      </c>
      <c r="IN57" t="e">
        <f>AND(Plan1!C973,"AAAAAE355vc=")</f>
        <v>#VALUE!</v>
      </c>
      <c r="IO57" t="e">
        <f>AND(Plan1!D973,"AAAAAE355vg=")</f>
        <v>#VALUE!</v>
      </c>
      <c r="IP57" t="e">
        <f>AND(Plan1!E973,"AAAAAE355vk=")</f>
        <v>#VALUE!</v>
      </c>
      <c r="IQ57" t="e">
        <f>AND(Plan1!F973,"AAAAAE355vo=")</f>
        <v>#VALUE!</v>
      </c>
      <c r="IR57" t="e">
        <f>AND(Plan1!G973,"AAAAAE355vs=")</f>
        <v>#VALUE!</v>
      </c>
      <c r="IS57" t="e">
        <f>AND(Plan1!H973,"AAAAAE355vw=")</f>
        <v>#VALUE!</v>
      </c>
      <c r="IT57" t="e">
        <f>AND(Plan1!I973,"AAAAAE355v0=")</f>
        <v>#VALUE!</v>
      </c>
      <c r="IU57" t="e">
        <f>AND(Plan1!J973,"AAAAAE355v4=")</f>
        <v>#VALUE!</v>
      </c>
      <c r="IV57" t="e">
        <f>AND(Plan1!K973,"AAAAAE355v8=")</f>
        <v>#VALUE!</v>
      </c>
    </row>
    <row r="58" spans="1:256">
      <c r="A58" t="e">
        <f>AND(Plan1!L973,"AAAAAHz7bgA=")</f>
        <v>#VALUE!</v>
      </c>
      <c r="B58" t="e">
        <f>AND(Plan1!M973,"AAAAAHz7bgE=")</f>
        <v>#VALUE!</v>
      </c>
      <c r="C58" t="e">
        <f>AND(Plan1!N973,"AAAAAHz7bgI=")</f>
        <v>#VALUE!</v>
      </c>
      <c r="D58" t="e">
        <f>IF(Plan1!974:974,"AAAAAHz7bgM=",0)</f>
        <v>#VALUE!</v>
      </c>
      <c r="E58" t="e">
        <f>AND(Plan1!A974,"AAAAAHz7bgQ=")</f>
        <v>#VALUE!</v>
      </c>
      <c r="F58" t="e">
        <f>AND(Plan1!B974,"AAAAAHz7bgU=")</f>
        <v>#VALUE!</v>
      </c>
      <c r="G58" t="e">
        <f>AND(Plan1!C974,"AAAAAHz7bgY=")</f>
        <v>#VALUE!</v>
      </c>
      <c r="H58" t="e">
        <f>AND(Plan1!D974,"AAAAAHz7bgc=")</f>
        <v>#VALUE!</v>
      </c>
      <c r="I58" t="e">
        <f>AND(Plan1!E974,"AAAAAHz7bgg=")</f>
        <v>#VALUE!</v>
      </c>
      <c r="J58" t="e">
        <f>AND(Plan1!F974,"AAAAAHz7bgk=")</f>
        <v>#VALUE!</v>
      </c>
      <c r="K58" t="e">
        <f>AND(Plan1!G974,"AAAAAHz7bgo=")</f>
        <v>#VALUE!</v>
      </c>
      <c r="L58" t="e">
        <f>AND(Plan1!H974,"AAAAAHz7bgs=")</f>
        <v>#VALUE!</v>
      </c>
      <c r="M58" t="e">
        <f>AND(Plan1!I974,"AAAAAHz7bgw=")</f>
        <v>#VALUE!</v>
      </c>
      <c r="N58" t="e">
        <f>AND(Plan1!J974,"AAAAAHz7bg0=")</f>
        <v>#VALUE!</v>
      </c>
      <c r="O58" t="e">
        <f>AND(Plan1!K974,"AAAAAHz7bg4=")</f>
        <v>#VALUE!</v>
      </c>
      <c r="P58" t="e">
        <f>AND(Plan1!L974,"AAAAAHz7bg8=")</f>
        <v>#VALUE!</v>
      </c>
      <c r="Q58" t="e">
        <f>AND(Plan1!M974,"AAAAAHz7bhA=")</f>
        <v>#VALUE!</v>
      </c>
      <c r="R58" t="e">
        <f>AND(Plan1!N974,"AAAAAHz7bhE=")</f>
        <v>#VALUE!</v>
      </c>
      <c r="S58">
        <f>IF(Plan1!975:975,"AAAAAHz7bhI=",0)</f>
        <v>0</v>
      </c>
      <c r="T58" t="e">
        <f>AND(Plan1!A975,"AAAAAHz7bhM=")</f>
        <v>#VALUE!</v>
      </c>
      <c r="U58" t="e">
        <f>AND(Plan1!B975,"AAAAAHz7bhQ=")</f>
        <v>#VALUE!</v>
      </c>
      <c r="V58" t="e">
        <f>AND(Plan1!C975,"AAAAAHz7bhU=")</f>
        <v>#VALUE!</v>
      </c>
      <c r="W58" t="e">
        <f>AND(Plan1!D975,"AAAAAHz7bhY=")</f>
        <v>#VALUE!</v>
      </c>
      <c r="X58" t="e">
        <f>AND(Plan1!E975,"AAAAAHz7bhc=")</f>
        <v>#VALUE!</v>
      </c>
      <c r="Y58" t="e">
        <f>AND(Plan1!F975,"AAAAAHz7bhg=")</f>
        <v>#VALUE!</v>
      </c>
      <c r="Z58" t="e">
        <f>AND(Plan1!G975,"AAAAAHz7bhk=")</f>
        <v>#VALUE!</v>
      </c>
      <c r="AA58" t="e">
        <f>AND(Plan1!H975,"AAAAAHz7bho=")</f>
        <v>#VALUE!</v>
      </c>
      <c r="AB58" t="e">
        <f>AND(Plan1!I975,"AAAAAHz7bhs=")</f>
        <v>#VALUE!</v>
      </c>
      <c r="AC58" t="e">
        <f>AND(Plan1!J975,"AAAAAHz7bhw=")</f>
        <v>#VALUE!</v>
      </c>
      <c r="AD58" t="e">
        <f>AND(Plan1!K975,"AAAAAHz7bh0=")</f>
        <v>#VALUE!</v>
      </c>
      <c r="AE58" t="e">
        <f>AND(Plan1!L975,"AAAAAHz7bh4=")</f>
        <v>#VALUE!</v>
      </c>
      <c r="AF58" t="e">
        <f>AND(Plan1!M975,"AAAAAHz7bh8=")</f>
        <v>#VALUE!</v>
      </c>
      <c r="AG58" t="e">
        <f>AND(Plan1!N975,"AAAAAHz7biA=")</f>
        <v>#VALUE!</v>
      </c>
      <c r="AH58">
        <f>IF(Plan1!976:976,"AAAAAHz7biE=",0)</f>
        <v>0</v>
      </c>
      <c r="AI58" t="e">
        <f>AND(Plan1!A976,"AAAAAHz7biI=")</f>
        <v>#VALUE!</v>
      </c>
      <c r="AJ58" t="e">
        <f>AND(Plan1!B976,"AAAAAHz7biM=")</f>
        <v>#VALUE!</v>
      </c>
      <c r="AK58" t="e">
        <f>AND(Plan1!C976,"AAAAAHz7biQ=")</f>
        <v>#VALUE!</v>
      </c>
      <c r="AL58" t="e">
        <f>AND(Plan1!D976,"AAAAAHz7biU=")</f>
        <v>#VALUE!</v>
      </c>
      <c r="AM58" t="e">
        <f>AND(Plan1!E976,"AAAAAHz7biY=")</f>
        <v>#VALUE!</v>
      </c>
      <c r="AN58" t="e">
        <f>AND(Plan1!F976,"AAAAAHz7bic=")</f>
        <v>#VALUE!</v>
      </c>
      <c r="AO58" t="e">
        <f>AND(Plan1!G976,"AAAAAHz7big=")</f>
        <v>#VALUE!</v>
      </c>
      <c r="AP58" t="e">
        <f>AND(Plan1!H976,"AAAAAHz7bik=")</f>
        <v>#VALUE!</v>
      </c>
      <c r="AQ58" t="e">
        <f>AND(Plan1!I976,"AAAAAHz7bio=")</f>
        <v>#VALUE!</v>
      </c>
      <c r="AR58" t="e">
        <f>AND(Plan1!J976,"AAAAAHz7bis=")</f>
        <v>#VALUE!</v>
      </c>
      <c r="AS58" t="e">
        <f>AND(Plan1!K976,"AAAAAHz7biw=")</f>
        <v>#VALUE!</v>
      </c>
      <c r="AT58" t="e">
        <f>AND(Plan1!L976,"AAAAAHz7bi0=")</f>
        <v>#VALUE!</v>
      </c>
      <c r="AU58" t="e">
        <f>AND(Plan1!M976,"AAAAAHz7bi4=")</f>
        <v>#VALUE!</v>
      </c>
      <c r="AV58" t="e">
        <f>AND(Plan1!N976,"AAAAAHz7bi8=")</f>
        <v>#VALUE!</v>
      </c>
      <c r="AW58">
        <f>IF(Plan1!977:977,"AAAAAHz7bjA=",0)</f>
        <v>0</v>
      </c>
      <c r="AX58" t="e">
        <f>AND(Plan1!A977,"AAAAAHz7bjE=")</f>
        <v>#VALUE!</v>
      </c>
      <c r="AY58" t="e">
        <f>AND(Plan1!B977,"AAAAAHz7bjI=")</f>
        <v>#VALUE!</v>
      </c>
      <c r="AZ58" t="e">
        <f>AND(Plan1!C977,"AAAAAHz7bjM=")</f>
        <v>#VALUE!</v>
      </c>
      <c r="BA58" t="e">
        <f>AND(Plan1!D977,"AAAAAHz7bjQ=")</f>
        <v>#VALUE!</v>
      </c>
      <c r="BB58" t="e">
        <f>AND(Plan1!E977,"AAAAAHz7bjU=")</f>
        <v>#VALUE!</v>
      </c>
      <c r="BC58" t="e">
        <f>AND(Plan1!F977,"AAAAAHz7bjY=")</f>
        <v>#VALUE!</v>
      </c>
      <c r="BD58" t="e">
        <f>AND(Plan1!G977,"AAAAAHz7bjc=")</f>
        <v>#VALUE!</v>
      </c>
      <c r="BE58" t="e">
        <f>AND(Plan1!H977,"AAAAAHz7bjg=")</f>
        <v>#VALUE!</v>
      </c>
      <c r="BF58" t="e">
        <f>AND(Plan1!I977,"AAAAAHz7bjk=")</f>
        <v>#VALUE!</v>
      </c>
      <c r="BG58" t="e">
        <f>AND(Plan1!J977,"AAAAAHz7bjo=")</f>
        <v>#VALUE!</v>
      </c>
      <c r="BH58" t="e">
        <f>AND(Plan1!K977,"AAAAAHz7bjs=")</f>
        <v>#VALUE!</v>
      </c>
      <c r="BI58" t="e">
        <f>AND(Plan1!L977,"AAAAAHz7bjw=")</f>
        <v>#VALUE!</v>
      </c>
      <c r="BJ58" t="e">
        <f>AND(Plan1!M977,"AAAAAHz7bj0=")</f>
        <v>#VALUE!</v>
      </c>
      <c r="BK58" t="e">
        <f>AND(Plan1!N977,"AAAAAHz7bj4=")</f>
        <v>#VALUE!</v>
      </c>
      <c r="BL58">
        <f>IF(Plan1!978:978,"AAAAAHz7bj8=",0)</f>
        <v>0</v>
      </c>
      <c r="BM58" t="e">
        <f>AND(Plan1!A978,"AAAAAHz7bkA=")</f>
        <v>#VALUE!</v>
      </c>
      <c r="BN58" t="e">
        <f>AND(Plan1!B978,"AAAAAHz7bkE=")</f>
        <v>#VALUE!</v>
      </c>
      <c r="BO58" t="e">
        <f>AND(Plan1!C978,"AAAAAHz7bkI=")</f>
        <v>#VALUE!</v>
      </c>
      <c r="BP58" t="e">
        <f>AND(Plan1!D978,"AAAAAHz7bkM=")</f>
        <v>#VALUE!</v>
      </c>
      <c r="BQ58" t="e">
        <f>AND(Plan1!E978,"AAAAAHz7bkQ=")</f>
        <v>#VALUE!</v>
      </c>
      <c r="BR58" t="e">
        <f>AND(Plan1!F978,"AAAAAHz7bkU=")</f>
        <v>#VALUE!</v>
      </c>
      <c r="BS58" t="e">
        <f>AND(Plan1!G978,"AAAAAHz7bkY=")</f>
        <v>#VALUE!</v>
      </c>
      <c r="BT58" t="e">
        <f>AND(Plan1!H978,"AAAAAHz7bkc=")</f>
        <v>#VALUE!</v>
      </c>
      <c r="BU58" t="e">
        <f>AND(Plan1!I978,"AAAAAHz7bkg=")</f>
        <v>#VALUE!</v>
      </c>
      <c r="BV58" t="e">
        <f>AND(Plan1!J978,"AAAAAHz7bkk=")</f>
        <v>#VALUE!</v>
      </c>
      <c r="BW58" t="e">
        <f>AND(Plan1!K978,"AAAAAHz7bko=")</f>
        <v>#VALUE!</v>
      </c>
      <c r="BX58" t="e">
        <f>AND(Plan1!L978,"AAAAAHz7bks=")</f>
        <v>#VALUE!</v>
      </c>
      <c r="BY58" t="e">
        <f>AND(Plan1!M978,"AAAAAHz7bkw=")</f>
        <v>#VALUE!</v>
      </c>
      <c r="BZ58" t="e">
        <f>AND(Plan1!N978,"AAAAAHz7bk0=")</f>
        <v>#VALUE!</v>
      </c>
      <c r="CA58">
        <f>IF(Plan1!979:979,"AAAAAHz7bk4=",0)</f>
        <v>0</v>
      </c>
      <c r="CB58" t="e">
        <f>AND(Plan1!A979,"AAAAAHz7bk8=")</f>
        <v>#VALUE!</v>
      </c>
      <c r="CC58" t="e">
        <f>AND(Plan1!B979,"AAAAAHz7blA=")</f>
        <v>#VALUE!</v>
      </c>
      <c r="CD58" t="e">
        <f>AND(Plan1!C979,"AAAAAHz7blE=")</f>
        <v>#VALUE!</v>
      </c>
      <c r="CE58" t="e">
        <f>AND(Plan1!D979,"AAAAAHz7blI=")</f>
        <v>#VALUE!</v>
      </c>
      <c r="CF58" t="e">
        <f>AND(Plan1!E979,"AAAAAHz7blM=")</f>
        <v>#VALUE!</v>
      </c>
      <c r="CG58" t="e">
        <f>AND(Plan1!F979,"AAAAAHz7blQ=")</f>
        <v>#VALUE!</v>
      </c>
      <c r="CH58" t="e">
        <f>AND(Plan1!G979,"AAAAAHz7blU=")</f>
        <v>#VALUE!</v>
      </c>
      <c r="CI58" t="e">
        <f>AND(Plan1!H979,"AAAAAHz7blY=")</f>
        <v>#VALUE!</v>
      </c>
      <c r="CJ58" t="e">
        <f>AND(Plan1!I979,"AAAAAHz7blc=")</f>
        <v>#VALUE!</v>
      </c>
      <c r="CK58" t="e">
        <f>AND(Plan1!J979,"AAAAAHz7blg=")</f>
        <v>#VALUE!</v>
      </c>
      <c r="CL58" t="e">
        <f>AND(Plan1!K979,"AAAAAHz7blk=")</f>
        <v>#VALUE!</v>
      </c>
      <c r="CM58" t="e">
        <f>AND(Plan1!L979,"AAAAAHz7blo=")</f>
        <v>#VALUE!</v>
      </c>
      <c r="CN58" t="e">
        <f>AND(Plan1!M979,"AAAAAHz7bls=")</f>
        <v>#VALUE!</v>
      </c>
      <c r="CO58" t="e">
        <f>AND(Plan1!N979,"AAAAAHz7blw=")</f>
        <v>#VALUE!</v>
      </c>
      <c r="CP58">
        <f>IF(Plan1!980:980,"AAAAAHz7bl0=",0)</f>
        <v>0</v>
      </c>
      <c r="CQ58" t="e">
        <f>AND(Plan1!A980,"AAAAAHz7bl4=")</f>
        <v>#VALUE!</v>
      </c>
      <c r="CR58" t="e">
        <f>AND(Plan1!B980,"AAAAAHz7bl8=")</f>
        <v>#VALUE!</v>
      </c>
      <c r="CS58" t="e">
        <f>AND(Plan1!C980,"AAAAAHz7bmA=")</f>
        <v>#VALUE!</v>
      </c>
      <c r="CT58" t="e">
        <f>AND(Plan1!D980,"AAAAAHz7bmE=")</f>
        <v>#VALUE!</v>
      </c>
      <c r="CU58" t="e">
        <f>AND(Plan1!E980,"AAAAAHz7bmI=")</f>
        <v>#VALUE!</v>
      </c>
      <c r="CV58" t="e">
        <f>AND(Plan1!F980,"AAAAAHz7bmM=")</f>
        <v>#VALUE!</v>
      </c>
      <c r="CW58" t="e">
        <f>AND(Plan1!G980,"AAAAAHz7bmQ=")</f>
        <v>#VALUE!</v>
      </c>
      <c r="CX58" t="e">
        <f>AND(Plan1!H980,"AAAAAHz7bmU=")</f>
        <v>#VALUE!</v>
      </c>
      <c r="CY58" t="e">
        <f>AND(Plan1!I980,"AAAAAHz7bmY=")</f>
        <v>#VALUE!</v>
      </c>
      <c r="CZ58" t="e">
        <f>AND(Plan1!J980,"AAAAAHz7bmc=")</f>
        <v>#VALUE!</v>
      </c>
      <c r="DA58" t="e">
        <f>AND(Plan1!K980,"AAAAAHz7bmg=")</f>
        <v>#VALUE!</v>
      </c>
      <c r="DB58" t="e">
        <f>AND(Plan1!L980,"AAAAAHz7bmk=")</f>
        <v>#VALUE!</v>
      </c>
      <c r="DC58" t="e">
        <f>AND(Plan1!M980,"AAAAAHz7bmo=")</f>
        <v>#VALUE!</v>
      </c>
      <c r="DD58" t="e">
        <f>AND(Plan1!N980,"AAAAAHz7bms=")</f>
        <v>#VALUE!</v>
      </c>
      <c r="DE58">
        <f>IF(Plan1!981:981,"AAAAAHz7bmw=",0)</f>
        <v>0</v>
      </c>
      <c r="DF58" t="e">
        <f>AND(Plan1!A981,"AAAAAHz7bm0=")</f>
        <v>#VALUE!</v>
      </c>
      <c r="DG58" t="e">
        <f>AND(Plan1!B981,"AAAAAHz7bm4=")</f>
        <v>#VALUE!</v>
      </c>
      <c r="DH58" t="e">
        <f>AND(Plan1!C981,"AAAAAHz7bm8=")</f>
        <v>#VALUE!</v>
      </c>
      <c r="DI58" t="e">
        <f>AND(Plan1!D981,"AAAAAHz7bnA=")</f>
        <v>#VALUE!</v>
      </c>
      <c r="DJ58" t="e">
        <f>AND(Plan1!E981,"AAAAAHz7bnE=")</f>
        <v>#VALUE!</v>
      </c>
      <c r="DK58" t="e">
        <f>AND(Plan1!F981,"AAAAAHz7bnI=")</f>
        <v>#VALUE!</v>
      </c>
      <c r="DL58" t="e">
        <f>AND(Plan1!G981,"AAAAAHz7bnM=")</f>
        <v>#VALUE!</v>
      </c>
      <c r="DM58" t="e">
        <f>AND(Plan1!H981,"AAAAAHz7bnQ=")</f>
        <v>#VALUE!</v>
      </c>
      <c r="DN58" t="e">
        <f>AND(Plan1!I981,"AAAAAHz7bnU=")</f>
        <v>#VALUE!</v>
      </c>
      <c r="DO58" t="e">
        <f>AND(Plan1!J981,"AAAAAHz7bnY=")</f>
        <v>#VALUE!</v>
      </c>
      <c r="DP58" t="e">
        <f>AND(Plan1!K981,"AAAAAHz7bnc=")</f>
        <v>#VALUE!</v>
      </c>
      <c r="DQ58" t="e">
        <f>AND(Plan1!L981,"AAAAAHz7bng=")</f>
        <v>#VALUE!</v>
      </c>
      <c r="DR58" t="e">
        <f>AND(Plan1!M981,"AAAAAHz7bnk=")</f>
        <v>#VALUE!</v>
      </c>
      <c r="DS58" t="e">
        <f>AND(Plan1!N981,"AAAAAHz7bno=")</f>
        <v>#VALUE!</v>
      </c>
      <c r="DT58">
        <f>IF(Plan1!982:982,"AAAAAHz7bns=",0)</f>
        <v>0</v>
      </c>
      <c r="DU58" t="e">
        <f>AND(Plan1!A982,"AAAAAHz7bnw=")</f>
        <v>#VALUE!</v>
      </c>
      <c r="DV58" t="e">
        <f>AND(Plan1!B982,"AAAAAHz7bn0=")</f>
        <v>#VALUE!</v>
      </c>
      <c r="DW58" t="e">
        <f>AND(Plan1!C982,"AAAAAHz7bn4=")</f>
        <v>#VALUE!</v>
      </c>
      <c r="DX58" t="e">
        <f>AND(Plan1!D982,"AAAAAHz7bn8=")</f>
        <v>#VALUE!</v>
      </c>
      <c r="DY58" t="e">
        <f>AND(Plan1!E982,"AAAAAHz7boA=")</f>
        <v>#VALUE!</v>
      </c>
      <c r="DZ58" t="e">
        <f>AND(Plan1!F982,"AAAAAHz7boE=")</f>
        <v>#VALUE!</v>
      </c>
      <c r="EA58" t="e">
        <f>AND(Plan1!G982,"AAAAAHz7boI=")</f>
        <v>#VALUE!</v>
      </c>
      <c r="EB58" t="e">
        <f>AND(Plan1!H982,"AAAAAHz7boM=")</f>
        <v>#VALUE!</v>
      </c>
      <c r="EC58" t="e">
        <f>AND(Plan1!I982,"AAAAAHz7boQ=")</f>
        <v>#VALUE!</v>
      </c>
      <c r="ED58" t="e">
        <f>AND(Plan1!J982,"AAAAAHz7boU=")</f>
        <v>#VALUE!</v>
      </c>
      <c r="EE58" t="e">
        <f>AND(Plan1!K982,"AAAAAHz7boY=")</f>
        <v>#VALUE!</v>
      </c>
      <c r="EF58" t="e">
        <f>AND(Plan1!L982,"AAAAAHz7boc=")</f>
        <v>#VALUE!</v>
      </c>
      <c r="EG58" t="e">
        <f>AND(Plan1!M982,"AAAAAHz7bog=")</f>
        <v>#VALUE!</v>
      </c>
      <c r="EH58" t="e">
        <f>AND(Plan1!N982,"AAAAAHz7bok=")</f>
        <v>#VALUE!</v>
      </c>
      <c r="EI58">
        <f>IF(Plan1!983:983,"AAAAAHz7boo=",0)</f>
        <v>0</v>
      </c>
      <c r="EJ58" t="e">
        <f>AND(Plan1!A983,"AAAAAHz7bos=")</f>
        <v>#VALUE!</v>
      </c>
      <c r="EK58" t="e">
        <f>AND(Plan1!B983,"AAAAAHz7bow=")</f>
        <v>#VALUE!</v>
      </c>
      <c r="EL58" t="e">
        <f>AND(Plan1!C983,"AAAAAHz7bo0=")</f>
        <v>#VALUE!</v>
      </c>
      <c r="EM58" t="e">
        <f>AND(Plan1!D983,"AAAAAHz7bo4=")</f>
        <v>#VALUE!</v>
      </c>
      <c r="EN58" t="e">
        <f>AND(Plan1!E983,"AAAAAHz7bo8=")</f>
        <v>#VALUE!</v>
      </c>
      <c r="EO58" t="e">
        <f>AND(Plan1!F983,"AAAAAHz7bpA=")</f>
        <v>#VALUE!</v>
      </c>
      <c r="EP58" t="e">
        <f>AND(Plan1!G983,"AAAAAHz7bpE=")</f>
        <v>#VALUE!</v>
      </c>
      <c r="EQ58" t="e">
        <f>AND(Plan1!H983,"AAAAAHz7bpI=")</f>
        <v>#VALUE!</v>
      </c>
      <c r="ER58" t="e">
        <f>AND(Plan1!I983,"AAAAAHz7bpM=")</f>
        <v>#VALUE!</v>
      </c>
      <c r="ES58" t="e">
        <f>AND(Plan1!J983,"AAAAAHz7bpQ=")</f>
        <v>#VALUE!</v>
      </c>
      <c r="ET58" t="e">
        <f>AND(Plan1!K983,"AAAAAHz7bpU=")</f>
        <v>#VALUE!</v>
      </c>
      <c r="EU58" t="e">
        <f>AND(Plan1!L983,"AAAAAHz7bpY=")</f>
        <v>#VALUE!</v>
      </c>
      <c r="EV58" t="e">
        <f>AND(Plan1!M983,"AAAAAHz7bpc=")</f>
        <v>#VALUE!</v>
      </c>
      <c r="EW58" t="e">
        <f>AND(Plan1!N983,"AAAAAHz7bpg=")</f>
        <v>#VALUE!</v>
      </c>
      <c r="EX58">
        <f>IF(Plan1!984:984,"AAAAAHz7bpk=",0)</f>
        <v>0</v>
      </c>
      <c r="EY58" t="e">
        <f>AND(Plan1!A984,"AAAAAHz7bpo=")</f>
        <v>#VALUE!</v>
      </c>
      <c r="EZ58" t="e">
        <f>AND(Plan1!B984,"AAAAAHz7bps=")</f>
        <v>#VALUE!</v>
      </c>
      <c r="FA58" t="e">
        <f>AND(Plan1!C984,"AAAAAHz7bpw=")</f>
        <v>#VALUE!</v>
      </c>
      <c r="FB58" t="e">
        <f>AND(Plan1!D984,"AAAAAHz7bp0=")</f>
        <v>#VALUE!</v>
      </c>
      <c r="FC58" t="e">
        <f>AND(Plan1!E984,"AAAAAHz7bp4=")</f>
        <v>#VALUE!</v>
      </c>
      <c r="FD58" t="e">
        <f>AND(Plan1!F984,"AAAAAHz7bp8=")</f>
        <v>#VALUE!</v>
      </c>
      <c r="FE58" t="e">
        <f>AND(Plan1!G984,"AAAAAHz7bqA=")</f>
        <v>#VALUE!</v>
      </c>
      <c r="FF58" t="e">
        <f>AND(Plan1!H984,"AAAAAHz7bqE=")</f>
        <v>#VALUE!</v>
      </c>
      <c r="FG58" t="e">
        <f>AND(Plan1!I984,"AAAAAHz7bqI=")</f>
        <v>#VALUE!</v>
      </c>
      <c r="FH58" t="e">
        <f>AND(Plan1!J984,"AAAAAHz7bqM=")</f>
        <v>#VALUE!</v>
      </c>
      <c r="FI58" t="e">
        <f>AND(Plan1!K984,"AAAAAHz7bqQ=")</f>
        <v>#VALUE!</v>
      </c>
      <c r="FJ58" t="e">
        <f>AND(Plan1!L984,"AAAAAHz7bqU=")</f>
        <v>#VALUE!</v>
      </c>
      <c r="FK58" t="e">
        <f>AND(Plan1!M984,"AAAAAHz7bqY=")</f>
        <v>#VALUE!</v>
      </c>
      <c r="FL58" t="e">
        <f>AND(Plan1!N984,"AAAAAHz7bqc=")</f>
        <v>#VALUE!</v>
      </c>
      <c r="FM58">
        <f>IF(Plan1!985:985,"AAAAAHz7bqg=",0)</f>
        <v>0</v>
      </c>
      <c r="FN58" t="e">
        <f>AND(Plan1!A985,"AAAAAHz7bqk=")</f>
        <v>#VALUE!</v>
      </c>
      <c r="FO58" t="e">
        <f>AND(Plan1!B985,"AAAAAHz7bqo=")</f>
        <v>#VALUE!</v>
      </c>
      <c r="FP58" t="e">
        <f>AND(Plan1!C985,"AAAAAHz7bqs=")</f>
        <v>#VALUE!</v>
      </c>
      <c r="FQ58" t="e">
        <f>AND(Plan1!D985,"AAAAAHz7bqw=")</f>
        <v>#VALUE!</v>
      </c>
      <c r="FR58" t="e">
        <f>AND(Plan1!E985,"AAAAAHz7bq0=")</f>
        <v>#VALUE!</v>
      </c>
      <c r="FS58" t="e">
        <f>AND(Plan1!F985,"AAAAAHz7bq4=")</f>
        <v>#VALUE!</v>
      </c>
      <c r="FT58" t="e">
        <f>AND(Plan1!G985,"AAAAAHz7bq8=")</f>
        <v>#VALUE!</v>
      </c>
      <c r="FU58" t="e">
        <f>AND(Plan1!H985,"AAAAAHz7brA=")</f>
        <v>#VALUE!</v>
      </c>
      <c r="FV58" t="e">
        <f>AND(Plan1!I985,"AAAAAHz7brE=")</f>
        <v>#VALUE!</v>
      </c>
      <c r="FW58" t="e">
        <f>AND(Plan1!J985,"AAAAAHz7brI=")</f>
        <v>#VALUE!</v>
      </c>
      <c r="FX58" t="e">
        <f>AND(Plan1!K985,"AAAAAHz7brM=")</f>
        <v>#VALUE!</v>
      </c>
      <c r="FY58" t="e">
        <f>AND(Plan1!L985,"AAAAAHz7brQ=")</f>
        <v>#VALUE!</v>
      </c>
      <c r="FZ58" t="e">
        <f>AND(Plan1!M985,"AAAAAHz7brU=")</f>
        <v>#VALUE!</v>
      </c>
      <c r="GA58" t="e">
        <f>AND(Plan1!N985,"AAAAAHz7brY=")</f>
        <v>#VALUE!</v>
      </c>
      <c r="GB58">
        <f>IF(Plan1!986:986,"AAAAAHz7brc=",0)</f>
        <v>0</v>
      </c>
      <c r="GC58" t="e">
        <f>AND(Plan1!A986,"AAAAAHz7brg=")</f>
        <v>#VALUE!</v>
      </c>
      <c r="GD58" t="e">
        <f>AND(Plan1!B986,"AAAAAHz7brk=")</f>
        <v>#VALUE!</v>
      </c>
      <c r="GE58" t="e">
        <f>AND(Plan1!C986,"AAAAAHz7bro=")</f>
        <v>#VALUE!</v>
      </c>
      <c r="GF58" t="e">
        <f>AND(Plan1!D986,"AAAAAHz7brs=")</f>
        <v>#VALUE!</v>
      </c>
      <c r="GG58" t="e">
        <f>AND(Plan1!E986,"AAAAAHz7brw=")</f>
        <v>#VALUE!</v>
      </c>
      <c r="GH58" t="e">
        <f>AND(Plan1!F986,"AAAAAHz7br0=")</f>
        <v>#VALUE!</v>
      </c>
      <c r="GI58" t="e">
        <f>AND(Plan1!G986,"AAAAAHz7br4=")</f>
        <v>#VALUE!</v>
      </c>
      <c r="GJ58" t="e">
        <f>AND(Plan1!H986,"AAAAAHz7br8=")</f>
        <v>#VALUE!</v>
      </c>
      <c r="GK58" t="e">
        <f>AND(Plan1!I986,"AAAAAHz7bsA=")</f>
        <v>#VALUE!</v>
      </c>
      <c r="GL58" t="e">
        <f>AND(Plan1!J986,"AAAAAHz7bsE=")</f>
        <v>#VALUE!</v>
      </c>
      <c r="GM58" t="e">
        <f>AND(Plan1!K986,"AAAAAHz7bsI=")</f>
        <v>#VALUE!</v>
      </c>
      <c r="GN58" t="e">
        <f>AND(Plan1!L986,"AAAAAHz7bsM=")</f>
        <v>#VALUE!</v>
      </c>
      <c r="GO58" t="e">
        <f>AND(Plan1!M986,"AAAAAHz7bsQ=")</f>
        <v>#VALUE!</v>
      </c>
      <c r="GP58" t="e">
        <f>AND(Plan1!N986,"AAAAAHz7bsU=")</f>
        <v>#VALUE!</v>
      </c>
      <c r="GQ58">
        <f>IF(Plan1!987:987,"AAAAAHz7bsY=",0)</f>
        <v>0</v>
      </c>
      <c r="GR58" t="e">
        <f>AND(Plan1!A987,"AAAAAHz7bsc=")</f>
        <v>#VALUE!</v>
      </c>
      <c r="GS58" t="e">
        <f>AND(Plan1!B987,"AAAAAHz7bsg=")</f>
        <v>#VALUE!</v>
      </c>
      <c r="GT58" t="e">
        <f>AND(Plan1!C987,"AAAAAHz7bsk=")</f>
        <v>#VALUE!</v>
      </c>
      <c r="GU58" t="e">
        <f>AND(Plan1!D987,"AAAAAHz7bso=")</f>
        <v>#VALUE!</v>
      </c>
      <c r="GV58" t="e">
        <f>AND(Plan1!E987,"AAAAAHz7bss=")</f>
        <v>#VALUE!</v>
      </c>
      <c r="GW58" t="e">
        <f>AND(Plan1!F987,"AAAAAHz7bsw=")</f>
        <v>#VALUE!</v>
      </c>
      <c r="GX58" t="e">
        <f>AND(Plan1!G987,"AAAAAHz7bs0=")</f>
        <v>#VALUE!</v>
      </c>
      <c r="GY58" t="e">
        <f>AND(Plan1!H987,"AAAAAHz7bs4=")</f>
        <v>#VALUE!</v>
      </c>
      <c r="GZ58" t="e">
        <f>AND(Plan1!I987,"AAAAAHz7bs8=")</f>
        <v>#VALUE!</v>
      </c>
      <c r="HA58" t="e">
        <f>AND(Plan1!J987,"AAAAAHz7btA=")</f>
        <v>#VALUE!</v>
      </c>
      <c r="HB58" t="e">
        <f>AND(Plan1!K987,"AAAAAHz7btE=")</f>
        <v>#VALUE!</v>
      </c>
      <c r="HC58" t="e">
        <f>AND(Plan1!L987,"AAAAAHz7btI=")</f>
        <v>#VALUE!</v>
      </c>
      <c r="HD58" t="e">
        <f>AND(Plan1!M987,"AAAAAHz7btM=")</f>
        <v>#VALUE!</v>
      </c>
      <c r="HE58" t="e">
        <f>AND(Plan1!N987,"AAAAAHz7btQ=")</f>
        <v>#VALUE!</v>
      </c>
      <c r="HF58">
        <f>IF(Plan1!988:988,"AAAAAHz7btU=",0)</f>
        <v>0</v>
      </c>
      <c r="HG58" t="e">
        <f>AND(Plan1!A988,"AAAAAHz7btY=")</f>
        <v>#VALUE!</v>
      </c>
      <c r="HH58" t="e">
        <f>AND(Plan1!B988,"AAAAAHz7btc=")</f>
        <v>#VALUE!</v>
      </c>
      <c r="HI58" t="e">
        <f>AND(Plan1!C988,"AAAAAHz7btg=")</f>
        <v>#VALUE!</v>
      </c>
      <c r="HJ58" t="e">
        <f>AND(Plan1!D988,"AAAAAHz7btk=")</f>
        <v>#VALUE!</v>
      </c>
      <c r="HK58" t="e">
        <f>AND(Plan1!E988,"AAAAAHz7bto=")</f>
        <v>#VALUE!</v>
      </c>
      <c r="HL58" t="e">
        <f>AND(Plan1!F988,"AAAAAHz7bts=")</f>
        <v>#VALUE!</v>
      </c>
      <c r="HM58" t="e">
        <f>AND(Plan1!G988,"AAAAAHz7btw=")</f>
        <v>#VALUE!</v>
      </c>
      <c r="HN58" t="e">
        <f>AND(Plan1!H988,"AAAAAHz7bt0=")</f>
        <v>#VALUE!</v>
      </c>
      <c r="HO58" t="e">
        <f>AND(Plan1!I988,"AAAAAHz7bt4=")</f>
        <v>#VALUE!</v>
      </c>
      <c r="HP58" t="e">
        <f>AND(Plan1!J988,"AAAAAHz7bt8=")</f>
        <v>#VALUE!</v>
      </c>
      <c r="HQ58" t="e">
        <f>AND(Plan1!K988,"AAAAAHz7buA=")</f>
        <v>#VALUE!</v>
      </c>
      <c r="HR58" t="e">
        <f>AND(Plan1!L988,"AAAAAHz7buE=")</f>
        <v>#VALUE!</v>
      </c>
      <c r="HS58" t="e">
        <f>AND(Plan1!M988,"AAAAAHz7buI=")</f>
        <v>#VALUE!</v>
      </c>
      <c r="HT58" t="e">
        <f>AND(Plan1!N988,"AAAAAHz7buM=")</f>
        <v>#VALUE!</v>
      </c>
      <c r="HU58">
        <f>IF(Plan1!989:989,"AAAAAHz7buQ=",0)</f>
        <v>0</v>
      </c>
      <c r="HV58" t="e">
        <f>AND(Plan1!A989,"AAAAAHz7buU=")</f>
        <v>#VALUE!</v>
      </c>
      <c r="HW58" t="e">
        <f>AND(Plan1!B989,"AAAAAHz7buY=")</f>
        <v>#VALUE!</v>
      </c>
      <c r="HX58" t="e">
        <f>AND(Plan1!C989,"AAAAAHz7buc=")</f>
        <v>#VALUE!</v>
      </c>
      <c r="HY58" t="e">
        <f>AND(Plan1!D989,"AAAAAHz7bug=")</f>
        <v>#VALUE!</v>
      </c>
      <c r="HZ58" t="e">
        <f>AND(Plan1!E989,"AAAAAHz7buk=")</f>
        <v>#VALUE!</v>
      </c>
      <c r="IA58" t="e">
        <f>AND(Plan1!F989,"AAAAAHz7buo=")</f>
        <v>#VALUE!</v>
      </c>
      <c r="IB58" t="e">
        <f>AND(Plan1!G989,"AAAAAHz7bus=")</f>
        <v>#VALUE!</v>
      </c>
      <c r="IC58" t="e">
        <f>AND(Plan1!H989,"AAAAAHz7buw=")</f>
        <v>#VALUE!</v>
      </c>
      <c r="ID58" t="e">
        <f>AND(Plan1!I989,"AAAAAHz7bu0=")</f>
        <v>#VALUE!</v>
      </c>
      <c r="IE58" t="e">
        <f>AND(Plan1!J989,"AAAAAHz7bu4=")</f>
        <v>#VALUE!</v>
      </c>
      <c r="IF58" t="e">
        <f>AND(Plan1!K989,"AAAAAHz7bu8=")</f>
        <v>#VALUE!</v>
      </c>
      <c r="IG58" t="e">
        <f>AND(Plan1!L989,"AAAAAHz7bvA=")</f>
        <v>#VALUE!</v>
      </c>
      <c r="IH58" t="e">
        <f>AND(Plan1!M989,"AAAAAHz7bvE=")</f>
        <v>#VALUE!</v>
      </c>
      <c r="II58" t="e">
        <f>AND(Plan1!N989,"AAAAAHz7bvI=")</f>
        <v>#VALUE!</v>
      </c>
      <c r="IJ58">
        <f>IF(Plan1!990:990,"AAAAAHz7bvM=",0)</f>
        <v>0</v>
      </c>
      <c r="IK58" t="e">
        <f>AND(Plan1!A990,"AAAAAHz7bvQ=")</f>
        <v>#VALUE!</v>
      </c>
      <c r="IL58" t="e">
        <f>AND(Plan1!B990,"AAAAAHz7bvU=")</f>
        <v>#VALUE!</v>
      </c>
      <c r="IM58" t="e">
        <f>AND(Plan1!C990,"AAAAAHz7bvY=")</f>
        <v>#VALUE!</v>
      </c>
      <c r="IN58" t="e">
        <f>AND(Plan1!D990,"AAAAAHz7bvc=")</f>
        <v>#VALUE!</v>
      </c>
      <c r="IO58" t="e">
        <f>AND(Plan1!E990,"AAAAAHz7bvg=")</f>
        <v>#VALUE!</v>
      </c>
      <c r="IP58" t="e">
        <f>AND(Plan1!F990,"AAAAAHz7bvk=")</f>
        <v>#VALUE!</v>
      </c>
      <c r="IQ58" t="e">
        <f>AND(Plan1!G990,"AAAAAHz7bvo=")</f>
        <v>#VALUE!</v>
      </c>
      <c r="IR58" t="e">
        <f>AND(Plan1!H990,"AAAAAHz7bvs=")</f>
        <v>#VALUE!</v>
      </c>
      <c r="IS58" t="e">
        <f>AND(Plan1!I990,"AAAAAHz7bvw=")</f>
        <v>#VALUE!</v>
      </c>
      <c r="IT58" t="e">
        <f>AND(Plan1!J990,"AAAAAHz7bv0=")</f>
        <v>#VALUE!</v>
      </c>
      <c r="IU58" t="e">
        <f>AND(Plan1!K990,"AAAAAHz7bv4=")</f>
        <v>#VALUE!</v>
      </c>
      <c r="IV58" t="e">
        <f>AND(Plan1!L990,"AAAAAHz7bv8=")</f>
        <v>#VALUE!</v>
      </c>
    </row>
    <row r="59" spans="1:256">
      <c r="A59" t="e">
        <f>AND(Plan1!M990,"AAAAAH79vwA=")</f>
        <v>#VALUE!</v>
      </c>
      <c r="B59" t="e">
        <f>AND(Plan1!N990,"AAAAAH79vwE=")</f>
        <v>#VALUE!</v>
      </c>
      <c r="C59" t="str">
        <f>IF(Plan1!991:991,"AAAAAH79vwI=",0)</f>
        <v>AAAAAH79vwI=</v>
      </c>
      <c r="D59" t="e">
        <f>AND(Plan1!A991,"AAAAAH79vwM=")</f>
        <v>#VALUE!</v>
      </c>
      <c r="E59" t="e">
        <f>AND(Plan1!B991,"AAAAAH79vwQ=")</f>
        <v>#VALUE!</v>
      </c>
      <c r="F59" t="e">
        <f>AND(Plan1!C991,"AAAAAH79vwU=")</f>
        <v>#VALUE!</v>
      </c>
      <c r="G59" t="e">
        <f>AND(Plan1!D991,"AAAAAH79vwY=")</f>
        <v>#VALUE!</v>
      </c>
      <c r="H59" t="e">
        <f>AND(Plan1!E991,"AAAAAH79vwc=")</f>
        <v>#VALUE!</v>
      </c>
      <c r="I59" t="e">
        <f>AND(Plan1!F991,"AAAAAH79vwg=")</f>
        <v>#VALUE!</v>
      </c>
      <c r="J59" t="e">
        <f>AND(Plan1!G991,"AAAAAH79vwk=")</f>
        <v>#VALUE!</v>
      </c>
      <c r="K59" t="e">
        <f>AND(Plan1!H991,"AAAAAH79vwo=")</f>
        <v>#VALUE!</v>
      </c>
      <c r="L59" t="e">
        <f>AND(Plan1!I991,"AAAAAH79vws=")</f>
        <v>#VALUE!</v>
      </c>
      <c r="M59" t="e">
        <f>AND(Plan1!J991,"AAAAAH79vww=")</f>
        <v>#VALUE!</v>
      </c>
      <c r="N59" t="e">
        <f>AND(Plan1!K991,"AAAAAH79vw0=")</f>
        <v>#VALUE!</v>
      </c>
      <c r="O59" t="e">
        <f>AND(Plan1!L991,"AAAAAH79vw4=")</f>
        <v>#VALUE!</v>
      </c>
      <c r="P59" t="e">
        <f>AND(Plan1!M991,"AAAAAH79vw8=")</f>
        <v>#VALUE!</v>
      </c>
      <c r="Q59" t="e">
        <f>AND(Plan1!N991,"AAAAAH79vxA=")</f>
        <v>#VALUE!</v>
      </c>
      <c r="R59">
        <f>IF(Plan1!992:992,"AAAAAH79vxE=",0)</f>
        <v>0</v>
      </c>
      <c r="S59" t="e">
        <f>AND(Plan1!A992,"AAAAAH79vxI=")</f>
        <v>#VALUE!</v>
      </c>
      <c r="T59" t="e">
        <f>AND(Plan1!B992,"AAAAAH79vxM=")</f>
        <v>#VALUE!</v>
      </c>
      <c r="U59" t="e">
        <f>AND(Plan1!C992,"AAAAAH79vxQ=")</f>
        <v>#VALUE!</v>
      </c>
      <c r="V59" t="e">
        <f>AND(Plan1!D992,"AAAAAH79vxU=")</f>
        <v>#VALUE!</v>
      </c>
      <c r="W59" t="e">
        <f>AND(Plan1!E992,"AAAAAH79vxY=")</f>
        <v>#VALUE!</v>
      </c>
      <c r="X59" t="e">
        <f>AND(Plan1!F992,"AAAAAH79vxc=")</f>
        <v>#VALUE!</v>
      </c>
      <c r="Y59" t="e">
        <f>AND(Plan1!G992,"AAAAAH79vxg=")</f>
        <v>#VALUE!</v>
      </c>
      <c r="Z59" t="e">
        <f>AND(Plan1!H992,"AAAAAH79vxk=")</f>
        <v>#VALUE!</v>
      </c>
      <c r="AA59" t="e">
        <f>AND(Plan1!I992,"AAAAAH79vxo=")</f>
        <v>#VALUE!</v>
      </c>
      <c r="AB59" t="e">
        <f>AND(Plan1!J992,"AAAAAH79vxs=")</f>
        <v>#VALUE!</v>
      </c>
      <c r="AC59" t="e">
        <f>AND(Plan1!K992,"AAAAAH79vxw=")</f>
        <v>#VALUE!</v>
      </c>
      <c r="AD59" t="e">
        <f>AND(Plan1!L992,"AAAAAH79vx0=")</f>
        <v>#VALUE!</v>
      </c>
      <c r="AE59" t="e">
        <f>AND(Plan1!M992,"AAAAAH79vx4=")</f>
        <v>#VALUE!</v>
      </c>
      <c r="AF59" t="e">
        <f>AND(Plan1!N992,"AAAAAH79vx8=")</f>
        <v>#VALUE!</v>
      </c>
      <c r="AG59">
        <f>IF(Plan1!993:993,"AAAAAH79vyA=",0)</f>
        <v>0</v>
      </c>
      <c r="AH59" t="e">
        <f>AND(Plan1!A993,"AAAAAH79vyE=")</f>
        <v>#VALUE!</v>
      </c>
      <c r="AI59" t="e">
        <f>AND(Plan1!B993,"AAAAAH79vyI=")</f>
        <v>#VALUE!</v>
      </c>
      <c r="AJ59" t="e">
        <f>AND(Plan1!C993,"AAAAAH79vyM=")</f>
        <v>#VALUE!</v>
      </c>
      <c r="AK59" t="e">
        <f>AND(Plan1!D993,"AAAAAH79vyQ=")</f>
        <v>#VALUE!</v>
      </c>
      <c r="AL59" t="e">
        <f>AND(Plan1!E993,"AAAAAH79vyU=")</f>
        <v>#VALUE!</v>
      </c>
      <c r="AM59" t="e">
        <f>AND(Plan1!F993,"AAAAAH79vyY=")</f>
        <v>#VALUE!</v>
      </c>
      <c r="AN59" t="e">
        <f>AND(Plan1!G993,"AAAAAH79vyc=")</f>
        <v>#VALUE!</v>
      </c>
      <c r="AO59" t="e">
        <f>AND(Plan1!H993,"AAAAAH79vyg=")</f>
        <v>#VALUE!</v>
      </c>
      <c r="AP59" t="e">
        <f>AND(Plan1!I993,"AAAAAH79vyk=")</f>
        <v>#VALUE!</v>
      </c>
      <c r="AQ59" t="e">
        <f>AND(Plan1!J993,"AAAAAH79vyo=")</f>
        <v>#VALUE!</v>
      </c>
      <c r="AR59" t="e">
        <f>AND(Plan1!K993,"AAAAAH79vys=")</f>
        <v>#VALUE!</v>
      </c>
      <c r="AS59" t="e">
        <f>AND(Plan1!L993,"AAAAAH79vyw=")</f>
        <v>#VALUE!</v>
      </c>
      <c r="AT59" t="e">
        <f>AND(Plan1!M993,"AAAAAH79vy0=")</f>
        <v>#VALUE!</v>
      </c>
      <c r="AU59" t="e">
        <f>AND(Plan1!N993,"AAAAAH79vy4=")</f>
        <v>#VALUE!</v>
      </c>
      <c r="AV59">
        <f>IF(Plan1!994:994,"AAAAAH79vy8=",0)</f>
        <v>0</v>
      </c>
      <c r="AW59" t="e">
        <f>AND(Plan1!A994,"AAAAAH79vzA=")</f>
        <v>#VALUE!</v>
      </c>
      <c r="AX59" t="e">
        <f>AND(Plan1!B994,"AAAAAH79vzE=")</f>
        <v>#VALUE!</v>
      </c>
      <c r="AY59" t="e">
        <f>AND(Plan1!C994,"AAAAAH79vzI=")</f>
        <v>#VALUE!</v>
      </c>
      <c r="AZ59" t="e">
        <f>AND(Plan1!D994,"AAAAAH79vzM=")</f>
        <v>#VALUE!</v>
      </c>
      <c r="BA59" t="e">
        <f>AND(Plan1!E994,"AAAAAH79vzQ=")</f>
        <v>#VALUE!</v>
      </c>
      <c r="BB59" t="e">
        <f>AND(Plan1!F994,"AAAAAH79vzU=")</f>
        <v>#VALUE!</v>
      </c>
      <c r="BC59" t="e">
        <f>AND(Plan1!G994,"AAAAAH79vzY=")</f>
        <v>#VALUE!</v>
      </c>
      <c r="BD59" t="e">
        <f>AND(Plan1!H994,"AAAAAH79vzc=")</f>
        <v>#VALUE!</v>
      </c>
      <c r="BE59" t="e">
        <f>AND(Plan1!I994,"AAAAAH79vzg=")</f>
        <v>#VALUE!</v>
      </c>
      <c r="BF59" t="e">
        <f>AND(Plan1!J994,"AAAAAH79vzk=")</f>
        <v>#VALUE!</v>
      </c>
      <c r="BG59" t="e">
        <f>AND(Plan1!K994,"AAAAAH79vzo=")</f>
        <v>#VALUE!</v>
      </c>
      <c r="BH59" t="e">
        <f>AND(Plan1!L994,"AAAAAH79vzs=")</f>
        <v>#VALUE!</v>
      </c>
      <c r="BI59" t="e">
        <f>AND(Plan1!M994,"AAAAAH79vzw=")</f>
        <v>#VALUE!</v>
      </c>
      <c r="BJ59" t="e">
        <f>AND(Plan1!N994,"AAAAAH79vz0=")</f>
        <v>#VALUE!</v>
      </c>
      <c r="BK59">
        <f>IF(Plan1!995:995,"AAAAAH79vz4=",0)</f>
        <v>0</v>
      </c>
      <c r="BL59" t="e">
        <f>AND(Plan1!A995,"AAAAAH79vz8=")</f>
        <v>#VALUE!</v>
      </c>
      <c r="BM59" t="e">
        <f>AND(Plan1!B995,"AAAAAH79v0A=")</f>
        <v>#VALUE!</v>
      </c>
      <c r="BN59" t="e">
        <f>AND(Plan1!C995,"AAAAAH79v0E=")</f>
        <v>#VALUE!</v>
      </c>
      <c r="BO59" t="e">
        <f>AND(Plan1!D995,"AAAAAH79v0I=")</f>
        <v>#VALUE!</v>
      </c>
      <c r="BP59" t="e">
        <f>AND(Plan1!E995,"AAAAAH79v0M=")</f>
        <v>#VALUE!</v>
      </c>
      <c r="BQ59" t="e">
        <f>AND(Plan1!F995,"AAAAAH79v0Q=")</f>
        <v>#VALUE!</v>
      </c>
      <c r="BR59" t="e">
        <f>AND(Plan1!G995,"AAAAAH79v0U=")</f>
        <v>#VALUE!</v>
      </c>
      <c r="BS59" t="e">
        <f>AND(Plan1!H995,"AAAAAH79v0Y=")</f>
        <v>#VALUE!</v>
      </c>
      <c r="BT59" t="e">
        <f>AND(Plan1!I995,"AAAAAH79v0c=")</f>
        <v>#VALUE!</v>
      </c>
      <c r="BU59" t="e">
        <f>AND(Plan1!J995,"AAAAAH79v0g=")</f>
        <v>#VALUE!</v>
      </c>
      <c r="BV59" t="e">
        <f>AND(Plan1!K995,"AAAAAH79v0k=")</f>
        <v>#VALUE!</v>
      </c>
      <c r="BW59" t="e">
        <f>AND(Plan1!L995,"AAAAAH79v0o=")</f>
        <v>#VALUE!</v>
      </c>
      <c r="BX59" t="e">
        <f>AND(Plan1!M995,"AAAAAH79v0s=")</f>
        <v>#VALUE!</v>
      </c>
      <c r="BY59" t="e">
        <f>AND(Plan1!N995,"AAAAAH79v0w=")</f>
        <v>#VALUE!</v>
      </c>
      <c r="BZ59">
        <f>IF(Plan1!996:996,"AAAAAH79v00=",0)</f>
        <v>0</v>
      </c>
      <c r="CA59" t="e">
        <f>AND(Plan1!A996,"AAAAAH79v04=")</f>
        <v>#VALUE!</v>
      </c>
      <c r="CB59" t="e">
        <f>AND(Plan1!B996,"AAAAAH79v08=")</f>
        <v>#VALUE!</v>
      </c>
      <c r="CC59" t="e">
        <f>AND(Plan1!C996,"AAAAAH79v1A=")</f>
        <v>#VALUE!</v>
      </c>
      <c r="CD59" t="e">
        <f>AND(Plan1!D996,"AAAAAH79v1E=")</f>
        <v>#VALUE!</v>
      </c>
      <c r="CE59" t="e">
        <f>AND(Plan1!E996,"AAAAAH79v1I=")</f>
        <v>#VALUE!</v>
      </c>
      <c r="CF59" t="e">
        <f>AND(Plan1!F996,"AAAAAH79v1M=")</f>
        <v>#VALUE!</v>
      </c>
      <c r="CG59" t="e">
        <f>AND(Plan1!G996,"AAAAAH79v1Q=")</f>
        <v>#VALUE!</v>
      </c>
      <c r="CH59" t="e">
        <f>AND(Plan1!H996,"AAAAAH79v1U=")</f>
        <v>#VALUE!</v>
      </c>
      <c r="CI59" t="e">
        <f>AND(Plan1!I996,"AAAAAH79v1Y=")</f>
        <v>#VALUE!</v>
      </c>
      <c r="CJ59" t="e">
        <f>AND(Plan1!J996,"AAAAAH79v1c=")</f>
        <v>#VALUE!</v>
      </c>
      <c r="CK59" t="e">
        <f>AND(Plan1!K996,"AAAAAH79v1g=")</f>
        <v>#VALUE!</v>
      </c>
      <c r="CL59" t="e">
        <f>AND(Plan1!L996,"AAAAAH79v1k=")</f>
        <v>#VALUE!</v>
      </c>
      <c r="CM59" t="e">
        <f>AND(Plan1!M996,"AAAAAH79v1o=")</f>
        <v>#VALUE!</v>
      </c>
      <c r="CN59" t="e">
        <f>AND(Plan1!N996,"AAAAAH79v1s=")</f>
        <v>#VALUE!</v>
      </c>
      <c r="CO59">
        <f>IF(Plan1!997:997,"AAAAAH79v1w=",0)</f>
        <v>0</v>
      </c>
      <c r="CP59" t="e">
        <f>AND(Plan1!A997,"AAAAAH79v10=")</f>
        <v>#VALUE!</v>
      </c>
      <c r="CQ59" t="e">
        <f>AND(Plan1!B997,"AAAAAH79v14=")</f>
        <v>#VALUE!</v>
      </c>
      <c r="CR59" t="e">
        <f>AND(Plan1!C997,"AAAAAH79v18=")</f>
        <v>#VALUE!</v>
      </c>
      <c r="CS59" t="e">
        <f>AND(Plan1!D997,"AAAAAH79v2A=")</f>
        <v>#VALUE!</v>
      </c>
      <c r="CT59" t="e">
        <f>AND(Plan1!E997,"AAAAAH79v2E=")</f>
        <v>#VALUE!</v>
      </c>
      <c r="CU59" t="e">
        <f>AND(Plan1!F997,"AAAAAH79v2I=")</f>
        <v>#VALUE!</v>
      </c>
      <c r="CV59" t="e">
        <f>AND(Plan1!G997,"AAAAAH79v2M=")</f>
        <v>#VALUE!</v>
      </c>
      <c r="CW59" t="e">
        <f>AND(Plan1!H997,"AAAAAH79v2Q=")</f>
        <v>#VALUE!</v>
      </c>
      <c r="CX59" t="e">
        <f>AND(Plan1!I997,"AAAAAH79v2U=")</f>
        <v>#VALUE!</v>
      </c>
      <c r="CY59" t="e">
        <f>AND(Plan1!J997,"AAAAAH79v2Y=")</f>
        <v>#VALUE!</v>
      </c>
      <c r="CZ59" t="e">
        <f>AND(Plan1!K997,"AAAAAH79v2c=")</f>
        <v>#VALUE!</v>
      </c>
      <c r="DA59" t="e">
        <f>AND(Plan1!L997,"AAAAAH79v2g=")</f>
        <v>#VALUE!</v>
      </c>
      <c r="DB59" t="e">
        <f>AND(Plan1!M997,"AAAAAH79v2k=")</f>
        <v>#VALUE!</v>
      </c>
      <c r="DC59" t="e">
        <f>AND(Plan1!N997,"AAAAAH79v2o=")</f>
        <v>#VALUE!</v>
      </c>
      <c r="DD59">
        <f>IF(Plan1!998:998,"AAAAAH79v2s=",0)</f>
        <v>0</v>
      </c>
      <c r="DE59" t="e">
        <f>AND(Plan1!A998,"AAAAAH79v2w=")</f>
        <v>#VALUE!</v>
      </c>
      <c r="DF59" t="e">
        <f>AND(Plan1!B998,"AAAAAH79v20=")</f>
        <v>#VALUE!</v>
      </c>
      <c r="DG59" t="e">
        <f>AND(Plan1!C998,"AAAAAH79v24=")</f>
        <v>#VALUE!</v>
      </c>
      <c r="DH59" t="e">
        <f>AND(Plan1!D998,"AAAAAH79v28=")</f>
        <v>#VALUE!</v>
      </c>
      <c r="DI59" t="e">
        <f>AND(Plan1!E998,"AAAAAH79v3A=")</f>
        <v>#VALUE!</v>
      </c>
      <c r="DJ59" t="e">
        <f>AND(Plan1!F998,"AAAAAH79v3E=")</f>
        <v>#VALUE!</v>
      </c>
      <c r="DK59" t="e">
        <f>AND(Plan1!G998,"AAAAAH79v3I=")</f>
        <v>#VALUE!</v>
      </c>
      <c r="DL59" t="e">
        <f>AND(Plan1!H998,"AAAAAH79v3M=")</f>
        <v>#VALUE!</v>
      </c>
      <c r="DM59" t="e">
        <f>AND(Plan1!I998,"AAAAAH79v3Q=")</f>
        <v>#VALUE!</v>
      </c>
      <c r="DN59" t="e">
        <f>AND(Plan1!J998,"AAAAAH79v3U=")</f>
        <v>#VALUE!</v>
      </c>
      <c r="DO59" t="e">
        <f>AND(Plan1!K998,"AAAAAH79v3Y=")</f>
        <v>#VALUE!</v>
      </c>
      <c r="DP59" t="e">
        <f>AND(Plan1!L998,"AAAAAH79v3c=")</f>
        <v>#VALUE!</v>
      </c>
      <c r="DQ59" t="e">
        <f>AND(Plan1!M998,"AAAAAH79v3g=")</f>
        <v>#VALUE!</v>
      </c>
      <c r="DR59" t="e">
        <f>AND(Plan1!N998,"AAAAAH79v3k=")</f>
        <v>#VALUE!</v>
      </c>
      <c r="DS59">
        <f>IF(Plan1!999:999,"AAAAAH79v3o=",0)</f>
        <v>0</v>
      </c>
      <c r="DT59" t="e">
        <f>AND(Plan1!A999,"AAAAAH79v3s=")</f>
        <v>#VALUE!</v>
      </c>
      <c r="DU59" t="e">
        <f>AND(Plan1!B999,"AAAAAH79v3w=")</f>
        <v>#VALUE!</v>
      </c>
      <c r="DV59" t="e">
        <f>AND(Plan1!C999,"AAAAAH79v30=")</f>
        <v>#VALUE!</v>
      </c>
      <c r="DW59" t="e">
        <f>AND(Plan1!D999,"AAAAAH79v34=")</f>
        <v>#VALUE!</v>
      </c>
      <c r="DX59" t="e">
        <f>AND(Plan1!E999,"AAAAAH79v38=")</f>
        <v>#VALUE!</v>
      </c>
      <c r="DY59" t="e">
        <f>AND(Plan1!F999,"AAAAAH79v4A=")</f>
        <v>#VALUE!</v>
      </c>
      <c r="DZ59" t="e">
        <f>AND(Plan1!G999,"AAAAAH79v4E=")</f>
        <v>#VALUE!</v>
      </c>
      <c r="EA59" t="e">
        <f>AND(Plan1!H999,"AAAAAH79v4I=")</f>
        <v>#VALUE!</v>
      </c>
      <c r="EB59" t="e">
        <f>AND(Plan1!I999,"AAAAAH79v4M=")</f>
        <v>#VALUE!</v>
      </c>
      <c r="EC59" t="e">
        <f>AND(Plan1!J999,"AAAAAH79v4Q=")</f>
        <v>#VALUE!</v>
      </c>
      <c r="ED59" t="e">
        <f>AND(Plan1!K999,"AAAAAH79v4U=")</f>
        <v>#VALUE!</v>
      </c>
      <c r="EE59" t="e">
        <f>AND(Plan1!L999,"AAAAAH79v4Y=")</f>
        <v>#VALUE!</v>
      </c>
      <c r="EF59" t="e">
        <f>AND(Plan1!M999,"AAAAAH79v4c=")</f>
        <v>#VALUE!</v>
      </c>
      <c r="EG59" t="e">
        <f>AND(Plan1!N999,"AAAAAH79v4g=")</f>
        <v>#VALUE!</v>
      </c>
      <c r="EH59">
        <f>IF(Plan1!1000:1000,"AAAAAH79v4k=",0)</f>
        <v>0</v>
      </c>
      <c r="EI59" t="e">
        <f>AND(Plan1!A1000,"AAAAAH79v4o=")</f>
        <v>#VALUE!</v>
      </c>
      <c r="EJ59" t="e">
        <f>AND(Plan1!B1000,"AAAAAH79v4s=")</f>
        <v>#VALUE!</v>
      </c>
      <c r="EK59" t="e">
        <f>AND(Plan1!C1000,"AAAAAH79v4w=")</f>
        <v>#VALUE!</v>
      </c>
      <c r="EL59" t="e">
        <f>AND(Plan1!D1000,"AAAAAH79v40=")</f>
        <v>#VALUE!</v>
      </c>
      <c r="EM59" t="e">
        <f>AND(Plan1!E1000,"AAAAAH79v44=")</f>
        <v>#VALUE!</v>
      </c>
      <c r="EN59" t="e">
        <f>AND(Plan1!F1000,"AAAAAH79v48=")</f>
        <v>#VALUE!</v>
      </c>
      <c r="EO59" t="e">
        <f>AND(Plan1!G1000,"AAAAAH79v5A=")</f>
        <v>#VALUE!</v>
      </c>
      <c r="EP59" t="e">
        <f>AND(Plan1!H1000,"AAAAAH79v5E=")</f>
        <v>#VALUE!</v>
      </c>
      <c r="EQ59" t="e">
        <f>AND(Plan1!I1000,"AAAAAH79v5I=")</f>
        <v>#VALUE!</v>
      </c>
      <c r="ER59" t="e">
        <f>AND(Plan1!J1000,"AAAAAH79v5M=")</f>
        <v>#VALUE!</v>
      </c>
      <c r="ES59" t="e">
        <f>AND(Plan1!K1000,"AAAAAH79v5Q=")</f>
        <v>#VALUE!</v>
      </c>
      <c r="ET59" t="e">
        <f>AND(Plan1!L1000,"AAAAAH79v5U=")</f>
        <v>#VALUE!</v>
      </c>
      <c r="EU59" t="e">
        <f>AND(Plan1!M1000,"AAAAAH79v5Y=")</f>
        <v>#VALUE!</v>
      </c>
      <c r="EV59" t="e">
        <f>AND(Plan1!N1000,"AAAAAH79v5c=")</f>
        <v>#VALUE!</v>
      </c>
      <c r="EW59">
        <f>IF(Plan1!1001:1001,"AAAAAH79v5g=",0)</f>
        <v>0</v>
      </c>
      <c r="EX59" t="e">
        <f>AND(Plan1!A1001,"AAAAAH79v5k=")</f>
        <v>#VALUE!</v>
      </c>
      <c r="EY59" t="e">
        <f>AND(Plan1!B1001,"AAAAAH79v5o=")</f>
        <v>#VALUE!</v>
      </c>
      <c r="EZ59" t="e">
        <f>AND(Plan1!C1001,"AAAAAH79v5s=")</f>
        <v>#VALUE!</v>
      </c>
      <c r="FA59" t="e">
        <f>AND(Plan1!D1001,"AAAAAH79v5w=")</f>
        <v>#VALUE!</v>
      </c>
      <c r="FB59" t="e">
        <f>AND(Plan1!E1001,"AAAAAH79v50=")</f>
        <v>#VALUE!</v>
      </c>
      <c r="FC59" t="e">
        <f>AND(Plan1!F1001,"AAAAAH79v54=")</f>
        <v>#VALUE!</v>
      </c>
      <c r="FD59" t="e">
        <f>AND(Plan1!G1001,"AAAAAH79v58=")</f>
        <v>#VALUE!</v>
      </c>
      <c r="FE59" t="e">
        <f>AND(Plan1!H1001,"AAAAAH79v6A=")</f>
        <v>#VALUE!</v>
      </c>
      <c r="FF59" t="e">
        <f>AND(Plan1!I1001,"AAAAAH79v6E=")</f>
        <v>#VALUE!</v>
      </c>
      <c r="FG59" t="e">
        <f>AND(Plan1!J1001,"AAAAAH79v6I=")</f>
        <v>#VALUE!</v>
      </c>
      <c r="FH59" t="e">
        <f>AND(Plan1!K1001,"AAAAAH79v6M=")</f>
        <v>#VALUE!</v>
      </c>
      <c r="FI59" t="e">
        <f>AND(Plan1!L1001,"AAAAAH79v6Q=")</f>
        <v>#VALUE!</v>
      </c>
      <c r="FJ59" t="e">
        <f>AND(Plan1!M1001,"AAAAAH79v6U=")</f>
        <v>#VALUE!</v>
      </c>
      <c r="FK59" t="e">
        <f>AND(Plan1!N1001,"AAAAAH79v6Y=")</f>
        <v>#VALUE!</v>
      </c>
      <c r="FL59">
        <f>IF(Plan1!1002:1002,"AAAAAH79v6c=",0)</f>
        <v>0</v>
      </c>
      <c r="FM59" t="e">
        <f>AND(Plan1!A1002,"AAAAAH79v6g=")</f>
        <v>#VALUE!</v>
      </c>
      <c r="FN59" t="e">
        <f>AND(Plan1!B1002,"AAAAAH79v6k=")</f>
        <v>#VALUE!</v>
      </c>
      <c r="FO59" t="e">
        <f>AND(Plan1!C1002,"AAAAAH79v6o=")</f>
        <v>#VALUE!</v>
      </c>
      <c r="FP59" t="e">
        <f>AND(Plan1!D1002,"AAAAAH79v6s=")</f>
        <v>#VALUE!</v>
      </c>
      <c r="FQ59" t="e">
        <f>AND(Plan1!E1002,"AAAAAH79v6w=")</f>
        <v>#VALUE!</v>
      </c>
      <c r="FR59" t="e">
        <f>AND(Plan1!F1002,"AAAAAH79v60=")</f>
        <v>#VALUE!</v>
      </c>
      <c r="FS59" t="e">
        <f>AND(Plan1!G1002,"AAAAAH79v64=")</f>
        <v>#VALUE!</v>
      </c>
      <c r="FT59" t="e">
        <f>AND(Plan1!H1002,"AAAAAH79v68=")</f>
        <v>#VALUE!</v>
      </c>
      <c r="FU59" t="e">
        <f>AND(Plan1!I1002,"AAAAAH79v7A=")</f>
        <v>#VALUE!</v>
      </c>
      <c r="FV59" t="e">
        <f>AND(Plan1!J1002,"AAAAAH79v7E=")</f>
        <v>#VALUE!</v>
      </c>
      <c r="FW59" t="e">
        <f>AND(Plan1!K1002,"AAAAAH79v7I=")</f>
        <v>#VALUE!</v>
      </c>
      <c r="FX59" t="e">
        <f>AND(Plan1!L1002,"AAAAAH79v7M=")</f>
        <v>#VALUE!</v>
      </c>
      <c r="FY59" t="e">
        <f>AND(Plan1!M1002,"AAAAAH79v7Q=")</f>
        <v>#VALUE!</v>
      </c>
      <c r="FZ59" t="e">
        <f>AND(Plan1!N1002,"AAAAAH79v7U=")</f>
        <v>#VALUE!</v>
      </c>
      <c r="GA59">
        <f>IF(Plan1!1003:1003,"AAAAAH79v7Y=",0)</f>
        <v>0</v>
      </c>
      <c r="GB59" t="e">
        <f>AND(Plan1!A1003,"AAAAAH79v7c=")</f>
        <v>#VALUE!</v>
      </c>
      <c r="GC59" t="e">
        <f>AND(Plan1!B1003,"AAAAAH79v7g=")</f>
        <v>#VALUE!</v>
      </c>
      <c r="GD59" t="e">
        <f>AND(Plan1!C1003,"AAAAAH79v7k=")</f>
        <v>#VALUE!</v>
      </c>
      <c r="GE59" t="e">
        <f>AND(Plan1!D1003,"AAAAAH79v7o=")</f>
        <v>#VALUE!</v>
      </c>
      <c r="GF59" t="e">
        <f>AND(Plan1!E1003,"AAAAAH79v7s=")</f>
        <v>#VALUE!</v>
      </c>
      <c r="GG59" t="e">
        <f>AND(Plan1!F1003,"AAAAAH79v7w=")</f>
        <v>#VALUE!</v>
      </c>
      <c r="GH59" t="e">
        <f>AND(Plan1!G1003,"AAAAAH79v70=")</f>
        <v>#VALUE!</v>
      </c>
      <c r="GI59" t="e">
        <f>AND(Plan1!H1003,"AAAAAH79v74=")</f>
        <v>#VALUE!</v>
      </c>
      <c r="GJ59" t="e">
        <f>AND(Plan1!I1003,"AAAAAH79v78=")</f>
        <v>#VALUE!</v>
      </c>
      <c r="GK59" t="e">
        <f>AND(Plan1!J1003,"AAAAAH79v8A=")</f>
        <v>#VALUE!</v>
      </c>
      <c r="GL59" t="e">
        <f>AND(Plan1!K1003,"AAAAAH79v8E=")</f>
        <v>#VALUE!</v>
      </c>
      <c r="GM59" t="e">
        <f>AND(Plan1!L1003,"AAAAAH79v8I=")</f>
        <v>#VALUE!</v>
      </c>
      <c r="GN59" t="e">
        <f>AND(Plan1!M1003,"AAAAAH79v8M=")</f>
        <v>#VALUE!</v>
      </c>
      <c r="GO59" t="e">
        <f>AND(Plan1!N1003,"AAAAAH79v8Q=")</f>
        <v>#VALUE!</v>
      </c>
      <c r="GP59">
        <f>IF(Plan1!1004:1004,"AAAAAH79v8U=",0)</f>
        <v>0</v>
      </c>
      <c r="GQ59" t="e">
        <f>AND(Plan1!A1004,"AAAAAH79v8Y=")</f>
        <v>#VALUE!</v>
      </c>
      <c r="GR59" t="e">
        <f>AND(Plan1!B1004,"AAAAAH79v8c=")</f>
        <v>#VALUE!</v>
      </c>
      <c r="GS59" t="e">
        <f>AND(Plan1!C1004,"AAAAAH79v8g=")</f>
        <v>#VALUE!</v>
      </c>
      <c r="GT59" t="e">
        <f>AND(Plan1!D1004,"AAAAAH79v8k=")</f>
        <v>#VALUE!</v>
      </c>
      <c r="GU59" t="e">
        <f>AND(Plan1!E1004,"AAAAAH79v8o=")</f>
        <v>#VALUE!</v>
      </c>
      <c r="GV59" t="e">
        <f>AND(Plan1!F1004,"AAAAAH79v8s=")</f>
        <v>#VALUE!</v>
      </c>
      <c r="GW59" t="e">
        <f>AND(Plan1!G1004,"AAAAAH79v8w=")</f>
        <v>#VALUE!</v>
      </c>
      <c r="GX59" t="e">
        <f>AND(Plan1!H1004,"AAAAAH79v80=")</f>
        <v>#VALUE!</v>
      </c>
      <c r="GY59" t="e">
        <f>AND(Plan1!I1004,"AAAAAH79v84=")</f>
        <v>#VALUE!</v>
      </c>
      <c r="GZ59" t="e">
        <f>AND(Plan1!J1004,"AAAAAH79v88=")</f>
        <v>#VALUE!</v>
      </c>
      <c r="HA59" t="e">
        <f>AND(Plan1!K1004,"AAAAAH79v9A=")</f>
        <v>#VALUE!</v>
      </c>
      <c r="HB59" t="e">
        <f>AND(Plan1!L1004,"AAAAAH79v9E=")</f>
        <v>#VALUE!</v>
      </c>
      <c r="HC59" t="e">
        <f>AND(Plan1!M1004,"AAAAAH79v9I=")</f>
        <v>#VALUE!</v>
      </c>
      <c r="HD59" t="e">
        <f>AND(Plan1!N1004,"AAAAAH79v9M=")</f>
        <v>#VALUE!</v>
      </c>
      <c r="HE59">
        <f>IF(Plan1!1005:1005,"AAAAAH79v9Q=",0)</f>
        <v>0</v>
      </c>
      <c r="HF59" t="e">
        <f>AND(Plan1!A1005,"AAAAAH79v9U=")</f>
        <v>#VALUE!</v>
      </c>
      <c r="HG59" t="e">
        <f>AND(Plan1!B1005,"AAAAAH79v9Y=")</f>
        <v>#VALUE!</v>
      </c>
      <c r="HH59" t="e">
        <f>AND(Plan1!C1005,"AAAAAH79v9c=")</f>
        <v>#VALUE!</v>
      </c>
      <c r="HI59" t="e">
        <f>AND(Plan1!D1005,"AAAAAH79v9g=")</f>
        <v>#VALUE!</v>
      </c>
      <c r="HJ59" t="e">
        <f>AND(Plan1!E1005,"AAAAAH79v9k=")</f>
        <v>#VALUE!</v>
      </c>
      <c r="HK59" t="e">
        <f>AND(Plan1!F1005,"AAAAAH79v9o=")</f>
        <v>#VALUE!</v>
      </c>
      <c r="HL59" t="e">
        <f>AND(Plan1!G1005,"AAAAAH79v9s=")</f>
        <v>#VALUE!</v>
      </c>
      <c r="HM59" t="e">
        <f>AND(Plan1!H1005,"AAAAAH79v9w=")</f>
        <v>#VALUE!</v>
      </c>
      <c r="HN59" t="e">
        <f>AND(Plan1!I1005,"AAAAAH79v90=")</f>
        <v>#VALUE!</v>
      </c>
      <c r="HO59" t="e">
        <f>AND(Plan1!J1005,"AAAAAH79v94=")</f>
        <v>#VALUE!</v>
      </c>
      <c r="HP59" t="e">
        <f>AND(Plan1!K1005,"AAAAAH79v98=")</f>
        <v>#VALUE!</v>
      </c>
      <c r="HQ59" t="e">
        <f>AND(Plan1!L1005,"AAAAAH79v+A=")</f>
        <v>#VALUE!</v>
      </c>
      <c r="HR59" t="e">
        <f>AND(Plan1!M1005,"AAAAAH79v+E=")</f>
        <v>#VALUE!</v>
      </c>
      <c r="HS59" t="e">
        <f>AND(Plan1!N1005,"AAAAAH79v+I=")</f>
        <v>#VALUE!</v>
      </c>
      <c r="HT59">
        <f>IF(Plan1!1006:1006,"AAAAAH79v+M=",0)</f>
        <v>0</v>
      </c>
      <c r="HU59" t="e">
        <f>AND(Plan1!A1006,"AAAAAH79v+Q=")</f>
        <v>#VALUE!</v>
      </c>
      <c r="HV59" t="e">
        <f>AND(Plan1!B1006,"AAAAAH79v+U=")</f>
        <v>#VALUE!</v>
      </c>
      <c r="HW59" t="e">
        <f>AND(Plan1!C1006,"AAAAAH79v+Y=")</f>
        <v>#VALUE!</v>
      </c>
      <c r="HX59" t="e">
        <f>AND(Plan1!D1006,"AAAAAH79v+c=")</f>
        <v>#VALUE!</v>
      </c>
      <c r="HY59" t="e">
        <f>AND(Plan1!E1006,"AAAAAH79v+g=")</f>
        <v>#VALUE!</v>
      </c>
      <c r="HZ59" t="e">
        <f>AND(Plan1!F1006,"AAAAAH79v+k=")</f>
        <v>#VALUE!</v>
      </c>
      <c r="IA59" t="e">
        <f>AND(Plan1!G1006,"AAAAAH79v+o=")</f>
        <v>#VALUE!</v>
      </c>
      <c r="IB59" t="e">
        <f>AND(Plan1!H1006,"AAAAAH79v+s=")</f>
        <v>#VALUE!</v>
      </c>
      <c r="IC59" t="e">
        <f>AND(Plan1!I1006,"AAAAAH79v+w=")</f>
        <v>#VALUE!</v>
      </c>
      <c r="ID59" t="e">
        <f>AND(Plan1!J1006,"AAAAAH79v+0=")</f>
        <v>#VALUE!</v>
      </c>
      <c r="IE59" t="e">
        <f>AND(Plan1!K1006,"AAAAAH79v+4=")</f>
        <v>#VALUE!</v>
      </c>
      <c r="IF59" t="e">
        <f>AND(Plan1!L1006,"AAAAAH79v+8=")</f>
        <v>#VALUE!</v>
      </c>
      <c r="IG59" t="e">
        <f>AND(Plan1!M1006,"AAAAAH79v/A=")</f>
        <v>#VALUE!</v>
      </c>
      <c r="IH59" t="e">
        <f>AND(Plan1!N1006,"AAAAAH79v/E=")</f>
        <v>#VALUE!</v>
      </c>
      <c r="II59">
        <f>IF(Plan1!1007:1007,"AAAAAH79v/I=",0)</f>
        <v>0</v>
      </c>
      <c r="IJ59" t="e">
        <f>AND(Plan1!A1007,"AAAAAH79v/M=")</f>
        <v>#VALUE!</v>
      </c>
      <c r="IK59" t="e">
        <f>AND(Plan1!B1007,"AAAAAH79v/Q=")</f>
        <v>#VALUE!</v>
      </c>
      <c r="IL59" t="e">
        <f>AND(Plan1!C1007,"AAAAAH79v/U=")</f>
        <v>#VALUE!</v>
      </c>
      <c r="IM59" t="e">
        <f>AND(Plan1!D1007,"AAAAAH79v/Y=")</f>
        <v>#VALUE!</v>
      </c>
      <c r="IN59" t="e">
        <f>AND(Plan1!E1007,"AAAAAH79v/c=")</f>
        <v>#VALUE!</v>
      </c>
      <c r="IO59" t="e">
        <f>AND(Plan1!F1007,"AAAAAH79v/g=")</f>
        <v>#VALUE!</v>
      </c>
      <c r="IP59" t="e">
        <f>AND(Plan1!G1007,"AAAAAH79v/k=")</f>
        <v>#VALUE!</v>
      </c>
      <c r="IQ59" t="e">
        <f>AND(Plan1!H1007,"AAAAAH79v/o=")</f>
        <v>#VALUE!</v>
      </c>
      <c r="IR59" t="e">
        <f>AND(Plan1!I1007,"AAAAAH79v/s=")</f>
        <v>#VALUE!</v>
      </c>
      <c r="IS59" t="e">
        <f>AND(Plan1!J1007,"AAAAAH79v/w=")</f>
        <v>#VALUE!</v>
      </c>
      <c r="IT59" t="e">
        <f>AND(Plan1!K1007,"AAAAAH79v/0=")</f>
        <v>#VALUE!</v>
      </c>
      <c r="IU59" t="e">
        <f>AND(Plan1!L1007,"AAAAAH79v/4=")</f>
        <v>#VALUE!</v>
      </c>
      <c r="IV59" t="e">
        <f>AND(Plan1!M1007,"AAAAAH79v/8=")</f>
        <v>#VALUE!</v>
      </c>
    </row>
    <row r="60" spans="1:256">
      <c r="A60" t="e">
        <f>AND(Plan1!N1007,"AAAAAF953wA=")</f>
        <v>#VALUE!</v>
      </c>
      <c r="B60" t="e">
        <f>IF(Plan1!1008:1008,"AAAAAF953wE=",0)</f>
        <v>#VALUE!</v>
      </c>
      <c r="C60" t="e">
        <f>AND(Plan1!A1008,"AAAAAF953wI=")</f>
        <v>#VALUE!</v>
      </c>
      <c r="D60" t="e">
        <f>AND(Plan1!B1008,"AAAAAF953wM=")</f>
        <v>#VALUE!</v>
      </c>
      <c r="E60" t="e">
        <f>AND(Plan1!C1008,"AAAAAF953wQ=")</f>
        <v>#VALUE!</v>
      </c>
      <c r="F60" t="e">
        <f>AND(Plan1!D1008,"AAAAAF953wU=")</f>
        <v>#VALUE!</v>
      </c>
      <c r="G60" t="e">
        <f>AND(Plan1!E1008,"AAAAAF953wY=")</f>
        <v>#VALUE!</v>
      </c>
      <c r="H60" t="e">
        <f>AND(Plan1!F1008,"AAAAAF953wc=")</f>
        <v>#VALUE!</v>
      </c>
      <c r="I60" t="e">
        <f>AND(Plan1!G1008,"AAAAAF953wg=")</f>
        <v>#VALUE!</v>
      </c>
      <c r="J60" t="e">
        <f>AND(Plan1!H1008,"AAAAAF953wk=")</f>
        <v>#VALUE!</v>
      </c>
      <c r="K60" t="e">
        <f>AND(Plan1!I1008,"AAAAAF953wo=")</f>
        <v>#VALUE!</v>
      </c>
      <c r="L60" t="e">
        <f>AND(Plan1!J1008,"AAAAAF953ws=")</f>
        <v>#VALUE!</v>
      </c>
      <c r="M60" t="e">
        <f>AND(Plan1!K1008,"AAAAAF953ww=")</f>
        <v>#VALUE!</v>
      </c>
      <c r="N60" t="e">
        <f>AND(Plan1!L1008,"AAAAAF953w0=")</f>
        <v>#VALUE!</v>
      </c>
      <c r="O60" t="e">
        <f>AND(Plan1!M1008,"AAAAAF953w4=")</f>
        <v>#VALUE!</v>
      </c>
      <c r="P60" t="e">
        <f>AND(Plan1!N1008,"AAAAAF953w8=")</f>
        <v>#VALUE!</v>
      </c>
      <c r="Q60">
        <f>IF(Plan1!1009:1009,"AAAAAF953xA=",0)</f>
        <v>0</v>
      </c>
      <c r="R60" t="e">
        <f>AND(Plan1!A1009,"AAAAAF953xE=")</f>
        <v>#VALUE!</v>
      </c>
      <c r="S60" t="e">
        <f>AND(Plan1!B1009,"AAAAAF953xI=")</f>
        <v>#VALUE!</v>
      </c>
      <c r="T60" t="e">
        <f>AND(Plan1!C1009,"AAAAAF953xM=")</f>
        <v>#VALUE!</v>
      </c>
      <c r="U60" t="e">
        <f>AND(Plan1!D1009,"AAAAAF953xQ=")</f>
        <v>#VALUE!</v>
      </c>
      <c r="V60" t="e">
        <f>AND(Plan1!E1009,"AAAAAF953xU=")</f>
        <v>#VALUE!</v>
      </c>
      <c r="W60" t="e">
        <f>AND(Plan1!F1009,"AAAAAF953xY=")</f>
        <v>#VALUE!</v>
      </c>
      <c r="X60" t="e">
        <f>AND(Plan1!G1009,"AAAAAF953xc=")</f>
        <v>#VALUE!</v>
      </c>
      <c r="Y60" t="e">
        <f>AND(Plan1!H1009,"AAAAAF953xg=")</f>
        <v>#VALUE!</v>
      </c>
      <c r="Z60" t="e">
        <f>AND(Plan1!I1009,"AAAAAF953xk=")</f>
        <v>#VALUE!</v>
      </c>
      <c r="AA60" t="e">
        <f>AND(Plan1!J1009,"AAAAAF953xo=")</f>
        <v>#VALUE!</v>
      </c>
      <c r="AB60" t="e">
        <f>AND(Plan1!K1009,"AAAAAF953xs=")</f>
        <v>#VALUE!</v>
      </c>
      <c r="AC60" t="e">
        <f>AND(Plan1!L1009,"AAAAAF953xw=")</f>
        <v>#VALUE!</v>
      </c>
      <c r="AD60" t="e">
        <f>AND(Plan1!M1009,"AAAAAF953x0=")</f>
        <v>#VALUE!</v>
      </c>
      <c r="AE60" t="e">
        <f>AND(Plan1!N1009,"AAAAAF953x4=")</f>
        <v>#VALUE!</v>
      </c>
      <c r="AF60">
        <f>IF(Plan1!1010:1010,"AAAAAF953x8=",0)</f>
        <v>0</v>
      </c>
      <c r="AG60" t="e">
        <f>AND(Plan1!A1010,"AAAAAF953yA=")</f>
        <v>#VALUE!</v>
      </c>
      <c r="AH60" t="e">
        <f>AND(Plan1!B1010,"AAAAAF953yE=")</f>
        <v>#VALUE!</v>
      </c>
      <c r="AI60" t="e">
        <f>AND(Plan1!C1010,"AAAAAF953yI=")</f>
        <v>#VALUE!</v>
      </c>
      <c r="AJ60" t="e">
        <f>AND(Plan1!D1010,"AAAAAF953yM=")</f>
        <v>#VALUE!</v>
      </c>
      <c r="AK60" t="e">
        <f>AND(Plan1!E1010,"AAAAAF953yQ=")</f>
        <v>#VALUE!</v>
      </c>
      <c r="AL60" t="e">
        <f>AND(Plan1!F1010,"AAAAAF953yU=")</f>
        <v>#VALUE!</v>
      </c>
      <c r="AM60" t="e">
        <f>AND(Plan1!G1010,"AAAAAF953yY=")</f>
        <v>#VALUE!</v>
      </c>
      <c r="AN60" t="e">
        <f>AND(Plan1!H1010,"AAAAAF953yc=")</f>
        <v>#VALUE!</v>
      </c>
      <c r="AO60" t="e">
        <f>AND(Plan1!I1010,"AAAAAF953yg=")</f>
        <v>#VALUE!</v>
      </c>
      <c r="AP60" t="e">
        <f>AND(Plan1!J1010,"AAAAAF953yk=")</f>
        <v>#VALUE!</v>
      </c>
      <c r="AQ60" t="e">
        <f>AND(Plan1!K1010,"AAAAAF953yo=")</f>
        <v>#VALUE!</v>
      </c>
      <c r="AR60" t="e">
        <f>AND(Plan1!L1010,"AAAAAF953ys=")</f>
        <v>#VALUE!</v>
      </c>
      <c r="AS60" t="e">
        <f>AND(Plan1!M1010,"AAAAAF953yw=")</f>
        <v>#VALUE!</v>
      </c>
      <c r="AT60" t="e">
        <f>AND(Plan1!N1010,"AAAAAF953y0=")</f>
        <v>#VALUE!</v>
      </c>
      <c r="AU60">
        <f>IF(Plan1!1011:1011,"AAAAAF953y4=",0)</f>
        <v>0</v>
      </c>
      <c r="AV60" t="e">
        <f>AND(Plan1!A1011,"AAAAAF953y8=")</f>
        <v>#VALUE!</v>
      </c>
      <c r="AW60" t="e">
        <f>AND(Plan1!B1011,"AAAAAF953zA=")</f>
        <v>#VALUE!</v>
      </c>
      <c r="AX60" t="e">
        <f>AND(Plan1!C1011,"AAAAAF953zE=")</f>
        <v>#VALUE!</v>
      </c>
      <c r="AY60" t="e">
        <f>AND(Plan1!D1011,"AAAAAF953zI=")</f>
        <v>#VALUE!</v>
      </c>
      <c r="AZ60" t="e">
        <f>AND(Plan1!E1011,"AAAAAF953zM=")</f>
        <v>#VALUE!</v>
      </c>
      <c r="BA60" t="e">
        <f>AND(Plan1!F1011,"AAAAAF953zQ=")</f>
        <v>#VALUE!</v>
      </c>
      <c r="BB60" t="e">
        <f>AND(Plan1!G1011,"AAAAAF953zU=")</f>
        <v>#VALUE!</v>
      </c>
      <c r="BC60" t="e">
        <f>AND(Plan1!H1011,"AAAAAF953zY=")</f>
        <v>#VALUE!</v>
      </c>
      <c r="BD60" t="e">
        <f>AND(Plan1!I1011,"AAAAAF953zc=")</f>
        <v>#VALUE!</v>
      </c>
      <c r="BE60" t="e">
        <f>AND(Plan1!J1011,"AAAAAF953zg=")</f>
        <v>#VALUE!</v>
      </c>
      <c r="BF60" t="e">
        <f>AND(Plan1!K1011,"AAAAAF953zk=")</f>
        <v>#VALUE!</v>
      </c>
      <c r="BG60" t="e">
        <f>AND(Plan1!L1011,"AAAAAF953zo=")</f>
        <v>#VALUE!</v>
      </c>
      <c r="BH60" t="e">
        <f>AND(Plan1!M1011,"AAAAAF953zs=")</f>
        <v>#VALUE!</v>
      </c>
      <c r="BI60" t="e">
        <f>AND(Plan1!N1011,"AAAAAF953zw=")</f>
        <v>#VALUE!</v>
      </c>
      <c r="BJ60">
        <f>IF(Plan1!1012:1012,"AAAAAF953z0=",0)</f>
        <v>0</v>
      </c>
      <c r="BK60" t="e">
        <f>AND(Plan1!A1012,"AAAAAF953z4=")</f>
        <v>#VALUE!</v>
      </c>
      <c r="BL60" t="e">
        <f>AND(Plan1!B1012,"AAAAAF953z8=")</f>
        <v>#VALUE!</v>
      </c>
      <c r="BM60" t="e">
        <f>AND(Plan1!C1012,"AAAAAF9530A=")</f>
        <v>#VALUE!</v>
      </c>
      <c r="BN60" t="e">
        <f>AND(Plan1!D1012,"AAAAAF9530E=")</f>
        <v>#VALUE!</v>
      </c>
      <c r="BO60" t="e">
        <f>AND(Plan1!E1012,"AAAAAF9530I=")</f>
        <v>#VALUE!</v>
      </c>
      <c r="BP60" t="e">
        <f>AND(Plan1!F1012,"AAAAAF9530M=")</f>
        <v>#VALUE!</v>
      </c>
      <c r="BQ60" t="e">
        <f>AND(Plan1!G1012,"AAAAAF9530Q=")</f>
        <v>#VALUE!</v>
      </c>
      <c r="BR60" t="e">
        <f>AND(Plan1!H1012,"AAAAAF9530U=")</f>
        <v>#VALUE!</v>
      </c>
      <c r="BS60" t="e">
        <f>AND(Plan1!I1012,"AAAAAF9530Y=")</f>
        <v>#VALUE!</v>
      </c>
      <c r="BT60" t="e">
        <f>AND(Plan1!J1012,"AAAAAF9530c=")</f>
        <v>#VALUE!</v>
      </c>
      <c r="BU60" t="e">
        <f>AND(Plan1!K1012,"AAAAAF9530g=")</f>
        <v>#VALUE!</v>
      </c>
      <c r="BV60" t="e">
        <f>AND(Plan1!L1012,"AAAAAF9530k=")</f>
        <v>#VALUE!</v>
      </c>
      <c r="BW60" t="e">
        <f>AND(Plan1!M1012,"AAAAAF9530o=")</f>
        <v>#VALUE!</v>
      </c>
      <c r="BX60" t="e">
        <f>AND(Plan1!N1012,"AAAAAF9530s=")</f>
        <v>#VALUE!</v>
      </c>
      <c r="BY60">
        <f>IF(Plan1!1013:1013,"AAAAAF9530w=",0)</f>
        <v>0</v>
      </c>
      <c r="BZ60" t="e">
        <f>AND(Plan1!A1013,"AAAAAF95300=")</f>
        <v>#VALUE!</v>
      </c>
      <c r="CA60" t="e">
        <f>AND(Plan1!B1013,"AAAAAF95304=")</f>
        <v>#VALUE!</v>
      </c>
      <c r="CB60" t="e">
        <f>AND(Plan1!C1013,"AAAAAF95308=")</f>
        <v>#VALUE!</v>
      </c>
      <c r="CC60" t="e">
        <f>AND(Plan1!D1013,"AAAAAF9531A=")</f>
        <v>#VALUE!</v>
      </c>
      <c r="CD60" t="e">
        <f>AND(Plan1!E1013,"AAAAAF9531E=")</f>
        <v>#VALUE!</v>
      </c>
      <c r="CE60" t="e">
        <f>AND(Plan1!F1013,"AAAAAF9531I=")</f>
        <v>#VALUE!</v>
      </c>
      <c r="CF60" t="e">
        <f>AND(Plan1!G1013,"AAAAAF9531M=")</f>
        <v>#VALUE!</v>
      </c>
      <c r="CG60" t="e">
        <f>AND(Plan1!H1013,"AAAAAF9531Q=")</f>
        <v>#VALUE!</v>
      </c>
      <c r="CH60" t="e">
        <f>AND(Plan1!I1013,"AAAAAF9531U=")</f>
        <v>#VALUE!</v>
      </c>
      <c r="CI60" t="e">
        <f>AND(Plan1!J1013,"AAAAAF9531Y=")</f>
        <v>#VALUE!</v>
      </c>
      <c r="CJ60" t="e">
        <f>AND(Plan1!K1013,"AAAAAF9531c=")</f>
        <v>#VALUE!</v>
      </c>
      <c r="CK60" t="e">
        <f>AND(Plan1!L1013,"AAAAAF9531g=")</f>
        <v>#VALUE!</v>
      </c>
      <c r="CL60" t="e">
        <f>AND(Plan1!M1013,"AAAAAF9531k=")</f>
        <v>#VALUE!</v>
      </c>
      <c r="CM60" t="e">
        <f>AND(Plan1!N1013,"AAAAAF9531o=")</f>
        <v>#VALUE!</v>
      </c>
      <c r="CN60">
        <f>IF(Plan1!1014:1014,"AAAAAF9531s=",0)</f>
        <v>0</v>
      </c>
      <c r="CO60" t="e">
        <f>AND(Plan1!A1014,"AAAAAF9531w=")</f>
        <v>#VALUE!</v>
      </c>
      <c r="CP60" t="e">
        <f>AND(Plan1!B1014,"AAAAAF95310=")</f>
        <v>#VALUE!</v>
      </c>
      <c r="CQ60" t="e">
        <f>AND(Plan1!C1014,"AAAAAF95314=")</f>
        <v>#VALUE!</v>
      </c>
      <c r="CR60" t="e">
        <f>AND(Plan1!D1014,"AAAAAF95318=")</f>
        <v>#VALUE!</v>
      </c>
      <c r="CS60" t="e">
        <f>AND(Plan1!E1014,"AAAAAF9532A=")</f>
        <v>#VALUE!</v>
      </c>
      <c r="CT60" t="e">
        <f>AND(Plan1!F1014,"AAAAAF9532E=")</f>
        <v>#VALUE!</v>
      </c>
      <c r="CU60" t="e">
        <f>AND(Plan1!G1014,"AAAAAF9532I=")</f>
        <v>#VALUE!</v>
      </c>
      <c r="CV60" t="e">
        <f>AND(Plan1!H1014,"AAAAAF9532M=")</f>
        <v>#VALUE!</v>
      </c>
      <c r="CW60" t="e">
        <f>AND(Plan1!I1014,"AAAAAF9532Q=")</f>
        <v>#VALUE!</v>
      </c>
      <c r="CX60" t="e">
        <f>AND(Plan1!J1014,"AAAAAF9532U=")</f>
        <v>#VALUE!</v>
      </c>
      <c r="CY60" t="e">
        <f>AND(Plan1!K1014,"AAAAAF9532Y=")</f>
        <v>#VALUE!</v>
      </c>
      <c r="CZ60" t="e">
        <f>AND(Plan1!L1014,"AAAAAF9532c=")</f>
        <v>#VALUE!</v>
      </c>
      <c r="DA60" t="e">
        <f>AND(Plan1!M1014,"AAAAAF9532g=")</f>
        <v>#VALUE!</v>
      </c>
      <c r="DB60" t="e">
        <f>AND(Plan1!N1014,"AAAAAF9532k=")</f>
        <v>#VALUE!</v>
      </c>
      <c r="DC60">
        <f>IF(Plan1!1015:1015,"AAAAAF9532o=",0)</f>
        <v>0</v>
      </c>
      <c r="DD60" t="e">
        <f>AND(Plan1!A1015,"AAAAAF9532s=")</f>
        <v>#VALUE!</v>
      </c>
      <c r="DE60" t="e">
        <f>AND(Plan1!B1015,"AAAAAF9532w=")</f>
        <v>#VALUE!</v>
      </c>
      <c r="DF60" t="e">
        <f>AND(Plan1!C1015,"AAAAAF95320=")</f>
        <v>#VALUE!</v>
      </c>
      <c r="DG60" t="e">
        <f>AND(Plan1!D1015,"AAAAAF95324=")</f>
        <v>#VALUE!</v>
      </c>
      <c r="DH60" t="e">
        <f>AND(Plan1!E1015,"AAAAAF95328=")</f>
        <v>#VALUE!</v>
      </c>
      <c r="DI60" t="e">
        <f>AND(Plan1!F1015,"AAAAAF9533A=")</f>
        <v>#VALUE!</v>
      </c>
      <c r="DJ60" t="e">
        <f>AND(Plan1!G1015,"AAAAAF9533E=")</f>
        <v>#VALUE!</v>
      </c>
      <c r="DK60" t="e">
        <f>AND(Plan1!H1015,"AAAAAF9533I=")</f>
        <v>#VALUE!</v>
      </c>
      <c r="DL60" t="e">
        <f>AND(Plan1!I1015,"AAAAAF9533M=")</f>
        <v>#VALUE!</v>
      </c>
      <c r="DM60" t="e">
        <f>AND(Plan1!J1015,"AAAAAF9533Q=")</f>
        <v>#VALUE!</v>
      </c>
      <c r="DN60" t="e">
        <f>AND(Plan1!K1015,"AAAAAF9533U=")</f>
        <v>#VALUE!</v>
      </c>
      <c r="DO60" t="e">
        <f>AND(Plan1!L1015,"AAAAAF9533Y=")</f>
        <v>#VALUE!</v>
      </c>
      <c r="DP60" t="e">
        <f>AND(Plan1!M1015,"AAAAAF9533c=")</f>
        <v>#VALUE!</v>
      </c>
      <c r="DQ60" t="e">
        <f>AND(Plan1!N1015,"AAAAAF9533g=")</f>
        <v>#VALUE!</v>
      </c>
      <c r="DR60">
        <f>IF(Plan1!1016:1016,"AAAAAF9533k=",0)</f>
        <v>0</v>
      </c>
      <c r="DS60" t="e">
        <f>AND(Plan1!A1016,"AAAAAF9533o=")</f>
        <v>#VALUE!</v>
      </c>
      <c r="DT60" t="e">
        <f>AND(Plan1!B1016,"AAAAAF9533s=")</f>
        <v>#VALUE!</v>
      </c>
      <c r="DU60" t="e">
        <f>AND(Plan1!C1016,"AAAAAF9533w=")</f>
        <v>#VALUE!</v>
      </c>
      <c r="DV60" t="e">
        <f>AND(Plan1!D1016,"AAAAAF95330=")</f>
        <v>#VALUE!</v>
      </c>
      <c r="DW60" t="e">
        <f>AND(Plan1!E1016,"AAAAAF95334=")</f>
        <v>#VALUE!</v>
      </c>
      <c r="DX60" t="e">
        <f>AND(Plan1!F1016,"AAAAAF95338=")</f>
        <v>#VALUE!</v>
      </c>
      <c r="DY60" t="e">
        <f>AND(Plan1!G1016,"AAAAAF9534A=")</f>
        <v>#VALUE!</v>
      </c>
      <c r="DZ60" t="e">
        <f>AND(Plan1!H1016,"AAAAAF9534E=")</f>
        <v>#VALUE!</v>
      </c>
      <c r="EA60" t="e">
        <f>AND(Plan1!I1016,"AAAAAF9534I=")</f>
        <v>#VALUE!</v>
      </c>
      <c r="EB60" t="e">
        <f>AND(Plan1!J1016,"AAAAAF9534M=")</f>
        <v>#VALUE!</v>
      </c>
      <c r="EC60" t="e">
        <f>AND(Plan1!K1016,"AAAAAF9534Q=")</f>
        <v>#VALUE!</v>
      </c>
      <c r="ED60" t="e">
        <f>AND(Plan1!L1016,"AAAAAF9534U=")</f>
        <v>#VALUE!</v>
      </c>
      <c r="EE60" t="e">
        <f>AND(Plan1!M1016,"AAAAAF9534Y=")</f>
        <v>#VALUE!</v>
      </c>
      <c r="EF60" t="e">
        <f>AND(Plan1!N1016,"AAAAAF9534c=")</f>
        <v>#VALUE!</v>
      </c>
      <c r="EG60">
        <f>IF(Plan1!1017:1017,"AAAAAF9534g=",0)</f>
        <v>0</v>
      </c>
      <c r="EH60" t="e">
        <f>AND(Plan1!A1017,"AAAAAF9534k=")</f>
        <v>#VALUE!</v>
      </c>
      <c r="EI60" t="e">
        <f>AND(Plan1!B1017,"AAAAAF9534o=")</f>
        <v>#VALUE!</v>
      </c>
      <c r="EJ60" t="e">
        <f>AND(Plan1!C1017,"AAAAAF9534s=")</f>
        <v>#VALUE!</v>
      </c>
      <c r="EK60" t="e">
        <f>AND(Plan1!D1017,"AAAAAF9534w=")</f>
        <v>#VALUE!</v>
      </c>
      <c r="EL60" t="e">
        <f>AND(Plan1!E1017,"AAAAAF95340=")</f>
        <v>#VALUE!</v>
      </c>
      <c r="EM60" t="e">
        <f>AND(Plan1!F1017,"AAAAAF95344=")</f>
        <v>#VALUE!</v>
      </c>
      <c r="EN60" t="e">
        <f>AND(Plan1!G1017,"AAAAAF95348=")</f>
        <v>#VALUE!</v>
      </c>
      <c r="EO60" t="e">
        <f>AND(Plan1!H1017,"AAAAAF9535A=")</f>
        <v>#VALUE!</v>
      </c>
      <c r="EP60" t="e">
        <f>AND(Plan1!I1017,"AAAAAF9535E=")</f>
        <v>#VALUE!</v>
      </c>
      <c r="EQ60" t="e">
        <f>AND(Plan1!J1017,"AAAAAF9535I=")</f>
        <v>#VALUE!</v>
      </c>
      <c r="ER60" t="e">
        <f>AND(Plan1!K1017,"AAAAAF9535M=")</f>
        <v>#VALUE!</v>
      </c>
      <c r="ES60" t="e">
        <f>AND(Plan1!L1017,"AAAAAF9535Q=")</f>
        <v>#VALUE!</v>
      </c>
      <c r="ET60" t="e">
        <f>AND(Plan1!M1017,"AAAAAF9535U=")</f>
        <v>#VALUE!</v>
      </c>
      <c r="EU60" t="e">
        <f>AND(Plan1!N1017,"AAAAAF9535Y=")</f>
        <v>#VALUE!</v>
      </c>
      <c r="EV60">
        <f>IF(Plan1!1018:1018,"AAAAAF9535c=",0)</f>
        <v>0</v>
      </c>
      <c r="EW60" t="e">
        <f>AND(Plan1!A1018,"AAAAAF9535g=")</f>
        <v>#VALUE!</v>
      </c>
      <c r="EX60" t="e">
        <f>AND(Plan1!B1018,"AAAAAF9535k=")</f>
        <v>#VALUE!</v>
      </c>
      <c r="EY60" t="e">
        <f>AND(Plan1!C1018,"AAAAAF9535o=")</f>
        <v>#VALUE!</v>
      </c>
      <c r="EZ60" t="e">
        <f>AND(Plan1!D1018,"AAAAAF9535s=")</f>
        <v>#VALUE!</v>
      </c>
      <c r="FA60" t="e">
        <f>AND(Plan1!E1018,"AAAAAF9535w=")</f>
        <v>#VALUE!</v>
      </c>
      <c r="FB60" t="e">
        <f>AND(Plan1!F1018,"AAAAAF95350=")</f>
        <v>#VALUE!</v>
      </c>
      <c r="FC60" t="e">
        <f>AND(Plan1!G1018,"AAAAAF95354=")</f>
        <v>#VALUE!</v>
      </c>
      <c r="FD60" t="e">
        <f>AND(Plan1!H1018,"AAAAAF95358=")</f>
        <v>#VALUE!</v>
      </c>
      <c r="FE60" t="e">
        <f>AND(Plan1!I1018,"AAAAAF9536A=")</f>
        <v>#VALUE!</v>
      </c>
      <c r="FF60" t="e">
        <f>AND(Plan1!J1018,"AAAAAF9536E=")</f>
        <v>#VALUE!</v>
      </c>
      <c r="FG60" t="e">
        <f>AND(Plan1!K1018,"AAAAAF9536I=")</f>
        <v>#VALUE!</v>
      </c>
      <c r="FH60" t="e">
        <f>AND(Plan1!L1018,"AAAAAF9536M=")</f>
        <v>#VALUE!</v>
      </c>
      <c r="FI60" t="e">
        <f>AND(Plan1!M1018,"AAAAAF9536Q=")</f>
        <v>#VALUE!</v>
      </c>
      <c r="FJ60" t="e">
        <f>AND(Plan1!N1018,"AAAAAF9536U=")</f>
        <v>#VALUE!</v>
      </c>
      <c r="FK60">
        <f>IF(Plan1!1019:1019,"AAAAAF9536Y=",0)</f>
        <v>0</v>
      </c>
      <c r="FL60" t="e">
        <f>AND(Plan1!A1019,"AAAAAF9536c=")</f>
        <v>#VALUE!</v>
      </c>
      <c r="FM60" t="e">
        <f>AND(Plan1!B1019,"AAAAAF9536g=")</f>
        <v>#VALUE!</v>
      </c>
      <c r="FN60" t="e">
        <f>AND(Plan1!C1019,"AAAAAF9536k=")</f>
        <v>#VALUE!</v>
      </c>
      <c r="FO60" t="e">
        <f>AND(Plan1!D1019,"AAAAAF9536o=")</f>
        <v>#VALUE!</v>
      </c>
      <c r="FP60" t="e">
        <f>AND(Plan1!E1019,"AAAAAF9536s=")</f>
        <v>#VALUE!</v>
      </c>
      <c r="FQ60" t="e">
        <f>AND(Plan1!F1019,"AAAAAF9536w=")</f>
        <v>#VALUE!</v>
      </c>
      <c r="FR60" t="e">
        <f>AND(Plan1!G1019,"AAAAAF95360=")</f>
        <v>#VALUE!</v>
      </c>
      <c r="FS60" t="e">
        <f>AND(Plan1!H1019,"AAAAAF95364=")</f>
        <v>#VALUE!</v>
      </c>
      <c r="FT60" t="e">
        <f>AND(Plan1!I1019,"AAAAAF95368=")</f>
        <v>#VALUE!</v>
      </c>
      <c r="FU60" t="e">
        <f>AND(Plan1!J1019,"AAAAAF9537A=")</f>
        <v>#VALUE!</v>
      </c>
      <c r="FV60" t="e">
        <f>AND(Plan1!K1019,"AAAAAF9537E=")</f>
        <v>#VALUE!</v>
      </c>
      <c r="FW60" t="e">
        <f>AND(Plan1!L1019,"AAAAAF9537I=")</f>
        <v>#VALUE!</v>
      </c>
      <c r="FX60" t="e">
        <f>AND(Plan1!M1019,"AAAAAF9537M=")</f>
        <v>#VALUE!</v>
      </c>
      <c r="FY60" t="e">
        <f>AND(Plan1!N1019,"AAAAAF9537Q=")</f>
        <v>#VALUE!</v>
      </c>
      <c r="FZ60">
        <f>IF(Plan1!1020:1020,"AAAAAF9537U=",0)</f>
        <v>0</v>
      </c>
      <c r="GA60" t="e">
        <f>AND(Plan1!A1020,"AAAAAF9537Y=")</f>
        <v>#VALUE!</v>
      </c>
      <c r="GB60" t="e">
        <f>AND(Plan1!B1020,"AAAAAF9537c=")</f>
        <v>#VALUE!</v>
      </c>
      <c r="GC60" t="e">
        <f>AND(Plan1!C1020,"AAAAAF9537g=")</f>
        <v>#VALUE!</v>
      </c>
      <c r="GD60" t="e">
        <f>AND(Plan1!D1020,"AAAAAF9537k=")</f>
        <v>#VALUE!</v>
      </c>
      <c r="GE60" t="e">
        <f>AND(Plan1!E1020,"AAAAAF9537o=")</f>
        <v>#VALUE!</v>
      </c>
      <c r="GF60" t="e">
        <f>AND(Plan1!F1020,"AAAAAF9537s=")</f>
        <v>#VALUE!</v>
      </c>
      <c r="GG60" t="e">
        <f>AND(Plan1!G1020,"AAAAAF9537w=")</f>
        <v>#VALUE!</v>
      </c>
      <c r="GH60" t="e">
        <f>AND(Plan1!H1020,"AAAAAF95370=")</f>
        <v>#VALUE!</v>
      </c>
      <c r="GI60" t="e">
        <f>AND(Plan1!I1020,"AAAAAF95374=")</f>
        <v>#VALUE!</v>
      </c>
      <c r="GJ60" t="e">
        <f>AND(Plan1!J1020,"AAAAAF95378=")</f>
        <v>#VALUE!</v>
      </c>
      <c r="GK60" t="e">
        <f>AND(Plan1!K1020,"AAAAAF9538A=")</f>
        <v>#VALUE!</v>
      </c>
      <c r="GL60" t="e">
        <f>AND(Plan1!L1020,"AAAAAF9538E=")</f>
        <v>#VALUE!</v>
      </c>
      <c r="GM60" t="e">
        <f>AND(Plan1!M1020,"AAAAAF9538I=")</f>
        <v>#VALUE!</v>
      </c>
      <c r="GN60" t="e">
        <f>AND(Plan1!N1020,"AAAAAF9538M=")</f>
        <v>#VALUE!</v>
      </c>
      <c r="GO60">
        <f>IF(Plan1!1021:1021,"AAAAAF9538Q=",0)</f>
        <v>0</v>
      </c>
      <c r="GP60" t="e">
        <f>AND(Plan1!A1021,"AAAAAF9538U=")</f>
        <v>#VALUE!</v>
      </c>
      <c r="GQ60" t="e">
        <f>AND(Plan1!B1021,"AAAAAF9538Y=")</f>
        <v>#VALUE!</v>
      </c>
      <c r="GR60" t="e">
        <f>AND(Plan1!C1021,"AAAAAF9538c=")</f>
        <v>#VALUE!</v>
      </c>
      <c r="GS60" t="e">
        <f>AND(Plan1!D1021,"AAAAAF9538g=")</f>
        <v>#VALUE!</v>
      </c>
      <c r="GT60" t="e">
        <f>AND(Plan1!E1021,"AAAAAF9538k=")</f>
        <v>#VALUE!</v>
      </c>
      <c r="GU60" t="e">
        <f>AND(Plan1!F1021,"AAAAAF9538o=")</f>
        <v>#VALUE!</v>
      </c>
      <c r="GV60" t="e">
        <f>AND(Plan1!G1021,"AAAAAF9538s=")</f>
        <v>#VALUE!</v>
      </c>
      <c r="GW60" t="e">
        <f>AND(Plan1!H1021,"AAAAAF9538w=")</f>
        <v>#VALUE!</v>
      </c>
      <c r="GX60" t="e">
        <f>AND(Plan1!I1021,"AAAAAF95380=")</f>
        <v>#VALUE!</v>
      </c>
      <c r="GY60" t="e">
        <f>AND(Plan1!J1021,"AAAAAF95384=")</f>
        <v>#VALUE!</v>
      </c>
      <c r="GZ60" t="e">
        <f>AND(Plan1!K1021,"AAAAAF95388=")</f>
        <v>#VALUE!</v>
      </c>
      <c r="HA60" t="e">
        <f>AND(Plan1!L1021,"AAAAAF9539A=")</f>
        <v>#VALUE!</v>
      </c>
      <c r="HB60" t="e">
        <f>AND(Plan1!M1021,"AAAAAF9539E=")</f>
        <v>#VALUE!</v>
      </c>
      <c r="HC60" t="e">
        <f>AND(Plan1!N1021,"AAAAAF9539I=")</f>
        <v>#VALUE!</v>
      </c>
      <c r="HD60">
        <f>IF(Plan1!1022:1022,"AAAAAF9539M=",0)</f>
        <v>0</v>
      </c>
      <c r="HE60" t="e">
        <f>AND(Plan1!A1022,"AAAAAF9539Q=")</f>
        <v>#VALUE!</v>
      </c>
      <c r="HF60" t="e">
        <f>AND(Plan1!B1022,"AAAAAF9539U=")</f>
        <v>#VALUE!</v>
      </c>
      <c r="HG60" t="e">
        <f>AND(Plan1!C1022,"AAAAAF9539Y=")</f>
        <v>#VALUE!</v>
      </c>
      <c r="HH60" t="e">
        <f>AND(Plan1!D1022,"AAAAAF9539c=")</f>
        <v>#VALUE!</v>
      </c>
      <c r="HI60" t="e">
        <f>AND(Plan1!E1022,"AAAAAF9539g=")</f>
        <v>#VALUE!</v>
      </c>
      <c r="HJ60" t="e">
        <f>AND(Plan1!F1022,"AAAAAF9539k=")</f>
        <v>#VALUE!</v>
      </c>
      <c r="HK60" t="e">
        <f>AND(Plan1!G1022,"AAAAAF9539o=")</f>
        <v>#VALUE!</v>
      </c>
      <c r="HL60" t="e">
        <f>AND(Plan1!H1022,"AAAAAF9539s=")</f>
        <v>#VALUE!</v>
      </c>
      <c r="HM60" t="e">
        <f>AND(Plan1!I1022,"AAAAAF9539w=")</f>
        <v>#VALUE!</v>
      </c>
      <c r="HN60" t="e">
        <f>AND(Plan1!J1022,"AAAAAF95390=")</f>
        <v>#VALUE!</v>
      </c>
      <c r="HO60" t="e">
        <f>AND(Plan1!K1022,"AAAAAF95394=")</f>
        <v>#VALUE!</v>
      </c>
      <c r="HP60" t="e">
        <f>AND(Plan1!L1022,"AAAAAF95398=")</f>
        <v>#VALUE!</v>
      </c>
      <c r="HQ60" t="e">
        <f>AND(Plan1!M1022,"AAAAAF953+A=")</f>
        <v>#VALUE!</v>
      </c>
      <c r="HR60" t="e">
        <f>AND(Plan1!N1022,"AAAAAF953+E=")</f>
        <v>#VALUE!</v>
      </c>
      <c r="HS60">
        <f>IF(Plan1!1023:1023,"AAAAAF953+I=",0)</f>
        <v>0</v>
      </c>
      <c r="HT60" t="e">
        <f>AND(Plan1!A1023,"AAAAAF953+M=")</f>
        <v>#VALUE!</v>
      </c>
      <c r="HU60" t="e">
        <f>AND(Plan1!B1023,"AAAAAF953+Q=")</f>
        <v>#VALUE!</v>
      </c>
      <c r="HV60" t="e">
        <f>AND(Plan1!C1023,"AAAAAF953+U=")</f>
        <v>#VALUE!</v>
      </c>
      <c r="HW60" t="e">
        <f>AND(Plan1!D1023,"AAAAAF953+Y=")</f>
        <v>#VALUE!</v>
      </c>
      <c r="HX60" t="e">
        <f>AND(Plan1!E1023,"AAAAAF953+c=")</f>
        <v>#VALUE!</v>
      </c>
      <c r="HY60" t="e">
        <f>AND(Plan1!F1023,"AAAAAF953+g=")</f>
        <v>#VALUE!</v>
      </c>
      <c r="HZ60" t="e">
        <f>AND(Plan1!G1023,"AAAAAF953+k=")</f>
        <v>#VALUE!</v>
      </c>
      <c r="IA60" t="e">
        <f>AND(Plan1!H1023,"AAAAAF953+o=")</f>
        <v>#VALUE!</v>
      </c>
      <c r="IB60" t="e">
        <f>AND(Plan1!I1023,"AAAAAF953+s=")</f>
        <v>#VALUE!</v>
      </c>
      <c r="IC60" t="e">
        <f>AND(Plan1!J1023,"AAAAAF953+w=")</f>
        <v>#VALUE!</v>
      </c>
      <c r="ID60" t="e">
        <f>AND(Plan1!K1023,"AAAAAF953+0=")</f>
        <v>#VALUE!</v>
      </c>
      <c r="IE60" t="e">
        <f>AND(Plan1!L1023,"AAAAAF953+4=")</f>
        <v>#VALUE!</v>
      </c>
      <c r="IF60" t="e">
        <f>AND(Plan1!M1023,"AAAAAF953+8=")</f>
        <v>#VALUE!</v>
      </c>
      <c r="IG60" t="e">
        <f>AND(Plan1!N1023,"AAAAAF953/A=")</f>
        <v>#VALUE!</v>
      </c>
      <c r="IH60">
        <f>IF(Plan1!1024:1024,"AAAAAF953/E=",0)</f>
        <v>0</v>
      </c>
      <c r="II60" t="e">
        <f>AND(Plan1!A1024,"AAAAAF953/I=")</f>
        <v>#VALUE!</v>
      </c>
      <c r="IJ60" t="e">
        <f>AND(Plan1!B1024,"AAAAAF953/M=")</f>
        <v>#VALUE!</v>
      </c>
      <c r="IK60" t="e">
        <f>AND(Plan1!C1024,"AAAAAF953/Q=")</f>
        <v>#VALUE!</v>
      </c>
      <c r="IL60" t="e">
        <f>AND(Plan1!D1024,"AAAAAF953/U=")</f>
        <v>#VALUE!</v>
      </c>
      <c r="IM60" t="e">
        <f>AND(Plan1!E1024,"AAAAAF953/Y=")</f>
        <v>#VALUE!</v>
      </c>
      <c r="IN60" t="e">
        <f>AND(Plan1!F1024,"AAAAAF953/c=")</f>
        <v>#VALUE!</v>
      </c>
      <c r="IO60" t="e">
        <f>AND(Plan1!G1024,"AAAAAF953/g=")</f>
        <v>#VALUE!</v>
      </c>
      <c r="IP60" t="e">
        <f>AND(Plan1!H1024,"AAAAAF953/k=")</f>
        <v>#VALUE!</v>
      </c>
      <c r="IQ60" t="e">
        <f>AND(Plan1!I1024,"AAAAAF953/o=")</f>
        <v>#VALUE!</v>
      </c>
      <c r="IR60" t="e">
        <f>AND(Plan1!J1024,"AAAAAF953/s=")</f>
        <v>#VALUE!</v>
      </c>
      <c r="IS60" t="e">
        <f>AND(Plan1!K1024,"AAAAAF953/w=")</f>
        <v>#VALUE!</v>
      </c>
      <c r="IT60" t="e">
        <f>AND(Plan1!L1024,"AAAAAF953/0=")</f>
        <v>#VALUE!</v>
      </c>
      <c r="IU60" t="e">
        <f>AND(Plan1!M1024,"AAAAAF953/4=")</f>
        <v>#VALUE!</v>
      </c>
      <c r="IV60" t="e">
        <f>AND(Plan1!N1024,"AAAAAF953/8=")</f>
        <v>#VALUE!</v>
      </c>
    </row>
    <row r="61" spans="1:256">
      <c r="A61" t="e">
        <f>IF(Plan1!1025:1025,"AAAAAFz3/wA=",0)</f>
        <v>#VALUE!</v>
      </c>
      <c r="B61" t="e">
        <f>AND(Plan1!A1025,"AAAAAFz3/wE=")</f>
        <v>#VALUE!</v>
      </c>
      <c r="C61" t="e">
        <f>AND(Plan1!B1025,"AAAAAFz3/wI=")</f>
        <v>#VALUE!</v>
      </c>
      <c r="D61" t="e">
        <f>AND(Plan1!C1025,"AAAAAFz3/wM=")</f>
        <v>#VALUE!</v>
      </c>
      <c r="E61" t="e">
        <f>AND(Plan1!D1025,"AAAAAFz3/wQ=")</f>
        <v>#VALUE!</v>
      </c>
      <c r="F61" t="e">
        <f>AND(Plan1!E1025,"AAAAAFz3/wU=")</f>
        <v>#VALUE!</v>
      </c>
      <c r="G61" t="e">
        <f>AND(Plan1!F1025,"AAAAAFz3/wY=")</f>
        <v>#VALUE!</v>
      </c>
      <c r="H61" t="e">
        <f>AND(Plan1!G1025,"AAAAAFz3/wc=")</f>
        <v>#VALUE!</v>
      </c>
      <c r="I61" t="e">
        <f>AND(Plan1!H1025,"AAAAAFz3/wg=")</f>
        <v>#VALUE!</v>
      </c>
      <c r="J61" t="e">
        <f>AND(Plan1!I1025,"AAAAAFz3/wk=")</f>
        <v>#VALUE!</v>
      </c>
      <c r="K61" t="e">
        <f>AND(Plan1!J1025,"AAAAAFz3/wo=")</f>
        <v>#VALUE!</v>
      </c>
      <c r="L61" t="e">
        <f>AND(Plan1!K1025,"AAAAAFz3/ws=")</f>
        <v>#VALUE!</v>
      </c>
      <c r="M61" t="e">
        <f>AND(Plan1!L1025,"AAAAAFz3/ww=")</f>
        <v>#VALUE!</v>
      </c>
      <c r="N61" t="e">
        <f>AND(Plan1!M1025,"AAAAAFz3/w0=")</f>
        <v>#VALUE!</v>
      </c>
      <c r="O61" t="e">
        <f>AND(Plan1!N1025,"AAAAAFz3/w4=")</f>
        <v>#VALUE!</v>
      </c>
      <c r="P61">
        <f>IF(Plan1!1026:1026,"AAAAAFz3/w8=",0)</f>
        <v>0</v>
      </c>
      <c r="Q61" t="e">
        <f>AND(Plan1!A1026,"AAAAAFz3/xA=")</f>
        <v>#VALUE!</v>
      </c>
      <c r="R61" t="e">
        <f>AND(Plan1!B1026,"AAAAAFz3/xE=")</f>
        <v>#VALUE!</v>
      </c>
      <c r="S61" t="e">
        <f>AND(Plan1!C1026,"AAAAAFz3/xI=")</f>
        <v>#VALUE!</v>
      </c>
      <c r="T61" t="e">
        <f>AND(Plan1!D1026,"AAAAAFz3/xM=")</f>
        <v>#VALUE!</v>
      </c>
      <c r="U61" t="e">
        <f>AND(Plan1!E1026,"AAAAAFz3/xQ=")</f>
        <v>#VALUE!</v>
      </c>
      <c r="V61" t="e">
        <f>AND(Plan1!F1026,"AAAAAFz3/xU=")</f>
        <v>#VALUE!</v>
      </c>
      <c r="W61" t="e">
        <f>AND(Plan1!G1026,"AAAAAFz3/xY=")</f>
        <v>#VALUE!</v>
      </c>
      <c r="X61" t="e">
        <f>AND(Plan1!H1026,"AAAAAFz3/xc=")</f>
        <v>#VALUE!</v>
      </c>
      <c r="Y61" t="e">
        <f>AND(Plan1!I1026,"AAAAAFz3/xg=")</f>
        <v>#VALUE!</v>
      </c>
      <c r="Z61" t="e">
        <f>AND(Plan1!J1026,"AAAAAFz3/xk=")</f>
        <v>#VALUE!</v>
      </c>
      <c r="AA61" t="e">
        <f>AND(Plan1!K1026,"AAAAAFz3/xo=")</f>
        <v>#VALUE!</v>
      </c>
      <c r="AB61" t="e">
        <f>AND(Plan1!L1026,"AAAAAFz3/xs=")</f>
        <v>#VALUE!</v>
      </c>
      <c r="AC61" t="e">
        <f>AND(Plan1!M1026,"AAAAAFz3/xw=")</f>
        <v>#VALUE!</v>
      </c>
      <c r="AD61" t="e">
        <f>AND(Plan1!N1026,"AAAAAFz3/x0=")</f>
        <v>#VALUE!</v>
      </c>
      <c r="AE61">
        <f>IF(Plan1!1027:1027,"AAAAAFz3/x4=",0)</f>
        <v>0</v>
      </c>
      <c r="AF61" t="e">
        <f>AND(Plan1!A1027,"AAAAAFz3/x8=")</f>
        <v>#VALUE!</v>
      </c>
      <c r="AG61" t="e">
        <f>AND(Plan1!B1027,"AAAAAFz3/yA=")</f>
        <v>#VALUE!</v>
      </c>
      <c r="AH61" t="e">
        <f>AND(Plan1!C1027,"AAAAAFz3/yE=")</f>
        <v>#VALUE!</v>
      </c>
      <c r="AI61" t="e">
        <f>AND(Plan1!D1027,"AAAAAFz3/yI=")</f>
        <v>#VALUE!</v>
      </c>
      <c r="AJ61" t="e">
        <f>AND(Plan1!E1027,"AAAAAFz3/yM=")</f>
        <v>#VALUE!</v>
      </c>
      <c r="AK61" t="e">
        <f>AND(Plan1!F1027,"AAAAAFz3/yQ=")</f>
        <v>#VALUE!</v>
      </c>
      <c r="AL61" t="e">
        <f>AND(Plan1!G1027,"AAAAAFz3/yU=")</f>
        <v>#VALUE!</v>
      </c>
      <c r="AM61" t="e">
        <f>AND(Plan1!H1027,"AAAAAFz3/yY=")</f>
        <v>#VALUE!</v>
      </c>
      <c r="AN61" t="e">
        <f>AND(Plan1!I1027,"AAAAAFz3/yc=")</f>
        <v>#VALUE!</v>
      </c>
      <c r="AO61" t="e">
        <f>AND(Plan1!J1027,"AAAAAFz3/yg=")</f>
        <v>#VALUE!</v>
      </c>
      <c r="AP61" t="e">
        <f>AND(Plan1!K1027,"AAAAAFz3/yk=")</f>
        <v>#VALUE!</v>
      </c>
      <c r="AQ61" t="e">
        <f>AND(Plan1!L1027,"AAAAAFz3/yo=")</f>
        <v>#VALUE!</v>
      </c>
      <c r="AR61" t="e">
        <f>AND(Plan1!M1027,"AAAAAFz3/ys=")</f>
        <v>#VALUE!</v>
      </c>
      <c r="AS61" t="e">
        <f>AND(Plan1!N1027,"AAAAAFz3/yw=")</f>
        <v>#VALUE!</v>
      </c>
      <c r="AT61">
        <f>IF(Plan1!1028:1028,"AAAAAFz3/y0=",0)</f>
        <v>0</v>
      </c>
      <c r="AU61" t="e">
        <f>AND(Plan1!A1028,"AAAAAFz3/y4=")</f>
        <v>#VALUE!</v>
      </c>
      <c r="AV61" t="e">
        <f>AND(Plan1!B1028,"AAAAAFz3/y8=")</f>
        <v>#VALUE!</v>
      </c>
      <c r="AW61" t="e">
        <f>AND(Plan1!C1028,"AAAAAFz3/zA=")</f>
        <v>#VALUE!</v>
      </c>
      <c r="AX61" t="e">
        <f>AND(Plan1!D1028,"AAAAAFz3/zE=")</f>
        <v>#VALUE!</v>
      </c>
      <c r="AY61" t="e">
        <f>AND(Plan1!E1028,"AAAAAFz3/zI=")</f>
        <v>#VALUE!</v>
      </c>
      <c r="AZ61" t="e">
        <f>AND(Plan1!F1028,"AAAAAFz3/zM=")</f>
        <v>#VALUE!</v>
      </c>
      <c r="BA61" t="e">
        <f>AND(Plan1!G1028,"AAAAAFz3/zQ=")</f>
        <v>#VALUE!</v>
      </c>
      <c r="BB61" t="e">
        <f>AND(Plan1!H1028,"AAAAAFz3/zU=")</f>
        <v>#VALUE!</v>
      </c>
      <c r="BC61" t="e">
        <f>AND(Plan1!I1028,"AAAAAFz3/zY=")</f>
        <v>#VALUE!</v>
      </c>
      <c r="BD61" t="e">
        <f>AND(Plan1!J1028,"AAAAAFz3/zc=")</f>
        <v>#VALUE!</v>
      </c>
      <c r="BE61" t="e">
        <f>AND(Plan1!K1028,"AAAAAFz3/zg=")</f>
        <v>#VALUE!</v>
      </c>
      <c r="BF61" t="e">
        <f>AND(Plan1!L1028,"AAAAAFz3/zk=")</f>
        <v>#VALUE!</v>
      </c>
      <c r="BG61" t="e">
        <f>AND(Plan1!M1028,"AAAAAFz3/zo=")</f>
        <v>#VALUE!</v>
      </c>
      <c r="BH61" t="e">
        <f>AND(Plan1!N1028,"AAAAAFz3/zs=")</f>
        <v>#VALUE!</v>
      </c>
      <c r="BI61">
        <f>IF(Plan1!1029:1029,"AAAAAFz3/zw=",0)</f>
        <v>0</v>
      </c>
      <c r="BJ61" t="e">
        <f>AND(Plan1!A1029,"AAAAAFz3/z0=")</f>
        <v>#VALUE!</v>
      </c>
      <c r="BK61" t="e">
        <f>AND(Plan1!B1029,"AAAAAFz3/z4=")</f>
        <v>#VALUE!</v>
      </c>
      <c r="BL61" t="e">
        <f>AND(Plan1!C1029,"AAAAAFz3/z8=")</f>
        <v>#VALUE!</v>
      </c>
      <c r="BM61" t="e">
        <f>AND(Plan1!D1029,"AAAAAFz3/0A=")</f>
        <v>#VALUE!</v>
      </c>
      <c r="BN61" t="e">
        <f>AND(Plan1!E1029,"AAAAAFz3/0E=")</f>
        <v>#VALUE!</v>
      </c>
      <c r="BO61" t="e">
        <f>AND(Plan1!F1029,"AAAAAFz3/0I=")</f>
        <v>#VALUE!</v>
      </c>
      <c r="BP61" t="e">
        <f>AND(Plan1!G1029,"AAAAAFz3/0M=")</f>
        <v>#VALUE!</v>
      </c>
      <c r="BQ61" t="e">
        <f>AND(Plan1!H1029,"AAAAAFz3/0Q=")</f>
        <v>#VALUE!</v>
      </c>
      <c r="BR61" t="e">
        <f>AND(Plan1!I1029,"AAAAAFz3/0U=")</f>
        <v>#VALUE!</v>
      </c>
      <c r="BS61" t="e">
        <f>AND(Plan1!J1029,"AAAAAFz3/0Y=")</f>
        <v>#VALUE!</v>
      </c>
      <c r="BT61" t="e">
        <f>AND(Plan1!K1029,"AAAAAFz3/0c=")</f>
        <v>#VALUE!</v>
      </c>
      <c r="BU61" t="e">
        <f>AND(Plan1!L1029,"AAAAAFz3/0g=")</f>
        <v>#VALUE!</v>
      </c>
      <c r="BV61" t="e">
        <f>AND(Plan1!M1029,"AAAAAFz3/0k=")</f>
        <v>#VALUE!</v>
      </c>
      <c r="BW61" t="e">
        <f>AND(Plan1!N1029,"AAAAAFz3/0o=")</f>
        <v>#VALUE!</v>
      </c>
      <c r="BX61">
        <f>IF(Plan1!1030:1030,"AAAAAFz3/0s=",0)</f>
        <v>0</v>
      </c>
      <c r="BY61" t="e">
        <f>AND(Plan1!A1030,"AAAAAFz3/0w=")</f>
        <v>#VALUE!</v>
      </c>
      <c r="BZ61" t="e">
        <f>AND(Plan1!B1030,"AAAAAFz3/00=")</f>
        <v>#VALUE!</v>
      </c>
      <c r="CA61" t="e">
        <f>AND(Plan1!C1030,"AAAAAFz3/04=")</f>
        <v>#VALUE!</v>
      </c>
      <c r="CB61" t="e">
        <f>AND(Plan1!D1030,"AAAAAFz3/08=")</f>
        <v>#VALUE!</v>
      </c>
      <c r="CC61" t="e">
        <f>AND(Plan1!E1030,"AAAAAFz3/1A=")</f>
        <v>#VALUE!</v>
      </c>
      <c r="CD61" t="e">
        <f>AND(Plan1!F1030,"AAAAAFz3/1E=")</f>
        <v>#VALUE!</v>
      </c>
      <c r="CE61" t="e">
        <f>AND(Plan1!G1030,"AAAAAFz3/1I=")</f>
        <v>#VALUE!</v>
      </c>
      <c r="CF61" t="e">
        <f>AND(Plan1!H1030,"AAAAAFz3/1M=")</f>
        <v>#VALUE!</v>
      </c>
      <c r="CG61" t="e">
        <f>AND(Plan1!I1030,"AAAAAFz3/1Q=")</f>
        <v>#VALUE!</v>
      </c>
      <c r="CH61" t="e">
        <f>AND(Plan1!J1030,"AAAAAFz3/1U=")</f>
        <v>#VALUE!</v>
      </c>
      <c r="CI61" t="e">
        <f>AND(Plan1!K1030,"AAAAAFz3/1Y=")</f>
        <v>#VALUE!</v>
      </c>
      <c r="CJ61" t="e">
        <f>AND(Plan1!L1030,"AAAAAFz3/1c=")</f>
        <v>#VALUE!</v>
      </c>
      <c r="CK61" t="e">
        <f>AND(Plan1!M1030,"AAAAAFz3/1g=")</f>
        <v>#VALUE!</v>
      </c>
      <c r="CL61" t="e">
        <f>AND(Plan1!N1030,"AAAAAFz3/1k=")</f>
        <v>#VALUE!</v>
      </c>
      <c r="CM61">
        <f>IF(Plan1!1031:1031,"AAAAAFz3/1o=",0)</f>
        <v>0</v>
      </c>
      <c r="CN61" t="e">
        <f>AND(Plan1!A1031,"AAAAAFz3/1s=")</f>
        <v>#VALUE!</v>
      </c>
      <c r="CO61" t="e">
        <f>AND(Plan1!B1031,"AAAAAFz3/1w=")</f>
        <v>#VALUE!</v>
      </c>
      <c r="CP61" t="e">
        <f>AND(Plan1!C1031,"AAAAAFz3/10=")</f>
        <v>#VALUE!</v>
      </c>
      <c r="CQ61" t="e">
        <f>AND(Plan1!D1031,"AAAAAFz3/14=")</f>
        <v>#VALUE!</v>
      </c>
      <c r="CR61" t="e">
        <f>AND(Plan1!E1031,"AAAAAFz3/18=")</f>
        <v>#VALUE!</v>
      </c>
      <c r="CS61" t="e">
        <f>AND(Plan1!F1031,"AAAAAFz3/2A=")</f>
        <v>#VALUE!</v>
      </c>
      <c r="CT61" t="e">
        <f>AND(Plan1!G1031,"AAAAAFz3/2E=")</f>
        <v>#VALUE!</v>
      </c>
      <c r="CU61" t="e">
        <f>AND(Plan1!H1031,"AAAAAFz3/2I=")</f>
        <v>#VALUE!</v>
      </c>
      <c r="CV61" t="e">
        <f>AND(Plan1!I1031,"AAAAAFz3/2M=")</f>
        <v>#VALUE!</v>
      </c>
      <c r="CW61" t="e">
        <f>AND(Plan1!J1031,"AAAAAFz3/2Q=")</f>
        <v>#VALUE!</v>
      </c>
      <c r="CX61" t="e">
        <f>AND(Plan1!K1031,"AAAAAFz3/2U=")</f>
        <v>#VALUE!</v>
      </c>
      <c r="CY61" t="e">
        <f>AND(Plan1!L1031,"AAAAAFz3/2Y=")</f>
        <v>#VALUE!</v>
      </c>
      <c r="CZ61" t="e">
        <f>AND(Plan1!M1031,"AAAAAFz3/2c=")</f>
        <v>#VALUE!</v>
      </c>
      <c r="DA61" t="e">
        <f>AND(Plan1!N1031,"AAAAAFz3/2g=")</f>
        <v>#VALUE!</v>
      </c>
      <c r="DB61">
        <f>IF(Plan1!1032:1032,"AAAAAFz3/2k=",0)</f>
        <v>0</v>
      </c>
      <c r="DC61" t="e">
        <f>AND(Plan1!A1032,"AAAAAFz3/2o=")</f>
        <v>#VALUE!</v>
      </c>
      <c r="DD61" t="e">
        <f>AND(Plan1!B1032,"AAAAAFz3/2s=")</f>
        <v>#VALUE!</v>
      </c>
      <c r="DE61" t="e">
        <f>AND(Plan1!C1032,"AAAAAFz3/2w=")</f>
        <v>#VALUE!</v>
      </c>
      <c r="DF61" t="e">
        <f>AND(Plan1!D1032,"AAAAAFz3/20=")</f>
        <v>#VALUE!</v>
      </c>
      <c r="DG61" t="e">
        <f>AND(Plan1!E1032,"AAAAAFz3/24=")</f>
        <v>#VALUE!</v>
      </c>
      <c r="DH61" t="e">
        <f>AND(Plan1!F1032,"AAAAAFz3/28=")</f>
        <v>#VALUE!</v>
      </c>
      <c r="DI61" t="e">
        <f>AND(Plan1!G1032,"AAAAAFz3/3A=")</f>
        <v>#VALUE!</v>
      </c>
      <c r="DJ61" t="e">
        <f>AND(Plan1!H1032,"AAAAAFz3/3E=")</f>
        <v>#VALUE!</v>
      </c>
      <c r="DK61" t="e">
        <f>AND(Plan1!I1032,"AAAAAFz3/3I=")</f>
        <v>#VALUE!</v>
      </c>
      <c r="DL61" t="e">
        <f>AND(Plan1!J1032,"AAAAAFz3/3M=")</f>
        <v>#VALUE!</v>
      </c>
      <c r="DM61" t="e">
        <f>AND(Plan1!K1032,"AAAAAFz3/3Q=")</f>
        <v>#VALUE!</v>
      </c>
      <c r="DN61" t="e">
        <f>AND(Plan1!L1032,"AAAAAFz3/3U=")</f>
        <v>#VALUE!</v>
      </c>
      <c r="DO61" t="e">
        <f>AND(Plan1!M1032,"AAAAAFz3/3Y=")</f>
        <v>#VALUE!</v>
      </c>
      <c r="DP61" t="e">
        <f>AND(Plan1!N1032,"AAAAAFz3/3c=")</f>
        <v>#VALUE!</v>
      </c>
      <c r="DQ61">
        <f>IF(Plan1!1033:1033,"AAAAAFz3/3g=",0)</f>
        <v>0</v>
      </c>
      <c r="DR61" t="e">
        <f>AND(Plan1!A1033,"AAAAAFz3/3k=")</f>
        <v>#VALUE!</v>
      </c>
      <c r="DS61" t="e">
        <f>AND(Plan1!B1033,"AAAAAFz3/3o=")</f>
        <v>#VALUE!</v>
      </c>
      <c r="DT61" t="e">
        <f>AND(Plan1!C1033,"AAAAAFz3/3s=")</f>
        <v>#VALUE!</v>
      </c>
      <c r="DU61" t="e">
        <f>AND(Plan1!D1033,"AAAAAFz3/3w=")</f>
        <v>#VALUE!</v>
      </c>
      <c r="DV61" t="e">
        <f>AND(Plan1!E1033,"AAAAAFz3/30=")</f>
        <v>#VALUE!</v>
      </c>
      <c r="DW61" t="e">
        <f>AND(Plan1!F1033,"AAAAAFz3/34=")</f>
        <v>#VALUE!</v>
      </c>
      <c r="DX61" t="e">
        <f>AND(Plan1!G1033,"AAAAAFz3/38=")</f>
        <v>#VALUE!</v>
      </c>
      <c r="DY61" t="e">
        <f>AND(Plan1!H1033,"AAAAAFz3/4A=")</f>
        <v>#VALUE!</v>
      </c>
      <c r="DZ61" t="e">
        <f>AND(Plan1!I1033,"AAAAAFz3/4E=")</f>
        <v>#VALUE!</v>
      </c>
      <c r="EA61" t="e">
        <f>AND(Plan1!J1033,"AAAAAFz3/4I=")</f>
        <v>#VALUE!</v>
      </c>
      <c r="EB61" t="e">
        <f>AND(Plan1!K1033,"AAAAAFz3/4M=")</f>
        <v>#VALUE!</v>
      </c>
      <c r="EC61" t="e">
        <f>AND(Plan1!L1033,"AAAAAFz3/4Q=")</f>
        <v>#VALUE!</v>
      </c>
      <c r="ED61" t="e">
        <f>AND(Plan1!M1033,"AAAAAFz3/4U=")</f>
        <v>#VALUE!</v>
      </c>
      <c r="EE61" t="e">
        <f>AND(Plan1!N1033,"AAAAAFz3/4Y=")</f>
        <v>#VALUE!</v>
      </c>
      <c r="EF61">
        <f>IF(Plan1!1034:1034,"AAAAAFz3/4c=",0)</f>
        <v>0</v>
      </c>
      <c r="EG61" t="e">
        <f>AND(Plan1!A1034,"AAAAAFz3/4g=")</f>
        <v>#VALUE!</v>
      </c>
      <c r="EH61" t="e">
        <f>AND(Plan1!B1034,"AAAAAFz3/4k=")</f>
        <v>#VALUE!</v>
      </c>
      <c r="EI61" t="e">
        <f>AND(Plan1!C1034,"AAAAAFz3/4o=")</f>
        <v>#VALUE!</v>
      </c>
      <c r="EJ61" t="e">
        <f>AND(Plan1!D1034,"AAAAAFz3/4s=")</f>
        <v>#VALUE!</v>
      </c>
      <c r="EK61" t="e">
        <f>AND(Plan1!E1034,"AAAAAFz3/4w=")</f>
        <v>#VALUE!</v>
      </c>
      <c r="EL61" t="e">
        <f>AND(Plan1!F1034,"AAAAAFz3/40=")</f>
        <v>#VALUE!</v>
      </c>
      <c r="EM61" t="e">
        <f>AND(Plan1!G1034,"AAAAAFz3/44=")</f>
        <v>#VALUE!</v>
      </c>
      <c r="EN61" t="e">
        <f>AND(Plan1!H1034,"AAAAAFz3/48=")</f>
        <v>#VALUE!</v>
      </c>
      <c r="EO61" t="e">
        <f>AND(Plan1!I1034,"AAAAAFz3/5A=")</f>
        <v>#VALUE!</v>
      </c>
      <c r="EP61" t="e">
        <f>AND(Plan1!J1034,"AAAAAFz3/5E=")</f>
        <v>#VALUE!</v>
      </c>
      <c r="EQ61" t="e">
        <f>AND(Plan1!K1034,"AAAAAFz3/5I=")</f>
        <v>#VALUE!</v>
      </c>
      <c r="ER61" t="e">
        <f>AND(Plan1!L1034,"AAAAAFz3/5M=")</f>
        <v>#VALUE!</v>
      </c>
      <c r="ES61" t="e">
        <f>AND(Plan1!M1034,"AAAAAFz3/5Q=")</f>
        <v>#VALUE!</v>
      </c>
      <c r="ET61" t="e">
        <f>AND(Plan1!N1034,"AAAAAFz3/5U=")</f>
        <v>#VALUE!</v>
      </c>
      <c r="EU61">
        <f>IF(Plan1!1035:1035,"AAAAAFz3/5Y=",0)</f>
        <v>0</v>
      </c>
      <c r="EV61" t="e">
        <f>AND(Plan1!A1035,"AAAAAFz3/5c=")</f>
        <v>#VALUE!</v>
      </c>
      <c r="EW61" t="e">
        <f>AND(Plan1!B1035,"AAAAAFz3/5g=")</f>
        <v>#VALUE!</v>
      </c>
      <c r="EX61" t="e">
        <f>AND(Plan1!C1035,"AAAAAFz3/5k=")</f>
        <v>#VALUE!</v>
      </c>
      <c r="EY61" t="e">
        <f>AND(Plan1!D1035,"AAAAAFz3/5o=")</f>
        <v>#VALUE!</v>
      </c>
      <c r="EZ61" t="e">
        <f>AND(Plan1!E1035,"AAAAAFz3/5s=")</f>
        <v>#VALUE!</v>
      </c>
      <c r="FA61" t="e">
        <f>AND(Plan1!F1035,"AAAAAFz3/5w=")</f>
        <v>#VALUE!</v>
      </c>
      <c r="FB61" t="e">
        <f>AND(Plan1!G1035,"AAAAAFz3/50=")</f>
        <v>#VALUE!</v>
      </c>
      <c r="FC61" t="e">
        <f>AND(Plan1!H1035,"AAAAAFz3/54=")</f>
        <v>#VALUE!</v>
      </c>
      <c r="FD61" t="e">
        <f>AND(Plan1!I1035,"AAAAAFz3/58=")</f>
        <v>#VALUE!</v>
      </c>
      <c r="FE61" t="e">
        <f>AND(Plan1!J1035,"AAAAAFz3/6A=")</f>
        <v>#VALUE!</v>
      </c>
      <c r="FF61" t="e">
        <f>AND(Plan1!K1035,"AAAAAFz3/6E=")</f>
        <v>#VALUE!</v>
      </c>
      <c r="FG61" t="e">
        <f>AND(Plan1!L1035,"AAAAAFz3/6I=")</f>
        <v>#VALUE!</v>
      </c>
      <c r="FH61" t="e">
        <f>AND(Plan1!M1035,"AAAAAFz3/6M=")</f>
        <v>#VALUE!</v>
      </c>
      <c r="FI61" t="e">
        <f>AND(Plan1!N1035,"AAAAAFz3/6Q=")</f>
        <v>#VALUE!</v>
      </c>
      <c r="FJ61">
        <f>IF(Plan1!1036:1036,"AAAAAFz3/6U=",0)</f>
        <v>0</v>
      </c>
      <c r="FK61" t="e">
        <f>AND(Plan1!A1036,"AAAAAFz3/6Y=")</f>
        <v>#VALUE!</v>
      </c>
      <c r="FL61" t="e">
        <f>AND(Plan1!B1036,"AAAAAFz3/6c=")</f>
        <v>#VALUE!</v>
      </c>
      <c r="FM61" t="e">
        <f>AND(Plan1!C1036,"AAAAAFz3/6g=")</f>
        <v>#VALUE!</v>
      </c>
      <c r="FN61" t="e">
        <f>AND(Plan1!D1036,"AAAAAFz3/6k=")</f>
        <v>#VALUE!</v>
      </c>
      <c r="FO61" t="e">
        <f>AND(Plan1!E1036,"AAAAAFz3/6o=")</f>
        <v>#VALUE!</v>
      </c>
      <c r="FP61" t="e">
        <f>AND(Plan1!F1036,"AAAAAFz3/6s=")</f>
        <v>#VALUE!</v>
      </c>
      <c r="FQ61" t="e">
        <f>AND(Plan1!G1036,"AAAAAFz3/6w=")</f>
        <v>#VALUE!</v>
      </c>
      <c r="FR61" t="e">
        <f>AND(Plan1!H1036,"AAAAAFz3/60=")</f>
        <v>#VALUE!</v>
      </c>
      <c r="FS61" t="e">
        <f>AND(Plan1!I1036,"AAAAAFz3/64=")</f>
        <v>#VALUE!</v>
      </c>
      <c r="FT61" t="e">
        <f>AND(Plan1!J1036,"AAAAAFz3/68=")</f>
        <v>#VALUE!</v>
      </c>
      <c r="FU61" t="e">
        <f>AND(Plan1!K1036,"AAAAAFz3/7A=")</f>
        <v>#VALUE!</v>
      </c>
      <c r="FV61" t="e">
        <f>AND(Plan1!L1036,"AAAAAFz3/7E=")</f>
        <v>#VALUE!</v>
      </c>
      <c r="FW61" t="e">
        <f>AND(Plan1!M1036,"AAAAAFz3/7I=")</f>
        <v>#VALUE!</v>
      </c>
      <c r="FX61" t="e">
        <f>AND(Plan1!N1036,"AAAAAFz3/7M=")</f>
        <v>#VALUE!</v>
      </c>
      <c r="FY61">
        <f>IF(Plan1!1037:1037,"AAAAAFz3/7Q=",0)</f>
        <v>0</v>
      </c>
      <c r="FZ61" t="e">
        <f>AND(Plan1!A1037,"AAAAAFz3/7U=")</f>
        <v>#VALUE!</v>
      </c>
      <c r="GA61" t="e">
        <f>AND(Plan1!B1037,"AAAAAFz3/7Y=")</f>
        <v>#VALUE!</v>
      </c>
      <c r="GB61" t="e">
        <f>AND(Plan1!C1037,"AAAAAFz3/7c=")</f>
        <v>#VALUE!</v>
      </c>
      <c r="GC61" t="e">
        <f>AND(Plan1!D1037,"AAAAAFz3/7g=")</f>
        <v>#VALUE!</v>
      </c>
      <c r="GD61" t="e">
        <f>AND(Plan1!E1037,"AAAAAFz3/7k=")</f>
        <v>#VALUE!</v>
      </c>
      <c r="GE61" t="e">
        <f>AND(Plan1!F1037,"AAAAAFz3/7o=")</f>
        <v>#VALUE!</v>
      </c>
      <c r="GF61" t="e">
        <f>AND(Plan1!G1037,"AAAAAFz3/7s=")</f>
        <v>#VALUE!</v>
      </c>
      <c r="GG61" t="e">
        <f>AND(Plan1!H1037,"AAAAAFz3/7w=")</f>
        <v>#VALUE!</v>
      </c>
      <c r="GH61" t="e">
        <f>AND(Plan1!I1037,"AAAAAFz3/70=")</f>
        <v>#VALUE!</v>
      </c>
      <c r="GI61" t="e">
        <f>AND(Plan1!J1037,"AAAAAFz3/74=")</f>
        <v>#VALUE!</v>
      </c>
      <c r="GJ61" t="e">
        <f>AND(Plan1!K1037,"AAAAAFz3/78=")</f>
        <v>#VALUE!</v>
      </c>
      <c r="GK61" t="e">
        <f>AND(Plan1!L1037,"AAAAAFz3/8A=")</f>
        <v>#VALUE!</v>
      </c>
      <c r="GL61" t="e">
        <f>AND(Plan1!M1037,"AAAAAFz3/8E=")</f>
        <v>#VALUE!</v>
      </c>
      <c r="GM61" t="e">
        <f>AND(Plan1!N1037,"AAAAAFz3/8I=")</f>
        <v>#VALUE!</v>
      </c>
      <c r="GN61">
        <f>IF(Plan1!1038:1038,"AAAAAFz3/8M=",0)</f>
        <v>0</v>
      </c>
      <c r="GO61" t="e">
        <f>AND(Plan1!A1038,"AAAAAFz3/8Q=")</f>
        <v>#VALUE!</v>
      </c>
      <c r="GP61" t="e">
        <f>AND(Plan1!B1038,"AAAAAFz3/8U=")</f>
        <v>#VALUE!</v>
      </c>
      <c r="GQ61" t="e">
        <f>AND(Plan1!C1038,"AAAAAFz3/8Y=")</f>
        <v>#VALUE!</v>
      </c>
      <c r="GR61" t="e">
        <f>AND(Plan1!D1038,"AAAAAFz3/8c=")</f>
        <v>#VALUE!</v>
      </c>
      <c r="GS61" t="e">
        <f>AND(Plan1!E1038,"AAAAAFz3/8g=")</f>
        <v>#VALUE!</v>
      </c>
      <c r="GT61" t="e">
        <f>AND(Plan1!F1038,"AAAAAFz3/8k=")</f>
        <v>#VALUE!</v>
      </c>
      <c r="GU61" t="e">
        <f>AND(Plan1!G1038,"AAAAAFz3/8o=")</f>
        <v>#VALUE!</v>
      </c>
      <c r="GV61" t="e">
        <f>AND(Plan1!H1038,"AAAAAFz3/8s=")</f>
        <v>#VALUE!</v>
      </c>
      <c r="GW61" t="e">
        <f>AND(Plan1!I1038,"AAAAAFz3/8w=")</f>
        <v>#VALUE!</v>
      </c>
      <c r="GX61" t="e">
        <f>AND(Plan1!J1038,"AAAAAFz3/80=")</f>
        <v>#VALUE!</v>
      </c>
      <c r="GY61" t="e">
        <f>AND(Plan1!K1038,"AAAAAFz3/84=")</f>
        <v>#VALUE!</v>
      </c>
      <c r="GZ61" t="e">
        <f>AND(Plan1!L1038,"AAAAAFz3/88=")</f>
        <v>#VALUE!</v>
      </c>
      <c r="HA61" t="e">
        <f>AND(Plan1!M1038,"AAAAAFz3/9A=")</f>
        <v>#VALUE!</v>
      </c>
      <c r="HB61" t="e">
        <f>AND(Plan1!N1038,"AAAAAFz3/9E=")</f>
        <v>#VALUE!</v>
      </c>
      <c r="HC61">
        <f>IF(Plan1!1039:1039,"AAAAAFz3/9I=",0)</f>
        <v>0</v>
      </c>
      <c r="HD61" t="e">
        <f>AND(Plan1!A1039,"AAAAAFz3/9M=")</f>
        <v>#VALUE!</v>
      </c>
      <c r="HE61" t="e">
        <f>AND(Plan1!B1039,"AAAAAFz3/9Q=")</f>
        <v>#VALUE!</v>
      </c>
      <c r="HF61" t="e">
        <f>AND(Plan1!C1039,"AAAAAFz3/9U=")</f>
        <v>#VALUE!</v>
      </c>
      <c r="HG61" t="e">
        <f>AND(Plan1!D1039,"AAAAAFz3/9Y=")</f>
        <v>#VALUE!</v>
      </c>
      <c r="HH61" t="e">
        <f>AND(Plan1!E1039,"AAAAAFz3/9c=")</f>
        <v>#VALUE!</v>
      </c>
      <c r="HI61" t="e">
        <f>AND(Plan1!F1039,"AAAAAFz3/9g=")</f>
        <v>#VALUE!</v>
      </c>
      <c r="HJ61" t="e">
        <f>AND(Plan1!G1039,"AAAAAFz3/9k=")</f>
        <v>#VALUE!</v>
      </c>
      <c r="HK61" t="e">
        <f>AND(Plan1!H1039,"AAAAAFz3/9o=")</f>
        <v>#VALUE!</v>
      </c>
      <c r="HL61" t="e">
        <f>AND(Plan1!I1039,"AAAAAFz3/9s=")</f>
        <v>#VALUE!</v>
      </c>
      <c r="HM61" t="e">
        <f>AND(Plan1!J1039,"AAAAAFz3/9w=")</f>
        <v>#VALUE!</v>
      </c>
      <c r="HN61" t="e">
        <f>AND(Plan1!K1039,"AAAAAFz3/90=")</f>
        <v>#VALUE!</v>
      </c>
      <c r="HO61" t="e">
        <f>AND(Plan1!L1039,"AAAAAFz3/94=")</f>
        <v>#VALUE!</v>
      </c>
      <c r="HP61" t="e">
        <f>AND(Plan1!M1039,"AAAAAFz3/98=")</f>
        <v>#VALUE!</v>
      </c>
      <c r="HQ61" t="e">
        <f>AND(Plan1!N1039,"AAAAAFz3/+A=")</f>
        <v>#VALUE!</v>
      </c>
      <c r="HR61">
        <f>IF(Plan1!1040:1040,"AAAAAFz3/+E=",0)</f>
        <v>0</v>
      </c>
      <c r="HS61" t="e">
        <f>AND(Plan1!A1040,"AAAAAFz3/+I=")</f>
        <v>#VALUE!</v>
      </c>
      <c r="HT61" t="e">
        <f>AND(Plan1!B1040,"AAAAAFz3/+M=")</f>
        <v>#VALUE!</v>
      </c>
      <c r="HU61" t="e">
        <f>AND(Plan1!C1040,"AAAAAFz3/+Q=")</f>
        <v>#VALUE!</v>
      </c>
      <c r="HV61" t="e">
        <f>AND(Plan1!D1040,"AAAAAFz3/+U=")</f>
        <v>#VALUE!</v>
      </c>
      <c r="HW61" t="e">
        <f>AND(Plan1!E1040,"AAAAAFz3/+Y=")</f>
        <v>#VALUE!</v>
      </c>
      <c r="HX61" t="e">
        <f>AND(Plan1!F1040,"AAAAAFz3/+c=")</f>
        <v>#VALUE!</v>
      </c>
      <c r="HY61" t="e">
        <f>AND(Plan1!G1040,"AAAAAFz3/+g=")</f>
        <v>#VALUE!</v>
      </c>
      <c r="HZ61" t="e">
        <f>AND(Plan1!H1040,"AAAAAFz3/+k=")</f>
        <v>#VALUE!</v>
      </c>
      <c r="IA61" t="e">
        <f>AND(Plan1!I1040,"AAAAAFz3/+o=")</f>
        <v>#VALUE!</v>
      </c>
      <c r="IB61" t="e">
        <f>AND(Plan1!J1040,"AAAAAFz3/+s=")</f>
        <v>#VALUE!</v>
      </c>
      <c r="IC61" t="e">
        <f>AND(Plan1!K1040,"AAAAAFz3/+w=")</f>
        <v>#VALUE!</v>
      </c>
      <c r="ID61" t="e">
        <f>AND(Plan1!L1040,"AAAAAFz3/+0=")</f>
        <v>#VALUE!</v>
      </c>
      <c r="IE61" t="e">
        <f>AND(Plan1!M1040,"AAAAAFz3/+4=")</f>
        <v>#VALUE!</v>
      </c>
      <c r="IF61" t="e">
        <f>AND(Plan1!N1040,"AAAAAFz3/+8=")</f>
        <v>#VALUE!</v>
      </c>
      <c r="IG61">
        <f>IF(Plan1!1041:1041,"AAAAAFz3//A=",0)</f>
        <v>0</v>
      </c>
      <c r="IH61" t="e">
        <f>AND(Plan1!A1041,"AAAAAFz3//E=")</f>
        <v>#VALUE!</v>
      </c>
      <c r="II61" t="e">
        <f>AND(Plan1!B1041,"AAAAAFz3//I=")</f>
        <v>#VALUE!</v>
      </c>
      <c r="IJ61" t="e">
        <f>AND(Plan1!C1041,"AAAAAFz3//M=")</f>
        <v>#VALUE!</v>
      </c>
      <c r="IK61" t="e">
        <f>AND(Plan1!D1041,"AAAAAFz3//Q=")</f>
        <v>#VALUE!</v>
      </c>
      <c r="IL61" t="e">
        <f>AND(Plan1!E1041,"AAAAAFz3//U=")</f>
        <v>#VALUE!</v>
      </c>
      <c r="IM61" t="e">
        <f>AND(Plan1!F1041,"AAAAAFz3//Y=")</f>
        <v>#VALUE!</v>
      </c>
      <c r="IN61" t="e">
        <f>AND(Plan1!G1041,"AAAAAFz3//c=")</f>
        <v>#VALUE!</v>
      </c>
      <c r="IO61" t="e">
        <f>AND(Plan1!H1041,"AAAAAFz3//g=")</f>
        <v>#VALUE!</v>
      </c>
      <c r="IP61" t="e">
        <f>AND(Plan1!I1041,"AAAAAFz3//k=")</f>
        <v>#VALUE!</v>
      </c>
      <c r="IQ61" t="e">
        <f>AND(Plan1!J1041,"AAAAAFz3//o=")</f>
        <v>#VALUE!</v>
      </c>
      <c r="IR61" t="e">
        <f>AND(Plan1!K1041,"AAAAAFz3//s=")</f>
        <v>#VALUE!</v>
      </c>
      <c r="IS61" t="e">
        <f>AND(Plan1!L1041,"AAAAAFz3//w=")</f>
        <v>#VALUE!</v>
      </c>
      <c r="IT61" t="e">
        <f>AND(Plan1!M1041,"AAAAAFz3//0=")</f>
        <v>#VALUE!</v>
      </c>
      <c r="IU61" t="e">
        <f>AND(Plan1!N1041,"AAAAAFz3//4=")</f>
        <v>#VALUE!</v>
      </c>
      <c r="IV61">
        <f>IF(Plan1!1042:1042,"AAAAAFz3//8=",0)</f>
        <v>0</v>
      </c>
    </row>
    <row r="62" spans="1:256">
      <c r="A62" t="e">
        <f>AND(Plan1!A1042,"AAAAAH+rPwA=")</f>
        <v>#VALUE!</v>
      </c>
      <c r="B62" t="e">
        <f>AND(Plan1!B1042,"AAAAAH+rPwE=")</f>
        <v>#VALUE!</v>
      </c>
      <c r="C62" t="e">
        <f>AND(Plan1!C1042,"AAAAAH+rPwI=")</f>
        <v>#VALUE!</v>
      </c>
      <c r="D62" t="e">
        <f>AND(Plan1!D1042,"AAAAAH+rPwM=")</f>
        <v>#VALUE!</v>
      </c>
      <c r="E62" t="e">
        <f>AND(Plan1!E1042,"AAAAAH+rPwQ=")</f>
        <v>#VALUE!</v>
      </c>
      <c r="F62" t="e">
        <f>AND(Plan1!F1042,"AAAAAH+rPwU=")</f>
        <v>#VALUE!</v>
      </c>
      <c r="G62" t="e">
        <f>AND(Plan1!G1042,"AAAAAH+rPwY=")</f>
        <v>#VALUE!</v>
      </c>
      <c r="H62" t="e">
        <f>AND(Plan1!H1042,"AAAAAH+rPwc=")</f>
        <v>#VALUE!</v>
      </c>
      <c r="I62" t="e">
        <f>AND(Plan1!I1042,"AAAAAH+rPwg=")</f>
        <v>#VALUE!</v>
      </c>
      <c r="J62" t="e">
        <f>AND(Plan1!J1042,"AAAAAH+rPwk=")</f>
        <v>#VALUE!</v>
      </c>
      <c r="K62" t="e">
        <f>AND(Plan1!K1042,"AAAAAH+rPwo=")</f>
        <v>#VALUE!</v>
      </c>
      <c r="L62" t="e">
        <f>AND(Plan1!L1042,"AAAAAH+rPws=")</f>
        <v>#VALUE!</v>
      </c>
      <c r="M62" t="e">
        <f>AND(Plan1!M1042,"AAAAAH+rPww=")</f>
        <v>#VALUE!</v>
      </c>
      <c r="N62" t="e">
        <f>AND(Plan1!N1042,"AAAAAH+rPw0=")</f>
        <v>#VALUE!</v>
      </c>
      <c r="O62">
        <f>IF(Plan1!1043:1043,"AAAAAH+rPw4=",0)</f>
        <v>0</v>
      </c>
      <c r="P62" t="e">
        <f>AND(Plan1!A1043,"AAAAAH+rPw8=")</f>
        <v>#VALUE!</v>
      </c>
      <c r="Q62" t="e">
        <f>AND(Plan1!B1043,"AAAAAH+rPxA=")</f>
        <v>#VALUE!</v>
      </c>
      <c r="R62" t="e">
        <f>AND(Plan1!C1043,"AAAAAH+rPxE=")</f>
        <v>#VALUE!</v>
      </c>
      <c r="S62" t="e">
        <f>AND(Plan1!D1043,"AAAAAH+rPxI=")</f>
        <v>#VALUE!</v>
      </c>
      <c r="T62" t="e">
        <f>AND(Plan1!E1043,"AAAAAH+rPxM=")</f>
        <v>#VALUE!</v>
      </c>
      <c r="U62" t="e">
        <f>AND(Plan1!F1043,"AAAAAH+rPxQ=")</f>
        <v>#VALUE!</v>
      </c>
      <c r="V62" t="e">
        <f>AND(Plan1!G1043,"AAAAAH+rPxU=")</f>
        <v>#VALUE!</v>
      </c>
      <c r="W62" t="e">
        <f>AND(Plan1!H1043,"AAAAAH+rPxY=")</f>
        <v>#VALUE!</v>
      </c>
      <c r="X62" t="e">
        <f>AND(Plan1!I1043,"AAAAAH+rPxc=")</f>
        <v>#VALUE!</v>
      </c>
      <c r="Y62" t="e">
        <f>AND(Plan1!J1043,"AAAAAH+rPxg=")</f>
        <v>#VALUE!</v>
      </c>
      <c r="Z62" t="e">
        <f>AND(Plan1!K1043,"AAAAAH+rPxk=")</f>
        <v>#VALUE!</v>
      </c>
      <c r="AA62" t="e">
        <f>AND(Plan1!L1043,"AAAAAH+rPxo=")</f>
        <v>#VALUE!</v>
      </c>
      <c r="AB62" t="e">
        <f>AND(Plan1!M1043,"AAAAAH+rPxs=")</f>
        <v>#VALUE!</v>
      </c>
      <c r="AC62" t="e">
        <f>AND(Plan1!N1043,"AAAAAH+rPxw=")</f>
        <v>#VALUE!</v>
      </c>
      <c r="AD62">
        <f>IF(Plan1!1044:1044,"AAAAAH+rPx0=",0)</f>
        <v>0</v>
      </c>
      <c r="AE62" t="e">
        <f>AND(Plan1!A1044,"AAAAAH+rPx4=")</f>
        <v>#VALUE!</v>
      </c>
      <c r="AF62" t="e">
        <f>AND(Plan1!B1044,"AAAAAH+rPx8=")</f>
        <v>#VALUE!</v>
      </c>
      <c r="AG62" t="e">
        <f>AND(Plan1!C1044,"AAAAAH+rPyA=")</f>
        <v>#VALUE!</v>
      </c>
      <c r="AH62" t="e">
        <f>AND(Plan1!D1044,"AAAAAH+rPyE=")</f>
        <v>#VALUE!</v>
      </c>
      <c r="AI62" t="e">
        <f>AND(Plan1!E1044,"AAAAAH+rPyI=")</f>
        <v>#VALUE!</v>
      </c>
      <c r="AJ62" t="e">
        <f>AND(Plan1!F1044,"AAAAAH+rPyM=")</f>
        <v>#VALUE!</v>
      </c>
      <c r="AK62" t="e">
        <f>AND(Plan1!G1044,"AAAAAH+rPyQ=")</f>
        <v>#VALUE!</v>
      </c>
      <c r="AL62" t="e">
        <f>AND(Plan1!H1044,"AAAAAH+rPyU=")</f>
        <v>#VALUE!</v>
      </c>
      <c r="AM62" t="e">
        <f>AND(Plan1!I1044,"AAAAAH+rPyY=")</f>
        <v>#VALUE!</v>
      </c>
      <c r="AN62" t="e">
        <f>AND(Plan1!J1044,"AAAAAH+rPyc=")</f>
        <v>#VALUE!</v>
      </c>
      <c r="AO62" t="e">
        <f>AND(Plan1!K1044,"AAAAAH+rPyg=")</f>
        <v>#VALUE!</v>
      </c>
      <c r="AP62" t="e">
        <f>AND(Plan1!L1044,"AAAAAH+rPyk=")</f>
        <v>#VALUE!</v>
      </c>
      <c r="AQ62" t="e">
        <f>AND(Plan1!M1044,"AAAAAH+rPyo=")</f>
        <v>#VALUE!</v>
      </c>
      <c r="AR62" t="e">
        <f>AND(Plan1!N1044,"AAAAAH+rPys=")</f>
        <v>#VALUE!</v>
      </c>
      <c r="AS62">
        <f>IF(Plan1!1045:1045,"AAAAAH+rPyw=",0)</f>
        <v>0</v>
      </c>
      <c r="AT62" t="e">
        <f>AND(Plan1!A1045,"AAAAAH+rPy0=")</f>
        <v>#VALUE!</v>
      </c>
      <c r="AU62" t="e">
        <f>AND(Plan1!B1045,"AAAAAH+rPy4=")</f>
        <v>#VALUE!</v>
      </c>
      <c r="AV62" t="e">
        <f>AND(Plan1!C1045,"AAAAAH+rPy8=")</f>
        <v>#VALUE!</v>
      </c>
      <c r="AW62" t="e">
        <f>AND(Plan1!D1045,"AAAAAH+rPzA=")</f>
        <v>#VALUE!</v>
      </c>
      <c r="AX62" t="e">
        <f>AND(Plan1!E1045,"AAAAAH+rPzE=")</f>
        <v>#VALUE!</v>
      </c>
      <c r="AY62" t="e">
        <f>AND(Plan1!F1045,"AAAAAH+rPzI=")</f>
        <v>#VALUE!</v>
      </c>
      <c r="AZ62" t="e">
        <f>AND(Plan1!G1045,"AAAAAH+rPzM=")</f>
        <v>#VALUE!</v>
      </c>
      <c r="BA62" t="e">
        <f>AND(Plan1!H1045,"AAAAAH+rPzQ=")</f>
        <v>#VALUE!</v>
      </c>
      <c r="BB62" t="e">
        <f>AND(Plan1!I1045,"AAAAAH+rPzU=")</f>
        <v>#VALUE!</v>
      </c>
      <c r="BC62" t="e">
        <f>AND(Plan1!J1045,"AAAAAH+rPzY=")</f>
        <v>#VALUE!</v>
      </c>
      <c r="BD62" t="e">
        <f>AND(Plan1!K1045,"AAAAAH+rPzc=")</f>
        <v>#VALUE!</v>
      </c>
      <c r="BE62" t="e">
        <f>AND(Plan1!L1045,"AAAAAH+rPzg=")</f>
        <v>#VALUE!</v>
      </c>
      <c r="BF62" t="e">
        <f>AND(Plan1!M1045,"AAAAAH+rPzk=")</f>
        <v>#VALUE!</v>
      </c>
      <c r="BG62" t="e">
        <f>AND(Plan1!N1045,"AAAAAH+rPzo=")</f>
        <v>#VALUE!</v>
      </c>
      <c r="BH62">
        <f>IF(Plan1!1046:1046,"AAAAAH+rPzs=",0)</f>
        <v>0</v>
      </c>
      <c r="BI62" t="e">
        <f>AND(Plan1!A1046,"AAAAAH+rPzw=")</f>
        <v>#VALUE!</v>
      </c>
      <c r="BJ62" t="e">
        <f>AND(Plan1!B1046,"AAAAAH+rPz0=")</f>
        <v>#VALUE!</v>
      </c>
      <c r="BK62" t="e">
        <f>AND(Plan1!C1046,"AAAAAH+rPz4=")</f>
        <v>#VALUE!</v>
      </c>
      <c r="BL62" t="e">
        <f>AND(Plan1!D1046,"AAAAAH+rPz8=")</f>
        <v>#VALUE!</v>
      </c>
      <c r="BM62" t="e">
        <f>AND(Plan1!E1046,"AAAAAH+rP0A=")</f>
        <v>#VALUE!</v>
      </c>
      <c r="BN62" t="e">
        <f>AND(Plan1!F1046,"AAAAAH+rP0E=")</f>
        <v>#VALUE!</v>
      </c>
      <c r="BO62" t="e">
        <f>AND(Plan1!G1046,"AAAAAH+rP0I=")</f>
        <v>#VALUE!</v>
      </c>
      <c r="BP62" t="e">
        <f>AND(Plan1!H1046,"AAAAAH+rP0M=")</f>
        <v>#VALUE!</v>
      </c>
      <c r="BQ62" t="e">
        <f>AND(Plan1!I1046,"AAAAAH+rP0Q=")</f>
        <v>#VALUE!</v>
      </c>
      <c r="BR62" t="e">
        <f>AND(Plan1!J1046,"AAAAAH+rP0U=")</f>
        <v>#VALUE!</v>
      </c>
      <c r="BS62" t="e">
        <f>AND(Plan1!K1046,"AAAAAH+rP0Y=")</f>
        <v>#VALUE!</v>
      </c>
      <c r="BT62" t="e">
        <f>AND(Plan1!L1046,"AAAAAH+rP0c=")</f>
        <v>#VALUE!</v>
      </c>
      <c r="BU62" t="e">
        <f>AND(Plan1!M1046,"AAAAAH+rP0g=")</f>
        <v>#VALUE!</v>
      </c>
      <c r="BV62" t="e">
        <f>AND(Plan1!N1046,"AAAAAH+rP0k=")</f>
        <v>#VALUE!</v>
      </c>
      <c r="BW62">
        <f>IF(Plan1!1047:1047,"AAAAAH+rP0o=",0)</f>
        <v>0</v>
      </c>
      <c r="BX62" t="e">
        <f>AND(Plan1!A1047,"AAAAAH+rP0s=")</f>
        <v>#VALUE!</v>
      </c>
      <c r="BY62" t="e">
        <f>AND(Plan1!B1047,"AAAAAH+rP0w=")</f>
        <v>#VALUE!</v>
      </c>
      <c r="BZ62" t="e">
        <f>AND(Plan1!C1047,"AAAAAH+rP00=")</f>
        <v>#VALUE!</v>
      </c>
      <c r="CA62" t="e">
        <f>AND(Plan1!D1047,"AAAAAH+rP04=")</f>
        <v>#VALUE!</v>
      </c>
      <c r="CB62" t="e">
        <f>AND(Plan1!E1047,"AAAAAH+rP08=")</f>
        <v>#VALUE!</v>
      </c>
      <c r="CC62" t="e">
        <f>AND(Plan1!F1047,"AAAAAH+rP1A=")</f>
        <v>#VALUE!</v>
      </c>
      <c r="CD62" t="e">
        <f>AND(Plan1!G1047,"AAAAAH+rP1E=")</f>
        <v>#VALUE!</v>
      </c>
      <c r="CE62" t="e">
        <f>AND(Plan1!H1047,"AAAAAH+rP1I=")</f>
        <v>#VALUE!</v>
      </c>
      <c r="CF62" t="e">
        <f>AND(Plan1!I1047,"AAAAAH+rP1M=")</f>
        <v>#VALUE!</v>
      </c>
      <c r="CG62" t="e">
        <f>AND(Plan1!J1047,"AAAAAH+rP1Q=")</f>
        <v>#VALUE!</v>
      </c>
      <c r="CH62" t="e">
        <f>AND(Plan1!K1047,"AAAAAH+rP1U=")</f>
        <v>#VALUE!</v>
      </c>
      <c r="CI62" t="e">
        <f>AND(Plan1!L1047,"AAAAAH+rP1Y=")</f>
        <v>#VALUE!</v>
      </c>
      <c r="CJ62" t="e">
        <f>AND(Plan1!M1047,"AAAAAH+rP1c=")</f>
        <v>#VALUE!</v>
      </c>
      <c r="CK62" t="e">
        <f>AND(Plan1!N1047,"AAAAAH+rP1g=")</f>
        <v>#VALUE!</v>
      </c>
      <c r="CL62">
        <f>IF(Plan1!1048:1048,"AAAAAH+rP1k=",0)</f>
        <v>0</v>
      </c>
      <c r="CM62" t="e">
        <f>AND(Plan1!A1048,"AAAAAH+rP1o=")</f>
        <v>#VALUE!</v>
      </c>
      <c r="CN62" t="e">
        <f>AND(Plan1!B1048,"AAAAAH+rP1s=")</f>
        <v>#VALUE!</v>
      </c>
      <c r="CO62" t="e">
        <f>AND(Plan1!C1048,"AAAAAH+rP1w=")</f>
        <v>#VALUE!</v>
      </c>
      <c r="CP62" t="e">
        <f>AND(Plan1!D1048,"AAAAAH+rP10=")</f>
        <v>#VALUE!</v>
      </c>
      <c r="CQ62" t="e">
        <f>AND(Plan1!E1048,"AAAAAH+rP14=")</f>
        <v>#VALUE!</v>
      </c>
      <c r="CR62" t="e">
        <f>AND(Plan1!F1048,"AAAAAH+rP18=")</f>
        <v>#VALUE!</v>
      </c>
      <c r="CS62" t="e">
        <f>AND(Plan1!G1048,"AAAAAH+rP2A=")</f>
        <v>#VALUE!</v>
      </c>
      <c r="CT62" t="e">
        <f>AND(Plan1!H1048,"AAAAAH+rP2E=")</f>
        <v>#VALUE!</v>
      </c>
      <c r="CU62" t="e">
        <f>AND(Plan1!I1048,"AAAAAH+rP2I=")</f>
        <v>#VALUE!</v>
      </c>
      <c r="CV62" t="e">
        <f>AND(Plan1!J1048,"AAAAAH+rP2M=")</f>
        <v>#VALUE!</v>
      </c>
      <c r="CW62" t="e">
        <f>AND(Plan1!K1048,"AAAAAH+rP2Q=")</f>
        <v>#VALUE!</v>
      </c>
      <c r="CX62" t="e">
        <f>AND(Plan1!L1048,"AAAAAH+rP2U=")</f>
        <v>#VALUE!</v>
      </c>
      <c r="CY62" t="e">
        <f>AND(Plan1!M1048,"AAAAAH+rP2Y=")</f>
        <v>#VALUE!</v>
      </c>
      <c r="CZ62" t="e">
        <f>AND(Plan1!N1048,"AAAAAH+rP2c=")</f>
        <v>#VALUE!</v>
      </c>
      <c r="DA62">
        <f>IF(Plan1!1049:1049,"AAAAAH+rP2g=",0)</f>
        <v>0</v>
      </c>
      <c r="DB62" t="e">
        <f>AND(Plan1!A1049,"AAAAAH+rP2k=")</f>
        <v>#VALUE!</v>
      </c>
      <c r="DC62" t="e">
        <f>AND(Plan1!B1049,"AAAAAH+rP2o=")</f>
        <v>#VALUE!</v>
      </c>
      <c r="DD62" t="e">
        <f>AND(Plan1!C1049,"AAAAAH+rP2s=")</f>
        <v>#VALUE!</v>
      </c>
      <c r="DE62" t="e">
        <f>AND(Plan1!D1049,"AAAAAH+rP2w=")</f>
        <v>#VALUE!</v>
      </c>
      <c r="DF62" t="e">
        <f>AND(Plan1!E1049,"AAAAAH+rP20=")</f>
        <v>#VALUE!</v>
      </c>
      <c r="DG62" t="e">
        <f>AND(Plan1!F1049,"AAAAAH+rP24=")</f>
        <v>#VALUE!</v>
      </c>
      <c r="DH62" t="e">
        <f>AND(Plan1!G1049,"AAAAAH+rP28=")</f>
        <v>#VALUE!</v>
      </c>
      <c r="DI62" t="e">
        <f>AND(Plan1!H1049,"AAAAAH+rP3A=")</f>
        <v>#VALUE!</v>
      </c>
      <c r="DJ62" t="e">
        <f>AND(Plan1!I1049,"AAAAAH+rP3E=")</f>
        <v>#VALUE!</v>
      </c>
      <c r="DK62" t="e">
        <f>AND(Plan1!J1049,"AAAAAH+rP3I=")</f>
        <v>#VALUE!</v>
      </c>
      <c r="DL62" t="e">
        <f>AND(Plan1!K1049,"AAAAAH+rP3M=")</f>
        <v>#VALUE!</v>
      </c>
      <c r="DM62" t="e">
        <f>AND(Plan1!L1049,"AAAAAH+rP3Q=")</f>
        <v>#VALUE!</v>
      </c>
      <c r="DN62" t="e">
        <f>AND(Plan1!M1049,"AAAAAH+rP3U=")</f>
        <v>#VALUE!</v>
      </c>
      <c r="DO62" t="e">
        <f>AND(Plan1!N1049,"AAAAAH+rP3Y=")</f>
        <v>#VALUE!</v>
      </c>
      <c r="DP62">
        <f>IF(Plan1!1050:1050,"AAAAAH+rP3c=",0)</f>
        <v>0</v>
      </c>
      <c r="DQ62" t="e">
        <f>AND(Plan1!A1050,"AAAAAH+rP3g=")</f>
        <v>#VALUE!</v>
      </c>
      <c r="DR62" t="e">
        <f>AND(Plan1!B1050,"AAAAAH+rP3k=")</f>
        <v>#VALUE!</v>
      </c>
      <c r="DS62" t="e">
        <f>AND(Plan1!C1050,"AAAAAH+rP3o=")</f>
        <v>#VALUE!</v>
      </c>
      <c r="DT62" t="e">
        <f>AND(Plan1!D1050,"AAAAAH+rP3s=")</f>
        <v>#VALUE!</v>
      </c>
      <c r="DU62" t="e">
        <f>AND(Plan1!E1050,"AAAAAH+rP3w=")</f>
        <v>#VALUE!</v>
      </c>
      <c r="DV62" t="e">
        <f>AND(Plan1!F1050,"AAAAAH+rP30=")</f>
        <v>#VALUE!</v>
      </c>
      <c r="DW62" t="e">
        <f>AND(Plan1!G1050,"AAAAAH+rP34=")</f>
        <v>#VALUE!</v>
      </c>
      <c r="DX62" t="e">
        <f>AND(Plan1!H1050,"AAAAAH+rP38=")</f>
        <v>#VALUE!</v>
      </c>
      <c r="DY62" t="e">
        <f>AND(Plan1!I1050,"AAAAAH+rP4A=")</f>
        <v>#VALUE!</v>
      </c>
      <c r="DZ62" t="e">
        <f>AND(Plan1!J1050,"AAAAAH+rP4E=")</f>
        <v>#VALUE!</v>
      </c>
      <c r="EA62" t="e">
        <f>AND(Plan1!K1050,"AAAAAH+rP4I=")</f>
        <v>#VALUE!</v>
      </c>
      <c r="EB62" t="e">
        <f>AND(Plan1!L1050,"AAAAAH+rP4M=")</f>
        <v>#VALUE!</v>
      </c>
      <c r="EC62" t="e">
        <f>AND(Plan1!M1050,"AAAAAH+rP4Q=")</f>
        <v>#VALUE!</v>
      </c>
      <c r="ED62" t="e">
        <f>AND(Plan1!N1050,"AAAAAH+rP4U=")</f>
        <v>#VALUE!</v>
      </c>
      <c r="EE62">
        <f>IF(Plan1!1051:1051,"AAAAAH+rP4Y=",0)</f>
        <v>0</v>
      </c>
      <c r="EF62" t="e">
        <f>AND(Plan1!A1051,"AAAAAH+rP4c=")</f>
        <v>#VALUE!</v>
      </c>
      <c r="EG62" t="e">
        <f>AND(Plan1!B1051,"AAAAAH+rP4g=")</f>
        <v>#VALUE!</v>
      </c>
      <c r="EH62" t="e">
        <f>AND(Plan1!C1051,"AAAAAH+rP4k=")</f>
        <v>#VALUE!</v>
      </c>
      <c r="EI62" t="e">
        <f>AND(Plan1!D1051,"AAAAAH+rP4o=")</f>
        <v>#VALUE!</v>
      </c>
      <c r="EJ62" t="e">
        <f>AND(Plan1!E1051,"AAAAAH+rP4s=")</f>
        <v>#VALUE!</v>
      </c>
      <c r="EK62" t="e">
        <f>AND(Plan1!F1051,"AAAAAH+rP4w=")</f>
        <v>#VALUE!</v>
      </c>
      <c r="EL62" t="e">
        <f>AND(Plan1!G1051,"AAAAAH+rP40=")</f>
        <v>#VALUE!</v>
      </c>
      <c r="EM62" t="e">
        <f>AND(Plan1!H1051,"AAAAAH+rP44=")</f>
        <v>#VALUE!</v>
      </c>
      <c r="EN62" t="e">
        <f>AND(Plan1!I1051,"AAAAAH+rP48=")</f>
        <v>#VALUE!</v>
      </c>
      <c r="EO62" t="e">
        <f>AND(Plan1!J1051,"AAAAAH+rP5A=")</f>
        <v>#VALUE!</v>
      </c>
      <c r="EP62" t="e">
        <f>AND(Plan1!K1051,"AAAAAH+rP5E=")</f>
        <v>#VALUE!</v>
      </c>
      <c r="EQ62" t="e">
        <f>AND(Plan1!L1051,"AAAAAH+rP5I=")</f>
        <v>#VALUE!</v>
      </c>
      <c r="ER62" t="e">
        <f>AND(Plan1!M1051,"AAAAAH+rP5M=")</f>
        <v>#VALUE!</v>
      </c>
      <c r="ES62" t="e">
        <f>AND(Plan1!N1051,"AAAAAH+rP5Q=")</f>
        <v>#VALUE!</v>
      </c>
      <c r="ET62">
        <f>IF(Plan1!1052:1052,"AAAAAH+rP5U=",0)</f>
        <v>0</v>
      </c>
      <c r="EU62" t="e">
        <f>AND(Plan1!A1052,"AAAAAH+rP5Y=")</f>
        <v>#VALUE!</v>
      </c>
      <c r="EV62" t="e">
        <f>AND(Plan1!B1052,"AAAAAH+rP5c=")</f>
        <v>#VALUE!</v>
      </c>
      <c r="EW62" t="e">
        <f>AND(Plan1!C1052,"AAAAAH+rP5g=")</f>
        <v>#VALUE!</v>
      </c>
      <c r="EX62" t="e">
        <f>AND(Plan1!D1052,"AAAAAH+rP5k=")</f>
        <v>#VALUE!</v>
      </c>
      <c r="EY62" t="e">
        <f>AND(Plan1!E1052,"AAAAAH+rP5o=")</f>
        <v>#VALUE!</v>
      </c>
      <c r="EZ62" t="e">
        <f>AND(Plan1!F1052,"AAAAAH+rP5s=")</f>
        <v>#VALUE!</v>
      </c>
      <c r="FA62" t="e">
        <f>AND(Plan1!G1052,"AAAAAH+rP5w=")</f>
        <v>#VALUE!</v>
      </c>
      <c r="FB62" t="e">
        <f>AND(Plan1!H1052,"AAAAAH+rP50=")</f>
        <v>#VALUE!</v>
      </c>
      <c r="FC62" t="e">
        <f>AND(Plan1!I1052,"AAAAAH+rP54=")</f>
        <v>#VALUE!</v>
      </c>
      <c r="FD62" t="e">
        <f>AND(Plan1!J1052,"AAAAAH+rP58=")</f>
        <v>#VALUE!</v>
      </c>
      <c r="FE62" t="e">
        <f>AND(Plan1!K1052,"AAAAAH+rP6A=")</f>
        <v>#VALUE!</v>
      </c>
      <c r="FF62" t="e">
        <f>AND(Plan1!L1052,"AAAAAH+rP6E=")</f>
        <v>#VALUE!</v>
      </c>
      <c r="FG62" t="e">
        <f>AND(Plan1!M1052,"AAAAAH+rP6I=")</f>
        <v>#VALUE!</v>
      </c>
      <c r="FH62" t="e">
        <f>AND(Plan1!N1052,"AAAAAH+rP6M=")</f>
        <v>#VALUE!</v>
      </c>
      <c r="FI62">
        <f>IF(Plan1!1053:1053,"AAAAAH+rP6Q=",0)</f>
        <v>0</v>
      </c>
      <c r="FJ62" t="e">
        <f>AND(Plan1!A1053,"AAAAAH+rP6U=")</f>
        <v>#VALUE!</v>
      </c>
      <c r="FK62" t="e">
        <f>AND(Plan1!B1053,"AAAAAH+rP6Y=")</f>
        <v>#VALUE!</v>
      </c>
      <c r="FL62" t="e">
        <f>AND(Plan1!C1053,"AAAAAH+rP6c=")</f>
        <v>#VALUE!</v>
      </c>
      <c r="FM62" t="e">
        <f>AND(Plan1!D1053,"AAAAAH+rP6g=")</f>
        <v>#VALUE!</v>
      </c>
      <c r="FN62" t="e">
        <f>AND(Plan1!E1053,"AAAAAH+rP6k=")</f>
        <v>#VALUE!</v>
      </c>
      <c r="FO62" t="e">
        <f>AND(Plan1!F1053,"AAAAAH+rP6o=")</f>
        <v>#VALUE!</v>
      </c>
      <c r="FP62" t="e">
        <f>AND(Plan1!G1053,"AAAAAH+rP6s=")</f>
        <v>#VALUE!</v>
      </c>
      <c r="FQ62" t="e">
        <f>AND(Plan1!H1053,"AAAAAH+rP6w=")</f>
        <v>#VALUE!</v>
      </c>
      <c r="FR62" t="e">
        <f>AND(Plan1!I1053,"AAAAAH+rP60=")</f>
        <v>#VALUE!</v>
      </c>
      <c r="FS62" t="e">
        <f>AND(Plan1!J1053,"AAAAAH+rP64=")</f>
        <v>#VALUE!</v>
      </c>
      <c r="FT62" t="e">
        <f>AND(Plan1!K1053,"AAAAAH+rP68=")</f>
        <v>#VALUE!</v>
      </c>
      <c r="FU62" t="e">
        <f>AND(Plan1!L1053,"AAAAAH+rP7A=")</f>
        <v>#VALUE!</v>
      </c>
      <c r="FV62" t="e">
        <f>AND(Plan1!M1053,"AAAAAH+rP7E=")</f>
        <v>#VALUE!</v>
      </c>
      <c r="FW62" t="e">
        <f>AND(Plan1!N1053,"AAAAAH+rP7I=")</f>
        <v>#VALUE!</v>
      </c>
      <c r="FX62">
        <f>IF(Plan1!1054:1054,"AAAAAH+rP7M=",0)</f>
        <v>0</v>
      </c>
      <c r="FY62" t="e">
        <f>AND(Plan1!A1054,"AAAAAH+rP7Q=")</f>
        <v>#VALUE!</v>
      </c>
      <c r="FZ62" t="e">
        <f>AND(Plan1!B1054,"AAAAAH+rP7U=")</f>
        <v>#VALUE!</v>
      </c>
      <c r="GA62" t="e">
        <f>AND(Plan1!C1054,"AAAAAH+rP7Y=")</f>
        <v>#VALUE!</v>
      </c>
      <c r="GB62" t="e">
        <f>AND(Plan1!D1054,"AAAAAH+rP7c=")</f>
        <v>#VALUE!</v>
      </c>
      <c r="GC62" t="e">
        <f>AND(Plan1!E1054,"AAAAAH+rP7g=")</f>
        <v>#VALUE!</v>
      </c>
      <c r="GD62" t="e">
        <f>AND(Plan1!F1054,"AAAAAH+rP7k=")</f>
        <v>#VALUE!</v>
      </c>
      <c r="GE62" t="e">
        <f>AND(Plan1!G1054,"AAAAAH+rP7o=")</f>
        <v>#VALUE!</v>
      </c>
      <c r="GF62" t="e">
        <f>AND(Plan1!H1054,"AAAAAH+rP7s=")</f>
        <v>#VALUE!</v>
      </c>
      <c r="GG62" t="e">
        <f>AND(Plan1!I1054,"AAAAAH+rP7w=")</f>
        <v>#VALUE!</v>
      </c>
      <c r="GH62" t="e">
        <f>AND(Plan1!J1054,"AAAAAH+rP70=")</f>
        <v>#VALUE!</v>
      </c>
      <c r="GI62" t="e">
        <f>AND(Plan1!K1054,"AAAAAH+rP74=")</f>
        <v>#VALUE!</v>
      </c>
      <c r="GJ62" t="e">
        <f>AND(Plan1!L1054,"AAAAAH+rP78=")</f>
        <v>#VALUE!</v>
      </c>
      <c r="GK62" t="e">
        <f>AND(Plan1!M1054,"AAAAAH+rP8A=")</f>
        <v>#VALUE!</v>
      </c>
      <c r="GL62" t="e">
        <f>AND(Plan1!N1054,"AAAAAH+rP8E=")</f>
        <v>#VALUE!</v>
      </c>
      <c r="GM62">
        <f>IF(Plan1!1055:1055,"AAAAAH+rP8I=",0)</f>
        <v>0</v>
      </c>
      <c r="GN62" t="e">
        <f>AND(Plan1!A1055,"AAAAAH+rP8M=")</f>
        <v>#VALUE!</v>
      </c>
      <c r="GO62" t="e">
        <f>AND(Plan1!B1055,"AAAAAH+rP8Q=")</f>
        <v>#VALUE!</v>
      </c>
      <c r="GP62" t="e">
        <f>AND(Plan1!C1055,"AAAAAH+rP8U=")</f>
        <v>#VALUE!</v>
      </c>
      <c r="GQ62" t="e">
        <f>AND(Plan1!D1055,"AAAAAH+rP8Y=")</f>
        <v>#VALUE!</v>
      </c>
      <c r="GR62" t="e">
        <f>AND(Plan1!E1055,"AAAAAH+rP8c=")</f>
        <v>#VALUE!</v>
      </c>
      <c r="GS62" t="e">
        <f>AND(Plan1!F1055,"AAAAAH+rP8g=")</f>
        <v>#VALUE!</v>
      </c>
      <c r="GT62" t="e">
        <f>AND(Plan1!G1055,"AAAAAH+rP8k=")</f>
        <v>#VALUE!</v>
      </c>
      <c r="GU62" t="e">
        <f>AND(Plan1!H1055,"AAAAAH+rP8o=")</f>
        <v>#VALUE!</v>
      </c>
      <c r="GV62" t="e">
        <f>AND(Plan1!I1055,"AAAAAH+rP8s=")</f>
        <v>#VALUE!</v>
      </c>
      <c r="GW62" t="e">
        <f>AND(Plan1!J1055,"AAAAAH+rP8w=")</f>
        <v>#VALUE!</v>
      </c>
      <c r="GX62" t="e">
        <f>AND(Plan1!K1055,"AAAAAH+rP80=")</f>
        <v>#VALUE!</v>
      </c>
      <c r="GY62" t="e">
        <f>AND(Plan1!L1055,"AAAAAH+rP84=")</f>
        <v>#VALUE!</v>
      </c>
      <c r="GZ62" t="e">
        <f>AND(Plan1!M1055,"AAAAAH+rP88=")</f>
        <v>#VALUE!</v>
      </c>
      <c r="HA62" t="e">
        <f>AND(Plan1!N1055,"AAAAAH+rP9A=")</f>
        <v>#VALUE!</v>
      </c>
      <c r="HB62">
        <f>IF(Plan1!1056:1056,"AAAAAH+rP9E=",0)</f>
        <v>0</v>
      </c>
      <c r="HC62" t="e">
        <f>AND(Plan1!A1056,"AAAAAH+rP9I=")</f>
        <v>#VALUE!</v>
      </c>
      <c r="HD62" t="e">
        <f>AND(Plan1!B1056,"AAAAAH+rP9M=")</f>
        <v>#VALUE!</v>
      </c>
      <c r="HE62" t="e">
        <f>AND(Plan1!C1056,"AAAAAH+rP9Q=")</f>
        <v>#VALUE!</v>
      </c>
      <c r="HF62" t="e">
        <f>AND(Plan1!D1056,"AAAAAH+rP9U=")</f>
        <v>#VALUE!</v>
      </c>
      <c r="HG62" t="e">
        <f>AND(Plan1!E1056,"AAAAAH+rP9Y=")</f>
        <v>#VALUE!</v>
      </c>
      <c r="HH62" t="e">
        <f>AND(Plan1!F1056,"AAAAAH+rP9c=")</f>
        <v>#VALUE!</v>
      </c>
      <c r="HI62" t="e">
        <f>AND(Plan1!G1056,"AAAAAH+rP9g=")</f>
        <v>#VALUE!</v>
      </c>
      <c r="HJ62" t="e">
        <f>AND(Plan1!H1056,"AAAAAH+rP9k=")</f>
        <v>#VALUE!</v>
      </c>
      <c r="HK62" t="e">
        <f>AND(Plan1!I1056,"AAAAAH+rP9o=")</f>
        <v>#VALUE!</v>
      </c>
      <c r="HL62" t="e">
        <f>AND(Plan1!J1056,"AAAAAH+rP9s=")</f>
        <v>#VALUE!</v>
      </c>
      <c r="HM62" t="e">
        <f>AND(Plan1!K1056,"AAAAAH+rP9w=")</f>
        <v>#VALUE!</v>
      </c>
      <c r="HN62" t="e">
        <f>AND(Plan1!L1056,"AAAAAH+rP90=")</f>
        <v>#VALUE!</v>
      </c>
      <c r="HO62" t="e">
        <f>AND(Plan1!M1056,"AAAAAH+rP94=")</f>
        <v>#VALUE!</v>
      </c>
      <c r="HP62" t="e">
        <f>AND(Plan1!N1056,"AAAAAH+rP98=")</f>
        <v>#VALUE!</v>
      </c>
      <c r="HQ62">
        <f>IF(Plan1!1057:1057,"AAAAAH+rP+A=",0)</f>
        <v>0</v>
      </c>
      <c r="HR62" t="e">
        <f>AND(Plan1!A1057,"AAAAAH+rP+E=")</f>
        <v>#VALUE!</v>
      </c>
      <c r="HS62" t="e">
        <f>AND(Plan1!B1057,"AAAAAH+rP+I=")</f>
        <v>#VALUE!</v>
      </c>
      <c r="HT62" t="e">
        <f>AND(Plan1!C1057,"AAAAAH+rP+M=")</f>
        <v>#VALUE!</v>
      </c>
      <c r="HU62" t="e">
        <f>AND(Plan1!D1057,"AAAAAH+rP+Q=")</f>
        <v>#VALUE!</v>
      </c>
      <c r="HV62" t="e">
        <f>AND(Plan1!E1057,"AAAAAH+rP+U=")</f>
        <v>#VALUE!</v>
      </c>
      <c r="HW62" t="e">
        <f>AND(Plan1!F1057,"AAAAAH+rP+Y=")</f>
        <v>#VALUE!</v>
      </c>
      <c r="HX62" t="e">
        <f>AND(Plan1!G1057,"AAAAAH+rP+c=")</f>
        <v>#VALUE!</v>
      </c>
      <c r="HY62" t="e">
        <f>AND(Plan1!H1057,"AAAAAH+rP+g=")</f>
        <v>#VALUE!</v>
      </c>
      <c r="HZ62" t="e">
        <f>AND(Plan1!I1057,"AAAAAH+rP+k=")</f>
        <v>#VALUE!</v>
      </c>
      <c r="IA62" t="e">
        <f>AND(Plan1!J1057,"AAAAAH+rP+o=")</f>
        <v>#VALUE!</v>
      </c>
      <c r="IB62" t="e">
        <f>AND(Plan1!K1057,"AAAAAH+rP+s=")</f>
        <v>#VALUE!</v>
      </c>
      <c r="IC62" t="e">
        <f>AND(Plan1!L1057,"AAAAAH+rP+w=")</f>
        <v>#VALUE!</v>
      </c>
      <c r="ID62" t="e">
        <f>AND(Plan1!M1057,"AAAAAH+rP+0=")</f>
        <v>#VALUE!</v>
      </c>
      <c r="IE62" t="e">
        <f>AND(Plan1!N1057,"AAAAAH+rP+4=")</f>
        <v>#VALUE!</v>
      </c>
      <c r="IF62">
        <f>IF(Plan1!1058:1058,"AAAAAH+rP+8=",0)</f>
        <v>0</v>
      </c>
      <c r="IG62" t="e">
        <f>AND(Plan1!A1058,"AAAAAH+rP/A=")</f>
        <v>#VALUE!</v>
      </c>
      <c r="IH62" t="e">
        <f>AND(Plan1!B1058,"AAAAAH+rP/E=")</f>
        <v>#VALUE!</v>
      </c>
      <c r="II62" t="e">
        <f>AND(Plan1!C1058,"AAAAAH+rP/I=")</f>
        <v>#VALUE!</v>
      </c>
      <c r="IJ62" t="e">
        <f>AND(Plan1!D1058,"AAAAAH+rP/M=")</f>
        <v>#VALUE!</v>
      </c>
      <c r="IK62" t="e">
        <f>AND(Plan1!E1058,"AAAAAH+rP/Q=")</f>
        <v>#VALUE!</v>
      </c>
      <c r="IL62" t="e">
        <f>AND(Plan1!F1058,"AAAAAH+rP/U=")</f>
        <v>#VALUE!</v>
      </c>
      <c r="IM62" t="e">
        <f>AND(Plan1!G1058,"AAAAAH+rP/Y=")</f>
        <v>#VALUE!</v>
      </c>
      <c r="IN62" t="e">
        <f>AND(Plan1!H1058,"AAAAAH+rP/c=")</f>
        <v>#VALUE!</v>
      </c>
      <c r="IO62" t="e">
        <f>AND(Plan1!I1058,"AAAAAH+rP/g=")</f>
        <v>#VALUE!</v>
      </c>
      <c r="IP62" t="e">
        <f>AND(Plan1!J1058,"AAAAAH+rP/k=")</f>
        <v>#VALUE!</v>
      </c>
      <c r="IQ62" t="e">
        <f>AND(Plan1!K1058,"AAAAAH+rP/o=")</f>
        <v>#VALUE!</v>
      </c>
      <c r="IR62" t="e">
        <f>AND(Plan1!L1058,"AAAAAH+rP/s=")</f>
        <v>#VALUE!</v>
      </c>
      <c r="IS62" t="e">
        <f>AND(Plan1!M1058,"AAAAAH+rP/w=")</f>
        <v>#VALUE!</v>
      </c>
      <c r="IT62" t="e">
        <f>AND(Plan1!N1058,"AAAAAH+rP/0=")</f>
        <v>#VALUE!</v>
      </c>
      <c r="IU62">
        <f>IF(Plan1!1059:1059,"AAAAAH+rP/4=",0)</f>
        <v>0</v>
      </c>
      <c r="IV62" t="e">
        <f>AND(Plan1!A1059,"AAAAAH+rP/8=")</f>
        <v>#VALUE!</v>
      </c>
    </row>
    <row r="63" spans="1:256">
      <c r="A63" t="e">
        <f>AND(Plan1!B1059,"AAAAAH7uVgA=")</f>
        <v>#VALUE!</v>
      </c>
      <c r="B63" t="e">
        <f>AND(Plan1!C1059,"AAAAAH7uVgE=")</f>
        <v>#VALUE!</v>
      </c>
      <c r="C63" t="e">
        <f>AND(Plan1!D1059,"AAAAAH7uVgI=")</f>
        <v>#VALUE!</v>
      </c>
      <c r="D63" t="e">
        <f>AND(Plan1!E1059,"AAAAAH7uVgM=")</f>
        <v>#VALUE!</v>
      </c>
      <c r="E63" t="e">
        <f>AND(Plan1!F1059,"AAAAAH7uVgQ=")</f>
        <v>#VALUE!</v>
      </c>
      <c r="F63" t="e">
        <f>AND(Plan1!G1059,"AAAAAH7uVgU=")</f>
        <v>#VALUE!</v>
      </c>
      <c r="G63" t="e">
        <f>AND(Plan1!H1059,"AAAAAH7uVgY=")</f>
        <v>#VALUE!</v>
      </c>
      <c r="H63" t="e">
        <f>AND(Plan1!I1059,"AAAAAH7uVgc=")</f>
        <v>#VALUE!</v>
      </c>
      <c r="I63" t="e">
        <f>AND(Plan1!J1059,"AAAAAH7uVgg=")</f>
        <v>#VALUE!</v>
      </c>
      <c r="J63" t="e">
        <f>AND(Plan1!K1059,"AAAAAH7uVgk=")</f>
        <v>#VALUE!</v>
      </c>
      <c r="K63" t="e">
        <f>AND(Plan1!L1059,"AAAAAH7uVgo=")</f>
        <v>#VALUE!</v>
      </c>
      <c r="L63" t="e">
        <f>AND(Plan1!M1059,"AAAAAH7uVgs=")</f>
        <v>#VALUE!</v>
      </c>
      <c r="M63" t="e">
        <f>AND(Plan1!N1059,"AAAAAH7uVgw=")</f>
        <v>#VALUE!</v>
      </c>
      <c r="N63" t="e">
        <f>IF(Plan1!1060:1060,"AAAAAH7uVg0=",0)</f>
        <v>#VALUE!</v>
      </c>
      <c r="O63" t="e">
        <f>AND(Plan1!A1060,"AAAAAH7uVg4=")</f>
        <v>#VALUE!</v>
      </c>
      <c r="P63" t="e">
        <f>AND(Plan1!B1060,"AAAAAH7uVg8=")</f>
        <v>#VALUE!</v>
      </c>
      <c r="Q63" t="e">
        <f>AND(Plan1!C1060,"AAAAAH7uVhA=")</f>
        <v>#VALUE!</v>
      </c>
      <c r="R63" t="e">
        <f>AND(Plan1!D1060,"AAAAAH7uVhE=")</f>
        <v>#VALUE!</v>
      </c>
      <c r="S63" t="e">
        <f>AND(Plan1!E1060,"AAAAAH7uVhI=")</f>
        <v>#VALUE!</v>
      </c>
      <c r="T63" t="e">
        <f>AND(Plan1!F1060,"AAAAAH7uVhM=")</f>
        <v>#VALUE!</v>
      </c>
      <c r="U63" t="e">
        <f>AND(Plan1!G1060,"AAAAAH7uVhQ=")</f>
        <v>#VALUE!</v>
      </c>
      <c r="V63" t="e">
        <f>AND(Plan1!H1060,"AAAAAH7uVhU=")</f>
        <v>#VALUE!</v>
      </c>
      <c r="W63" t="e">
        <f>AND(Plan1!I1060,"AAAAAH7uVhY=")</f>
        <v>#VALUE!</v>
      </c>
      <c r="X63" t="e">
        <f>AND(Plan1!J1060,"AAAAAH7uVhc=")</f>
        <v>#VALUE!</v>
      </c>
      <c r="Y63" t="e">
        <f>AND(Plan1!K1060,"AAAAAH7uVhg=")</f>
        <v>#VALUE!</v>
      </c>
      <c r="Z63" t="e">
        <f>AND(Plan1!L1060,"AAAAAH7uVhk=")</f>
        <v>#VALUE!</v>
      </c>
      <c r="AA63" t="e">
        <f>AND(Plan1!M1060,"AAAAAH7uVho=")</f>
        <v>#VALUE!</v>
      </c>
      <c r="AB63" t="e">
        <f>AND(Plan1!N1060,"AAAAAH7uVhs=")</f>
        <v>#VALUE!</v>
      </c>
      <c r="AC63">
        <f>IF(Plan1!1061:1061,"AAAAAH7uVhw=",0)</f>
        <v>0</v>
      </c>
      <c r="AD63" t="e">
        <f>AND(Plan1!A1061,"AAAAAH7uVh0=")</f>
        <v>#VALUE!</v>
      </c>
      <c r="AE63" t="e">
        <f>AND(Plan1!B1061,"AAAAAH7uVh4=")</f>
        <v>#VALUE!</v>
      </c>
      <c r="AF63" t="e">
        <f>AND(Plan1!C1061,"AAAAAH7uVh8=")</f>
        <v>#VALUE!</v>
      </c>
      <c r="AG63" t="e">
        <f>AND(Plan1!D1061,"AAAAAH7uViA=")</f>
        <v>#VALUE!</v>
      </c>
      <c r="AH63" t="e">
        <f>AND(Plan1!E1061,"AAAAAH7uViE=")</f>
        <v>#VALUE!</v>
      </c>
      <c r="AI63" t="e">
        <f>AND(Plan1!F1061,"AAAAAH7uViI=")</f>
        <v>#VALUE!</v>
      </c>
      <c r="AJ63" t="e">
        <f>AND(Plan1!G1061,"AAAAAH7uViM=")</f>
        <v>#VALUE!</v>
      </c>
      <c r="AK63" t="e">
        <f>AND(Plan1!H1061,"AAAAAH7uViQ=")</f>
        <v>#VALUE!</v>
      </c>
      <c r="AL63" t="e">
        <f>AND(Plan1!I1061,"AAAAAH7uViU=")</f>
        <v>#VALUE!</v>
      </c>
      <c r="AM63" t="e">
        <f>AND(Plan1!J1061,"AAAAAH7uViY=")</f>
        <v>#VALUE!</v>
      </c>
      <c r="AN63" t="e">
        <f>AND(Plan1!K1061,"AAAAAH7uVic=")</f>
        <v>#VALUE!</v>
      </c>
      <c r="AO63" t="e">
        <f>AND(Plan1!L1061,"AAAAAH7uVig=")</f>
        <v>#VALUE!</v>
      </c>
      <c r="AP63" t="e">
        <f>AND(Plan1!M1061,"AAAAAH7uVik=")</f>
        <v>#VALUE!</v>
      </c>
      <c r="AQ63" t="e">
        <f>AND(Plan1!N1061,"AAAAAH7uVio=")</f>
        <v>#VALUE!</v>
      </c>
      <c r="AR63">
        <f>IF(Plan1!1062:1062,"AAAAAH7uVis=",0)</f>
        <v>0</v>
      </c>
      <c r="AS63" t="e">
        <f>AND(Plan1!A1062,"AAAAAH7uViw=")</f>
        <v>#VALUE!</v>
      </c>
      <c r="AT63" t="e">
        <f>AND(Plan1!B1062,"AAAAAH7uVi0=")</f>
        <v>#VALUE!</v>
      </c>
      <c r="AU63" t="e">
        <f>AND(Plan1!C1062,"AAAAAH7uVi4=")</f>
        <v>#VALUE!</v>
      </c>
      <c r="AV63" t="e">
        <f>AND(Plan1!D1062,"AAAAAH7uVi8=")</f>
        <v>#VALUE!</v>
      </c>
      <c r="AW63" t="e">
        <f>AND(Plan1!E1062,"AAAAAH7uVjA=")</f>
        <v>#VALUE!</v>
      </c>
      <c r="AX63" t="e">
        <f>AND(Plan1!F1062,"AAAAAH7uVjE=")</f>
        <v>#VALUE!</v>
      </c>
      <c r="AY63" t="e">
        <f>AND(Plan1!G1062,"AAAAAH7uVjI=")</f>
        <v>#VALUE!</v>
      </c>
      <c r="AZ63" t="e">
        <f>AND(Plan1!H1062,"AAAAAH7uVjM=")</f>
        <v>#VALUE!</v>
      </c>
      <c r="BA63" t="e">
        <f>AND(Plan1!I1062,"AAAAAH7uVjQ=")</f>
        <v>#VALUE!</v>
      </c>
      <c r="BB63" t="e">
        <f>AND(Plan1!J1062,"AAAAAH7uVjU=")</f>
        <v>#VALUE!</v>
      </c>
      <c r="BC63" t="e">
        <f>AND(Plan1!K1062,"AAAAAH7uVjY=")</f>
        <v>#VALUE!</v>
      </c>
      <c r="BD63" t="e">
        <f>AND(Plan1!L1062,"AAAAAH7uVjc=")</f>
        <v>#VALUE!</v>
      </c>
      <c r="BE63" t="e">
        <f>AND(Plan1!M1062,"AAAAAH7uVjg=")</f>
        <v>#VALUE!</v>
      </c>
      <c r="BF63" t="e">
        <f>AND(Plan1!N1062,"AAAAAH7uVjk=")</f>
        <v>#VALUE!</v>
      </c>
      <c r="BG63">
        <f>IF(Plan1!1063:1063,"AAAAAH7uVjo=",0)</f>
        <v>0</v>
      </c>
      <c r="BH63" t="e">
        <f>AND(Plan1!A1063,"AAAAAH7uVjs=")</f>
        <v>#VALUE!</v>
      </c>
      <c r="BI63" t="e">
        <f>AND(Plan1!B1063,"AAAAAH7uVjw=")</f>
        <v>#VALUE!</v>
      </c>
      <c r="BJ63" t="e">
        <f>AND(Plan1!C1063,"AAAAAH7uVj0=")</f>
        <v>#VALUE!</v>
      </c>
      <c r="BK63" t="e">
        <f>AND(Plan1!D1063,"AAAAAH7uVj4=")</f>
        <v>#VALUE!</v>
      </c>
      <c r="BL63" t="e">
        <f>AND(Plan1!E1063,"AAAAAH7uVj8=")</f>
        <v>#VALUE!</v>
      </c>
      <c r="BM63" t="e">
        <f>AND(Plan1!F1063,"AAAAAH7uVkA=")</f>
        <v>#VALUE!</v>
      </c>
      <c r="BN63" t="e">
        <f>AND(Plan1!G1063,"AAAAAH7uVkE=")</f>
        <v>#VALUE!</v>
      </c>
      <c r="BO63" t="e">
        <f>AND(Plan1!H1063,"AAAAAH7uVkI=")</f>
        <v>#VALUE!</v>
      </c>
      <c r="BP63" t="e">
        <f>AND(Plan1!I1063,"AAAAAH7uVkM=")</f>
        <v>#VALUE!</v>
      </c>
      <c r="BQ63" t="e">
        <f>AND(Plan1!J1063,"AAAAAH7uVkQ=")</f>
        <v>#VALUE!</v>
      </c>
      <c r="BR63" t="e">
        <f>AND(Plan1!K1063,"AAAAAH7uVkU=")</f>
        <v>#VALUE!</v>
      </c>
      <c r="BS63" t="e">
        <f>AND(Plan1!L1063,"AAAAAH7uVkY=")</f>
        <v>#VALUE!</v>
      </c>
      <c r="BT63" t="e">
        <f>AND(Plan1!M1063,"AAAAAH7uVkc=")</f>
        <v>#VALUE!</v>
      </c>
      <c r="BU63" t="e">
        <f>AND(Plan1!N1063,"AAAAAH7uVkg=")</f>
        <v>#VALUE!</v>
      </c>
      <c r="BV63">
        <f>IF(Plan1!1064:1064,"AAAAAH7uVkk=",0)</f>
        <v>0</v>
      </c>
      <c r="BW63" t="e">
        <f>AND(Plan1!A1064,"AAAAAH7uVko=")</f>
        <v>#VALUE!</v>
      </c>
      <c r="BX63" t="e">
        <f>AND(Plan1!B1064,"AAAAAH7uVks=")</f>
        <v>#VALUE!</v>
      </c>
      <c r="BY63" t="e">
        <f>AND(Plan1!C1064,"AAAAAH7uVkw=")</f>
        <v>#VALUE!</v>
      </c>
      <c r="BZ63" t="e">
        <f>AND(Plan1!D1064,"AAAAAH7uVk0=")</f>
        <v>#VALUE!</v>
      </c>
      <c r="CA63" t="e">
        <f>AND(Plan1!E1064,"AAAAAH7uVk4=")</f>
        <v>#VALUE!</v>
      </c>
      <c r="CB63" t="e">
        <f>AND(Plan1!F1064,"AAAAAH7uVk8=")</f>
        <v>#VALUE!</v>
      </c>
      <c r="CC63" t="e">
        <f>AND(Plan1!G1064,"AAAAAH7uVlA=")</f>
        <v>#VALUE!</v>
      </c>
      <c r="CD63" t="e">
        <f>AND(Plan1!H1064,"AAAAAH7uVlE=")</f>
        <v>#VALUE!</v>
      </c>
      <c r="CE63" t="e">
        <f>AND(Plan1!I1064,"AAAAAH7uVlI=")</f>
        <v>#VALUE!</v>
      </c>
      <c r="CF63" t="e">
        <f>AND(Plan1!J1064,"AAAAAH7uVlM=")</f>
        <v>#VALUE!</v>
      </c>
      <c r="CG63" t="e">
        <f>AND(Plan1!K1064,"AAAAAH7uVlQ=")</f>
        <v>#VALUE!</v>
      </c>
      <c r="CH63" t="e">
        <f>AND(Plan1!L1064,"AAAAAH7uVlU=")</f>
        <v>#VALUE!</v>
      </c>
      <c r="CI63" t="e">
        <f>AND(Plan1!M1064,"AAAAAH7uVlY=")</f>
        <v>#VALUE!</v>
      </c>
      <c r="CJ63" t="e">
        <f>AND(Plan1!N1064,"AAAAAH7uVlc=")</f>
        <v>#VALUE!</v>
      </c>
      <c r="CK63">
        <f>IF(Plan1!1065:1065,"AAAAAH7uVlg=",0)</f>
        <v>0</v>
      </c>
      <c r="CL63" t="e">
        <f>AND(Plan1!A1065,"AAAAAH7uVlk=")</f>
        <v>#VALUE!</v>
      </c>
      <c r="CM63" t="e">
        <f>AND(Plan1!B1065,"AAAAAH7uVlo=")</f>
        <v>#VALUE!</v>
      </c>
      <c r="CN63" t="e">
        <f>AND(Plan1!C1065,"AAAAAH7uVls=")</f>
        <v>#VALUE!</v>
      </c>
      <c r="CO63" t="e">
        <f>AND(Plan1!D1065,"AAAAAH7uVlw=")</f>
        <v>#VALUE!</v>
      </c>
      <c r="CP63" t="e">
        <f>AND(Plan1!E1065,"AAAAAH7uVl0=")</f>
        <v>#VALUE!</v>
      </c>
      <c r="CQ63" t="e">
        <f>AND(Plan1!F1065,"AAAAAH7uVl4=")</f>
        <v>#VALUE!</v>
      </c>
      <c r="CR63" t="e">
        <f>AND(Plan1!G1065,"AAAAAH7uVl8=")</f>
        <v>#VALUE!</v>
      </c>
      <c r="CS63" t="e">
        <f>AND(Plan1!H1065,"AAAAAH7uVmA=")</f>
        <v>#VALUE!</v>
      </c>
      <c r="CT63" t="e">
        <f>AND(Plan1!I1065,"AAAAAH7uVmE=")</f>
        <v>#VALUE!</v>
      </c>
      <c r="CU63" t="e">
        <f>AND(Plan1!J1065,"AAAAAH7uVmI=")</f>
        <v>#VALUE!</v>
      </c>
      <c r="CV63" t="e">
        <f>AND(Plan1!K1065,"AAAAAH7uVmM=")</f>
        <v>#VALUE!</v>
      </c>
      <c r="CW63" t="e">
        <f>AND(Plan1!L1065,"AAAAAH7uVmQ=")</f>
        <v>#VALUE!</v>
      </c>
      <c r="CX63" t="e">
        <f>AND(Plan1!M1065,"AAAAAH7uVmU=")</f>
        <v>#VALUE!</v>
      </c>
      <c r="CY63" t="e">
        <f>AND(Plan1!N1065,"AAAAAH7uVmY=")</f>
        <v>#VALUE!</v>
      </c>
      <c r="CZ63">
        <f>IF(Plan1!1066:1066,"AAAAAH7uVmc=",0)</f>
        <v>0</v>
      </c>
      <c r="DA63" t="e">
        <f>AND(Plan1!A1066,"AAAAAH7uVmg=")</f>
        <v>#VALUE!</v>
      </c>
      <c r="DB63" t="e">
        <f>AND(Plan1!B1066,"AAAAAH7uVmk=")</f>
        <v>#VALUE!</v>
      </c>
      <c r="DC63" t="e">
        <f>AND(Plan1!C1066,"AAAAAH7uVmo=")</f>
        <v>#VALUE!</v>
      </c>
      <c r="DD63" t="e">
        <f>AND(Plan1!D1066,"AAAAAH7uVms=")</f>
        <v>#VALUE!</v>
      </c>
      <c r="DE63" t="e">
        <f>AND(Plan1!E1066,"AAAAAH7uVmw=")</f>
        <v>#VALUE!</v>
      </c>
      <c r="DF63" t="e">
        <f>AND(Plan1!F1066,"AAAAAH7uVm0=")</f>
        <v>#VALUE!</v>
      </c>
      <c r="DG63" t="e">
        <f>AND(Plan1!G1066,"AAAAAH7uVm4=")</f>
        <v>#VALUE!</v>
      </c>
      <c r="DH63" t="e">
        <f>AND(Plan1!H1066,"AAAAAH7uVm8=")</f>
        <v>#VALUE!</v>
      </c>
      <c r="DI63" t="e">
        <f>AND(Plan1!I1066,"AAAAAH7uVnA=")</f>
        <v>#VALUE!</v>
      </c>
      <c r="DJ63" t="e">
        <f>AND(Plan1!J1066,"AAAAAH7uVnE=")</f>
        <v>#VALUE!</v>
      </c>
      <c r="DK63" t="e">
        <f>AND(Plan1!K1066,"AAAAAH7uVnI=")</f>
        <v>#VALUE!</v>
      </c>
      <c r="DL63" t="e">
        <f>AND(Plan1!L1066,"AAAAAH7uVnM=")</f>
        <v>#VALUE!</v>
      </c>
      <c r="DM63" t="e">
        <f>AND(Plan1!M1066,"AAAAAH7uVnQ=")</f>
        <v>#VALUE!</v>
      </c>
      <c r="DN63" t="e">
        <f>AND(Plan1!N1066,"AAAAAH7uVnU=")</f>
        <v>#VALUE!</v>
      </c>
      <c r="DO63">
        <f>IF(Plan1!1067:1067,"AAAAAH7uVnY=",0)</f>
        <v>0</v>
      </c>
      <c r="DP63" t="e">
        <f>AND(Plan1!A1067,"AAAAAH7uVnc=")</f>
        <v>#VALUE!</v>
      </c>
      <c r="DQ63" t="e">
        <f>AND(Plan1!B1067,"AAAAAH7uVng=")</f>
        <v>#VALUE!</v>
      </c>
      <c r="DR63" t="e">
        <f>AND(Plan1!C1067,"AAAAAH7uVnk=")</f>
        <v>#VALUE!</v>
      </c>
      <c r="DS63" t="e">
        <f>AND(Plan1!D1067,"AAAAAH7uVno=")</f>
        <v>#VALUE!</v>
      </c>
      <c r="DT63" t="e">
        <f>AND(Plan1!E1067,"AAAAAH7uVns=")</f>
        <v>#VALUE!</v>
      </c>
      <c r="DU63" t="e">
        <f>AND(Plan1!F1067,"AAAAAH7uVnw=")</f>
        <v>#VALUE!</v>
      </c>
      <c r="DV63" t="e">
        <f>AND(Plan1!G1067,"AAAAAH7uVn0=")</f>
        <v>#VALUE!</v>
      </c>
      <c r="DW63" t="e">
        <f>AND(Plan1!H1067,"AAAAAH7uVn4=")</f>
        <v>#VALUE!</v>
      </c>
      <c r="DX63" t="e">
        <f>AND(Plan1!I1067,"AAAAAH7uVn8=")</f>
        <v>#VALUE!</v>
      </c>
      <c r="DY63" t="e">
        <f>AND(Plan1!J1067,"AAAAAH7uVoA=")</f>
        <v>#VALUE!</v>
      </c>
      <c r="DZ63" t="e">
        <f>AND(Plan1!K1067,"AAAAAH7uVoE=")</f>
        <v>#VALUE!</v>
      </c>
      <c r="EA63" t="e">
        <f>AND(Plan1!L1067,"AAAAAH7uVoI=")</f>
        <v>#VALUE!</v>
      </c>
      <c r="EB63" t="e">
        <f>AND(Plan1!M1067,"AAAAAH7uVoM=")</f>
        <v>#VALUE!</v>
      </c>
      <c r="EC63" t="e">
        <f>AND(Plan1!N1067,"AAAAAH7uVoQ=")</f>
        <v>#VALUE!</v>
      </c>
      <c r="ED63">
        <f>IF(Plan1!1068:1068,"AAAAAH7uVoU=",0)</f>
        <v>0</v>
      </c>
      <c r="EE63" t="e">
        <f>AND(Plan1!A1068,"AAAAAH7uVoY=")</f>
        <v>#VALUE!</v>
      </c>
      <c r="EF63" t="e">
        <f>AND(Plan1!B1068,"AAAAAH7uVoc=")</f>
        <v>#VALUE!</v>
      </c>
      <c r="EG63" t="e">
        <f>AND(Plan1!C1068,"AAAAAH7uVog=")</f>
        <v>#VALUE!</v>
      </c>
      <c r="EH63" t="e">
        <f>AND(Plan1!D1068,"AAAAAH7uVok=")</f>
        <v>#VALUE!</v>
      </c>
      <c r="EI63" t="e">
        <f>AND(Plan1!E1068,"AAAAAH7uVoo=")</f>
        <v>#VALUE!</v>
      </c>
      <c r="EJ63" t="e">
        <f>AND(Plan1!F1068,"AAAAAH7uVos=")</f>
        <v>#VALUE!</v>
      </c>
      <c r="EK63" t="e">
        <f>AND(Plan1!G1068,"AAAAAH7uVow=")</f>
        <v>#VALUE!</v>
      </c>
      <c r="EL63" t="e">
        <f>AND(Plan1!H1068,"AAAAAH7uVo0=")</f>
        <v>#VALUE!</v>
      </c>
      <c r="EM63" t="e">
        <f>AND(Plan1!I1068,"AAAAAH7uVo4=")</f>
        <v>#VALUE!</v>
      </c>
      <c r="EN63" t="e">
        <f>AND(Plan1!J1068,"AAAAAH7uVo8=")</f>
        <v>#VALUE!</v>
      </c>
      <c r="EO63" t="e">
        <f>AND(Plan1!K1068,"AAAAAH7uVpA=")</f>
        <v>#VALUE!</v>
      </c>
      <c r="EP63" t="e">
        <f>AND(Plan1!L1068,"AAAAAH7uVpE=")</f>
        <v>#VALUE!</v>
      </c>
      <c r="EQ63" t="e">
        <f>AND(Plan1!M1068,"AAAAAH7uVpI=")</f>
        <v>#VALUE!</v>
      </c>
      <c r="ER63" t="e">
        <f>AND(Plan1!N1068,"AAAAAH7uVpM=")</f>
        <v>#VALUE!</v>
      </c>
      <c r="ES63">
        <f>IF(Plan1!1069:1069,"AAAAAH7uVpQ=",0)</f>
        <v>0</v>
      </c>
      <c r="ET63" t="e">
        <f>AND(Plan1!A1069,"AAAAAH7uVpU=")</f>
        <v>#VALUE!</v>
      </c>
      <c r="EU63" t="e">
        <f>AND(Plan1!B1069,"AAAAAH7uVpY=")</f>
        <v>#VALUE!</v>
      </c>
      <c r="EV63" t="e">
        <f>AND(Plan1!C1069,"AAAAAH7uVpc=")</f>
        <v>#VALUE!</v>
      </c>
      <c r="EW63" t="e">
        <f>AND(Plan1!D1069,"AAAAAH7uVpg=")</f>
        <v>#VALUE!</v>
      </c>
      <c r="EX63" t="e">
        <f>AND(Plan1!E1069,"AAAAAH7uVpk=")</f>
        <v>#VALUE!</v>
      </c>
      <c r="EY63" t="e">
        <f>AND(Plan1!F1069,"AAAAAH7uVpo=")</f>
        <v>#VALUE!</v>
      </c>
      <c r="EZ63" t="e">
        <f>AND(Plan1!G1069,"AAAAAH7uVps=")</f>
        <v>#VALUE!</v>
      </c>
      <c r="FA63" t="e">
        <f>AND(Plan1!H1069,"AAAAAH7uVpw=")</f>
        <v>#VALUE!</v>
      </c>
      <c r="FB63" t="e">
        <f>AND(Plan1!I1069,"AAAAAH7uVp0=")</f>
        <v>#VALUE!</v>
      </c>
      <c r="FC63" t="e">
        <f>AND(Plan1!J1069,"AAAAAH7uVp4=")</f>
        <v>#VALUE!</v>
      </c>
      <c r="FD63" t="e">
        <f>AND(Plan1!K1069,"AAAAAH7uVp8=")</f>
        <v>#VALUE!</v>
      </c>
      <c r="FE63" t="e">
        <f>AND(Plan1!L1069,"AAAAAH7uVqA=")</f>
        <v>#VALUE!</v>
      </c>
      <c r="FF63" t="e">
        <f>AND(Plan1!M1069,"AAAAAH7uVqE=")</f>
        <v>#VALUE!</v>
      </c>
      <c r="FG63" t="e">
        <f>AND(Plan1!N1069,"AAAAAH7uVqI=")</f>
        <v>#VALUE!</v>
      </c>
      <c r="FH63">
        <f>IF(Plan1!1070:1070,"AAAAAH7uVqM=",0)</f>
        <v>0</v>
      </c>
      <c r="FI63" t="e">
        <f>AND(Plan1!A1070,"AAAAAH7uVqQ=")</f>
        <v>#VALUE!</v>
      </c>
      <c r="FJ63" t="e">
        <f>AND(Plan1!B1070,"AAAAAH7uVqU=")</f>
        <v>#VALUE!</v>
      </c>
      <c r="FK63" t="e">
        <f>AND(Plan1!C1070,"AAAAAH7uVqY=")</f>
        <v>#VALUE!</v>
      </c>
      <c r="FL63" t="e">
        <f>AND(Plan1!D1070,"AAAAAH7uVqc=")</f>
        <v>#VALUE!</v>
      </c>
      <c r="FM63" t="e">
        <f>AND(Plan1!E1070,"AAAAAH7uVqg=")</f>
        <v>#VALUE!</v>
      </c>
      <c r="FN63" t="e">
        <f>AND(Plan1!F1070,"AAAAAH7uVqk=")</f>
        <v>#VALUE!</v>
      </c>
      <c r="FO63" t="e">
        <f>AND(Plan1!G1070,"AAAAAH7uVqo=")</f>
        <v>#VALUE!</v>
      </c>
      <c r="FP63" t="e">
        <f>AND(Plan1!H1070,"AAAAAH7uVqs=")</f>
        <v>#VALUE!</v>
      </c>
      <c r="FQ63" t="e">
        <f>AND(Plan1!I1070,"AAAAAH7uVqw=")</f>
        <v>#VALUE!</v>
      </c>
      <c r="FR63" t="e">
        <f>AND(Plan1!J1070,"AAAAAH7uVq0=")</f>
        <v>#VALUE!</v>
      </c>
      <c r="FS63" t="e">
        <f>AND(Plan1!K1070,"AAAAAH7uVq4=")</f>
        <v>#VALUE!</v>
      </c>
      <c r="FT63" t="e">
        <f>AND(Plan1!L1070,"AAAAAH7uVq8=")</f>
        <v>#VALUE!</v>
      </c>
      <c r="FU63" t="e">
        <f>AND(Plan1!M1070,"AAAAAH7uVrA=")</f>
        <v>#VALUE!</v>
      </c>
      <c r="FV63" t="e">
        <f>AND(Plan1!N1070,"AAAAAH7uVrE=")</f>
        <v>#VALUE!</v>
      </c>
      <c r="FW63">
        <f>IF(Plan1!1071:1071,"AAAAAH7uVrI=",0)</f>
        <v>0</v>
      </c>
      <c r="FX63" t="e">
        <f>AND(Plan1!A1071,"AAAAAH7uVrM=")</f>
        <v>#VALUE!</v>
      </c>
      <c r="FY63" t="e">
        <f>AND(Plan1!B1071,"AAAAAH7uVrQ=")</f>
        <v>#VALUE!</v>
      </c>
      <c r="FZ63" t="e">
        <f>AND(Plan1!C1071,"AAAAAH7uVrU=")</f>
        <v>#VALUE!</v>
      </c>
      <c r="GA63" t="e">
        <f>AND(Plan1!D1071,"AAAAAH7uVrY=")</f>
        <v>#VALUE!</v>
      </c>
      <c r="GB63" t="e">
        <f>AND(Plan1!E1071,"AAAAAH7uVrc=")</f>
        <v>#VALUE!</v>
      </c>
      <c r="GC63" t="e">
        <f>AND(Plan1!F1071,"AAAAAH7uVrg=")</f>
        <v>#VALUE!</v>
      </c>
      <c r="GD63" t="e">
        <f>AND(Plan1!G1071,"AAAAAH7uVrk=")</f>
        <v>#VALUE!</v>
      </c>
      <c r="GE63" t="e">
        <f>AND(Plan1!H1071,"AAAAAH7uVro=")</f>
        <v>#VALUE!</v>
      </c>
      <c r="GF63" t="e">
        <f>AND(Plan1!I1071,"AAAAAH7uVrs=")</f>
        <v>#VALUE!</v>
      </c>
      <c r="GG63" t="e">
        <f>AND(Plan1!J1071,"AAAAAH7uVrw=")</f>
        <v>#VALUE!</v>
      </c>
      <c r="GH63" t="e">
        <f>AND(Plan1!K1071,"AAAAAH7uVr0=")</f>
        <v>#VALUE!</v>
      </c>
      <c r="GI63" t="e">
        <f>AND(Plan1!L1071,"AAAAAH7uVr4=")</f>
        <v>#VALUE!</v>
      </c>
      <c r="GJ63" t="e">
        <f>AND(Plan1!M1071,"AAAAAH7uVr8=")</f>
        <v>#VALUE!</v>
      </c>
      <c r="GK63" t="e">
        <f>AND(Plan1!N1071,"AAAAAH7uVsA=")</f>
        <v>#VALUE!</v>
      </c>
      <c r="GL63">
        <f>IF(Plan1!1072:1072,"AAAAAH7uVsE=",0)</f>
        <v>0</v>
      </c>
      <c r="GM63" t="e">
        <f>AND(Plan1!A1072,"AAAAAH7uVsI=")</f>
        <v>#VALUE!</v>
      </c>
      <c r="GN63" t="e">
        <f>AND(Plan1!B1072,"AAAAAH7uVsM=")</f>
        <v>#VALUE!</v>
      </c>
      <c r="GO63" t="e">
        <f>AND(Plan1!C1072,"AAAAAH7uVsQ=")</f>
        <v>#VALUE!</v>
      </c>
      <c r="GP63" t="e">
        <f>AND(Plan1!D1072,"AAAAAH7uVsU=")</f>
        <v>#VALUE!</v>
      </c>
      <c r="GQ63" t="e">
        <f>AND(Plan1!E1072,"AAAAAH7uVsY=")</f>
        <v>#VALUE!</v>
      </c>
      <c r="GR63" t="e">
        <f>AND(Plan1!F1072,"AAAAAH7uVsc=")</f>
        <v>#VALUE!</v>
      </c>
      <c r="GS63" t="e">
        <f>AND(Plan1!G1072,"AAAAAH7uVsg=")</f>
        <v>#VALUE!</v>
      </c>
      <c r="GT63" t="e">
        <f>AND(Plan1!H1072,"AAAAAH7uVsk=")</f>
        <v>#VALUE!</v>
      </c>
      <c r="GU63" t="e">
        <f>AND(Plan1!I1072,"AAAAAH7uVso=")</f>
        <v>#VALUE!</v>
      </c>
      <c r="GV63" t="e">
        <f>AND(Plan1!J1072,"AAAAAH7uVss=")</f>
        <v>#VALUE!</v>
      </c>
      <c r="GW63" t="e">
        <f>AND(Plan1!K1072,"AAAAAH7uVsw=")</f>
        <v>#VALUE!</v>
      </c>
      <c r="GX63" t="e">
        <f>AND(Plan1!L1072,"AAAAAH7uVs0=")</f>
        <v>#VALUE!</v>
      </c>
      <c r="GY63" t="e">
        <f>AND(Plan1!M1072,"AAAAAH7uVs4=")</f>
        <v>#VALUE!</v>
      </c>
      <c r="GZ63" t="e">
        <f>AND(Plan1!N1072,"AAAAAH7uVs8=")</f>
        <v>#VALUE!</v>
      </c>
      <c r="HA63">
        <f>IF(Plan1!1073:1073,"AAAAAH7uVtA=",0)</f>
        <v>0</v>
      </c>
      <c r="HB63" t="e">
        <f>AND(Plan1!A1073,"AAAAAH7uVtE=")</f>
        <v>#VALUE!</v>
      </c>
      <c r="HC63" t="e">
        <f>AND(Plan1!B1073,"AAAAAH7uVtI=")</f>
        <v>#VALUE!</v>
      </c>
      <c r="HD63" t="e">
        <f>AND(Plan1!C1073,"AAAAAH7uVtM=")</f>
        <v>#VALUE!</v>
      </c>
      <c r="HE63" t="e">
        <f>AND(Plan1!D1073,"AAAAAH7uVtQ=")</f>
        <v>#VALUE!</v>
      </c>
      <c r="HF63" t="e">
        <f>AND(Plan1!E1073,"AAAAAH7uVtU=")</f>
        <v>#VALUE!</v>
      </c>
      <c r="HG63" t="e">
        <f>AND(Plan1!F1073,"AAAAAH7uVtY=")</f>
        <v>#VALUE!</v>
      </c>
      <c r="HH63" t="e">
        <f>AND(Plan1!G1073,"AAAAAH7uVtc=")</f>
        <v>#VALUE!</v>
      </c>
      <c r="HI63" t="e">
        <f>AND(Plan1!H1073,"AAAAAH7uVtg=")</f>
        <v>#VALUE!</v>
      </c>
      <c r="HJ63" t="e">
        <f>AND(Plan1!I1073,"AAAAAH7uVtk=")</f>
        <v>#VALUE!</v>
      </c>
      <c r="HK63" t="e">
        <f>AND(Plan1!J1073,"AAAAAH7uVto=")</f>
        <v>#VALUE!</v>
      </c>
      <c r="HL63" t="e">
        <f>AND(Plan1!K1073,"AAAAAH7uVts=")</f>
        <v>#VALUE!</v>
      </c>
      <c r="HM63" t="e">
        <f>AND(Plan1!L1073,"AAAAAH7uVtw=")</f>
        <v>#VALUE!</v>
      </c>
      <c r="HN63" t="e">
        <f>AND(Plan1!M1073,"AAAAAH7uVt0=")</f>
        <v>#VALUE!</v>
      </c>
      <c r="HO63" t="e">
        <f>AND(Plan1!N1073,"AAAAAH7uVt4=")</f>
        <v>#VALUE!</v>
      </c>
      <c r="HP63">
        <f>IF(Plan1!1074:1074,"AAAAAH7uVt8=",0)</f>
        <v>0</v>
      </c>
      <c r="HQ63" t="e">
        <f>AND(Plan1!A1074,"AAAAAH7uVuA=")</f>
        <v>#VALUE!</v>
      </c>
      <c r="HR63" t="e">
        <f>AND(Plan1!B1074,"AAAAAH7uVuE=")</f>
        <v>#VALUE!</v>
      </c>
      <c r="HS63" t="e">
        <f>AND(Plan1!C1074,"AAAAAH7uVuI=")</f>
        <v>#VALUE!</v>
      </c>
      <c r="HT63" t="e">
        <f>AND(Plan1!D1074,"AAAAAH7uVuM=")</f>
        <v>#VALUE!</v>
      </c>
      <c r="HU63" t="e">
        <f>AND(Plan1!E1074,"AAAAAH7uVuQ=")</f>
        <v>#VALUE!</v>
      </c>
      <c r="HV63" t="e">
        <f>AND(Plan1!F1074,"AAAAAH7uVuU=")</f>
        <v>#VALUE!</v>
      </c>
      <c r="HW63" t="e">
        <f>AND(Plan1!G1074,"AAAAAH7uVuY=")</f>
        <v>#VALUE!</v>
      </c>
      <c r="HX63" t="e">
        <f>AND(Plan1!H1074,"AAAAAH7uVuc=")</f>
        <v>#VALUE!</v>
      </c>
      <c r="HY63" t="e">
        <f>AND(Plan1!I1074,"AAAAAH7uVug=")</f>
        <v>#VALUE!</v>
      </c>
      <c r="HZ63" t="e">
        <f>AND(Plan1!J1074,"AAAAAH7uVuk=")</f>
        <v>#VALUE!</v>
      </c>
      <c r="IA63" t="e">
        <f>AND(Plan1!K1074,"AAAAAH7uVuo=")</f>
        <v>#VALUE!</v>
      </c>
      <c r="IB63" t="e">
        <f>AND(Plan1!L1074,"AAAAAH7uVus=")</f>
        <v>#VALUE!</v>
      </c>
      <c r="IC63" t="e">
        <f>AND(Plan1!M1074,"AAAAAH7uVuw=")</f>
        <v>#VALUE!</v>
      </c>
      <c r="ID63" t="e">
        <f>AND(Plan1!N1074,"AAAAAH7uVu0=")</f>
        <v>#VALUE!</v>
      </c>
      <c r="IE63">
        <f>IF(Plan1!1075:1075,"AAAAAH7uVu4=",0)</f>
        <v>0</v>
      </c>
      <c r="IF63" t="e">
        <f>AND(Plan1!A1075,"AAAAAH7uVu8=")</f>
        <v>#VALUE!</v>
      </c>
      <c r="IG63" t="e">
        <f>AND(Plan1!B1075,"AAAAAH7uVvA=")</f>
        <v>#VALUE!</v>
      </c>
      <c r="IH63" t="e">
        <f>AND(Plan1!C1075,"AAAAAH7uVvE=")</f>
        <v>#VALUE!</v>
      </c>
      <c r="II63" t="e">
        <f>AND(Plan1!D1075,"AAAAAH7uVvI=")</f>
        <v>#VALUE!</v>
      </c>
      <c r="IJ63" t="e">
        <f>AND(Plan1!E1075,"AAAAAH7uVvM=")</f>
        <v>#VALUE!</v>
      </c>
      <c r="IK63" t="e">
        <f>AND(Plan1!F1075,"AAAAAH7uVvQ=")</f>
        <v>#VALUE!</v>
      </c>
      <c r="IL63" t="e">
        <f>AND(Plan1!G1075,"AAAAAH7uVvU=")</f>
        <v>#VALUE!</v>
      </c>
      <c r="IM63" t="e">
        <f>AND(Plan1!H1075,"AAAAAH7uVvY=")</f>
        <v>#VALUE!</v>
      </c>
      <c r="IN63" t="e">
        <f>AND(Plan1!I1075,"AAAAAH7uVvc=")</f>
        <v>#VALUE!</v>
      </c>
      <c r="IO63" t="e">
        <f>AND(Plan1!J1075,"AAAAAH7uVvg=")</f>
        <v>#VALUE!</v>
      </c>
      <c r="IP63" t="e">
        <f>AND(Plan1!K1075,"AAAAAH7uVvk=")</f>
        <v>#VALUE!</v>
      </c>
      <c r="IQ63" t="e">
        <f>AND(Plan1!L1075,"AAAAAH7uVvo=")</f>
        <v>#VALUE!</v>
      </c>
      <c r="IR63" t="e">
        <f>AND(Plan1!M1075,"AAAAAH7uVvs=")</f>
        <v>#VALUE!</v>
      </c>
      <c r="IS63" t="e">
        <f>AND(Plan1!N1075,"AAAAAH7uVvw=")</f>
        <v>#VALUE!</v>
      </c>
      <c r="IT63">
        <f>IF(Plan1!1076:1076,"AAAAAH7uVv0=",0)</f>
        <v>0</v>
      </c>
      <c r="IU63" t="e">
        <f>AND(Plan1!A1076,"AAAAAH7uVv4=")</f>
        <v>#VALUE!</v>
      </c>
      <c r="IV63" t="e">
        <f>AND(Plan1!B1076,"AAAAAH7uVv8=")</f>
        <v>#VALUE!</v>
      </c>
    </row>
    <row r="64" spans="1:256">
      <c r="A64" t="e">
        <f>AND(Plan1!C1076,"AAAAAD237wA=")</f>
        <v>#VALUE!</v>
      </c>
      <c r="B64" t="e">
        <f>AND(Plan1!D1076,"AAAAAD237wE=")</f>
        <v>#VALUE!</v>
      </c>
      <c r="C64" t="e">
        <f>AND(Plan1!E1076,"AAAAAD237wI=")</f>
        <v>#VALUE!</v>
      </c>
      <c r="D64" t="e">
        <f>AND(Plan1!F1076,"AAAAAD237wM=")</f>
        <v>#VALUE!</v>
      </c>
      <c r="E64" t="e">
        <f>AND(Plan1!G1076,"AAAAAD237wQ=")</f>
        <v>#VALUE!</v>
      </c>
      <c r="F64" t="e">
        <f>AND(Plan1!H1076,"AAAAAD237wU=")</f>
        <v>#VALUE!</v>
      </c>
      <c r="G64" t="e">
        <f>AND(Plan1!I1076,"AAAAAD237wY=")</f>
        <v>#VALUE!</v>
      </c>
      <c r="H64" t="e">
        <f>AND(Plan1!J1076,"AAAAAD237wc=")</f>
        <v>#VALUE!</v>
      </c>
      <c r="I64" t="e">
        <f>AND(Plan1!K1076,"AAAAAD237wg=")</f>
        <v>#VALUE!</v>
      </c>
      <c r="J64" t="e">
        <f>AND(Plan1!L1076,"AAAAAD237wk=")</f>
        <v>#VALUE!</v>
      </c>
      <c r="K64" t="e">
        <f>AND(Plan1!M1076,"AAAAAD237wo=")</f>
        <v>#VALUE!</v>
      </c>
      <c r="L64" t="e">
        <f>AND(Plan1!N1076,"AAAAAD237ws=")</f>
        <v>#VALUE!</v>
      </c>
      <c r="M64" t="e">
        <f>IF(Plan1!1077:1077,"AAAAAD237ww=",0)</f>
        <v>#VALUE!</v>
      </c>
      <c r="N64" t="e">
        <f>AND(Plan1!A1077,"AAAAAD237w0=")</f>
        <v>#VALUE!</v>
      </c>
      <c r="O64" t="e">
        <f>AND(Plan1!B1077,"AAAAAD237w4=")</f>
        <v>#VALUE!</v>
      </c>
      <c r="P64" t="e">
        <f>AND(Plan1!C1077,"AAAAAD237w8=")</f>
        <v>#VALUE!</v>
      </c>
      <c r="Q64" t="e">
        <f>AND(Plan1!D1077,"AAAAAD237xA=")</f>
        <v>#VALUE!</v>
      </c>
      <c r="R64" t="e">
        <f>AND(Plan1!E1077,"AAAAAD237xE=")</f>
        <v>#VALUE!</v>
      </c>
      <c r="S64" t="e">
        <f>AND(Plan1!F1077,"AAAAAD237xI=")</f>
        <v>#VALUE!</v>
      </c>
      <c r="T64" t="e">
        <f>AND(Plan1!G1077,"AAAAAD237xM=")</f>
        <v>#VALUE!</v>
      </c>
      <c r="U64" t="e">
        <f>AND(Plan1!H1077,"AAAAAD237xQ=")</f>
        <v>#VALUE!</v>
      </c>
      <c r="V64" t="e">
        <f>AND(Plan1!I1077,"AAAAAD237xU=")</f>
        <v>#VALUE!</v>
      </c>
      <c r="W64" t="e">
        <f>AND(Plan1!J1077,"AAAAAD237xY=")</f>
        <v>#VALUE!</v>
      </c>
      <c r="X64" t="e">
        <f>AND(Plan1!K1077,"AAAAAD237xc=")</f>
        <v>#VALUE!</v>
      </c>
      <c r="Y64" t="e">
        <f>AND(Plan1!L1077,"AAAAAD237xg=")</f>
        <v>#VALUE!</v>
      </c>
      <c r="Z64" t="e">
        <f>AND(Plan1!M1077,"AAAAAD237xk=")</f>
        <v>#VALUE!</v>
      </c>
      <c r="AA64" t="e">
        <f>AND(Plan1!N1077,"AAAAAD237xo=")</f>
        <v>#VALUE!</v>
      </c>
      <c r="AB64">
        <f>IF(Plan1!1078:1078,"AAAAAD237xs=",0)</f>
        <v>0</v>
      </c>
      <c r="AC64" t="e">
        <f>AND(Plan1!A1078,"AAAAAD237xw=")</f>
        <v>#VALUE!</v>
      </c>
      <c r="AD64" t="e">
        <f>AND(Plan1!B1078,"AAAAAD237x0=")</f>
        <v>#VALUE!</v>
      </c>
      <c r="AE64" t="e">
        <f>AND(Plan1!C1078,"AAAAAD237x4=")</f>
        <v>#VALUE!</v>
      </c>
      <c r="AF64" t="e">
        <f>AND(Plan1!D1078,"AAAAAD237x8=")</f>
        <v>#VALUE!</v>
      </c>
      <c r="AG64" t="e">
        <f>AND(Plan1!E1078,"AAAAAD237yA=")</f>
        <v>#VALUE!</v>
      </c>
      <c r="AH64" t="e">
        <f>AND(Plan1!F1078,"AAAAAD237yE=")</f>
        <v>#VALUE!</v>
      </c>
      <c r="AI64" t="e">
        <f>AND(Plan1!G1078,"AAAAAD237yI=")</f>
        <v>#VALUE!</v>
      </c>
      <c r="AJ64" t="e">
        <f>AND(Plan1!H1078,"AAAAAD237yM=")</f>
        <v>#VALUE!</v>
      </c>
      <c r="AK64" t="e">
        <f>AND(Plan1!I1078,"AAAAAD237yQ=")</f>
        <v>#VALUE!</v>
      </c>
      <c r="AL64" t="e">
        <f>AND(Plan1!J1078,"AAAAAD237yU=")</f>
        <v>#VALUE!</v>
      </c>
      <c r="AM64" t="e">
        <f>AND(Plan1!K1078,"AAAAAD237yY=")</f>
        <v>#VALUE!</v>
      </c>
      <c r="AN64" t="e">
        <f>AND(Plan1!L1078,"AAAAAD237yc=")</f>
        <v>#VALUE!</v>
      </c>
      <c r="AO64" t="e">
        <f>AND(Plan1!M1078,"AAAAAD237yg=")</f>
        <v>#VALUE!</v>
      </c>
      <c r="AP64" t="e">
        <f>AND(Plan1!N1078,"AAAAAD237yk=")</f>
        <v>#VALUE!</v>
      </c>
      <c r="AQ64">
        <f>IF(Plan1!1079:1079,"AAAAAD237yo=",0)</f>
        <v>0</v>
      </c>
      <c r="AR64" t="e">
        <f>AND(Plan1!A1079,"AAAAAD237ys=")</f>
        <v>#VALUE!</v>
      </c>
      <c r="AS64" t="e">
        <f>AND(Plan1!B1079,"AAAAAD237yw=")</f>
        <v>#VALUE!</v>
      </c>
      <c r="AT64" t="e">
        <f>AND(Plan1!C1079,"AAAAAD237y0=")</f>
        <v>#VALUE!</v>
      </c>
      <c r="AU64" t="e">
        <f>AND(Plan1!D1079,"AAAAAD237y4=")</f>
        <v>#VALUE!</v>
      </c>
      <c r="AV64" t="e">
        <f>AND(Plan1!E1079,"AAAAAD237y8=")</f>
        <v>#VALUE!</v>
      </c>
      <c r="AW64" t="e">
        <f>AND(Plan1!F1079,"AAAAAD237zA=")</f>
        <v>#VALUE!</v>
      </c>
      <c r="AX64" t="e">
        <f>AND(Plan1!G1079,"AAAAAD237zE=")</f>
        <v>#VALUE!</v>
      </c>
      <c r="AY64" t="e">
        <f>AND(Plan1!H1079,"AAAAAD237zI=")</f>
        <v>#VALUE!</v>
      </c>
      <c r="AZ64" t="e">
        <f>AND(Plan1!I1079,"AAAAAD237zM=")</f>
        <v>#VALUE!</v>
      </c>
      <c r="BA64" t="e">
        <f>AND(Plan1!J1079,"AAAAAD237zQ=")</f>
        <v>#VALUE!</v>
      </c>
      <c r="BB64" t="e">
        <f>AND(Plan1!K1079,"AAAAAD237zU=")</f>
        <v>#VALUE!</v>
      </c>
      <c r="BC64" t="e">
        <f>AND(Plan1!L1079,"AAAAAD237zY=")</f>
        <v>#VALUE!</v>
      </c>
      <c r="BD64" t="e">
        <f>AND(Plan1!M1079,"AAAAAD237zc=")</f>
        <v>#VALUE!</v>
      </c>
      <c r="BE64" t="e">
        <f>AND(Plan1!N1079,"AAAAAD237zg=")</f>
        <v>#VALUE!</v>
      </c>
      <c r="BF64">
        <f>IF(Plan1!1080:1080,"AAAAAD237zk=",0)</f>
        <v>0</v>
      </c>
      <c r="BG64" t="e">
        <f>AND(Plan1!A1080,"AAAAAD237zo=")</f>
        <v>#VALUE!</v>
      </c>
      <c r="BH64" t="e">
        <f>AND(Plan1!B1080,"AAAAAD237zs=")</f>
        <v>#VALUE!</v>
      </c>
      <c r="BI64" t="e">
        <f>AND(Plan1!C1080,"AAAAAD237zw=")</f>
        <v>#VALUE!</v>
      </c>
      <c r="BJ64" t="e">
        <f>AND(Plan1!D1080,"AAAAAD237z0=")</f>
        <v>#VALUE!</v>
      </c>
      <c r="BK64" t="e">
        <f>AND(Plan1!E1080,"AAAAAD237z4=")</f>
        <v>#VALUE!</v>
      </c>
      <c r="BL64" t="e">
        <f>AND(Plan1!F1080,"AAAAAD237z8=")</f>
        <v>#VALUE!</v>
      </c>
      <c r="BM64" t="e">
        <f>AND(Plan1!G1080,"AAAAAD2370A=")</f>
        <v>#VALUE!</v>
      </c>
      <c r="BN64" t="e">
        <f>AND(Plan1!H1080,"AAAAAD2370E=")</f>
        <v>#VALUE!</v>
      </c>
      <c r="BO64" t="e">
        <f>AND(Plan1!I1080,"AAAAAD2370I=")</f>
        <v>#VALUE!</v>
      </c>
      <c r="BP64" t="e">
        <f>AND(Plan1!J1080,"AAAAAD2370M=")</f>
        <v>#VALUE!</v>
      </c>
      <c r="BQ64" t="e">
        <f>AND(Plan1!K1080,"AAAAAD2370Q=")</f>
        <v>#VALUE!</v>
      </c>
      <c r="BR64" t="e">
        <f>AND(Plan1!L1080,"AAAAAD2370U=")</f>
        <v>#VALUE!</v>
      </c>
      <c r="BS64" t="e">
        <f>AND(Plan1!M1080,"AAAAAD2370Y=")</f>
        <v>#VALUE!</v>
      </c>
      <c r="BT64" t="e">
        <f>AND(Plan1!N1080,"AAAAAD2370c=")</f>
        <v>#VALUE!</v>
      </c>
      <c r="BU64">
        <f>IF(Plan1!1081:1081,"AAAAAD2370g=",0)</f>
        <v>0</v>
      </c>
      <c r="BV64" t="e">
        <f>AND(Plan1!A1081,"AAAAAD2370k=")</f>
        <v>#VALUE!</v>
      </c>
      <c r="BW64" t="e">
        <f>AND(Plan1!B1081,"AAAAAD2370o=")</f>
        <v>#VALUE!</v>
      </c>
      <c r="BX64" t="e">
        <f>AND(Plan1!C1081,"AAAAAD2370s=")</f>
        <v>#VALUE!</v>
      </c>
      <c r="BY64" t="e">
        <f>AND(Plan1!D1081,"AAAAAD2370w=")</f>
        <v>#VALUE!</v>
      </c>
      <c r="BZ64" t="e">
        <f>AND(Plan1!E1081,"AAAAAD23700=")</f>
        <v>#VALUE!</v>
      </c>
      <c r="CA64" t="e">
        <f>AND(Plan1!F1081,"AAAAAD23704=")</f>
        <v>#VALUE!</v>
      </c>
      <c r="CB64" t="e">
        <f>AND(Plan1!G1081,"AAAAAD23708=")</f>
        <v>#VALUE!</v>
      </c>
      <c r="CC64" t="e">
        <f>AND(Plan1!H1081,"AAAAAD2371A=")</f>
        <v>#VALUE!</v>
      </c>
      <c r="CD64" t="e">
        <f>AND(Plan1!I1081,"AAAAAD2371E=")</f>
        <v>#VALUE!</v>
      </c>
      <c r="CE64" t="e">
        <f>AND(Plan1!J1081,"AAAAAD2371I=")</f>
        <v>#VALUE!</v>
      </c>
      <c r="CF64" t="e">
        <f>AND(Plan1!K1081,"AAAAAD2371M=")</f>
        <v>#VALUE!</v>
      </c>
      <c r="CG64" t="e">
        <f>AND(Plan1!L1081,"AAAAAD2371Q=")</f>
        <v>#VALUE!</v>
      </c>
      <c r="CH64" t="e">
        <f>AND(Plan1!M1081,"AAAAAD2371U=")</f>
        <v>#VALUE!</v>
      </c>
      <c r="CI64" t="e">
        <f>AND(Plan1!N1081,"AAAAAD2371Y=")</f>
        <v>#VALUE!</v>
      </c>
      <c r="CJ64">
        <f>IF(Plan1!1082:1082,"AAAAAD2371c=",0)</f>
        <v>0</v>
      </c>
      <c r="CK64" t="e">
        <f>AND(Plan1!A1082,"AAAAAD2371g=")</f>
        <v>#VALUE!</v>
      </c>
      <c r="CL64" t="e">
        <f>AND(Plan1!B1082,"AAAAAD2371k=")</f>
        <v>#VALUE!</v>
      </c>
      <c r="CM64" t="e">
        <f>AND(Plan1!C1082,"AAAAAD2371o=")</f>
        <v>#VALUE!</v>
      </c>
      <c r="CN64" t="e">
        <f>AND(Plan1!D1082,"AAAAAD2371s=")</f>
        <v>#VALUE!</v>
      </c>
      <c r="CO64" t="e">
        <f>AND(Plan1!E1082,"AAAAAD2371w=")</f>
        <v>#VALUE!</v>
      </c>
      <c r="CP64" t="e">
        <f>AND(Plan1!F1082,"AAAAAD23710=")</f>
        <v>#VALUE!</v>
      </c>
      <c r="CQ64" t="e">
        <f>AND(Plan1!G1082,"AAAAAD23714=")</f>
        <v>#VALUE!</v>
      </c>
      <c r="CR64" t="e">
        <f>AND(Plan1!H1082,"AAAAAD23718=")</f>
        <v>#VALUE!</v>
      </c>
      <c r="CS64" t="e">
        <f>AND(Plan1!I1082,"AAAAAD2372A=")</f>
        <v>#VALUE!</v>
      </c>
      <c r="CT64" t="e">
        <f>AND(Plan1!J1082,"AAAAAD2372E=")</f>
        <v>#VALUE!</v>
      </c>
      <c r="CU64" t="e">
        <f>AND(Plan1!K1082,"AAAAAD2372I=")</f>
        <v>#VALUE!</v>
      </c>
      <c r="CV64" t="e">
        <f>AND(Plan1!L1082,"AAAAAD2372M=")</f>
        <v>#VALUE!</v>
      </c>
      <c r="CW64" t="e">
        <f>AND(Plan1!M1082,"AAAAAD2372Q=")</f>
        <v>#VALUE!</v>
      </c>
      <c r="CX64" t="e">
        <f>AND(Plan1!N1082,"AAAAAD2372U=")</f>
        <v>#VALUE!</v>
      </c>
      <c r="CY64">
        <f>IF(Plan1!1083:1083,"AAAAAD2372Y=",0)</f>
        <v>0</v>
      </c>
      <c r="CZ64" t="e">
        <f>AND(Plan1!A1083,"AAAAAD2372c=")</f>
        <v>#VALUE!</v>
      </c>
      <c r="DA64" t="e">
        <f>AND(Plan1!B1083,"AAAAAD2372g=")</f>
        <v>#VALUE!</v>
      </c>
      <c r="DB64" t="e">
        <f>AND(Plan1!C1083,"AAAAAD2372k=")</f>
        <v>#VALUE!</v>
      </c>
      <c r="DC64" t="e">
        <f>AND(Plan1!D1083,"AAAAAD2372o=")</f>
        <v>#VALUE!</v>
      </c>
      <c r="DD64" t="e">
        <f>AND(Plan1!E1083,"AAAAAD2372s=")</f>
        <v>#VALUE!</v>
      </c>
      <c r="DE64" t="e">
        <f>AND(Plan1!F1083,"AAAAAD2372w=")</f>
        <v>#VALUE!</v>
      </c>
      <c r="DF64" t="e">
        <f>AND(Plan1!G1083,"AAAAAD23720=")</f>
        <v>#VALUE!</v>
      </c>
      <c r="DG64" t="e">
        <f>AND(Plan1!H1083,"AAAAAD23724=")</f>
        <v>#VALUE!</v>
      </c>
      <c r="DH64" t="e">
        <f>AND(Plan1!I1083,"AAAAAD23728=")</f>
        <v>#VALUE!</v>
      </c>
      <c r="DI64" t="e">
        <f>AND(Plan1!J1083,"AAAAAD2373A=")</f>
        <v>#VALUE!</v>
      </c>
      <c r="DJ64" t="e">
        <f>AND(Plan1!K1083,"AAAAAD2373E=")</f>
        <v>#VALUE!</v>
      </c>
      <c r="DK64" t="e">
        <f>AND(Plan1!L1083,"AAAAAD2373I=")</f>
        <v>#VALUE!</v>
      </c>
      <c r="DL64" t="e">
        <f>AND(Plan1!M1083,"AAAAAD2373M=")</f>
        <v>#VALUE!</v>
      </c>
      <c r="DM64" t="e">
        <f>AND(Plan1!N1083,"AAAAAD2373Q=")</f>
        <v>#VALUE!</v>
      </c>
      <c r="DN64">
        <f>IF(Plan1!1084:1084,"AAAAAD2373U=",0)</f>
        <v>0</v>
      </c>
      <c r="DO64" t="e">
        <f>AND(Plan1!A1084,"AAAAAD2373Y=")</f>
        <v>#VALUE!</v>
      </c>
      <c r="DP64" t="e">
        <f>AND(Plan1!B1084,"AAAAAD2373c=")</f>
        <v>#VALUE!</v>
      </c>
      <c r="DQ64" t="e">
        <f>AND(Plan1!C1084,"AAAAAD2373g=")</f>
        <v>#VALUE!</v>
      </c>
      <c r="DR64" t="e">
        <f>AND(Plan1!D1084,"AAAAAD2373k=")</f>
        <v>#VALUE!</v>
      </c>
      <c r="DS64" t="e">
        <f>AND(Plan1!E1084,"AAAAAD2373o=")</f>
        <v>#VALUE!</v>
      </c>
      <c r="DT64" t="e">
        <f>AND(Plan1!F1084,"AAAAAD2373s=")</f>
        <v>#VALUE!</v>
      </c>
      <c r="DU64" t="e">
        <f>AND(Plan1!G1084,"AAAAAD2373w=")</f>
        <v>#VALUE!</v>
      </c>
      <c r="DV64" t="e">
        <f>AND(Plan1!H1084,"AAAAAD23730=")</f>
        <v>#VALUE!</v>
      </c>
      <c r="DW64" t="e">
        <f>AND(Plan1!I1084,"AAAAAD23734=")</f>
        <v>#VALUE!</v>
      </c>
      <c r="DX64" t="e">
        <f>AND(Plan1!J1084,"AAAAAD23738=")</f>
        <v>#VALUE!</v>
      </c>
      <c r="DY64" t="e">
        <f>AND(Plan1!K1084,"AAAAAD2374A=")</f>
        <v>#VALUE!</v>
      </c>
      <c r="DZ64" t="e">
        <f>AND(Plan1!L1084,"AAAAAD2374E=")</f>
        <v>#VALUE!</v>
      </c>
      <c r="EA64" t="e">
        <f>AND(Plan1!M1084,"AAAAAD2374I=")</f>
        <v>#VALUE!</v>
      </c>
      <c r="EB64" t="e">
        <f>AND(Plan1!N1084,"AAAAAD2374M=")</f>
        <v>#VALUE!</v>
      </c>
      <c r="EC64">
        <f>IF(Plan1!1085:1085,"AAAAAD2374Q=",0)</f>
        <v>0</v>
      </c>
      <c r="ED64" t="e">
        <f>AND(Plan1!A1085,"AAAAAD2374U=")</f>
        <v>#VALUE!</v>
      </c>
      <c r="EE64" t="e">
        <f>AND(Plan1!B1085,"AAAAAD2374Y=")</f>
        <v>#VALUE!</v>
      </c>
      <c r="EF64" t="e">
        <f>AND(Plan1!C1085,"AAAAAD2374c=")</f>
        <v>#VALUE!</v>
      </c>
      <c r="EG64" t="e">
        <f>AND(Plan1!D1085,"AAAAAD2374g=")</f>
        <v>#VALUE!</v>
      </c>
      <c r="EH64" t="e">
        <f>AND(Plan1!E1085,"AAAAAD2374k=")</f>
        <v>#VALUE!</v>
      </c>
      <c r="EI64" t="e">
        <f>AND(Plan1!F1085,"AAAAAD2374o=")</f>
        <v>#VALUE!</v>
      </c>
      <c r="EJ64" t="e">
        <f>AND(Plan1!G1085,"AAAAAD2374s=")</f>
        <v>#VALUE!</v>
      </c>
      <c r="EK64" t="e">
        <f>AND(Plan1!H1085,"AAAAAD2374w=")</f>
        <v>#VALUE!</v>
      </c>
      <c r="EL64" t="e">
        <f>AND(Plan1!I1085,"AAAAAD23740=")</f>
        <v>#VALUE!</v>
      </c>
      <c r="EM64" t="e">
        <f>AND(Plan1!J1085,"AAAAAD23744=")</f>
        <v>#VALUE!</v>
      </c>
      <c r="EN64" t="e">
        <f>AND(Plan1!K1085,"AAAAAD23748=")</f>
        <v>#VALUE!</v>
      </c>
      <c r="EO64" t="e">
        <f>AND(Plan1!L1085,"AAAAAD2375A=")</f>
        <v>#VALUE!</v>
      </c>
      <c r="EP64" t="e">
        <f>AND(Plan1!M1085,"AAAAAD2375E=")</f>
        <v>#VALUE!</v>
      </c>
      <c r="EQ64" t="e">
        <f>AND(Plan1!N1085,"AAAAAD2375I=")</f>
        <v>#VALUE!</v>
      </c>
      <c r="ER64">
        <f>IF(Plan1!1086:1086,"AAAAAD2375M=",0)</f>
        <v>0</v>
      </c>
      <c r="ES64" t="e">
        <f>AND(Plan1!A1086,"AAAAAD2375Q=")</f>
        <v>#VALUE!</v>
      </c>
      <c r="ET64" t="e">
        <f>AND(Plan1!B1086,"AAAAAD2375U=")</f>
        <v>#VALUE!</v>
      </c>
      <c r="EU64" t="e">
        <f>AND(Plan1!C1086,"AAAAAD2375Y=")</f>
        <v>#VALUE!</v>
      </c>
      <c r="EV64" t="e">
        <f>AND(Plan1!D1086,"AAAAAD2375c=")</f>
        <v>#VALUE!</v>
      </c>
      <c r="EW64" t="e">
        <f>AND(Plan1!E1086,"AAAAAD2375g=")</f>
        <v>#VALUE!</v>
      </c>
      <c r="EX64" t="e">
        <f>AND(Plan1!F1086,"AAAAAD2375k=")</f>
        <v>#VALUE!</v>
      </c>
      <c r="EY64" t="e">
        <f>AND(Plan1!G1086,"AAAAAD2375o=")</f>
        <v>#VALUE!</v>
      </c>
      <c r="EZ64" t="e">
        <f>AND(Plan1!H1086,"AAAAAD2375s=")</f>
        <v>#VALUE!</v>
      </c>
      <c r="FA64" t="e">
        <f>AND(Plan1!I1086,"AAAAAD2375w=")</f>
        <v>#VALUE!</v>
      </c>
      <c r="FB64" t="e">
        <f>AND(Plan1!J1086,"AAAAAD23750=")</f>
        <v>#VALUE!</v>
      </c>
      <c r="FC64" t="e">
        <f>AND(Plan1!K1086,"AAAAAD23754=")</f>
        <v>#VALUE!</v>
      </c>
      <c r="FD64" t="e">
        <f>AND(Plan1!L1086,"AAAAAD23758=")</f>
        <v>#VALUE!</v>
      </c>
      <c r="FE64" t="e">
        <f>AND(Plan1!M1086,"AAAAAD2376A=")</f>
        <v>#VALUE!</v>
      </c>
      <c r="FF64" t="e">
        <f>AND(Plan1!N1086,"AAAAAD2376E=")</f>
        <v>#VALUE!</v>
      </c>
      <c r="FG64">
        <f>IF(Plan1!1087:1087,"AAAAAD2376I=",0)</f>
        <v>0</v>
      </c>
      <c r="FH64" t="e">
        <f>AND(Plan1!A1087,"AAAAAD2376M=")</f>
        <v>#VALUE!</v>
      </c>
      <c r="FI64" t="e">
        <f>AND(Plan1!B1087,"AAAAAD2376Q=")</f>
        <v>#VALUE!</v>
      </c>
      <c r="FJ64" t="e">
        <f>AND(Plan1!C1087,"AAAAAD2376U=")</f>
        <v>#VALUE!</v>
      </c>
      <c r="FK64" t="e">
        <f>AND(Plan1!D1087,"AAAAAD2376Y=")</f>
        <v>#VALUE!</v>
      </c>
      <c r="FL64" t="e">
        <f>AND(Plan1!E1087,"AAAAAD2376c=")</f>
        <v>#VALUE!</v>
      </c>
      <c r="FM64" t="e">
        <f>AND(Plan1!F1087,"AAAAAD2376g=")</f>
        <v>#VALUE!</v>
      </c>
      <c r="FN64" t="e">
        <f>AND(Plan1!G1087,"AAAAAD2376k=")</f>
        <v>#VALUE!</v>
      </c>
      <c r="FO64" t="e">
        <f>AND(Plan1!H1087,"AAAAAD2376o=")</f>
        <v>#VALUE!</v>
      </c>
      <c r="FP64" t="e">
        <f>AND(Plan1!I1087,"AAAAAD2376s=")</f>
        <v>#VALUE!</v>
      </c>
      <c r="FQ64" t="e">
        <f>AND(Plan1!J1087,"AAAAAD2376w=")</f>
        <v>#VALUE!</v>
      </c>
      <c r="FR64" t="e">
        <f>AND(Plan1!K1087,"AAAAAD23760=")</f>
        <v>#VALUE!</v>
      </c>
      <c r="FS64" t="e">
        <f>AND(Plan1!L1087,"AAAAAD23764=")</f>
        <v>#VALUE!</v>
      </c>
      <c r="FT64" t="e">
        <f>AND(Plan1!M1087,"AAAAAD23768=")</f>
        <v>#VALUE!</v>
      </c>
      <c r="FU64" t="e">
        <f>AND(Plan1!N1087,"AAAAAD2377A=")</f>
        <v>#VALUE!</v>
      </c>
      <c r="FV64">
        <f>IF(Plan1!1088:1088,"AAAAAD2377E=",0)</f>
        <v>0</v>
      </c>
      <c r="FW64" t="e">
        <f>AND(Plan1!A1088,"AAAAAD2377I=")</f>
        <v>#VALUE!</v>
      </c>
      <c r="FX64" t="e">
        <f>AND(Plan1!B1088,"AAAAAD2377M=")</f>
        <v>#VALUE!</v>
      </c>
      <c r="FY64" t="e">
        <f>AND(Plan1!C1088,"AAAAAD2377Q=")</f>
        <v>#VALUE!</v>
      </c>
      <c r="FZ64" t="e">
        <f>AND(Plan1!D1088,"AAAAAD2377U=")</f>
        <v>#VALUE!</v>
      </c>
      <c r="GA64" t="e">
        <f>AND(Plan1!E1088,"AAAAAD2377Y=")</f>
        <v>#VALUE!</v>
      </c>
      <c r="GB64" t="e">
        <f>AND(Plan1!F1088,"AAAAAD2377c=")</f>
        <v>#VALUE!</v>
      </c>
      <c r="GC64" t="e">
        <f>AND(Plan1!G1088,"AAAAAD2377g=")</f>
        <v>#VALUE!</v>
      </c>
      <c r="GD64" t="e">
        <f>AND(Plan1!H1088,"AAAAAD2377k=")</f>
        <v>#VALUE!</v>
      </c>
      <c r="GE64" t="e">
        <f>AND(Plan1!I1088,"AAAAAD2377o=")</f>
        <v>#VALUE!</v>
      </c>
      <c r="GF64" t="e">
        <f>AND(Plan1!J1088,"AAAAAD2377s=")</f>
        <v>#VALUE!</v>
      </c>
      <c r="GG64" t="e">
        <f>AND(Plan1!K1088,"AAAAAD2377w=")</f>
        <v>#VALUE!</v>
      </c>
      <c r="GH64" t="e">
        <f>AND(Plan1!L1088,"AAAAAD23770=")</f>
        <v>#VALUE!</v>
      </c>
      <c r="GI64" t="e">
        <f>AND(Plan1!M1088,"AAAAAD23774=")</f>
        <v>#VALUE!</v>
      </c>
      <c r="GJ64" t="e">
        <f>AND(Plan1!N1088,"AAAAAD23778=")</f>
        <v>#VALUE!</v>
      </c>
      <c r="GK64">
        <f>IF(Plan1!1089:1089,"AAAAAD2378A=",0)</f>
        <v>0</v>
      </c>
      <c r="GL64" t="e">
        <f>AND(Plan1!A1089,"AAAAAD2378E=")</f>
        <v>#VALUE!</v>
      </c>
      <c r="GM64" t="e">
        <f>AND(Plan1!B1089,"AAAAAD2378I=")</f>
        <v>#VALUE!</v>
      </c>
      <c r="GN64" t="e">
        <f>AND(Plan1!C1089,"AAAAAD2378M=")</f>
        <v>#VALUE!</v>
      </c>
      <c r="GO64" t="e">
        <f>AND(Plan1!D1089,"AAAAAD2378Q=")</f>
        <v>#VALUE!</v>
      </c>
      <c r="GP64" t="e">
        <f>AND(Plan1!E1089,"AAAAAD2378U=")</f>
        <v>#VALUE!</v>
      </c>
      <c r="GQ64" t="e">
        <f>AND(Plan1!F1089,"AAAAAD2378Y=")</f>
        <v>#VALUE!</v>
      </c>
      <c r="GR64" t="e">
        <f>AND(Plan1!G1089,"AAAAAD2378c=")</f>
        <v>#VALUE!</v>
      </c>
      <c r="GS64" t="e">
        <f>AND(Plan1!H1089,"AAAAAD2378g=")</f>
        <v>#VALUE!</v>
      </c>
      <c r="GT64" t="e">
        <f>AND(Plan1!I1089,"AAAAAD2378k=")</f>
        <v>#VALUE!</v>
      </c>
      <c r="GU64" t="e">
        <f>AND(Plan1!J1089,"AAAAAD2378o=")</f>
        <v>#VALUE!</v>
      </c>
      <c r="GV64" t="e">
        <f>AND(Plan1!K1089,"AAAAAD2378s=")</f>
        <v>#VALUE!</v>
      </c>
      <c r="GW64" t="e">
        <f>AND(Plan1!L1089,"AAAAAD2378w=")</f>
        <v>#VALUE!</v>
      </c>
      <c r="GX64" t="e">
        <f>AND(Plan1!M1089,"AAAAAD23780=")</f>
        <v>#VALUE!</v>
      </c>
      <c r="GY64" t="e">
        <f>AND(Plan1!N1089,"AAAAAD23784=")</f>
        <v>#VALUE!</v>
      </c>
      <c r="GZ64">
        <f>IF(Plan1!1090:1090,"AAAAAD23788=",0)</f>
        <v>0</v>
      </c>
      <c r="HA64" t="e">
        <f>AND(Plan1!A1090,"AAAAAD2379A=")</f>
        <v>#VALUE!</v>
      </c>
      <c r="HB64" t="e">
        <f>AND(Plan1!B1090,"AAAAAD2379E=")</f>
        <v>#VALUE!</v>
      </c>
      <c r="HC64" t="e">
        <f>AND(Plan1!C1090,"AAAAAD2379I=")</f>
        <v>#VALUE!</v>
      </c>
      <c r="HD64" t="e">
        <f>AND(Plan1!D1090,"AAAAAD2379M=")</f>
        <v>#VALUE!</v>
      </c>
      <c r="HE64" t="e">
        <f>AND(Plan1!E1090,"AAAAAD2379Q=")</f>
        <v>#VALUE!</v>
      </c>
      <c r="HF64" t="e">
        <f>AND(Plan1!F1090,"AAAAAD2379U=")</f>
        <v>#VALUE!</v>
      </c>
      <c r="HG64" t="e">
        <f>AND(Plan1!G1090,"AAAAAD2379Y=")</f>
        <v>#VALUE!</v>
      </c>
      <c r="HH64" t="e">
        <f>AND(Plan1!H1090,"AAAAAD2379c=")</f>
        <v>#VALUE!</v>
      </c>
      <c r="HI64" t="e">
        <f>AND(Plan1!I1090,"AAAAAD2379g=")</f>
        <v>#VALUE!</v>
      </c>
      <c r="HJ64" t="e">
        <f>AND(Plan1!J1090,"AAAAAD2379k=")</f>
        <v>#VALUE!</v>
      </c>
      <c r="HK64" t="e">
        <f>AND(Plan1!K1090,"AAAAAD2379o=")</f>
        <v>#VALUE!</v>
      </c>
      <c r="HL64" t="e">
        <f>AND(Plan1!L1090,"AAAAAD2379s=")</f>
        <v>#VALUE!</v>
      </c>
      <c r="HM64" t="e">
        <f>AND(Plan1!M1090,"AAAAAD2379w=")</f>
        <v>#VALUE!</v>
      </c>
      <c r="HN64" t="e">
        <f>AND(Plan1!N1090,"AAAAAD23790=")</f>
        <v>#VALUE!</v>
      </c>
      <c r="HO64">
        <f>IF(Plan1!1091:1091,"AAAAAD23794=",0)</f>
        <v>0</v>
      </c>
      <c r="HP64" t="e">
        <f>AND(Plan1!A1091,"AAAAAD23798=")</f>
        <v>#VALUE!</v>
      </c>
      <c r="HQ64" t="e">
        <f>AND(Plan1!B1091,"AAAAAD237+A=")</f>
        <v>#VALUE!</v>
      </c>
      <c r="HR64" t="e">
        <f>AND(Plan1!C1091,"AAAAAD237+E=")</f>
        <v>#VALUE!</v>
      </c>
      <c r="HS64" t="e">
        <f>AND(Plan1!D1091,"AAAAAD237+I=")</f>
        <v>#VALUE!</v>
      </c>
      <c r="HT64" t="e">
        <f>AND(Plan1!E1091,"AAAAAD237+M=")</f>
        <v>#VALUE!</v>
      </c>
      <c r="HU64" t="e">
        <f>AND(Plan1!F1091,"AAAAAD237+Q=")</f>
        <v>#VALUE!</v>
      </c>
      <c r="HV64" t="e">
        <f>AND(Plan1!G1091,"AAAAAD237+U=")</f>
        <v>#VALUE!</v>
      </c>
      <c r="HW64" t="e">
        <f>AND(Plan1!H1091,"AAAAAD237+Y=")</f>
        <v>#VALUE!</v>
      </c>
      <c r="HX64" t="e">
        <f>AND(Plan1!I1091,"AAAAAD237+c=")</f>
        <v>#VALUE!</v>
      </c>
      <c r="HY64" t="e">
        <f>AND(Plan1!J1091,"AAAAAD237+g=")</f>
        <v>#VALUE!</v>
      </c>
      <c r="HZ64" t="e">
        <f>AND(Plan1!K1091,"AAAAAD237+k=")</f>
        <v>#VALUE!</v>
      </c>
      <c r="IA64" t="e">
        <f>AND(Plan1!L1091,"AAAAAD237+o=")</f>
        <v>#VALUE!</v>
      </c>
      <c r="IB64" t="e">
        <f>AND(Plan1!M1091,"AAAAAD237+s=")</f>
        <v>#VALUE!</v>
      </c>
      <c r="IC64" t="e">
        <f>AND(Plan1!N1091,"AAAAAD237+w=")</f>
        <v>#VALUE!</v>
      </c>
      <c r="ID64">
        <f>IF(Plan1!1092:1092,"AAAAAD237+0=",0)</f>
        <v>0</v>
      </c>
      <c r="IE64" t="e">
        <f>AND(Plan1!A1092,"AAAAAD237+4=")</f>
        <v>#VALUE!</v>
      </c>
      <c r="IF64" t="e">
        <f>AND(Plan1!B1092,"AAAAAD237+8=")</f>
        <v>#VALUE!</v>
      </c>
      <c r="IG64" t="e">
        <f>AND(Plan1!C1092,"AAAAAD237/A=")</f>
        <v>#VALUE!</v>
      </c>
      <c r="IH64" t="e">
        <f>AND(Plan1!D1092,"AAAAAD237/E=")</f>
        <v>#VALUE!</v>
      </c>
      <c r="II64" t="e">
        <f>AND(Plan1!E1092,"AAAAAD237/I=")</f>
        <v>#VALUE!</v>
      </c>
      <c r="IJ64" t="e">
        <f>AND(Plan1!F1092,"AAAAAD237/M=")</f>
        <v>#VALUE!</v>
      </c>
      <c r="IK64" t="e">
        <f>AND(Plan1!G1092,"AAAAAD237/Q=")</f>
        <v>#VALUE!</v>
      </c>
      <c r="IL64" t="e">
        <f>AND(Plan1!H1092,"AAAAAD237/U=")</f>
        <v>#VALUE!</v>
      </c>
      <c r="IM64" t="e">
        <f>AND(Plan1!I1092,"AAAAAD237/Y=")</f>
        <v>#VALUE!</v>
      </c>
      <c r="IN64" t="e">
        <f>AND(Plan1!J1092,"AAAAAD237/c=")</f>
        <v>#VALUE!</v>
      </c>
      <c r="IO64" t="e">
        <f>AND(Plan1!K1092,"AAAAAD237/g=")</f>
        <v>#VALUE!</v>
      </c>
      <c r="IP64" t="e">
        <f>AND(Plan1!L1092,"AAAAAD237/k=")</f>
        <v>#VALUE!</v>
      </c>
      <c r="IQ64" t="e">
        <f>AND(Plan1!M1092,"AAAAAD237/o=")</f>
        <v>#VALUE!</v>
      </c>
      <c r="IR64" t="e">
        <f>AND(Plan1!N1092,"AAAAAD237/s=")</f>
        <v>#VALUE!</v>
      </c>
      <c r="IS64">
        <f>IF(Plan1!1093:1093,"AAAAAD237/w=",0)</f>
        <v>0</v>
      </c>
      <c r="IT64" t="e">
        <f>AND(Plan1!A1093,"AAAAAD237/0=")</f>
        <v>#VALUE!</v>
      </c>
      <c r="IU64" t="e">
        <f>AND(Plan1!B1093,"AAAAAD237/4=")</f>
        <v>#VALUE!</v>
      </c>
      <c r="IV64" t="e">
        <f>AND(Plan1!C1093,"AAAAAD237/8=")</f>
        <v>#VALUE!</v>
      </c>
    </row>
    <row r="65" spans="1:256">
      <c r="A65" t="e">
        <f>AND(Plan1!D1093,"AAAAAF973wA=")</f>
        <v>#VALUE!</v>
      </c>
      <c r="B65" t="e">
        <f>AND(Plan1!E1093,"AAAAAF973wE=")</f>
        <v>#VALUE!</v>
      </c>
      <c r="C65" t="e">
        <f>AND(Plan1!F1093,"AAAAAF973wI=")</f>
        <v>#VALUE!</v>
      </c>
      <c r="D65" t="e">
        <f>AND(Plan1!G1093,"AAAAAF973wM=")</f>
        <v>#VALUE!</v>
      </c>
      <c r="E65" t="e">
        <f>AND(Plan1!H1093,"AAAAAF973wQ=")</f>
        <v>#VALUE!</v>
      </c>
      <c r="F65" t="e">
        <f>AND(Plan1!I1093,"AAAAAF973wU=")</f>
        <v>#VALUE!</v>
      </c>
      <c r="G65" t="e">
        <f>AND(Plan1!J1093,"AAAAAF973wY=")</f>
        <v>#VALUE!</v>
      </c>
      <c r="H65" t="e">
        <f>AND(Plan1!K1093,"AAAAAF973wc=")</f>
        <v>#VALUE!</v>
      </c>
      <c r="I65" t="e">
        <f>AND(Plan1!L1093,"AAAAAF973wg=")</f>
        <v>#VALUE!</v>
      </c>
      <c r="J65" t="e">
        <f>AND(Plan1!M1093,"AAAAAF973wk=")</f>
        <v>#VALUE!</v>
      </c>
      <c r="K65" t="e">
        <f>AND(Plan1!N1093,"AAAAAF973wo=")</f>
        <v>#VALUE!</v>
      </c>
      <c r="L65" t="e">
        <f>IF(Plan1!1094:1094,"AAAAAF973ws=",0)</f>
        <v>#VALUE!</v>
      </c>
      <c r="M65" t="e">
        <f>AND(Plan1!A1094,"AAAAAF973ww=")</f>
        <v>#VALUE!</v>
      </c>
      <c r="N65" t="e">
        <f>AND(Plan1!B1094,"AAAAAF973w0=")</f>
        <v>#VALUE!</v>
      </c>
      <c r="O65" t="e">
        <f>AND(Plan1!C1094,"AAAAAF973w4=")</f>
        <v>#VALUE!</v>
      </c>
      <c r="P65" t="e">
        <f>AND(Plan1!D1094,"AAAAAF973w8=")</f>
        <v>#VALUE!</v>
      </c>
      <c r="Q65" t="e">
        <f>AND(Plan1!E1094,"AAAAAF973xA=")</f>
        <v>#VALUE!</v>
      </c>
      <c r="R65" t="e">
        <f>AND(Plan1!F1094,"AAAAAF973xE=")</f>
        <v>#VALUE!</v>
      </c>
      <c r="S65" t="e">
        <f>AND(Plan1!G1094,"AAAAAF973xI=")</f>
        <v>#VALUE!</v>
      </c>
      <c r="T65" t="e">
        <f>AND(Plan1!H1094,"AAAAAF973xM=")</f>
        <v>#VALUE!</v>
      </c>
      <c r="U65" t="e">
        <f>AND(Plan1!I1094,"AAAAAF973xQ=")</f>
        <v>#VALUE!</v>
      </c>
      <c r="V65" t="e">
        <f>AND(Plan1!J1094,"AAAAAF973xU=")</f>
        <v>#VALUE!</v>
      </c>
      <c r="W65" t="e">
        <f>AND(Plan1!K1094,"AAAAAF973xY=")</f>
        <v>#VALUE!</v>
      </c>
      <c r="X65" t="e">
        <f>AND(Plan1!L1094,"AAAAAF973xc=")</f>
        <v>#VALUE!</v>
      </c>
      <c r="Y65" t="e">
        <f>AND(Plan1!M1094,"AAAAAF973xg=")</f>
        <v>#VALUE!</v>
      </c>
      <c r="Z65" t="e">
        <f>AND(Plan1!N1094,"AAAAAF973xk=")</f>
        <v>#VALUE!</v>
      </c>
      <c r="AA65">
        <f>IF(Plan1!1095:1095,"AAAAAF973xo=",0)</f>
        <v>0</v>
      </c>
      <c r="AB65" t="e">
        <f>AND(Plan1!A1095,"AAAAAF973xs=")</f>
        <v>#VALUE!</v>
      </c>
      <c r="AC65" t="e">
        <f>AND(Plan1!B1095,"AAAAAF973xw=")</f>
        <v>#VALUE!</v>
      </c>
      <c r="AD65" t="e">
        <f>AND(Plan1!C1095,"AAAAAF973x0=")</f>
        <v>#VALUE!</v>
      </c>
      <c r="AE65" t="e">
        <f>AND(Plan1!D1095,"AAAAAF973x4=")</f>
        <v>#VALUE!</v>
      </c>
      <c r="AF65" t="e">
        <f>AND(Plan1!E1095,"AAAAAF973x8=")</f>
        <v>#VALUE!</v>
      </c>
      <c r="AG65" t="e">
        <f>AND(Plan1!F1095,"AAAAAF973yA=")</f>
        <v>#VALUE!</v>
      </c>
      <c r="AH65" t="e">
        <f>AND(Plan1!G1095,"AAAAAF973yE=")</f>
        <v>#VALUE!</v>
      </c>
      <c r="AI65" t="e">
        <f>AND(Plan1!H1095,"AAAAAF973yI=")</f>
        <v>#VALUE!</v>
      </c>
      <c r="AJ65" t="e">
        <f>AND(Plan1!I1095,"AAAAAF973yM=")</f>
        <v>#VALUE!</v>
      </c>
      <c r="AK65" t="e">
        <f>AND(Plan1!J1095,"AAAAAF973yQ=")</f>
        <v>#VALUE!</v>
      </c>
      <c r="AL65" t="e">
        <f>AND(Plan1!K1095,"AAAAAF973yU=")</f>
        <v>#VALUE!</v>
      </c>
      <c r="AM65" t="e">
        <f>AND(Plan1!L1095,"AAAAAF973yY=")</f>
        <v>#VALUE!</v>
      </c>
      <c r="AN65" t="e">
        <f>AND(Plan1!M1095,"AAAAAF973yc=")</f>
        <v>#VALUE!</v>
      </c>
      <c r="AO65" t="e">
        <f>AND(Plan1!N1095,"AAAAAF973yg=")</f>
        <v>#VALUE!</v>
      </c>
      <c r="AP65">
        <f>IF(Plan1!1096:1096,"AAAAAF973yk=",0)</f>
        <v>0</v>
      </c>
      <c r="AQ65" t="e">
        <f>AND(Plan1!A1096,"AAAAAF973yo=")</f>
        <v>#VALUE!</v>
      </c>
      <c r="AR65" t="e">
        <f>AND(Plan1!B1096,"AAAAAF973ys=")</f>
        <v>#VALUE!</v>
      </c>
      <c r="AS65" t="e">
        <f>AND(Plan1!C1096,"AAAAAF973yw=")</f>
        <v>#VALUE!</v>
      </c>
      <c r="AT65" t="e">
        <f>AND(Plan1!D1096,"AAAAAF973y0=")</f>
        <v>#VALUE!</v>
      </c>
      <c r="AU65" t="e">
        <f>AND(Plan1!E1096,"AAAAAF973y4=")</f>
        <v>#VALUE!</v>
      </c>
      <c r="AV65" t="e">
        <f>AND(Plan1!F1096,"AAAAAF973y8=")</f>
        <v>#VALUE!</v>
      </c>
      <c r="AW65" t="e">
        <f>AND(Plan1!G1096,"AAAAAF973zA=")</f>
        <v>#VALUE!</v>
      </c>
      <c r="AX65" t="e">
        <f>AND(Plan1!H1096,"AAAAAF973zE=")</f>
        <v>#VALUE!</v>
      </c>
      <c r="AY65" t="e">
        <f>AND(Plan1!I1096,"AAAAAF973zI=")</f>
        <v>#VALUE!</v>
      </c>
      <c r="AZ65" t="e">
        <f>AND(Plan1!J1096,"AAAAAF973zM=")</f>
        <v>#VALUE!</v>
      </c>
      <c r="BA65" t="e">
        <f>AND(Plan1!K1096,"AAAAAF973zQ=")</f>
        <v>#VALUE!</v>
      </c>
      <c r="BB65" t="e">
        <f>AND(Plan1!L1096,"AAAAAF973zU=")</f>
        <v>#VALUE!</v>
      </c>
      <c r="BC65" t="e">
        <f>AND(Plan1!M1096,"AAAAAF973zY=")</f>
        <v>#VALUE!</v>
      </c>
      <c r="BD65" t="e">
        <f>AND(Plan1!N1096,"AAAAAF973zc=")</f>
        <v>#VALUE!</v>
      </c>
      <c r="BE65">
        <f>IF(Plan1!1097:1097,"AAAAAF973zg=",0)</f>
        <v>0</v>
      </c>
      <c r="BF65" t="e">
        <f>AND(Plan1!A1097,"AAAAAF973zk=")</f>
        <v>#VALUE!</v>
      </c>
      <c r="BG65" t="e">
        <f>AND(Plan1!B1097,"AAAAAF973zo=")</f>
        <v>#VALUE!</v>
      </c>
      <c r="BH65" t="e">
        <f>AND(Plan1!C1097,"AAAAAF973zs=")</f>
        <v>#VALUE!</v>
      </c>
      <c r="BI65" t="e">
        <f>AND(Plan1!D1097,"AAAAAF973zw=")</f>
        <v>#VALUE!</v>
      </c>
      <c r="BJ65" t="e">
        <f>AND(Plan1!E1097,"AAAAAF973z0=")</f>
        <v>#VALUE!</v>
      </c>
      <c r="BK65" t="e">
        <f>AND(Plan1!F1097,"AAAAAF973z4=")</f>
        <v>#VALUE!</v>
      </c>
      <c r="BL65" t="e">
        <f>AND(Plan1!G1097,"AAAAAF973z8=")</f>
        <v>#VALUE!</v>
      </c>
      <c r="BM65" t="e">
        <f>AND(Plan1!H1097,"AAAAAF9730A=")</f>
        <v>#VALUE!</v>
      </c>
      <c r="BN65" t="e">
        <f>AND(Plan1!I1097,"AAAAAF9730E=")</f>
        <v>#VALUE!</v>
      </c>
      <c r="BO65" t="e">
        <f>AND(Plan1!J1097,"AAAAAF9730I=")</f>
        <v>#VALUE!</v>
      </c>
      <c r="BP65" t="e">
        <f>AND(Plan1!K1097,"AAAAAF9730M=")</f>
        <v>#VALUE!</v>
      </c>
      <c r="BQ65" t="e">
        <f>AND(Plan1!L1097,"AAAAAF9730Q=")</f>
        <v>#VALUE!</v>
      </c>
      <c r="BR65" t="e">
        <f>AND(Plan1!M1097,"AAAAAF9730U=")</f>
        <v>#VALUE!</v>
      </c>
      <c r="BS65" t="e">
        <f>AND(Plan1!N1097,"AAAAAF9730Y=")</f>
        <v>#VALUE!</v>
      </c>
      <c r="BT65">
        <f>IF(Plan1!1098:1098,"AAAAAF9730c=",0)</f>
        <v>0</v>
      </c>
      <c r="BU65" t="e">
        <f>AND(Plan1!A1098,"AAAAAF9730g=")</f>
        <v>#VALUE!</v>
      </c>
      <c r="BV65" t="e">
        <f>AND(Plan1!B1098,"AAAAAF9730k=")</f>
        <v>#VALUE!</v>
      </c>
      <c r="BW65" t="e">
        <f>AND(Plan1!C1098,"AAAAAF9730o=")</f>
        <v>#VALUE!</v>
      </c>
      <c r="BX65" t="e">
        <f>AND(Plan1!D1098,"AAAAAF9730s=")</f>
        <v>#VALUE!</v>
      </c>
      <c r="BY65" t="e">
        <f>AND(Plan1!E1098,"AAAAAF9730w=")</f>
        <v>#VALUE!</v>
      </c>
      <c r="BZ65" t="e">
        <f>AND(Plan1!F1098,"AAAAAF97300=")</f>
        <v>#VALUE!</v>
      </c>
      <c r="CA65" t="e">
        <f>AND(Plan1!G1098,"AAAAAF97304=")</f>
        <v>#VALUE!</v>
      </c>
      <c r="CB65" t="e">
        <f>AND(Plan1!H1098,"AAAAAF97308=")</f>
        <v>#VALUE!</v>
      </c>
      <c r="CC65" t="e">
        <f>AND(Plan1!I1098,"AAAAAF9731A=")</f>
        <v>#VALUE!</v>
      </c>
      <c r="CD65" t="e">
        <f>AND(Plan1!J1098,"AAAAAF9731E=")</f>
        <v>#VALUE!</v>
      </c>
      <c r="CE65" t="e">
        <f>AND(Plan1!K1098,"AAAAAF9731I=")</f>
        <v>#VALUE!</v>
      </c>
      <c r="CF65" t="e">
        <f>AND(Plan1!L1098,"AAAAAF9731M=")</f>
        <v>#VALUE!</v>
      </c>
      <c r="CG65" t="e">
        <f>AND(Plan1!M1098,"AAAAAF9731Q=")</f>
        <v>#VALUE!</v>
      </c>
      <c r="CH65" t="e">
        <f>AND(Plan1!N1098,"AAAAAF9731U=")</f>
        <v>#VALUE!</v>
      </c>
      <c r="CI65">
        <f>IF(Plan1!1099:1099,"AAAAAF9731Y=",0)</f>
        <v>0</v>
      </c>
      <c r="CJ65" t="e">
        <f>AND(Plan1!A1099,"AAAAAF9731c=")</f>
        <v>#VALUE!</v>
      </c>
      <c r="CK65" t="e">
        <f>AND(Plan1!B1099,"AAAAAF9731g=")</f>
        <v>#VALUE!</v>
      </c>
      <c r="CL65" t="e">
        <f>AND(Plan1!C1099,"AAAAAF9731k=")</f>
        <v>#VALUE!</v>
      </c>
      <c r="CM65" t="e">
        <f>AND(Plan1!D1099,"AAAAAF9731o=")</f>
        <v>#VALUE!</v>
      </c>
      <c r="CN65" t="e">
        <f>AND(Plan1!E1099,"AAAAAF9731s=")</f>
        <v>#VALUE!</v>
      </c>
      <c r="CO65" t="e">
        <f>AND(Plan1!F1099,"AAAAAF9731w=")</f>
        <v>#VALUE!</v>
      </c>
      <c r="CP65" t="e">
        <f>AND(Plan1!G1099,"AAAAAF97310=")</f>
        <v>#VALUE!</v>
      </c>
      <c r="CQ65" t="e">
        <f>AND(Plan1!H1099,"AAAAAF97314=")</f>
        <v>#VALUE!</v>
      </c>
      <c r="CR65" t="e">
        <f>AND(Plan1!I1099,"AAAAAF97318=")</f>
        <v>#VALUE!</v>
      </c>
      <c r="CS65" t="e">
        <f>AND(Plan1!J1099,"AAAAAF9732A=")</f>
        <v>#VALUE!</v>
      </c>
      <c r="CT65" t="e">
        <f>AND(Plan1!K1099,"AAAAAF9732E=")</f>
        <v>#VALUE!</v>
      </c>
      <c r="CU65" t="e">
        <f>AND(Plan1!L1099,"AAAAAF9732I=")</f>
        <v>#VALUE!</v>
      </c>
      <c r="CV65" t="e">
        <f>AND(Plan1!M1099,"AAAAAF9732M=")</f>
        <v>#VALUE!</v>
      </c>
      <c r="CW65" t="e">
        <f>AND(Plan1!N1099,"AAAAAF9732Q=")</f>
        <v>#VALUE!</v>
      </c>
      <c r="CX65">
        <f>IF(Plan1!1100:1100,"AAAAAF9732U=",0)</f>
        <v>0</v>
      </c>
      <c r="CY65" t="e">
        <f>AND(Plan1!A1100,"AAAAAF9732Y=")</f>
        <v>#VALUE!</v>
      </c>
      <c r="CZ65" t="e">
        <f>AND(Plan1!B1100,"AAAAAF9732c=")</f>
        <v>#VALUE!</v>
      </c>
      <c r="DA65" t="e">
        <f>AND(Plan1!C1100,"AAAAAF9732g=")</f>
        <v>#VALUE!</v>
      </c>
      <c r="DB65" t="e">
        <f>AND(Plan1!D1100,"AAAAAF9732k=")</f>
        <v>#VALUE!</v>
      </c>
      <c r="DC65" t="e">
        <f>AND(Plan1!E1100,"AAAAAF9732o=")</f>
        <v>#VALUE!</v>
      </c>
      <c r="DD65" t="e">
        <f>AND(Plan1!F1100,"AAAAAF9732s=")</f>
        <v>#VALUE!</v>
      </c>
      <c r="DE65" t="e">
        <f>AND(Plan1!G1100,"AAAAAF9732w=")</f>
        <v>#VALUE!</v>
      </c>
      <c r="DF65" t="e">
        <f>AND(Plan1!H1100,"AAAAAF97320=")</f>
        <v>#VALUE!</v>
      </c>
      <c r="DG65" t="e">
        <f>AND(Plan1!I1100,"AAAAAF97324=")</f>
        <v>#VALUE!</v>
      </c>
      <c r="DH65" t="e">
        <f>AND(Plan1!J1100,"AAAAAF97328=")</f>
        <v>#VALUE!</v>
      </c>
      <c r="DI65" t="e">
        <f>AND(Plan1!K1100,"AAAAAF9733A=")</f>
        <v>#VALUE!</v>
      </c>
      <c r="DJ65" t="e">
        <f>AND(Plan1!L1100,"AAAAAF9733E=")</f>
        <v>#VALUE!</v>
      </c>
      <c r="DK65" t="e">
        <f>AND(Plan1!M1100,"AAAAAF9733I=")</f>
        <v>#VALUE!</v>
      </c>
      <c r="DL65" t="e">
        <f>AND(Plan1!N1100,"AAAAAF9733M=")</f>
        <v>#VALUE!</v>
      </c>
      <c r="DM65">
        <f>IF(Plan1!1101:1101,"AAAAAF9733Q=",0)</f>
        <v>0</v>
      </c>
      <c r="DN65" t="e">
        <f>AND(Plan1!A1101,"AAAAAF9733U=")</f>
        <v>#VALUE!</v>
      </c>
      <c r="DO65" t="e">
        <f>AND(Plan1!B1101,"AAAAAF9733Y=")</f>
        <v>#VALUE!</v>
      </c>
      <c r="DP65" t="e">
        <f>AND(Plan1!C1101,"AAAAAF9733c=")</f>
        <v>#VALUE!</v>
      </c>
      <c r="DQ65" t="e">
        <f>AND(Plan1!D1101,"AAAAAF9733g=")</f>
        <v>#VALUE!</v>
      </c>
      <c r="DR65" t="e">
        <f>AND(Plan1!E1101,"AAAAAF9733k=")</f>
        <v>#VALUE!</v>
      </c>
      <c r="DS65" t="e">
        <f>AND(Plan1!F1101,"AAAAAF9733o=")</f>
        <v>#VALUE!</v>
      </c>
      <c r="DT65" t="e">
        <f>AND(Plan1!G1101,"AAAAAF9733s=")</f>
        <v>#VALUE!</v>
      </c>
      <c r="DU65" t="e">
        <f>AND(Plan1!H1101,"AAAAAF9733w=")</f>
        <v>#VALUE!</v>
      </c>
      <c r="DV65" t="e">
        <f>AND(Plan1!I1101,"AAAAAF97330=")</f>
        <v>#VALUE!</v>
      </c>
      <c r="DW65" t="e">
        <f>AND(Plan1!J1101,"AAAAAF97334=")</f>
        <v>#VALUE!</v>
      </c>
      <c r="DX65" t="e">
        <f>AND(Plan1!K1101,"AAAAAF97338=")</f>
        <v>#VALUE!</v>
      </c>
      <c r="DY65" t="e">
        <f>AND(Plan1!L1101,"AAAAAF9734A=")</f>
        <v>#VALUE!</v>
      </c>
      <c r="DZ65" t="e">
        <f>AND(Plan1!M1101,"AAAAAF9734E=")</f>
        <v>#VALUE!</v>
      </c>
      <c r="EA65" t="e">
        <f>AND(Plan1!N1101,"AAAAAF9734I=")</f>
        <v>#VALUE!</v>
      </c>
      <c r="EB65">
        <f>IF(Plan1!1102:1102,"AAAAAF9734M=",0)</f>
        <v>0</v>
      </c>
      <c r="EC65" t="e">
        <f>AND(Plan1!A1102,"AAAAAF9734Q=")</f>
        <v>#VALUE!</v>
      </c>
      <c r="ED65" t="e">
        <f>AND(Plan1!B1102,"AAAAAF9734U=")</f>
        <v>#VALUE!</v>
      </c>
      <c r="EE65" t="e">
        <f>AND(Plan1!C1102,"AAAAAF9734Y=")</f>
        <v>#VALUE!</v>
      </c>
      <c r="EF65" t="e">
        <f>AND(Plan1!D1102,"AAAAAF9734c=")</f>
        <v>#VALUE!</v>
      </c>
      <c r="EG65" t="e">
        <f>AND(Plan1!E1102,"AAAAAF9734g=")</f>
        <v>#VALUE!</v>
      </c>
      <c r="EH65" t="e">
        <f>AND(Plan1!F1102,"AAAAAF9734k=")</f>
        <v>#VALUE!</v>
      </c>
      <c r="EI65" t="e">
        <f>AND(Plan1!G1102,"AAAAAF9734o=")</f>
        <v>#VALUE!</v>
      </c>
      <c r="EJ65" t="e">
        <f>AND(Plan1!H1102,"AAAAAF9734s=")</f>
        <v>#VALUE!</v>
      </c>
      <c r="EK65" t="e">
        <f>AND(Plan1!I1102,"AAAAAF9734w=")</f>
        <v>#VALUE!</v>
      </c>
      <c r="EL65" t="e">
        <f>AND(Plan1!J1102,"AAAAAF97340=")</f>
        <v>#VALUE!</v>
      </c>
      <c r="EM65" t="e">
        <f>AND(Plan1!K1102,"AAAAAF97344=")</f>
        <v>#VALUE!</v>
      </c>
      <c r="EN65" t="e">
        <f>AND(Plan1!L1102,"AAAAAF97348=")</f>
        <v>#VALUE!</v>
      </c>
      <c r="EO65" t="e">
        <f>AND(Plan1!M1102,"AAAAAF9735A=")</f>
        <v>#VALUE!</v>
      </c>
      <c r="EP65" t="e">
        <f>AND(Plan1!N1102,"AAAAAF9735E=")</f>
        <v>#VALUE!</v>
      </c>
      <c r="EQ65">
        <f>IF(Plan1!1103:1103,"AAAAAF9735I=",0)</f>
        <v>0</v>
      </c>
      <c r="ER65" t="e">
        <f>AND(Plan1!A1103,"AAAAAF9735M=")</f>
        <v>#VALUE!</v>
      </c>
      <c r="ES65" t="e">
        <f>AND(Plan1!B1103,"AAAAAF9735Q=")</f>
        <v>#VALUE!</v>
      </c>
      <c r="ET65" t="e">
        <f>AND(Plan1!C1103,"AAAAAF9735U=")</f>
        <v>#VALUE!</v>
      </c>
      <c r="EU65" t="e">
        <f>AND(Plan1!D1103,"AAAAAF9735Y=")</f>
        <v>#VALUE!</v>
      </c>
      <c r="EV65" t="e">
        <f>AND(Plan1!E1103,"AAAAAF9735c=")</f>
        <v>#VALUE!</v>
      </c>
      <c r="EW65" t="e">
        <f>AND(Plan1!F1103,"AAAAAF9735g=")</f>
        <v>#VALUE!</v>
      </c>
      <c r="EX65" t="e">
        <f>AND(Plan1!G1103,"AAAAAF9735k=")</f>
        <v>#VALUE!</v>
      </c>
      <c r="EY65" t="e">
        <f>AND(Plan1!H1103,"AAAAAF9735o=")</f>
        <v>#VALUE!</v>
      </c>
      <c r="EZ65" t="e">
        <f>AND(Plan1!I1103,"AAAAAF9735s=")</f>
        <v>#VALUE!</v>
      </c>
      <c r="FA65" t="e">
        <f>AND(Plan1!J1103,"AAAAAF9735w=")</f>
        <v>#VALUE!</v>
      </c>
      <c r="FB65" t="e">
        <f>AND(Plan1!K1103,"AAAAAF97350=")</f>
        <v>#VALUE!</v>
      </c>
      <c r="FC65" t="e">
        <f>AND(Plan1!L1103,"AAAAAF97354=")</f>
        <v>#VALUE!</v>
      </c>
      <c r="FD65" t="e">
        <f>AND(Plan1!M1103,"AAAAAF97358=")</f>
        <v>#VALUE!</v>
      </c>
      <c r="FE65" t="e">
        <f>AND(Plan1!N1103,"AAAAAF9736A=")</f>
        <v>#VALUE!</v>
      </c>
      <c r="FF65">
        <f>IF(Plan1!1104:1104,"AAAAAF9736E=",0)</f>
        <v>0</v>
      </c>
      <c r="FG65" t="e">
        <f>AND(Plan1!A1104,"AAAAAF9736I=")</f>
        <v>#VALUE!</v>
      </c>
      <c r="FH65" t="e">
        <f>AND(Plan1!B1104,"AAAAAF9736M=")</f>
        <v>#VALUE!</v>
      </c>
      <c r="FI65" t="e">
        <f>AND(Plan1!C1104,"AAAAAF9736Q=")</f>
        <v>#VALUE!</v>
      </c>
      <c r="FJ65" t="e">
        <f>AND(Plan1!D1104,"AAAAAF9736U=")</f>
        <v>#VALUE!</v>
      </c>
      <c r="FK65" t="e">
        <f>AND(Plan1!E1104,"AAAAAF9736Y=")</f>
        <v>#VALUE!</v>
      </c>
      <c r="FL65" t="e">
        <f>AND(Plan1!F1104,"AAAAAF9736c=")</f>
        <v>#VALUE!</v>
      </c>
      <c r="FM65" t="e">
        <f>AND(Plan1!G1104,"AAAAAF9736g=")</f>
        <v>#VALUE!</v>
      </c>
      <c r="FN65" t="e">
        <f>AND(Plan1!H1104,"AAAAAF9736k=")</f>
        <v>#VALUE!</v>
      </c>
      <c r="FO65" t="e">
        <f>AND(Plan1!I1104,"AAAAAF9736o=")</f>
        <v>#VALUE!</v>
      </c>
      <c r="FP65" t="e">
        <f>AND(Plan1!J1104,"AAAAAF9736s=")</f>
        <v>#VALUE!</v>
      </c>
      <c r="FQ65" t="e">
        <f>AND(Plan1!K1104,"AAAAAF9736w=")</f>
        <v>#VALUE!</v>
      </c>
      <c r="FR65" t="e">
        <f>AND(Plan1!L1104,"AAAAAF97360=")</f>
        <v>#VALUE!</v>
      </c>
      <c r="FS65" t="e">
        <f>AND(Plan1!M1104,"AAAAAF97364=")</f>
        <v>#VALUE!</v>
      </c>
      <c r="FT65" t="e">
        <f>AND(Plan1!N1104,"AAAAAF97368=")</f>
        <v>#VALUE!</v>
      </c>
      <c r="FU65">
        <f>IF(Plan1!1105:1105,"AAAAAF9737A=",0)</f>
        <v>0</v>
      </c>
      <c r="FV65" t="e">
        <f>AND(Plan1!A1105,"AAAAAF9737E=")</f>
        <v>#VALUE!</v>
      </c>
      <c r="FW65" t="e">
        <f>AND(Plan1!B1105,"AAAAAF9737I=")</f>
        <v>#VALUE!</v>
      </c>
      <c r="FX65" t="e">
        <f>AND(Plan1!C1105,"AAAAAF9737M=")</f>
        <v>#VALUE!</v>
      </c>
      <c r="FY65" t="e">
        <f>AND(Plan1!D1105,"AAAAAF9737Q=")</f>
        <v>#VALUE!</v>
      </c>
      <c r="FZ65" t="e">
        <f>AND(Plan1!E1105,"AAAAAF9737U=")</f>
        <v>#VALUE!</v>
      </c>
      <c r="GA65" t="e">
        <f>AND(Plan1!F1105,"AAAAAF9737Y=")</f>
        <v>#VALUE!</v>
      </c>
      <c r="GB65" t="e">
        <f>AND(Plan1!G1105,"AAAAAF9737c=")</f>
        <v>#VALUE!</v>
      </c>
      <c r="GC65" t="e">
        <f>AND(Plan1!H1105,"AAAAAF9737g=")</f>
        <v>#VALUE!</v>
      </c>
      <c r="GD65" t="e">
        <f>AND(Plan1!I1105,"AAAAAF9737k=")</f>
        <v>#VALUE!</v>
      </c>
      <c r="GE65" t="e">
        <f>AND(Plan1!J1105,"AAAAAF9737o=")</f>
        <v>#VALUE!</v>
      </c>
      <c r="GF65" t="e">
        <f>AND(Plan1!K1105,"AAAAAF9737s=")</f>
        <v>#VALUE!</v>
      </c>
      <c r="GG65" t="e">
        <f>AND(Plan1!L1105,"AAAAAF9737w=")</f>
        <v>#VALUE!</v>
      </c>
      <c r="GH65" t="e">
        <f>AND(Plan1!M1105,"AAAAAF97370=")</f>
        <v>#VALUE!</v>
      </c>
      <c r="GI65" t="e">
        <f>AND(Plan1!N1105,"AAAAAF97374=")</f>
        <v>#VALUE!</v>
      </c>
      <c r="GJ65">
        <f>IF(Plan1!1106:1106,"AAAAAF97378=",0)</f>
        <v>0</v>
      </c>
      <c r="GK65" t="e">
        <f>AND(Plan1!A1106,"AAAAAF9738A=")</f>
        <v>#VALUE!</v>
      </c>
      <c r="GL65" t="e">
        <f>AND(Plan1!B1106,"AAAAAF9738E=")</f>
        <v>#VALUE!</v>
      </c>
      <c r="GM65" t="e">
        <f>AND(Plan1!C1106,"AAAAAF9738I=")</f>
        <v>#VALUE!</v>
      </c>
      <c r="GN65" t="e">
        <f>AND(Plan1!D1106,"AAAAAF9738M=")</f>
        <v>#VALUE!</v>
      </c>
      <c r="GO65" t="e">
        <f>AND(Plan1!E1106,"AAAAAF9738Q=")</f>
        <v>#VALUE!</v>
      </c>
      <c r="GP65" t="e">
        <f>AND(Plan1!F1106,"AAAAAF9738U=")</f>
        <v>#VALUE!</v>
      </c>
      <c r="GQ65" t="e">
        <f>AND(Plan1!G1106,"AAAAAF9738Y=")</f>
        <v>#VALUE!</v>
      </c>
      <c r="GR65" t="e">
        <f>AND(Plan1!H1106,"AAAAAF9738c=")</f>
        <v>#VALUE!</v>
      </c>
      <c r="GS65" t="e">
        <f>AND(Plan1!I1106,"AAAAAF9738g=")</f>
        <v>#VALUE!</v>
      </c>
      <c r="GT65" t="e">
        <f>AND(Plan1!J1106,"AAAAAF9738k=")</f>
        <v>#VALUE!</v>
      </c>
      <c r="GU65" t="e">
        <f>AND(Plan1!K1106,"AAAAAF9738o=")</f>
        <v>#VALUE!</v>
      </c>
      <c r="GV65" t="e">
        <f>AND(Plan1!L1106,"AAAAAF9738s=")</f>
        <v>#VALUE!</v>
      </c>
      <c r="GW65" t="e">
        <f>AND(Plan1!M1106,"AAAAAF9738w=")</f>
        <v>#VALUE!</v>
      </c>
      <c r="GX65" t="e">
        <f>AND(Plan1!N1106,"AAAAAF97380=")</f>
        <v>#VALUE!</v>
      </c>
      <c r="GY65">
        <f>IF(Plan1!1107:1107,"AAAAAF97384=",0)</f>
        <v>0</v>
      </c>
      <c r="GZ65" t="e">
        <f>AND(Plan1!A1107,"AAAAAF97388=")</f>
        <v>#VALUE!</v>
      </c>
      <c r="HA65" t="e">
        <f>AND(Plan1!B1107,"AAAAAF9739A=")</f>
        <v>#VALUE!</v>
      </c>
      <c r="HB65" t="e">
        <f>AND(Plan1!C1107,"AAAAAF9739E=")</f>
        <v>#VALUE!</v>
      </c>
      <c r="HC65" t="e">
        <f>AND(Plan1!D1107,"AAAAAF9739I=")</f>
        <v>#VALUE!</v>
      </c>
      <c r="HD65" t="e">
        <f>AND(Plan1!E1107,"AAAAAF9739M=")</f>
        <v>#VALUE!</v>
      </c>
      <c r="HE65" t="e">
        <f>AND(Plan1!F1107,"AAAAAF9739Q=")</f>
        <v>#VALUE!</v>
      </c>
      <c r="HF65" t="e">
        <f>AND(Plan1!G1107,"AAAAAF9739U=")</f>
        <v>#VALUE!</v>
      </c>
      <c r="HG65" t="e">
        <f>AND(Plan1!H1107,"AAAAAF9739Y=")</f>
        <v>#VALUE!</v>
      </c>
      <c r="HH65" t="e">
        <f>AND(Plan1!I1107,"AAAAAF9739c=")</f>
        <v>#VALUE!</v>
      </c>
      <c r="HI65" t="e">
        <f>AND(Plan1!J1107,"AAAAAF9739g=")</f>
        <v>#VALUE!</v>
      </c>
      <c r="HJ65" t="e">
        <f>AND(Plan1!K1107,"AAAAAF9739k=")</f>
        <v>#VALUE!</v>
      </c>
      <c r="HK65" t="e">
        <f>AND(Plan1!L1107,"AAAAAF9739o=")</f>
        <v>#VALUE!</v>
      </c>
      <c r="HL65" t="e">
        <f>AND(Plan1!M1107,"AAAAAF9739s=")</f>
        <v>#VALUE!</v>
      </c>
      <c r="HM65" t="e">
        <f>AND(Plan1!N1107,"AAAAAF9739w=")</f>
        <v>#VALUE!</v>
      </c>
      <c r="HN65">
        <f>IF(Plan1!1108:1108,"AAAAAF97390=",0)</f>
        <v>0</v>
      </c>
      <c r="HO65" t="e">
        <f>AND(Plan1!A1108,"AAAAAF97394=")</f>
        <v>#VALUE!</v>
      </c>
      <c r="HP65" t="e">
        <f>AND(Plan1!B1108,"AAAAAF97398=")</f>
        <v>#VALUE!</v>
      </c>
      <c r="HQ65" t="e">
        <f>AND(Plan1!C1108,"AAAAAF973+A=")</f>
        <v>#VALUE!</v>
      </c>
      <c r="HR65" t="e">
        <f>AND(Plan1!D1108,"AAAAAF973+E=")</f>
        <v>#VALUE!</v>
      </c>
      <c r="HS65" t="e">
        <f>AND(Plan1!E1108,"AAAAAF973+I=")</f>
        <v>#VALUE!</v>
      </c>
      <c r="HT65" t="e">
        <f>AND(Plan1!F1108,"AAAAAF973+M=")</f>
        <v>#VALUE!</v>
      </c>
      <c r="HU65" t="e">
        <f>AND(Plan1!G1108,"AAAAAF973+Q=")</f>
        <v>#VALUE!</v>
      </c>
      <c r="HV65" t="e">
        <f>AND(Plan1!H1108,"AAAAAF973+U=")</f>
        <v>#VALUE!</v>
      </c>
      <c r="HW65" t="e">
        <f>AND(Plan1!I1108,"AAAAAF973+Y=")</f>
        <v>#VALUE!</v>
      </c>
      <c r="HX65" t="e">
        <f>AND(Plan1!J1108,"AAAAAF973+c=")</f>
        <v>#VALUE!</v>
      </c>
      <c r="HY65" t="e">
        <f>AND(Plan1!K1108,"AAAAAF973+g=")</f>
        <v>#VALUE!</v>
      </c>
      <c r="HZ65" t="e">
        <f>AND(Plan1!L1108,"AAAAAF973+k=")</f>
        <v>#VALUE!</v>
      </c>
      <c r="IA65" t="e">
        <f>AND(Plan1!M1108,"AAAAAF973+o=")</f>
        <v>#VALUE!</v>
      </c>
      <c r="IB65" t="e">
        <f>AND(Plan1!N1108,"AAAAAF973+s=")</f>
        <v>#VALUE!</v>
      </c>
      <c r="IC65">
        <f>IF(Plan1!1109:1109,"AAAAAF973+w=",0)</f>
        <v>0</v>
      </c>
      <c r="ID65" t="e">
        <f>AND(Plan1!A1109,"AAAAAF973+0=")</f>
        <v>#VALUE!</v>
      </c>
      <c r="IE65" t="e">
        <f>AND(Plan1!B1109,"AAAAAF973+4=")</f>
        <v>#VALUE!</v>
      </c>
      <c r="IF65" t="e">
        <f>AND(Plan1!C1109,"AAAAAF973+8=")</f>
        <v>#VALUE!</v>
      </c>
      <c r="IG65" t="e">
        <f>AND(Plan1!D1109,"AAAAAF973/A=")</f>
        <v>#VALUE!</v>
      </c>
      <c r="IH65" t="e">
        <f>AND(Plan1!E1109,"AAAAAF973/E=")</f>
        <v>#VALUE!</v>
      </c>
      <c r="II65" t="e">
        <f>AND(Plan1!F1109,"AAAAAF973/I=")</f>
        <v>#VALUE!</v>
      </c>
      <c r="IJ65" t="e">
        <f>AND(Plan1!G1109,"AAAAAF973/M=")</f>
        <v>#VALUE!</v>
      </c>
      <c r="IK65" t="e">
        <f>AND(Plan1!H1109,"AAAAAF973/Q=")</f>
        <v>#VALUE!</v>
      </c>
      <c r="IL65" t="e">
        <f>AND(Plan1!I1109,"AAAAAF973/U=")</f>
        <v>#VALUE!</v>
      </c>
      <c r="IM65" t="e">
        <f>AND(Plan1!J1109,"AAAAAF973/Y=")</f>
        <v>#VALUE!</v>
      </c>
      <c r="IN65" t="e">
        <f>AND(Plan1!K1109,"AAAAAF973/c=")</f>
        <v>#VALUE!</v>
      </c>
      <c r="IO65" t="e">
        <f>AND(Plan1!L1109,"AAAAAF973/g=")</f>
        <v>#VALUE!</v>
      </c>
      <c r="IP65" t="e">
        <f>AND(Plan1!M1109,"AAAAAF973/k=")</f>
        <v>#VALUE!</v>
      </c>
      <c r="IQ65" t="e">
        <f>AND(Plan1!N1109,"AAAAAF973/o=")</f>
        <v>#VALUE!</v>
      </c>
      <c r="IR65">
        <f>IF(Plan1!1110:1110,"AAAAAF973/s=",0)</f>
        <v>0</v>
      </c>
      <c r="IS65" t="e">
        <f>AND(Plan1!A1110,"AAAAAF973/w=")</f>
        <v>#VALUE!</v>
      </c>
      <c r="IT65" t="e">
        <f>AND(Plan1!B1110,"AAAAAF973/0=")</f>
        <v>#VALUE!</v>
      </c>
      <c r="IU65" t="e">
        <f>AND(Plan1!C1110,"AAAAAF973/4=")</f>
        <v>#VALUE!</v>
      </c>
      <c r="IV65" t="e">
        <f>AND(Plan1!D1110,"AAAAAF973/8=")</f>
        <v>#VALUE!</v>
      </c>
    </row>
    <row r="66" spans="1:256">
      <c r="A66" t="e">
        <f>AND(Plan1!E1110,"AAAAAH/v+wA=")</f>
        <v>#VALUE!</v>
      </c>
      <c r="B66" t="e">
        <f>AND(Plan1!F1110,"AAAAAH/v+wE=")</f>
        <v>#VALUE!</v>
      </c>
      <c r="C66" t="e">
        <f>AND(Plan1!G1110,"AAAAAH/v+wI=")</f>
        <v>#VALUE!</v>
      </c>
      <c r="D66" t="e">
        <f>AND(Plan1!H1110,"AAAAAH/v+wM=")</f>
        <v>#VALUE!</v>
      </c>
      <c r="E66" t="e">
        <f>AND(Plan1!I1110,"AAAAAH/v+wQ=")</f>
        <v>#VALUE!</v>
      </c>
      <c r="F66" t="e">
        <f>AND(Plan1!J1110,"AAAAAH/v+wU=")</f>
        <v>#VALUE!</v>
      </c>
      <c r="G66" t="e">
        <f>AND(Plan1!K1110,"AAAAAH/v+wY=")</f>
        <v>#VALUE!</v>
      </c>
      <c r="H66" t="e">
        <f>AND(Plan1!L1110,"AAAAAH/v+wc=")</f>
        <v>#VALUE!</v>
      </c>
      <c r="I66" t="e">
        <f>AND(Plan1!M1110,"AAAAAH/v+wg=")</f>
        <v>#VALUE!</v>
      </c>
      <c r="J66" t="e">
        <f>AND(Plan1!N1110,"AAAAAH/v+wk=")</f>
        <v>#VALUE!</v>
      </c>
      <c r="K66" t="str">
        <f>IF(Plan1!1111:1111,"AAAAAH/v+wo=",0)</f>
        <v>AAAAAH/v+wo=</v>
      </c>
      <c r="L66" t="e">
        <f>AND(Plan1!A1111,"AAAAAH/v+ws=")</f>
        <v>#VALUE!</v>
      </c>
      <c r="M66" t="e">
        <f>AND(Plan1!B1111,"AAAAAH/v+ww=")</f>
        <v>#VALUE!</v>
      </c>
      <c r="N66" t="e">
        <f>AND(Plan1!C1111,"AAAAAH/v+w0=")</f>
        <v>#VALUE!</v>
      </c>
      <c r="O66" t="e">
        <f>AND(Plan1!D1111,"AAAAAH/v+w4=")</f>
        <v>#VALUE!</v>
      </c>
      <c r="P66" t="e">
        <f>AND(Plan1!E1111,"AAAAAH/v+w8=")</f>
        <v>#VALUE!</v>
      </c>
      <c r="Q66" t="e">
        <f>AND(Plan1!F1111,"AAAAAH/v+xA=")</f>
        <v>#VALUE!</v>
      </c>
      <c r="R66" t="e">
        <f>AND(Plan1!G1111,"AAAAAH/v+xE=")</f>
        <v>#VALUE!</v>
      </c>
      <c r="S66" t="e">
        <f>AND(Plan1!H1111,"AAAAAH/v+xI=")</f>
        <v>#VALUE!</v>
      </c>
      <c r="T66" t="e">
        <f>AND(Plan1!I1111,"AAAAAH/v+xM=")</f>
        <v>#VALUE!</v>
      </c>
      <c r="U66" t="e">
        <f>AND(Plan1!J1111,"AAAAAH/v+xQ=")</f>
        <v>#VALUE!</v>
      </c>
      <c r="V66" t="e">
        <f>AND(Plan1!K1111,"AAAAAH/v+xU=")</f>
        <v>#VALUE!</v>
      </c>
      <c r="W66" t="e">
        <f>AND(Plan1!L1111,"AAAAAH/v+xY=")</f>
        <v>#VALUE!</v>
      </c>
      <c r="X66" t="e">
        <f>AND(Plan1!M1111,"AAAAAH/v+xc=")</f>
        <v>#VALUE!</v>
      </c>
      <c r="Y66" t="e">
        <f>AND(Plan1!N1111,"AAAAAH/v+xg=")</f>
        <v>#VALUE!</v>
      </c>
      <c r="Z66">
        <f>IF(Plan1!1112:1112,"AAAAAH/v+xk=",0)</f>
        <v>0</v>
      </c>
      <c r="AA66" t="e">
        <f>AND(Plan1!A1112,"AAAAAH/v+xo=")</f>
        <v>#VALUE!</v>
      </c>
      <c r="AB66" t="e">
        <f>AND(Plan1!B1112,"AAAAAH/v+xs=")</f>
        <v>#VALUE!</v>
      </c>
      <c r="AC66" t="e">
        <f>AND(Plan1!C1112,"AAAAAH/v+xw=")</f>
        <v>#VALUE!</v>
      </c>
      <c r="AD66" t="e">
        <f>AND(Plan1!D1112,"AAAAAH/v+x0=")</f>
        <v>#VALUE!</v>
      </c>
      <c r="AE66" t="e">
        <f>AND(Plan1!E1112,"AAAAAH/v+x4=")</f>
        <v>#VALUE!</v>
      </c>
      <c r="AF66" t="e">
        <f>AND(Plan1!F1112,"AAAAAH/v+x8=")</f>
        <v>#VALUE!</v>
      </c>
      <c r="AG66" t="e">
        <f>AND(Plan1!G1112,"AAAAAH/v+yA=")</f>
        <v>#VALUE!</v>
      </c>
      <c r="AH66" t="e">
        <f>AND(Plan1!H1112,"AAAAAH/v+yE=")</f>
        <v>#VALUE!</v>
      </c>
      <c r="AI66" t="e">
        <f>AND(Plan1!I1112,"AAAAAH/v+yI=")</f>
        <v>#VALUE!</v>
      </c>
      <c r="AJ66" t="e">
        <f>AND(Plan1!J1112,"AAAAAH/v+yM=")</f>
        <v>#VALUE!</v>
      </c>
      <c r="AK66" t="e">
        <f>AND(Plan1!K1112,"AAAAAH/v+yQ=")</f>
        <v>#VALUE!</v>
      </c>
      <c r="AL66" t="e">
        <f>AND(Plan1!L1112,"AAAAAH/v+yU=")</f>
        <v>#VALUE!</v>
      </c>
      <c r="AM66" t="e">
        <f>AND(Plan1!M1112,"AAAAAH/v+yY=")</f>
        <v>#VALUE!</v>
      </c>
      <c r="AN66" t="e">
        <f>AND(Plan1!N1112,"AAAAAH/v+yc=")</f>
        <v>#VALUE!</v>
      </c>
      <c r="AO66">
        <f>IF(Plan1!1113:1113,"AAAAAH/v+yg=",0)</f>
        <v>0</v>
      </c>
      <c r="AP66" t="e">
        <f>AND(Plan1!A1113,"AAAAAH/v+yk=")</f>
        <v>#VALUE!</v>
      </c>
      <c r="AQ66" t="e">
        <f>AND(Plan1!B1113,"AAAAAH/v+yo=")</f>
        <v>#VALUE!</v>
      </c>
      <c r="AR66" t="e">
        <f>AND(Plan1!C1113,"AAAAAH/v+ys=")</f>
        <v>#VALUE!</v>
      </c>
      <c r="AS66" t="e">
        <f>AND(Plan1!D1113,"AAAAAH/v+yw=")</f>
        <v>#VALUE!</v>
      </c>
      <c r="AT66" t="e">
        <f>AND(Plan1!E1113,"AAAAAH/v+y0=")</f>
        <v>#VALUE!</v>
      </c>
      <c r="AU66" t="e">
        <f>AND(Plan1!F1113,"AAAAAH/v+y4=")</f>
        <v>#VALUE!</v>
      </c>
      <c r="AV66" t="e">
        <f>AND(Plan1!G1113,"AAAAAH/v+y8=")</f>
        <v>#VALUE!</v>
      </c>
      <c r="AW66" t="e">
        <f>AND(Plan1!H1113,"AAAAAH/v+zA=")</f>
        <v>#VALUE!</v>
      </c>
      <c r="AX66" t="e">
        <f>AND(Plan1!I1113,"AAAAAH/v+zE=")</f>
        <v>#VALUE!</v>
      </c>
      <c r="AY66" t="e">
        <f>AND(Plan1!J1113,"AAAAAH/v+zI=")</f>
        <v>#VALUE!</v>
      </c>
      <c r="AZ66" t="e">
        <f>AND(Plan1!K1113,"AAAAAH/v+zM=")</f>
        <v>#VALUE!</v>
      </c>
      <c r="BA66" t="e">
        <f>AND(Plan1!L1113,"AAAAAH/v+zQ=")</f>
        <v>#VALUE!</v>
      </c>
      <c r="BB66" t="e">
        <f>AND(Plan1!M1113,"AAAAAH/v+zU=")</f>
        <v>#VALUE!</v>
      </c>
      <c r="BC66" t="e">
        <f>AND(Plan1!N1113,"AAAAAH/v+zY=")</f>
        <v>#VALUE!</v>
      </c>
      <c r="BD66">
        <f>IF(Plan1!1114:1114,"AAAAAH/v+zc=",0)</f>
        <v>0</v>
      </c>
      <c r="BE66" t="e">
        <f>AND(Plan1!A1114,"AAAAAH/v+zg=")</f>
        <v>#VALUE!</v>
      </c>
      <c r="BF66" t="e">
        <f>AND(Plan1!B1114,"AAAAAH/v+zk=")</f>
        <v>#VALUE!</v>
      </c>
      <c r="BG66" t="e">
        <f>AND(Plan1!C1114,"AAAAAH/v+zo=")</f>
        <v>#VALUE!</v>
      </c>
      <c r="BH66" t="e">
        <f>AND(Plan1!D1114,"AAAAAH/v+zs=")</f>
        <v>#VALUE!</v>
      </c>
      <c r="BI66" t="e">
        <f>AND(Plan1!E1114,"AAAAAH/v+zw=")</f>
        <v>#VALUE!</v>
      </c>
      <c r="BJ66" t="e">
        <f>AND(Plan1!F1114,"AAAAAH/v+z0=")</f>
        <v>#VALUE!</v>
      </c>
      <c r="BK66" t="e">
        <f>AND(Plan1!G1114,"AAAAAH/v+z4=")</f>
        <v>#VALUE!</v>
      </c>
      <c r="BL66" t="e">
        <f>AND(Plan1!H1114,"AAAAAH/v+z8=")</f>
        <v>#VALUE!</v>
      </c>
      <c r="BM66" t="e">
        <f>AND(Plan1!I1114,"AAAAAH/v+0A=")</f>
        <v>#VALUE!</v>
      </c>
      <c r="BN66" t="e">
        <f>AND(Plan1!J1114,"AAAAAH/v+0E=")</f>
        <v>#VALUE!</v>
      </c>
      <c r="BO66" t="e">
        <f>AND(Plan1!K1114,"AAAAAH/v+0I=")</f>
        <v>#VALUE!</v>
      </c>
      <c r="BP66" t="e">
        <f>AND(Plan1!L1114,"AAAAAH/v+0M=")</f>
        <v>#VALUE!</v>
      </c>
      <c r="BQ66" t="e">
        <f>AND(Plan1!M1114,"AAAAAH/v+0Q=")</f>
        <v>#VALUE!</v>
      </c>
      <c r="BR66" t="e">
        <f>AND(Plan1!N1114,"AAAAAH/v+0U=")</f>
        <v>#VALUE!</v>
      </c>
      <c r="BS66">
        <f>IF(Plan1!1115:1115,"AAAAAH/v+0Y=",0)</f>
        <v>0</v>
      </c>
      <c r="BT66" t="e">
        <f>AND(Plan1!A1115,"AAAAAH/v+0c=")</f>
        <v>#VALUE!</v>
      </c>
      <c r="BU66" t="e">
        <f>AND(Plan1!B1115,"AAAAAH/v+0g=")</f>
        <v>#VALUE!</v>
      </c>
      <c r="BV66" t="e">
        <f>AND(Plan1!C1115,"AAAAAH/v+0k=")</f>
        <v>#VALUE!</v>
      </c>
      <c r="BW66" t="e">
        <f>AND(Plan1!D1115,"AAAAAH/v+0o=")</f>
        <v>#VALUE!</v>
      </c>
      <c r="BX66" t="e">
        <f>AND(Plan1!E1115,"AAAAAH/v+0s=")</f>
        <v>#VALUE!</v>
      </c>
      <c r="BY66" t="e">
        <f>AND(Plan1!F1115,"AAAAAH/v+0w=")</f>
        <v>#VALUE!</v>
      </c>
      <c r="BZ66" t="e">
        <f>AND(Plan1!G1115,"AAAAAH/v+00=")</f>
        <v>#VALUE!</v>
      </c>
      <c r="CA66" t="e">
        <f>AND(Plan1!H1115,"AAAAAH/v+04=")</f>
        <v>#VALUE!</v>
      </c>
      <c r="CB66" t="e">
        <f>AND(Plan1!I1115,"AAAAAH/v+08=")</f>
        <v>#VALUE!</v>
      </c>
      <c r="CC66" t="e">
        <f>AND(Plan1!J1115,"AAAAAH/v+1A=")</f>
        <v>#VALUE!</v>
      </c>
      <c r="CD66" t="e">
        <f>AND(Plan1!K1115,"AAAAAH/v+1E=")</f>
        <v>#VALUE!</v>
      </c>
      <c r="CE66" t="e">
        <f>AND(Plan1!L1115,"AAAAAH/v+1I=")</f>
        <v>#VALUE!</v>
      </c>
      <c r="CF66" t="e">
        <f>AND(Plan1!M1115,"AAAAAH/v+1M=")</f>
        <v>#VALUE!</v>
      </c>
      <c r="CG66" t="e">
        <f>AND(Plan1!N1115,"AAAAAH/v+1Q=")</f>
        <v>#VALUE!</v>
      </c>
      <c r="CH66">
        <f>IF(Plan1!1116:1116,"AAAAAH/v+1U=",0)</f>
        <v>0</v>
      </c>
      <c r="CI66" t="e">
        <f>AND(Plan1!A1116,"AAAAAH/v+1Y=")</f>
        <v>#VALUE!</v>
      </c>
      <c r="CJ66" t="e">
        <f>AND(Plan1!B1116,"AAAAAH/v+1c=")</f>
        <v>#VALUE!</v>
      </c>
      <c r="CK66" t="e">
        <f>AND(Plan1!C1116,"AAAAAH/v+1g=")</f>
        <v>#VALUE!</v>
      </c>
      <c r="CL66" t="e">
        <f>AND(Plan1!D1116,"AAAAAH/v+1k=")</f>
        <v>#VALUE!</v>
      </c>
      <c r="CM66" t="e">
        <f>AND(Plan1!E1116,"AAAAAH/v+1o=")</f>
        <v>#VALUE!</v>
      </c>
      <c r="CN66" t="e">
        <f>AND(Plan1!F1116,"AAAAAH/v+1s=")</f>
        <v>#VALUE!</v>
      </c>
      <c r="CO66" t="e">
        <f>AND(Plan1!G1116,"AAAAAH/v+1w=")</f>
        <v>#VALUE!</v>
      </c>
      <c r="CP66" t="e">
        <f>AND(Plan1!H1116,"AAAAAH/v+10=")</f>
        <v>#VALUE!</v>
      </c>
      <c r="CQ66" t="e">
        <f>AND(Plan1!I1116,"AAAAAH/v+14=")</f>
        <v>#VALUE!</v>
      </c>
      <c r="CR66" t="e">
        <f>AND(Plan1!J1116,"AAAAAH/v+18=")</f>
        <v>#VALUE!</v>
      </c>
      <c r="CS66" t="e">
        <f>AND(Plan1!K1116,"AAAAAH/v+2A=")</f>
        <v>#VALUE!</v>
      </c>
      <c r="CT66" t="e">
        <f>AND(Plan1!L1116,"AAAAAH/v+2E=")</f>
        <v>#VALUE!</v>
      </c>
      <c r="CU66" t="e">
        <f>AND(Plan1!M1116,"AAAAAH/v+2I=")</f>
        <v>#VALUE!</v>
      </c>
      <c r="CV66" t="e">
        <f>AND(Plan1!N1116,"AAAAAH/v+2M=")</f>
        <v>#VALUE!</v>
      </c>
      <c r="CW66">
        <f>IF(Plan1!1117:1117,"AAAAAH/v+2Q=",0)</f>
        <v>0</v>
      </c>
      <c r="CX66" t="e">
        <f>AND(Plan1!A1117,"AAAAAH/v+2U=")</f>
        <v>#VALUE!</v>
      </c>
      <c r="CY66" t="e">
        <f>AND(Plan1!B1117,"AAAAAH/v+2Y=")</f>
        <v>#VALUE!</v>
      </c>
      <c r="CZ66" t="e">
        <f>AND(Plan1!C1117,"AAAAAH/v+2c=")</f>
        <v>#VALUE!</v>
      </c>
      <c r="DA66" t="e">
        <f>AND(Plan1!D1117,"AAAAAH/v+2g=")</f>
        <v>#VALUE!</v>
      </c>
      <c r="DB66" t="e">
        <f>AND(Plan1!E1117,"AAAAAH/v+2k=")</f>
        <v>#VALUE!</v>
      </c>
      <c r="DC66" t="e">
        <f>AND(Plan1!F1117,"AAAAAH/v+2o=")</f>
        <v>#VALUE!</v>
      </c>
      <c r="DD66" t="e">
        <f>AND(Plan1!G1117,"AAAAAH/v+2s=")</f>
        <v>#VALUE!</v>
      </c>
      <c r="DE66" t="e">
        <f>AND(Plan1!H1117,"AAAAAH/v+2w=")</f>
        <v>#VALUE!</v>
      </c>
      <c r="DF66" t="e">
        <f>AND(Plan1!I1117,"AAAAAH/v+20=")</f>
        <v>#VALUE!</v>
      </c>
      <c r="DG66" t="e">
        <f>AND(Plan1!J1117,"AAAAAH/v+24=")</f>
        <v>#VALUE!</v>
      </c>
      <c r="DH66" t="e">
        <f>AND(Plan1!K1117,"AAAAAH/v+28=")</f>
        <v>#VALUE!</v>
      </c>
      <c r="DI66" t="e">
        <f>AND(Plan1!L1117,"AAAAAH/v+3A=")</f>
        <v>#VALUE!</v>
      </c>
      <c r="DJ66" t="e">
        <f>AND(Plan1!M1117,"AAAAAH/v+3E=")</f>
        <v>#VALUE!</v>
      </c>
      <c r="DK66" t="e">
        <f>AND(Plan1!N1117,"AAAAAH/v+3I=")</f>
        <v>#VALUE!</v>
      </c>
      <c r="DL66">
        <f>IF(Plan1!1118:1118,"AAAAAH/v+3M=",0)</f>
        <v>0</v>
      </c>
      <c r="DM66" t="e">
        <f>AND(Plan1!A1118,"AAAAAH/v+3Q=")</f>
        <v>#VALUE!</v>
      </c>
      <c r="DN66" t="e">
        <f>AND(Plan1!B1118,"AAAAAH/v+3U=")</f>
        <v>#VALUE!</v>
      </c>
      <c r="DO66" t="e">
        <f>AND(Plan1!C1118,"AAAAAH/v+3Y=")</f>
        <v>#VALUE!</v>
      </c>
      <c r="DP66" t="e">
        <f>AND(Plan1!D1118,"AAAAAH/v+3c=")</f>
        <v>#VALUE!</v>
      </c>
      <c r="DQ66" t="e">
        <f>AND(Plan1!E1118,"AAAAAH/v+3g=")</f>
        <v>#VALUE!</v>
      </c>
      <c r="DR66" t="e">
        <f>AND(Plan1!F1118,"AAAAAH/v+3k=")</f>
        <v>#VALUE!</v>
      </c>
      <c r="DS66" t="e">
        <f>AND(Plan1!G1118,"AAAAAH/v+3o=")</f>
        <v>#VALUE!</v>
      </c>
      <c r="DT66" t="e">
        <f>AND(Plan1!H1118,"AAAAAH/v+3s=")</f>
        <v>#VALUE!</v>
      </c>
      <c r="DU66" t="e">
        <f>AND(Plan1!I1118,"AAAAAH/v+3w=")</f>
        <v>#VALUE!</v>
      </c>
      <c r="DV66" t="e">
        <f>AND(Plan1!J1118,"AAAAAH/v+30=")</f>
        <v>#VALUE!</v>
      </c>
      <c r="DW66" t="e">
        <f>AND(Plan1!K1118,"AAAAAH/v+34=")</f>
        <v>#VALUE!</v>
      </c>
      <c r="DX66" t="e">
        <f>AND(Plan1!L1118,"AAAAAH/v+38=")</f>
        <v>#VALUE!</v>
      </c>
      <c r="DY66" t="e">
        <f>AND(Plan1!M1118,"AAAAAH/v+4A=")</f>
        <v>#VALUE!</v>
      </c>
      <c r="DZ66" t="e">
        <f>AND(Plan1!N1118,"AAAAAH/v+4E=")</f>
        <v>#VALUE!</v>
      </c>
      <c r="EA66">
        <f>IF(Plan1!1119:1119,"AAAAAH/v+4I=",0)</f>
        <v>0</v>
      </c>
      <c r="EB66" t="e">
        <f>AND(Plan1!A1119,"AAAAAH/v+4M=")</f>
        <v>#VALUE!</v>
      </c>
      <c r="EC66" t="e">
        <f>AND(Plan1!B1119,"AAAAAH/v+4Q=")</f>
        <v>#VALUE!</v>
      </c>
      <c r="ED66" t="e">
        <f>AND(Plan1!C1119,"AAAAAH/v+4U=")</f>
        <v>#VALUE!</v>
      </c>
      <c r="EE66" t="e">
        <f>AND(Plan1!D1119,"AAAAAH/v+4Y=")</f>
        <v>#VALUE!</v>
      </c>
      <c r="EF66" t="e">
        <f>AND(Plan1!E1119,"AAAAAH/v+4c=")</f>
        <v>#VALUE!</v>
      </c>
      <c r="EG66" t="e">
        <f>AND(Plan1!F1119,"AAAAAH/v+4g=")</f>
        <v>#VALUE!</v>
      </c>
      <c r="EH66" t="e">
        <f>AND(Plan1!G1119,"AAAAAH/v+4k=")</f>
        <v>#VALUE!</v>
      </c>
      <c r="EI66" t="e">
        <f>AND(Plan1!H1119,"AAAAAH/v+4o=")</f>
        <v>#VALUE!</v>
      </c>
      <c r="EJ66" t="e">
        <f>AND(Plan1!I1119,"AAAAAH/v+4s=")</f>
        <v>#VALUE!</v>
      </c>
      <c r="EK66" t="e">
        <f>AND(Plan1!J1119,"AAAAAH/v+4w=")</f>
        <v>#VALUE!</v>
      </c>
      <c r="EL66" t="e">
        <f>AND(Plan1!K1119,"AAAAAH/v+40=")</f>
        <v>#VALUE!</v>
      </c>
      <c r="EM66" t="e">
        <f>AND(Plan1!L1119,"AAAAAH/v+44=")</f>
        <v>#VALUE!</v>
      </c>
      <c r="EN66" t="e">
        <f>AND(Plan1!M1119,"AAAAAH/v+48=")</f>
        <v>#VALUE!</v>
      </c>
      <c r="EO66" t="e">
        <f>AND(Plan1!N1119,"AAAAAH/v+5A=")</f>
        <v>#VALUE!</v>
      </c>
      <c r="EP66">
        <f>IF(Plan1!1120:1120,"AAAAAH/v+5E=",0)</f>
        <v>0</v>
      </c>
      <c r="EQ66" t="e">
        <f>AND(Plan1!A1120,"AAAAAH/v+5I=")</f>
        <v>#VALUE!</v>
      </c>
      <c r="ER66" t="e">
        <f>AND(Plan1!B1120,"AAAAAH/v+5M=")</f>
        <v>#VALUE!</v>
      </c>
      <c r="ES66" t="e">
        <f>AND(Plan1!C1120,"AAAAAH/v+5Q=")</f>
        <v>#VALUE!</v>
      </c>
      <c r="ET66" t="e">
        <f>AND(Plan1!D1120,"AAAAAH/v+5U=")</f>
        <v>#VALUE!</v>
      </c>
      <c r="EU66" t="e">
        <f>AND(Plan1!E1120,"AAAAAH/v+5Y=")</f>
        <v>#VALUE!</v>
      </c>
      <c r="EV66" t="e">
        <f>AND(Plan1!F1120,"AAAAAH/v+5c=")</f>
        <v>#VALUE!</v>
      </c>
      <c r="EW66" t="e">
        <f>AND(Plan1!G1120,"AAAAAH/v+5g=")</f>
        <v>#VALUE!</v>
      </c>
      <c r="EX66" t="e">
        <f>AND(Plan1!H1120,"AAAAAH/v+5k=")</f>
        <v>#VALUE!</v>
      </c>
      <c r="EY66" t="e">
        <f>AND(Plan1!I1120,"AAAAAH/v+5o=")</f>
        <v>#VALUE!</v>
      </c>
      <c r="EZ66" t="e">
        <f>AND(Plan1!J1120,"AAAAAH/v+5s=")</f>
        <v>#VALUE!</v>
      </c>
      <c r="FA66" t="e">
        <f>AND(Plan1!K1120,"AAAAAH/v+5w=")</f>
        <v>#VALUE!</v>
      </c>
      <c r="FB66" t="e">
        <f>AND(Plan1!L1120,"AAAAAH/v+50=")</f>
        <v>#VALUE!</v>
      </c>
      <c r="FC66" t="e">
        <f>AND(Plan1!M1120,"AAAAAH/v+54=")</f>
        <v>#VALUE!</v>
      </c>
      <c r="FD66" t="e">
        <f>AND(Plan1!N1120,"AAAAAH/v+58=")</f>
        <v>#VALUE!</v>
      </c>
      <c r="FE66">
        <f>IF(Plan1!1121:1121,"AAAAAH/v+6A=",0)</f>
        <v>0</v>
      </c>
      <c r="FF66" t="e">
        <f>AND(Plan1!A1121,"AAAAAH/v+6E=")</f>
        <v>#VALUE!</v>
      </c>
      <c r="FG66" t="e">
        <f>AND(Plan1!B1121,"AAAAAH/v+6I=")</f>
        <v>#VALUE!</v>
      </c>
      <c r="FH66" t="e">
        <f>AND(Plan1!C1121,"AAAAAH/v+6M=")</f>
        <v>#VALUE!</v>
      </c>
      <c r="FI66" t="e">
        <f>AND(Plan1!D1121,"AAAAAH/v+6Q=")</f>
        <v>#VALUE!</v>
      </c>
      <c r="FJ66" t="e">
        <f>AND(Plan1!E1121,"AAAAAH/v+6U=")</f>
        <v>#VALUE!</v>
      </c>
      <c r="FK66" t="e">
        <f>AND(Plan1!F1121,"AAAAAH/v+6Y=")</f>
        <v>#VALUE!</v>
      </c>
      <c r="FL66" t="e">
        <f>AND(Plan1!G1121,"AAAAAH/v+6c=")</f>
        <v>#VALUE!</v>
      </c>
      <c r="FM66" t="e">
        <f>AND(Plan1!H1121,"AAAAAH/v+6g=")</f>
        <v>#VALUE!</v>
      </c>
      <c r="FN66" t="e">
        <f>AND(Plan1!I1121,"AAAAAH/v+6k=")</f>
        <v>#VALUE!</v>
      </c>
      <c r="FO66" t="e">
        <f>AND(Plan1!J1121,"AAAAAH/v+6o=")</f>
        <v>#VALUE!</v>
      </c>
      <c r="FP66" t="e">
        <f>AND(Plan1!K1121,"AAAAAH/v+6s=")</f>
        <v>#VALUE!</v>
      </c>
      <c r="FQ66" t="e">
        <f>AND(Plan1!L1121,"AAAAAH/v+6w=")</f>
        <v>#VALUE!</v>
      </c>
      <c r="FR66" t="e">
        <f>AND(Plan1!M1121,"AAAAAH/v+60=")</f>
        <v>#VALUE!</v>
      </c>
      <c r="FS66" t="e">
        <f>AND(Plan1!N1121,"AAAAAH/v+64=")</f>
        <v>#VALUE!</v>
      </c>
      <c r="FT66">
        <f>IF(Plan1!1122:1122,"AAAAAH/v+68=",0)</f>
        <v>0</v>
      </c>
      <c r="FU66" t="e">
        <f>AND(Plan1!A1122,"AAAAAH/v+7A=")</f>
        <v>#VALUE!</v>
      </c>
      <c r="FV66" t="e">
        <f>AND(Plan1!B1122,"AAAAAH/v+7E=")</f>
        <v>#VALUE!</v>
      </c>
      <c r="FW66" t="e">
        <f>AND(Plan1!C1122,"AAAAAH/v+7I=")</f>
        <v>#VALUE!</v>
      </c>
      <c r="FX66" t="e">
        <f>AND(Plan1!D1122,"AAAAAH/v+7M=")</f>
        <v>#VALUE!</v>
      </c>
      <c r="FY66" t="e">
        <f>AND(Plan1!E1122,"AAAAAH/v+7Q=")</f>
        <v>#VALUE!</v>
      </c>
      <c r="FZ66" t="e">
        <f>AND(Plan1!F1122,"AAAAAH/v+7U=")</f>
        <v>#VALUE!</v>
      </c>
      <c r="GA66" t="e">
        <f>AND(Plan1!G1122,"AAAAAH/v+7Y=")</f>
        <v>#VALUE!</v>
      </c>
      <c r="GB66" t="e">
        <f>AND(Plan1!H1122,"AAAAAH/v+7c=")</f>
        <v>#VALUE!</v>
      </c>
      <c r="GC66" t="e">
        <f>AND(Plan1!I1122,"AAAAAH/v+7g=")</f>
        <v>#VALUE!</v>
      </c>
      <c r="GD66" t="e">
        <f>AND(Plan1!J1122,"AAAAAH/v+7k=")</f>
        <v>#VALUE!</v>
      </c>
      <c r="GE66" t="e">
        <f>AND(Plan1!K1122,"AAAAAH/v+7o=")</f>
        <v>#VALUE!</v>
      </c>
      <c r="GF66" t="e">
        <f>AND(Plan1!L1122,"AAAAAH/v+7s=")</f>
        <v>#VALUE!</v>
      </c>
      <c r="GG66" t="e">
        <f>AND(Plan1!M1122,"AAAAAH/v+7w=")</f>
        <v>#VALUE!</v>
      </c>
      <c r="GH66" t="e">
        <f>AND(Plan1!N1122,"AAAAAH/v+70=")</f>
        <v>#VALUE!</v>
      </c>
      <c r="GI66">
        <f>IF(Plan1!1123:1123,"AAAAAH/v+74=",0)</f>
        <v>0</v>
      </c>
      <c r="GJ66" t="e">
        <f>AND(Plan1!A1123,"AAAAAH/v+78=")</f>
        <v>#VALUE!</v>
      </c>
      <c r="GK66" t="e">
        <f>AND(Plan1!B1123,"AAAAAH/v+8A=")</f>
        <v>#VALUE!</v>
      </c>
      <c r="GL66" t="e">
        <f>AND(Plan1!C1123,"AAAAAH/v+8E=")</f>
        <v>#VALUE!</v>
      </c>
      <c r="GM66" t="e">
        <f>AND(Plan1!D1123,"AAAAAH/v+8I=")</f>
        <v>#VALUE!</v>
      </c>
      <c r="GN66" t="e">
        <f>AND(Plan1!E1123,"AAAAAH/v+8M=")</f>
        <v>#VALUE!</v>
      </c>
      <c r="GO66" t="e">
        <f>AND(Plan1!F1123,"AAAAAH/v+8Q=")</f>
        <v>#VALUE!</v>
      </c>
      <c r="GP66" t="e">
        <f>AND(Plan1!G1123,"AAAAAH/v+8U=")</f>
        <v>#VALUE!</v>
      </c>
      <c r="GQ66" t="e">
        <f>AND(Plan1!H1123,"AAAAAH/v+8Y=")</f>
        <v>#VALUE!</v>
      </c>
      <c r="GR66" t="e">
        <f>AND(Plan1!I1123,"AAAAAH/v+8c=")</f>
        <v>#VALUE!</v>
      </c>
      <c r="GS66" t="e">
        <f>AND(Plan1!J1123,"AAAAAH/v+8g=")</f>
        <v>#VALUE!</v>
      </c>
      <c r="GT66" t="e">
        <f>AND(Plan1!K1123,"AAAAAH/v+8k=")</f>
        <v>#VALUE!</v>
      </c>
      <c r="GU66" t="e">
        <f>AND(Plan1!L1123,"AAAAAH/v+8o=")</f>
        <v>#VALUE!</v>
      </c>
      <c r="GV66" t="e">
        <f>AND(Plan1!M1123,"AAAAAH/v+8s=")</f>
        <v>#VALUE!</v>
      </c>
      <c r="GW66" t="e">
        <f>AND(Plan1!N1123,"AAAAAH/v+8w=")</f>
        <v>#VALUE!</v>
      </c>
      <c r="GX66">
        <f>IF(Plan1!1124:1124,"AAAAAH/v+80=",0)</f>
        <v>0</v>
      </c>
      <c r="GY66" t="e">
        <f>AND(Plan1!A1124,"AAAAAH/v+84=")</f>
        <v>#VALUE!</v>
      </c>
      <c r="GZ66" t="e">
        <f>AND(Plan1!B1124,"AAAAAH/v+88=")</f>
        <v>#VALUE!</v>
      </c>
      <c r="HA66" t="e">
        <f>AND(Plan1!C1124,"AAAAAH/v+9A=")</f>
        <v>#VALUE!</v>
      </c>
      <c r="HB66" t="e">
        <f>AND(Plan1!D1124,"AAAAAH/v+9E=")</f>
        <v>#VALUE!</v>
      </c>
      <c r="HC66" t="e">
        <f>AND(Plan1!E1124,"AAAAAH/v+9I=")</f>
        <v>#VALUE!</v>
      </c>
      <c r="HD66" t="e">
        <f>AND(Plan1!F1124,"AAAAAH/v+9M=")</f>
        <v>#VALUE!</v>
      </c>
      <c r="HE66" t="e">
        <f>AND(Plan1!G1124,"AAAAAH/v+9Q=")</f>
        <v>#VALUE!</v>
      </c>
      <c r="HF66" t="e">
        <f>AND(Plan1!H1124,"AAAAAH/v+9U=")</f>
        <v>#VALUE!</v>
      </c>
      <c r="HG66" t="e">
        <f>AND(Plan1!I1124,"AAAAAH/v+9Y=")</f>
        <v>#VALUE!</v>
      </c>
      <c r="HH66" t="e">
        <f>AND(Plan1!J1124,"AAAAAH/v+9c=")</f>
        <v>#VALUE!</v>
      </c>
      <c r="HI66" t="e">
        <f>AND(Plan1!K1124,"AAAAAH/v+9g=")</f>
        <v>#VALUE!</v>
      </c>
      <c r="HJ66" t="e">
        <f>AND(Plan1!L1124,"AAAAAH/v+9k=")</f>
        <v>#VALUE!</v>
      </c>
      <c r="HK66" t="e">
        <f>AND(Plan1!M1124,"AAAAAH/v+9o=")</f>
        <v>#VALUE!</v>
      </c>
      <c r="HL66" t="e">
        <f>AND(Plan1!N1124,"AAAAAH/v+9s=")</f>
        <v>#VALUE!</v>
      </c>
      <c r="HM66">
        <f>IF(Plan1!1125:1125,"AAAAAH/v+9w=",0)</f>
        <v>0</v>
      </c>
      <c r="HN66" t="e">
        <f>AND(Plan1!A1125,"AAAAAH/v+90=")</f>
        <v>#VALUE!</v>
      </c>
      <c r="HO66" t="e">
        <f>AND(Plan1!B1125,"AAAAAH/v+94=")</f>
        <v>#VALUE!</v>
      </c>
      <c r="HP66" t="e">
        <f>AND(Plan1!C1125,"AAAAAH/v+98=")</f>
        <v>#VALUE!</v>
      </c>
      <c r="HQ66" t="e">
        <f>AND(Plan1!D1125,"AAAAAH/v++A=")</f>
        <v>#VALUE!</v>
      </c>
      <c r="HR66" t="e">
        <f>AND(Plan1!E1125,"AAAAAH/v++E=")</f>
        <v>#VALUE!</v>
      </c>
      <c r="HS66" t="e">
        <f>AND(Plan1!F1125,"AAAAAH/v++I=")</f>
        <v>#VALUE!</v>
      </c>
      <c r="HT66" t="e">
        <f>AND(Plan1!G1125,"AAAAAH/v++M=")</f>
        <v>#VALUE!</v>
      </c>
      <c r="HU66" t="e">
        <f>AND(Plan1!H1125,"AAAAAH/v++Q=")</f>
        <v>#VALUE!</v>
      </c>
      <c r="HV66" t="e">
        <f>AND(Plan1!I1125,"AAAAAH/v++U=")</f>
        <v>#VALUE!</v>
      </c>
      <c r="HW66" t="e">
        <f>AND(Plan1!J1125,"AAAAAH/v++Y=")</f>
        <v>#VALUE!</v>
      </c>
      <c r="HX66" t="e">
        <f>AND(Plan1!K1125,"AAAAAH/v++c=")</f>
        <v>#VALUE!</v>
      </c>
      <c r="HY66" t="e">
        <f>AND(Plan1!L1125,"AAAAAH/v++g=")</f>
        <v>#VALUE!</v>
      </c>
      <c r="HZ66" t="e">
        <f>AND(Plan1!M1125,"AAAAAH/v++k=")</f>
        <v>#VALUE!</v>
      </c>
      <c r="IA66" t="e">
        <f>AND(Plan1!N1125,"AAAAAH/v++o=")</f>
        <v>#VALUE!</v>
      </c>
      <c r="IB66">
        <f>IF(Plan1!1126:1126,"AAAAAH/v++s=",0)</f>
        <v>0</v>
      </c>
      <c r="IC66" t="e">
        <f>AND(Plan1!A1126,"AAAAAH/v++w=")</f>
        <v>#VALUE!</v>
      </c>
      <c r="ID66" t="e">
        <f>AND(Plan1!B1126,"AAAAAH/v++0=")</f>
        <v>#VALUE!</v>
      </c>
      <c r="IE66" t="e">
        <f>AND(Plan1!C1126,"AAAAAH/v++4=")</f>
        <v>#VALUE!</v>
      </c>
      <c r="IF66" t="e">
        <f>AND(Plan1!D1126,"AAAAAH/v++8=")</f>
        <v>#VALUE!</v>
      </c>
      <c r="IG66" t="e">
        <f>AND(Plan1!E1126,"AAAAAH/v+/A=")</f>
        <v>#VALUE!</v>
      </c>
      <c r="IH66" t="e">
        <f>AND(Plan1!F1126,"AAAAAH/v+/E=")</f>
        <v>#VALUE!</v>
      </c>
      <c r="II66" t="e">
        <f>AND(Plan1!G1126,"AAAAAH/v+/I=")</f>
        <v>#VALUE!</v>
      </c>
      <c r="IJ66" t="e">
        <f>AND(Plan1!H1126,"AAAAAH/v+/M=")</f>
        <v>#VALUE!</v>
      </c>
      <c r="IK66" t="e">
        <f>AND(Plan1!I1126,"AAAAAH/v+/Q=")</f>
        <v>#VALUE!</v>
      </c>
      <c r="IL66" t="e">
        <f>AND(Plan1!J1126,"AAAAAH/v+/U=")</f>
        <v>#VALUE!</v>
      </c>
      <c r="IM66" t="e">
        <f>AND(Plan1!K1126,"AAAAAH/v+/Y=")</f>
        <v>#VALUE!</v>
      </c>
      <c r="IN66" t="e">
        <f>AND(Plan1!L1126,"AAAAAH/v+/c=")</f>
        <v>#VALUE!</v>
      </c>
      <c r="IO66" t="e">
        <f>AND(Plan1!M1126,"AAAAAH/v+/g=")</f>
        <v>#VALUE!</v>
      </c>
      <c r="IP66" t="e">
        <f>AND(Plan1!N1126,"AAAAAH/v+/k=")</f>
        <v>#VALUE!</v>
      </c>
      <c r="IQ66">
        <f>IF(Plan1!1127:1127,"AAAAAH/v+/o=",0)</f>
        <v>0</v>
      </c>
      <c r="IR66" t="e">
        <f>AND(Plan1!A1127,"AAAAAH/v+/s=")</f>
        <v>#VALUE!</v>
      </c>
      <c r="IS66" t="e">
        <f>AND(Plan1!B1127,"AAAAAH/v+/w=")</f>
        <v>#VALUE!</v>
      </c>
      <c r="IT66" t="e">
        <f>AND(Plan1!C1127,"AAAAAH/v+/0=")</f>
        <v>#VALUE!</v>
      </c>
      <c r="IU66" t="e">
        <f>AND(Plan1!D1127,"AAAAAH/v+/4=")</f>
        <v>#VALUE!</v>
      </c>
      <c r="IV66" t="e">
        <f>AND(Plan1!E1127,"AAAAAH/v+/8=")</f>
        <v>#VALUE!</v>
      </c>
    </row>
    <row r="67" spans="1:256">
      <c r="A67" t="e">
        <f>AND(Plan1!F1127,"AAAAAG/+XwA=")</f>
        <v>#VALUE!</v>
      </c>
      <c r="B67" t="e">
        <f>AND(Plan1!G1127,"AAAAAG/+XwE=")</f>
        <v>#VALUE!</v>
      </c>
      <c r="C67" t="e">
        <f>AND(Plan1!H1127,"AAAAAG/+XwI=")</f>
        <v>#VALUE!</v>
      </c>
      <c r="D67" t="e">
        <f>AND(Plan1!I1127,"AAAAAG/+XwM=")</f>
        <v>#VALUE!</v>
      </c>
      <c r="E67" t="e">
        <f>AND(Plan1!J1127,"AAAAAG/+XwQ=")</f>
        <v>#VALUE!</v>
      </c>
      <c r="F67" t="e">
        <f>AND(Plan1!K1127,"AAAAAG/+XwU=")</f>
        <v>#VALUE!</v>
      </c>
      <c r="G67" t="e">
        <f>AND(Plan1!L1127,"AAAAAG/+XwY=")</f>
        <v>#VALUE!</v>
      </c>
      <c r="H67" t="e">
        <f>AND(Plan1!M1127,"AAAAAG/+Xwc=")</f>
        <v>#VALUE!</v>
      </c>
      <c r="I67" t="e">
        <f>AND(Plan1!N1127,"AAAAAG/+Xwg=")</f>
        <v>#VALUE!</v>
      </c>
      <c r="J67">
        <f>IF(Plan1!1128:1128,"AAAAAG/+Xwk=",0)</f>
        <v>0</v>
      </c>
      <c r="K67" t="e">
        <f>AND(Plan1!A1128,"AAAAAG/+Xwo=")</f>
        <v>#VALUE!</v>
      </c>
      <c r="L67" t="e">
        <f>AND(Plan1!B1128,"AAAAAG/+Xws=")</f>
        <v>#VALUE!</v>
      </c>
      <c r="M67" t="e">
        <f>AND(Plan1!C1128,"AAAAAG/+Xww=")</f>
        <v>#VALUE!</v>
      </c>
      <c r="N67" t="e">
        <f>AND(Plan1!D1128,"AAAAAG/+Xw0=")</f>
        <v>#VALUE!</v>
      </c>
      <c r="O67" t="e">
        <f>AND(Plan1!E1128,"AAAAAG/+Xw4=")</f>
        <v>#VALUE!</v>
      </c>
      <c r="P67" t="e">
        <f>AND(Plan1!F1128,"AAAAAG/+Xw8=")</f>
        <v>#VALUE!</v>
      </c>
      <c r="Q67" t="e">
        <f>AND(Plan1!G1128,"AAAAAG/+XxA=")</f>
        <v>#VALUE!</v>
      </c>
      <c r="R67" t="e">
        <f>AND(Plan1!H1128,"AAAAAG/+XxE=")</f>
        <v>#VALUE!</v>
      </c>
      <c r="S67" t="e">
        <f>AND(Plan1!I1128,"AAAAAG/+XxI=")</f>
        <v>#VALUE!</v>
      </c>
      <c r="T67" t="e">
        <f>AND(Plan1!J1128,"AAAAAG/+XxM=")</f>
        <v>#VALUE!</v>
      </c>
      <c r="U67" t="e">
        <f>AND(Plan1!K1128,"AAAAAG/+XxQ=")</f>
        <v>#VALUE!</v>
      </c>
      <c r="V67" t="e">
        <f>AND(Plan1!L1128,"AAAAAG/+XxU=")</f>
        <v>#VALUE!</v>
      </c>
      <c r="W67" t="e">
        <f>AND(Plan1!M1128,"AAAAAG/+XxY=")</f>
        <v>#VALUE!</v>
      </c>
      <c r="X67" t="e">
        <f>AND(Plan1!N1128,"AAAAAG/+Xxc=")</f>
        <v>#VALUE!</v>
      </c>
      <c r="Y67">
        <f>IF(Plan1!1129:1129,"AAAAAG/+Xxg=",0)</f>
        <v>0</v>
      </c>
      <c r="Z67" t="e">
        <f>AND(Plan1!A1129,"AAAAAG/+Xxk=")</f>
        <v>#VALUE!</v>
      </c>
      <c r="AA67" t="e">
        <f>AND(Plan1!B1129,"AAAAAG/+Xxo=")</f>
        <v>#VALUE!</v>
      </c>
      <c r="AB67" t="e">
        <f>AND(Plan1!C1129,"AAAAAG/+Xxs=")</f>
        <v>#VALUE!</v>
      </c>
      <c r="AC67" t="e">
        <f>AND(Plan1!D1129,"AAAAAG/+Xxw=")</f>
        <v>#VALUE!</v>
      </c>
      <c r="AD67" t="e">
        <f>AND(Plan1!E1129,"AAAAAG/+Xx0=")</f>
        <v>#VALUE!</v>
      </c>
      <c r="AE67" t="e">
        <f>AND(Plan1!F1129,"AAAAAG/+Xx4=")</f>
        <v>#VALUE!</v>
      </c>
      <c r="AF67" t="e">
        <f>AND(Plan1!G1129,"AAAAAG/+Xx8=")</f>
        <v>#VALUE!</v>
      </c>
      <c r="AG67" t="e">
        <f>AND(Plan1!H1129,"AAAAAG/+XyA=")</f>
        <v>#VALUE!</v>
      </c>
      <c r="AH67" t="e">
        <f>AND(Plan1!I1129,"AAAAAG/+XyE=")</f>
        <v>#VALUE!</v>
      </c>
      <c r="AI67" t="e">
        <f>AND(Plan1!J1129,"AAAAAG/+XyI=")</f>
        <v>#VALUE!</v>
      </c>
      <c r="AJ67" t="e">
        <f>AND(Plan1!K1129,"AAAAAG/+XyM=")</f>
        <v>#VALUE!</v>
      </c>
      <c r="AK67" t="e">
        <f>AND(Plan1!L1129,"AAAAAG/+XyQ=")</f>
        <v>#VALUE!</v>
      </c>
      <c r="AL67" t="e">
        <f>AND(Plan1!M1129,"AAAAAG/+XyU=")</f>
        <v>#VALUE!</v>
      </c>
      <c r="AM67" t="e">
        <f>AND(Plan1!N1129,"AAAAAG/+XyY=")</f>
        <v>#VALUE!</v>
      </c>
      <c r="AN67">
        <f>IF(Plan1!1130:1130,"AAAAAG/+Xyc=",0)</f>
        <v>0</v>
      </c>
      <c r="AO67" t="e">
        <f>AND(Plan1!A1130,"AAAAAG/+Xyg=")</f>
        <v>#VALUE!</v>
      </c>
      <c r="AP67" t="e">
        <f>AND(Plan1!B1130,"AAAAAG/+Xyk=")</f>
        <v>#VALUE!</v>
      </c>
      <c r="AQ67" t="e">
        <f>AND(Plan1!C1130,"AAAAAG/+Xyo=")</f>
        <v>#VALUE!</v>
      </c>
      <c r="AR67" t="e">
        <f>AND(Plan1!D1130,"AAAAAG/+Xys=")</f>
        <v>#VALUE!</v>
      </c>
      <c r="AS67" t="e">
        <f>AND(Plan1!E1130,"AAAAAG/+Xyw=")</f>
        <v>#VALUE!</v>
      </c>
      <c r="AT67" t="e">
        <f>AND(Plan1!F1130,"AAAAAG/+Xy0=")</f>
        <v>#VALUE!</v>
      </c>
      <c r="AU67" t="e">
        <f>AND(Plan1!G1130,"AAAAAG/+Xy4=")</f>
        <v>#VALUE!</v>
      </c>
      <c r="AV67" t="e">
        <f>AND(Plan1!H1130,"AAAAAG/+Xy8=")</f>
        <v>#VALUE!</v>
      </c>
      <c r="AW67" t="e">
        <f>AND(Plan1!I1130,"AAAAAG/+XzA=")</f>
        <v>#VALUE!</v>
      </c>
      <c r="AX67" t="e">
        <f>AND(Plan1!J1130,"AAAAAG/+XzE=")</f>
        <v>#VALUE!</v>
      </c>
      <c r="AY67" t="e">
        <f>AND(Plan1!K1130,"AAAAAG/+XzI=")</f>
        <v>#VALUE!</v>
      </c>
      <c r="AZ67" t="e">
        <f>AND(Plan1!L1130,"AAAAAG/+XzM=")</f>
        <v>#VALUE!</v>
      </c>
      <c r="BA67" t="e">
        <f>AND(Plan1!M1130,"AAAAAG/+XzQ=")</f>
        <v>#VALUE!</v>
      </c>
      <c r="BB67" t="e">
        <f>AND(Plan1!N1130,"AAAAAG/+XzU=")</f>
        <v>#VALUE!</v>
      </c>
      <c r="BC67">
        <f>IF(Plan1!1131:1131,"AAAAAG/+XzY=",0)</f>
        <v>0</v>
      </c>
      <c r="BD67" t="e">
        <f>AND(Plan1!A1131,"AAAAAG/+Xzc=")</f>
        <v>#VALUE!</v>
      </c>
      <c r="BE67" t="e">
        <f>AND(Plan1!B1131,"AAAAAG/+Xzg=")</f>
        <v>#VALUE!</v>
      </c>
      <c r="BF67" t="e">
        <f>AND(Plan1!C1131,"AAAAAG/+Xzk=")</f>
        <v>#VALUE!</v>
      </c>
      <c r="BG67" t="e">
        <f>AND(Plan1!D1131,"AAAAAG/+Xzo=")</f>
        <v>#VALUE!</v>
      </c>
      <c r="BH67" t="e">
        <f>AND(Plan1!E1131,"AAAAAG/+Xzs=")</f>
        <v>#VALUE!</v>
      </c>
      <c r="BI67" t="e">
        <f>AND(Plan1!F1131,"AAAAAG/+Xzw=")</f>
        <v>#VALUE!</v>
      </c>
      <c r="BJ67" t="e">
        <f>AND(Plan1!G1131,"AAAAAG/+Xz0=")</f>
        <v>#VALUE!</v>
      </c>
      <c r="BK67" t="e">
        <f>AND(Plan1!H1131,"AAAAAG/+Xz4=")</f>
        <v>#VALUE!</v>
      </c>
      <c r="BL67" t="e">
        <f>AND(Plan1!I1131,"AAAAAG/+Xz8=")</f>
        <v>#VALUE!</v>
      </c>
      <c r="BM67" t="e">
        <f>AND(Plan1!J1131,"AAAAAG/+X0A=")</f>
        <v>#VALUE!</v>
      </c>
      <c r="BN67" t="e">
        <f>AND(Plan1!K1131,"AAAAAG/+X0E=")</f>
        <v>#VALUE!</v>
      </c>
      <c r="BO67" t="e">
        <f>AND(Plan1!L1131,"AAAAAG/+X0I=")</f>
        <v>#VALUE!</v>
      </c>
      <c r="BP67" t="e">
        <f>AND(Plan1!M1131,"AAAAAG/+X0M=")</f>
        <v>#VALUE!</v>
      </c>
      <c r="BQ67" t="e">
        <f>AND(Plan1!N1131,"AAAAAG/+X0Q=")</f>
        <v>#VALUE!</v>
      </c>
      <c r="BR67">
        <f>IF(Plan1!1132:1132,"AAAAAG/+X0U=",0)</f>
        <v>0</v>
      </c>
      <c r="BS67" t="e">
        <f>AND(Plan1!A1132,"AAAAAG/+X0Y=")</f>
        <v>#VALUE!</v>
      </c>
      <c r="BT67" t="e">
        <f>AND(Plan1!B1132,"AAAAAG/+X0c=")</f>
        <v>#VALUE!</v>
      </c>
      <c r="BU67" t="e">
        <f>AND(Plan1!C1132,"AAAAAG/+X0g=")</f>
        <v>#VALUE!</v>
      </c>
      <c r="BV67" t="e">
        <f>AND(Plan1!D1132,"AAAAAG/+X0k=")</f>
        <v>#VALUE!</v>
      </c>
      <c r="BW67" t="e">
        <f>AND(Plan1!E1132,"AAAAAG/+X0o=")</f>
        <v>#VALUE!</v>
      </c>
      <c r="BX67" t="e">
        <f>AND(Plan1!F1132,"AAAAAG/+X0s=")</f>
        <v>#VALUE!</v>
      </c>
      <c r="BY67" t="e">
        <f>AND(Plan1!G1132,"AAAAAG/+X0w=")</f>
        <v>#VALUE!</v>
      </c>
      <c r="BZ67" t="e">
        <f>AND(Plan1!H1132,"AAAAAG/+X00=")</f>
        <v>#VALUE!</v>
      </c>
      <c r="CA67" t="e">
        <f>AND(Plan1!I1132,"AAAAAG/+X04=")</f>
        <v>#VALUE!</v>
      </c>
      <c r="CB67" t="e">
        <f>AND(Plan1!J1132,"AAAAAG/+X08=")</f>
        <v>#VALUE!</v>
      </c>
      <c r="CC67" t="e">
        <f>AND(Plan1!K1132,"AAAAAG/+X1A=")</f>
        <v>#VALUE!</v>
      </c>
      <c r="CD67" t="e">
        <f>AND(Plan1!L1132,"AAAAAG/+X1E=")</f>
        <v>#VALUE!</v>
      </c>
      <c r="CE67" t="e">
        <f>AND(Plan1!M1132,"AAAAAG/+X1I=")</f>
        <v>#VALUE!</v>
      </c>
      <c r="CF67" t="e">
        <f>AND(Plan1!N1132,"AAAAAG/+X1M=")</f>
        <v>#VALUE!</v>
      </c>
      <c r="CG67">
        <f>IF(Plan1!1133:1133,"AAAAAG/+X1Q=",0)</f>
        <v>0</v>
      </c>
      <c r="CH67" t="e">
        <f>AND(Plan1!A1133,"AAAAAG/+X1U=")</f>
        <v>#VALUE!</v>
      </c>
      <c r="CI67" t="e">
        <f>AND(Plan1!B1133,"AAAAAG/+X1Y=")</f>
        <v>#VALUE!</v>
      </c>
      <c r="CJ67" t="e">
        <f>AND(Plan1!C1133,"AAAAAG/+X1c=")</f>
        <v>#VALUE!</v>
      </c>
      <c r="CK67" t="e">
        <f>AND(Plan1!D1133,"AAAAAG/+X1g=")</f>
        <v>#VALUE!</v>
      </c>
      <c r="CL67" t="e">
        <f>AND(Plan1!E1133,"AAAAAG/+X1k=")</f>
        <v>#VALUE!</v>
      </c>
      <c r="CM67" t="e">
        <f>AND(Plan1!F1133,"AAAAAG/+X1o=")</f>
        <v>#VALUE!</v>
      </c>
      <c r="CN67" t="e">
        <f>AND(Plan1!G1133,"AAAAAG/+X1s=")</f>
        <v>#VALUE!</v>
      </c>
      <c r="CO67" t="e">
        <f>AND(Plan1!H1133,"AAAAAG/+X1w=")</f>
        <v>#VALUE!</v>
      </c>
      <c r="CP67" t="e">
        <f>AND(Plan1!I1133,"AAAAAG/+X10=")</f>
        <v>#VALUE!</v>
      </c>
      <c r="CQ67" t="e">
        <f>AND(Plan1!J1133,"AAAAAG/+X14=")</f>
        <v>#VALUE!</v>
      </c>
      <c r="CR67" t="e">
        <f>AND(Plan1!K1133,"AAAAAG/+X18=")</f>
        <v>#VALUE!</v>
      </c>
      <c r="CS67" t="e">
        <f>AND(Plan1!L1133,"AAAAAG/+X2A=")</f>
        <v>#VALUE!</v>
      </c>
      <c r="CT67" t="e">
        <f>AND(Plan1!M1133,"AAAAAG/+X2E=")</f>
        <v>#VALUE!</v>
      </c>
      <c r="CU67" t="e">
        <f>AND(Plan1!N1133,"AAAAAG/+X2I=")</f>
        <v>#VALUE!</v>
      </c>
      <c r="CV67">
        <f>IF(Plan1!1134:1134,"AAAAAG/+X2M=",0)</f>
        <v>0</v>
      </c>
      <c r="CW67" t="e">
        <f>AND(Plan1!A1134,"AAAAAG/+X2Q=")</f>
        <v>#VALUE!</v>
      </c>
      <c r="CX67" t="e">
        <f>AND(Plan1!B1134,"AAAAAG/+X2U=")</f>
        <v>#VALUE!</v>
      </c>
      <c r="CY67" t="e">
        <f>AND(Plan1!C1134,"AAAAAG/+X2Y=")</f>
        <v>#VALUE!</v>
      </c>
      <c r="CZ67" t="e">
        <f>AND(Plan1!D1134,"AAAAAG/+X2c=")</f>
        <v>#VALUE!</v>
      </c>
      <c r="DA67" t="e">
        <f>AND(Plan1!E1134,"AAAAAG/+X2g=")</f>
        <v>#VALUE!</v>
      </c>
      <c r="DB67" t="e">
        <f>AND(Plan1!F1134,"AAAAAG/+X2k=")</f>
        <v>#VALUE!</v>
      </c>
      <c r="DC67" t="e">
        <f>AND(Plan1!G1134,"AAAAAG/+X2o=")</f>
        <v>#VALUE!</v>
      </c>
      <c r="DD67" t="e">
        <f>AND(Plan1!H1134,"AAAAAG/+X2s=")</f>
        <v>#VALUE!</v>
      </c>
      <c r="DE67" t="e">
        <f>AND(Plan1!I1134,"AAAAAG/+X2w=")</f>
        <v>#VALUE!</v>
      </c>
      <c r="DF67" t="e">
        <f>AND(Plan1!J1134,"AAAAAG/+X20=")</f>
        <v>#VALUE!</v>
      </c>
      <c r="DG67" t="e">
        <f>AND(Plan1!K1134,"AAAAAG/+X24=")</f>
        <v>#VALUE!</v>
      </c>
      <c r="DH67" t="e">
        <f>AND(Plan1!L1134,"AAAAAG/+X28=")</f>
        <v>#VALUE!</v>
      </c>
      <c r="DI67" t="e">
        <f>AND(Plan1!M1134,"AAAAAG/+X3A=")</f>
        <v>#VALUE!</v>
      </c>
      <c r="DJ67" t="e">
        <f>AND(Plan1!N1134,"AAAAAG/+X3E=")</f>
        <v>#VALUE!</v>
      </c>
      <c r="DK67">
        <f>IF(Plan1!1135:1135,"AAAAAG/+X3I=",0)</f>
        <v>0</v>
      </c>
      <c r="DL67" t="e">
        <f>AND(Plan1!A1135,"AAAAAG/+X3M=")</f>
        <v>#VALUE!</v>
      </c>
      <c r="DM67" t="e">
        <f>AND(Plan1!B1135,"AAAAAG/+X3Q=")</f>
        <v>#VALUE!</v>
      </c>
      <c r="DN67" t="e">
        <f>AND(Plan1!C1135,"AAAAAG/+X3U=")</f>
        <v>#VALUE!</v>
      </c>
      <c r="DO67" t="e">
        <f>AND(Plan1!D1135,"AAAAAG/+X3Y=")</f>
        <v>#VALUE!</v>
      </c>
      <c r="DP67" t="e">
        <f>AND(Plan1!E1135,"AAAAAG/+X3c=")</f>
        <v>#VALUE!</v>
      </c>
      <c r="DQ67" t="e">
        <f>AND(Plan1!F1135,"AAAAAG/+X3g=")</f>
        <v>#VALUE!</v>
      </c>
      <c r="DR67" t="e">
        <f>AND(Plan1!G1135,"AAAAAG/+X3k=")</f>
        <v>#VALUE!</v>
      </c>
      <c r="DS67" t="e">
        <f>AND(Plan1!H1135,"AAAAAG/+X3o=")</f>
        <v>#VALUE!</v>
      </c>
      <c r="DT67" t="e">
        <f>AND(Plan1!I1135,"AAAAAG/+X3s=")</f>
        <v>#VALUE!</v>
      </c>
      <c r="DU67" t="e">
        <f>AND(Plan1!J1135,"AAAAAG/+X3w=")</f>
        <v>#VALUE!</v>
      </c>
      <c r="DV67" t="e">
        <f>AND(Plan1!K1135,"AAAAAG/+X30=")</f>
        <v>#VALUE!</v>
      </c>
      <c r="DW67" t="e">
        <f>AND(Plan1!L1135,"AAAAAG/+X34=")</f>
        <v>#VALUE!</v>
      </c>
      <c r="DX67" t="e">
        <f>AND(Plan1!M1135,"AAAAAG/+X38=")</f>
        <v>#VALUE!</v>
      </c>
      <c r="DY67" t="e">
        <f>AND(Plan1!N1135,"AAAAAG/+X4A=")</f>
        <v>#VALUE!</v>
      </c>
      <c r="DZ67">
        <f>IF(Plan1!1136:1136,"AAAAAG/+X4E=",0)</f>
        <v>0</v>
      </c>
      <c r="EA67" t="e">
        <f>AND(Plan1!A1136,"AAAAAG/+X4I=")</f>
        <v>#VALUE!</v>
      </c>
      <c r="EB67" t="e">
        <f>AND(Plan1!B1136,"AAAAAG/+X4M=")</f>
        <v>#VALUE!</v>
      </c>
      <c r="EC67" t="e">
        <f>AND(Plan1!C1136,"AAAAAG/+X4Q=")</f>
        <v>#VALUE!</v>
      </c>
      <c r="ED67" t="e">
        <f>AND(Plan1!D1136,"AAAAAG/+X4U=")</f>
        <v>#VALUE!</v>
      </c>
      <c r="EE67" t="e">
        <f>AND(Plan1!E1136,"AAAAAG/+X4Y=")</f>
        <v>#VALUE!</v>
      </c>
      <c r="EF67" t="e">
        <f>AND(Plan1!F1136,"AAAAAG/+X4c=")</f>
        <v>#VALUE!</v>
      </c>
      <c r="EG67" t="e">
        <f>AND(Plan1!G1136,"AAAAAG/+X4g=")</f>
        <v>#VALUE!</v>
      </c>
      <c r="EH67" t="e">
        <f>AND(Plan1!H1136,"AAAAAG/+X4k=")</f>
        <v>#VALUE!</v>
      </c>
      <c r="EI67" t="e">
        <f>AND(Plan1!I1136,"AAAAAG/+X4o=")</f>
        <v>#VALUE!</v>
      </c>
      <c r="EJ67" t="e">
        <f>AND(Plan1!J1136,"AAAAAG/+X4s=")</f>
        <v>#VALUE!</v>
      </c>
      <c r="EK67" t="e">
        <f>AND(Plan1!K1136,"AAAAAG/+X4w=")</f>
        <v>#VALUE!</v>
      </c>
      <c r="EL67" t="e">
        <f>AND(Plan1!L1136,"AAAAAG/+X40=")</f>
        <v>#VALUE!</v>
      </c>
      <c r="EM67" t="e">
        <f>AND(Plan1!M1136,"AAAAAG/+X44=")</f>
        <v>#VALUE!</v>
      </c>
      <c r="EN67" t="e">
        <f>AND(Plan1!N1136,"AAAAAG/+X48=")</f>
        <v>#VALUE!</v>
      </c>
      <c r="EO67">
        <f>IF(Plan1!1137:1137,"AAAAAG/+X5A=",0)</f>
        <v>0</v>
      </c>
      <c r="EP67" t="e">
        <f>AND(Plan1!A1137,"AAAAAG/+X5E=")</f>
        <v>#VALUE!</v>
      </c>
      <c r="EQ67" t="e">
        <f>AND(Plan1!B1137,"AAAAAG/+X5I=")</f>
        <v>#VALUE!</v>
      </c>
      <c r="ER67" t="e">
        <f>AND(Plan1!C1137,"AAAAAG/+X5M=")</f>
        <v>#VALUE!</v>
      </c>
      <c r="ES67" t="e">
        <f>AND(Plan1!D1137,"AAAAAG/+X5Q=")</f>
        <v>#VALUE!</v>
      </c>
      <c r="ET67" t="e">
        <f>AND(Plan1!E1137,"AAAAAG/+X5U=")</f>
        <v>#VALUE!</v>
      </c>
      <c r="EU67" t="e">
        <f>AND(Plan1!F1137,"AAAAAG/+X5Y=")</f>
        <v>#VALUE!</v>
      </c>
      <c r="EV67" t="e">
        <f>AND(Plan1!G1137,"AAAAAG/+X5c=")</f>
        <v>#VALUE!</v>
      </c>
      <c r="EW67" t="e">
        <f>AND(Plan1!H1137,"AAAAAG/+X5g=")</f>
        <v>#VALUE!</v>
      </c>
      <c r="EX67" t="e">
        <f>AND(Plan1!I1137,"AAAAAG/+X5k=")</f>
        <v>#VALUE!</v>
      </c>
      <c r="EY67" t="e">
        <f>AND(Plan1!J1137,"AAAAAG/+X5o=")</f>
        <v>#VALUE!</v>
      </c>
      <c r="EZ67" t="e">
        <f>AND(Plan1!K1137,"AAAAAG/+X5s=")</f>
        <v>#VALUE!</v>
      </c>
      <c r="FA67" t="e">
        <f>AND(Plan1!L1137,"AAAAAG/+X5w=")</f>
        <v>#VALUE!</v>
      </c>
      <c r="FB67" t="e">
        <f>AND(Plan1!M1137,"AAAAAG/+X50=")</f>
        <v>#VALUE!</v>
      </c>
      <c r="FC67" t="e">
        <f>AND(Plan1!N1137,"AAAAAG/+X54=")</f>
        <v>#VALUE!</v>
      </c>
      <c r="FD67">
        <f>IF(Plan1!1138:1138,"AAAAAG/+X58=",0)</f>
        <v>0</v>
      </c>
      <c r="FE67" t="e">
        <f>AND(Plan1!A1138,"AAAAAG/+X6A=")</f>
        <v>#VALUE!</v>
      </c>
      <c r="FF67" t="e">
        <f>AND(Plan1!B1138,"AAAAAG/+X6E=")</f>
        <v>#VALUE!</v>
      </c>
      <c r="FG67" t="e">
        <f>AND(Plan1!C1138,"AAAAAG/+X6I=")</f>
        <v>#VALUE!</v>
      </c>
      <c r="FH67" t="e">
        <f>AND(Plan1!D1138,"AAAAAG/+X6M=")</f>
        <v>#VALUE!</v>
      </c>
      <c r="FI67" t="e">
        <f>AND(Plan1!E1138,"AAAAAG/+X6Q=")</f>
        <v>#VALUE!</v>
      </c>
      <c r="FJ67" t="e">
        <f>AND(Plan1!F1138,"AAAAAG/+X6U=")</f>
        <v>#VALUE!</v>
      </c>
      <c r="FK67" t="e">
        <f>AND(Plan1!G1138,"AAAAAG/+X6Y=")</f>
        <v>#VALUE!</v>
      </c>
      <c r="FL67" t="e">
        <f>AND(Plan1!H1138,"AAAAAG/+X6c=")</f>
        <v>#VALUE!</v>
      </c>
      <c r="FM67" t="e">
        <f>AND(Plan1!I1138,"AAAAAG/+X6g=")</f>
        <v>#VALUE!</v>
      </c>
      <c r="FN67" t="e">
        <f>AND(Plan1!J1138,"AAAAAG/+X6k=")</f>
        <v>#VALUE!</v>
      </c>
      <c r="FO67" t="e">
        <f>AND(Plan1!K1138,"AAAAAG/+X6o=")</f>
        <v>#VALUE!</v>
      </c>
      <c r="FP67" t="e">
        <f>AND(Plan1!L1138,"AAAAAG/+X6s=")</f>
        <v>#VALUE!</v>
      </c>
      <c r="FQ67" t="e">
        <f>AND(Plan1!M1138,"AAAAAG/+X6w=")</f>
        <v>#VALUE!</v>
      </c>
      <c r="FR67" t="e">
        <f>AND(Plan1!N1138,"AAAAAG/+X60=")</f>
        <v>#VALUE!</v>
      </c>
      <c r="FS67">
        <f>IF(Plan1!1139:1139,"AAAAAG/+X64=",0)</f>
        <v>0</v>
      </c>
      <c r="FT67" t="e">
        <f>AND(Plan1!A1139,"AAAAAG/+X68=")</f>
        <v>#VALUE!</v>
      </c>
      <c r="FU67" t="e">
        <f>AND(Plan1!B1139,"AAAAAG/+X7A=")</f>
        <v>#VALUE!</v>
      </c>
      <c r="FV67" t="e">
        <f>AND(Plan1!C1139,"AAAAAG/+X7E=")</f>
        <v>#VALUE!</v>
      </c>
      <c r="FW67" t="e">
        <f>AND(Plan1!D1139,"AAAAAG/+X7I=")</f>
        <v>#VALUE!</v>
      </c>
      <c r="FX67" t="e">
        <f>AND(Plan1!E1139,"AAAAAG/+X7M=")</f>
        <v>#VALUE!</v>
      </c>
      <c r="FY67" t="e">
        <f>AND(Plan1!F1139,"AAAAAG/+X7Q=")</f>
        <v>#VALUE!</v>
      </c>
      <c r="FZ67" t="e">
        <f>AND(Plan1!G1139,"AAAAAG/+X7U=")</f>
        <v>#VALUE!</v>
      </c>
      <c r="GA67" t="e">
        <f>AND(Plan1!H1139,"AAAAAG/+X7Y=")</f>
        <v>#VALUE!</v>
      </c>
      <c r="GB67" t="e">
        <f>AND(Plan1!I1139,"AAAAAG/+X7c=")</f>
        <v>#VALUE!</v>
      </c>
      <c r="GC67" t="e">
        <f>AND(Plan1!J1139,"AAAAAG/+X7g=")</f>
        <v>#VALUE!</v>
      </c>
      <c r="GD67" t="e">
        <f>AND(Plan1!K1139,"AAAAAG/+X7k=")</f>
        <v>#VALUE!</v>
      </c>
      <c r="GE67" t="e">
        <f>AND(Plan1!L1139,"AAAAAG/+X7o=")</f>
        <v>#VALUE!</v>
      </c>
      <c r="GF67" t="e">
        <f>AND(Plan1!M1139,"AAAAAG/+X7s=")</f>
        <v>#VALUE!</v>
      </c>
      <c r="GG67" t="e">
        <f>AND(Plan1!N1139,"AAAAAG/+X7w=")</f>
        <v>#VALUE!</v>
      </c>
      <c r="GH67">
        <f>IF(Plan1!1140:1140,"AAAAAG/+X70=",0)</f>
        <v>0</v>
      </c>
      <c r="GI67" t="e">
        <f>AND(Plan1!A1140,"AAAAAG/+X74=")</f>
        <v>#VALUE!</v>
      </c>
      <c r="GJ67" t="e">
        <f>AND(Plan1!B1140,"AAAAAG/+X78=")</f>
        <v>#VALUE!</v>
      </c>
      <c r="GK67" t="e">
        <f>AND(Plan1!C1140,"AAAAAG/+X8A=")</f>
        <v>#VALUE!</v>
      </c>
      <c r="GL67" t="e">
        <f>AND(Plan1!D1140,"AAAAAG/+X8E=")</f>
        <v>#VALUE!</v>
      </c>
      <c r="GM67" t="e">
        <f>AND(Plan1!E1140,"AAAAAG/+X8I=")</f>
        <v>#VALUE!</v>
      </c>
      <c r="GN67" t="e">
        <f>AND(Plan1!F1140,"AAAAAG/+X8M=")</f>
        <v>#VALUE!</v>
      </c>
      <c r="GO67" t="e">
        <f>AND(Plan1!G1140,"AAAAAG/+X8Q=")</f>
        <v>#VALUE!</v>
      </c>
      <c r="GP67" t="e">
        <f>AND(Plan1!H1140,"AAAAAG/+X8U=")</f>
        <v>#VALUE!</v>
      </c>
      <c r="GQ67" t="e">
        <f>AND(Plan1!I1140,"AAAAAG/+X8Y=")</f>
        <v>#VALUE!</v>
      </c>
      <c r="GR67" t="e">
        <f>AND(Plan1!J1140,"AAAAAG/+X8c=")</f>
        <v>#VALUE!</v>
      </c>
      <c r="GS67" t="e">
        <f>AND(Plan1!K1140,"AAAAAG/+X8g=")</f>
        <v>#VALUE!</v>
      </c>
      <c r="GT67" t="e">
        <f>AND(Plan1!L1140,"AAAAAG/+X8k=")</f>
        <v>#VALUE!</v>
      </c>
      <c r="GU67" t="e">
        <f>AND(Plan1!M1140,"AAAAAG/+X8o=")</f>
        <v>#VALUE!</v>
      </c>
      <c r="GV67" t="e">
        <f>AND(Plan1!N1140,"AAAAAG/+X8s=")</f>
        <v>#VALUE!</v>
      </c>
      <c r="GW67">
        <f>IF(Plan1!1141:1141,"AAAAAG/+X8w=",0)</f>
        <v>0</v>
      </c>
      <c r="GX67" t="e">
        <f>AND(Plan1!A1141,"AAAAAG/+X80=")</f>
        <v>#VALUE!</v>
      </c>
      <c r="GY67" t="e">
        <f>AND(Plan1!B1141,"AAAAAG/+X84=")</f>
        <v>#VALUE!</v>
      </c>
      <c r="GZ67" t="e">
        <f>AND(Plan1!C1141,"AAAAAG/+X88=")</f>
        <v>#VALUE!</v>
      </c>
      <c r="HA67" t="e">
        <f>AND(Plan1!D1141,"AAAAAG/+X9A=")</f>
        <v>#VALUE!</v>
      </c>
      <c r="HB67" t="e">
        <f>AND(Plan1!E1141,"AAAAAG/+X9E=")</f>
        <v>#VALUE!</v>
      </c>
      <c r="HC67" t="e">
        <f>AND(Plan1!F1141,"AAAAAG/+X9I=")</f>
        <v>#VALUE!</v>
      </c>
      <c r="HD67" t="e">
        <f>AND(Plan1!G1141,"AAAAAG/+X9M=")</f>
        <v>#VALUE!</v>
      </c>
      <c r="HE67" t="e">
        <f>AND(Plan1!H1141,"AAAAAG/+X9Q=")</f>
        <v>#VALUE!</v>
      </c>
      <c r="HF67" t="e">
        <f>AND(Plan1!I1141,"AAAAAG/+X9U=")</f>
        <v>#VALUE!</v>
      </c>
      <c r="HG67" t="e">
        <f>AND(Plan1!J1141,"AAAAAG/+X9Y=")</f>
        <v>#VALUE!</v>
      </c>
      <c r="HH67" t="e">
        <f>AND(Plan1!K1141,"AAAAAG/+X9c=")</f>
        <v>#VALUE!</v>
      </c>
      <c r="HI67" t="e">
        <f>AND(Plan1!L1141,"AAAAAG/+X9g=")</f>
        <v>#VALUE!</v>
      </c>
      <c r="HJ67" t="e">
        <f>AND(Plan1!M1141,"AAAAAG/+X9k=")</f>
        <v>#VALUE!</v>
      </c>
      <c r="HK67" t="e">
        <f>AND(Plan1!N1141,"AAAAAG/+X9o=")</f>
        <v>#VALUE!</v>
      </c>
      <c r="HL67">
        <f>IF(Plan1!1142:1142,"AAAAAG/+X9s=",0)</f>
        <v>0</v>
      </c>
      <c r="HM67" t="e">
        <f>AND(Plan1!A1142,"AAAAAG/+X9w=")</f>
        <v>#VALUE!</v>
      </c>
      <c r="HN67" t="e">
        <f>AND(Plan1!B1142,"AAAAAG/+X90=")</f>
        <v>#VALUE!</v>
      </c>
      <c r="HO67" t="e">
        <f>AND(Plan1!C1142,"AAAAAG/+X94=")</f>
        <v>#VALUE!</v>
      </c>
      <c r="HP67" t="e">
        <f>AND(Plan1!D1142,"AAAAAG/+X98=")</f>
        <v>#VALUE!</v>
      </c>
      <c r="HQ67" t="e">
        <f>AND(Plan1!E1142,"AAAAAG/+X+A=")</f>
        <v>#VALUE!</v>
      </c>
      <c r="HR67" t="e">
        <f>AND(Plan1!F1142,"AAAAAG/+X+E=")</f>
        <v>#VALUE!</v>
      </c>
      <c r="HS67" t="e">
        <f>AND(Plan1!G1142,"AAAAAG/+X+I=")</f>
        <v>#VALUE!</v>
      </c>
      <c r="HT67" t="e">
        <f>AND(Plan1!H1142,"AAAAAG/+X+M=")</f>
        <v>#VALUE!</v>
      </c>
      <c r="HU67" t="e">
        <f>AND(Plan1!I1142,"AAAAAG/+X+Q=")</f>
        <v>#VALUE!</v>
      </c>
      <c r="HV67" t="e">
        <f>AND(Plan1!J1142,"AAAAAG/+X+U=")</f>
        <v>#VALUE!</v>
      </c>
      <c r="HW67" t="e">
        <f>AND(Plan1!K1142,"AAAAAG/+X+Y=")</f>
        <v>#VALUE!</v>
      </c>
      <c r="HX67" t="e">
        <f>AND(Plan1!L1142,"AAAAAG/+X+c=")</f>
        <v>#VALUE!</v>
      </c>
      <c r="HY67" t="e">
        <f>AND(Plan1!M1142,"AAAAAG/+X+g=")</f>
        <v>#VALUE!</v>
      </c>
      <c r="HZ67" t="e">
        <f>AND(Plan1!N1142,"AAAAAG/+X+k=")</f>
        <v>#VALUE!</v>
      </c>
      <c r="IA67">
        <f>IF(Plan1!1143:1143,"AAAAAG/+X+o=",0)</f>
        <v>0</v>
      </c>
      <c r="IB67" t="e">
        <f>AND(Plan1!A1143,"AAAAAG/+X+s=")</f>
        <v>#VALUE!</v>
      </c>
      <c r="IC67" t="e">
        <f>AND(Plan1!B1143,"AAAAAG/+X+w=")</f>
        <v>#VALUE!</v>
      </c>
      <c r="ID67" t="e">
        <f>AND(Plan1!C1143,"AAAAAG/+X+0=")</f>
        <v>#VALUE!</v>
      </c>
      <c r="IE67" t="e">
        <f>AND(Plan1!D1143,"AAAAAG/+X+4=")</f>
        <v>#VALUE!</v>
      </c>
      <c r="IF67" t="e">
        <f>AND(Plan1!E1143,"AAAAAG/+X+8=")</f>
        <v>#VALUE!</v>
      </c>
      <c r="IG67" t="e">
        <f>AND(Plan1!F1143,"AAAAAG/+X/A=")</f>
        <v>#VALUE!</v>
      </c>
      <c r="IH67" t="e">
        <f>AND(Plan1!G1143,"AAAAAG/+X/E=")</f>
        <v>#VALUE!</v>
      </c>
      <c r="II67" t="e">
        <f>AND(Plan1!H1143,"AAAAAG/+X/I=")</f>
        <v>#VALUE!</v>
      </c>
      <c r="IJ67" t="e">
        <f>AND(Plan1!I1143,"AAAAAG/+X/M=")</f>
        <v>#VALUE!</v>
      </c>
      <c r="IK67" t="e">
        <f>AND(Plan1!J1143,"AAAAAG/+X/Q=")</f>
        <v>#VALUE!</v>
      </c>
      <c r="IL67" t="e">
        <f>AND(Plan1!K1143,"AAAAAG/+X/U=")</f>
        <v>#VALUE!</v>
      </c>
      <c r="IM67" t="e">
        <f>AND(Plan1!L1143,"AAAAAG/+X/Y=")</f>
        <v>#VALUE!</v>
      </c>
      <c r="IN67" t="e">
        <f>AND(Plan1!M1143,"AAAAAG/+X/c=")</f>
        <v>#VALUE!</v>
      </c>
      <c r="IO67" t="e">
        <f>AND(Plan1!N1143,"AAAAAG/+X/g=")</f>
        <v>#VALUE!</v>
      </c>
      <c r="IP67">
        <f>IF(Plan1!1144:1144,"AAAAAG/+X/k=",0)</f>
        <v>0</v>
      </c>
      <c r="IQ67" t="e">
        <f>AND(Plan1!A1144,"AAAAAG/+X/o=")</f>
        <v>#VALUE!</v>
      </c>
      <c r="IR67" t="e">
        <f>AND(Plan1!B1144,"AAAAAG/+X/s=")</f>
        <v>#VALUE!</v>
      </c>
      <c r="IS67" t="e">
        <f>AND(Plan1!C1144,"AAAAAG/+X/w=")</f>
        <v>#VALUE!</v>
      </c>
      <c r="IT67" t="e">
        <f>AND(Plan1!D1144,"AAAAAG/+X/0=")</f>
        <v>#VALUE!</v>
      </c>
      <c r="IU67" t="e">
        <f>AND(Plan1!E1144,"AAAAAG/+X/4=")</f>
        <v>#VALUE!</v>
      </c>
      <c r="IV67" t="e">
        <f>AND(Plan1!F1144,"AAAAAG/+X/8=")</f>
        <v>#VALUE!</v>
      </c>
    </row>
    <row r="68" spans="1:256">
      <c r="A68" t="e">
        <f>AND(Plan1!G1144,"AAAAAG9YVAA=")</f>
        <v>#VALUE!</v>
      </c>
      <c r="B68" t="e">
        <f>AND(Plan1!H1144,"AAAAAG9YVAE=")</f>
        <v>#VALUE!</v>
      </c>
      <c r="C68" t="e">
        <f>AND(Plan1!I1144,"AAAAAG9YVAI=")</f>
        <v>#VALUE!</v>
      </c>
      <c r="D68" t="e">
        <f>AND(Plan1!J1144,"AAAAAG9YVAM=")</f>
        <v>#VALUE!</v>
      </c>
      <c r="E68" t="e">
        <f>AND(Plan1!K1144,"AAAAAG9YVAQ=")</f>
        <v>#VALUE!</v>
      </c>
      <c r="F68" t="e">
        <f>AND(Plan1!L1144,"AAAAAG9YVAU=")</f>
        <v>#VALUE!</v>
      </c>
      <c r="G68" t="e">
        <f>AND(Plan1!M1144,"AAAAAG9YVAY=")</f>
        <v>#VALUE!</v>
      </c>
      <c r="H68" t="e">
        <f>AND(Plan1!N1144,"AAAAAG9YVAc=")</f>
        <v>#VALUE!</v>
      </c>
      <c r="I68" t="str">
        <f>IF(Plan1!1145:1145,"AAAAAG9YVAg=",0)</f>
        <v>AAAAAG9YVAg=</v>
      </c>
      <c r="J68" t="e">
        <f>AND(Plan1!A1145,"AAAAAG9YVAk=")</f>
        <v>#VALUE!</v>
      </c>
      <c r="K68" t="e">
        <f>AND(Plan1!B1145,"AAAAAG9YVAo=")</f>
        <v>#VALUE!</v>
      </c>
      <c r="L68" t="e">
        <f>AND(Plan1!C1145,"AAAAAG9YVAs=")</f>
        <v>#VALUE!</v>
      </c>
      <c r="M68" t="e">
        <f>AND(Plan1!D1145,"AAAAAG9YVAw=")</f>
        <v>#VALUE!</v>
      </c>
      <c r="N68" t="e">
        <f>AND(Plan1!E1145,"AAAAAG9YVA0=")</f>
        <v>#VALUE!</v>
      </c>
      <c r="O68" t="e">
        <f>AND(Plan1!F1145,"AAAAAG9YVA4=")</f>
        <v>#VALUE!</v>
      </c>
      <c r="P68" t="e">
        <f>AND(Plan1!G1145,"AAAAAG9YVA8=")</f>
        <v>#VALUE!</v>
      </c>
      <c r="Q68" t="e">
        <f>AND(Plan1!H1145,"AAAAAG9YVBA=")</f>
        <v>#VALUE!</v>
      </c>
      <c r="R68" t="e">
        <f>AND(Plan1!I1145,"AAAAAG9YVBE=")</f>
        <v>#VALUE!</v>
      </c>
      <c r="S68" t="e">
        <f>AND(Plan1!J1145,"AAAAAG9YVBI=")</f>
        <v>#VALUE!</v>
      </c>
      <c r="T68" t="e">
        <f>AND(Plan1!K1145,"AAAAAG9YVBM=")</f>
        <v>#VALUE!</v>
      </c>
      <c r="U68" t="e">
        <f>AND(Plan1!L1145,"AAAAAG9YVBQ=")</f>
        <v>#VALUE!</v>
      </c>
      <c r="V68" t="e">
        <f>AND(Plan1!M1145,"AAAAAG9YVBU=")</f>
        <v>#VALUE!</v>
      </c>
      <c r="W68" t="e">
        <f>AND(Plan1!N1145,"AAAAAG9YVBY=")</f>
        <v>#VALUE!</v>
      </c>
      <c r="X68">
        <f>IF(Plan1!1146:1146,"AAAAAG9YVBc=",0)</f>
        <v>0</v>
      </c>
      <c r="Y68" t="e">
        <f>AND(Plan1!A1146,"AAAAAG9YVBg=")</f>
        <v>#VALUE!</v>
      </c>
      <c r="Z68" t="e">
        <f>AND(Plan1!B1146,"AAAAAG9YVBk=")</f>
        <v>#VALUE!</v>
      </c>
      <c r="AA68" t="e">
        <f>AND(Plan1!C1146,"AAAAAG9YVBo=")</f>
        <v>#VALUE!</v>
      </c>
      <c r="AB68" t="e">
        <f>AND(Plan1!D1146,"AAAAAG9YVBs=")</f>
        <v>#VALUE!</v>
      </c>
      <c r="AC68" t="e">
        <f>AND(Plan1!E1146,"AAAAAG9YVBw=")</f>
        <v>#VALUE!</v>
      </c>
      <c r="AD68" t="e">
        <f>AND(Plan1!F1146,"AAAAAG9YVB0=")</f>
        <v>#VALUE!</v>
      </c>
      <c r="AE68" t="e">
        <f>AND(Plan1!G1146,"AAAAAG9YVB4=")</f>
        <v>#VALUE!</v>
      </c>
      <c r="AF68" t="e">
        <f>AND(Plan1!H1146,"AAAAAG9YVB8=")</f>
        <v>#VALUE!</v>
      </c>
      <c r="AG68" t="e">
        <f>AND(Plan1!I1146,"AAAAAG9YVCA=")</f>
        <v>#VALUE!</v>
      </c>
      <c r="AH68" t="e">
        <f>AND(Plan1!J1146,"AAAAAG9YVCE=")</f>
        <v>#VALUE!</v>
      </c>
      <c r="AI68" t="e">
        <f>AND(Plan1!K1146,"AAAAAG9YVCI=")</f>
        <v>#VALUE!</v>
      </c>
      <c r="AJ68" t="e">
        <f>AND(Plan1!L1146,"AAAAAG9YVCM=")</f>
        <v>#VALUE!</v>
      </c>
      <c r="AK68" t="e">
        <f>AND(Plan1!M1146,"AAAAAG9YVCQ=")</f>
        <v>#VALUE!</v>
      </c>
      <c r="AL68" t="e">
        <f>AND(Plan1!N1146,"AAAAAG9YVCU=")</f>
        <v>#VALUE!</v>
      </c>
      <c r="AM68">
        <f>IF(Plan1!1147:1147,"AAAAAG9YVCY=",0)</f>
        <v>0</v>
      </c>
      <c r="AN68" t="e">
        <f>AND(Plan1!A1147,"AAAAAG9YVCc=")</f>
        <v>#VALUE!</v>
      </c>
      <c r="AO68" t="e">
        <f>AND(Plan1!B1147,"AAAAAG9YVCg=")</f>
        <v>#VALUE!</v>
      </c>
      <c r="AP68" t="e">
        <f>AND(Plan1!C1147,"AAAAAG9YVCk=")</f>
        <v>#VALUE!</v>
      </c>
      <c r="AQ68" t="e">
        <f>AND(Plan1!D1147,"AAAAAG9YVCo=")</f>
        <v>#VALUE!</v>
      </c>
      <c r="AR68" t="e">
        <f>AND(Plan1!E1147,"AAAAAG9YVCs=")</f>
        <v>#VALUE!</v>
      </c>
      <c r="AS68" t="e">
        <f>AND(Plan1!F1147,"AAAAAG9YVCw=")</f>
        <v>#VALUE!</v>
      </c>
      <c r="AT68" t="e">
        <f>AND(Plan1!G1147,"AAAAAG9YVC0=")</f>
        <v>#VALUE!</v>
      </c>
      <c r="AU68" t="e">
        <f>AND(Plan1!H1147,"AAAAAG9YVC4=")</f>
        <v>#VALUE!</v>
      </c>
      <c r="AV68" t="e">
        <f>AND(Plan1!I1147,"AAAAAG9YVC8=")</f>
        <v>#VALUE!</v>
      </c>
      <c r="AW68" t="e">
        <f>AND(Plan1!J1147,"AAAAAG9YVDA=")</f>
        <v>#VALUE!</v>
      </c>
      <c r="AX68" t="e">
        <f>AND(Plan1!K1147,"AAAAAG9YVDE=")</f>
        <v>#VALUE!</v>
      </c>
      <c r="AY68" t="e">
        <f>AND(Plan1!L1147,"AAAAAG9YVDI=")</f>
        <v>#VALUE!</v>
      </c>
      <c r="AZ68" t="e">
        <f>AND(Plan1!M1147,"AAAAAG9YVDM=")</f>
        <v>#VALUE!</v>
      </c>
      <c r="BA68" t="e">
        <f>AND(Plan1!N1147,"AAAAAG9YVDQ=")</f>
        <v>#VALUE!</v>
      </c>
      <c r="BB68">
        <f>IF(Plan1!1148:1148,"AAAAAG9YVDU=",0)</f>
        <v>0</v>
      </c>
      <c r="BC68" t="e">
        <f>AND(Plan1!A1148,"AAAAAG9YVDY=")</f>
        <v>#VALUE!</v>
      </c>
      <c r="BD68" t="e">
        <f>AND(Plan1!B1148,"AAAAAG9YVDc=")</f>
        <v>#VALUE!</v>
      </c>
      <c r="BE68" t="e">
        <f>AND(Plan1!C1148,"AAAAAG9YVDg=")</f>
        <v>#VALUE!</v>
      </c>
      <c r="BF68" t="e">
        <f>AND(Plan1!D1148,"AAAAAG9YVDk=")</f>
        <v>#VALUE!</v>
      </c>
      <c r="BG68" t="e">
        <f>AND(Plan1!E1148,"AAAAAG9YVDo=")</f>
        <v>#VALUE!</v>
      </c>
      <c r="BH68" t="e">
        <f>AND(Plan1!F1148,"AAAAAG9YVDs=")</f>
        <v>#VALUE!</v>
      </c>
      <c r="BI68" t="e">
        <f>AND(Plan1!G1148,"AAAAAG9YVDw=")</f>
        <v>#VALUE!</v>
      </c>
      <c r="BJ68" t="e">
        <f>AND(Plan1!H1148,"AAAAAG9YVD0=")</f>
        <v>#VALUE!</v>
      </c>
      <c r="BK68" t="e">
        <f>AND(Plan1!I1148,"AAAAAG9YVD4=")</f>
        <v>#VALUE!</v>
      </c>
      <c r="BL68" t="e">
        <f>AND(Plan1!J1148,"AAAAAG9YVD8=")</f>
        <v>#VALUE!</v>
      </c>
      <c r="BM68" t="e">
        <f>AND(Plan1!K1148,"AAAAAG9YVEA=")</f>
        <v>#VALUE!</v>
      </c>
      <c r="BN68" t="e">
        <f>AND(Plan1!L1148,"AAAAAG9YVEE=")</f>
        <v>#VALUE!</v>
      </c>
      <c r="BO68" t="e">
        <f>AND(Plan1!M1148,"AAAAAG9YVEI=")</f>
        <v>#VALUE!</v>
      </c>
      <c r="BP68" t="e">
        <f>AND(Plan1!N1148,"AAAAAG9YVEM=")</f>
        <v>#VALUE!</v>
      </c>
      <c r="BQ68">
        <f>IF(Plan1!1149:1149,"AAAAAG9YVEQ=",0)</f>
        <v>0</v>
      </c>
      <c r="BR68" t="e">
        <f>AND(Plan1!A1149,"AAAAAG9YVEU=")</f>
        <v>#VALUE!</v>
      </c>
      <c r="BS68" t="e">
        <f>AND(Plan1!B1149,"AAAAAG9YVEY=")</f>
        <v>#VALUE!</v>
      </c>
      <c r="BT68" t="e">
        <f>AND(Plan1!C1149,"AAAAAG9YVEc=")</f>
        <v>#VALUE!</v>
      </c>
      <c r="BU68" t="e">
        <f>AND(Plan1!D1149,"AAAAAG9YVEg=")</f>
        <v>#VALUE!</v>
      </c>
      <c r="BV68" t="e">
        <f>AND(Plan1!E1149,"AAAAAG9YVEk=")</f>
        <v>#VALUE!</v>
      </c>
      <c r="BW68" t="e">
        <f>AND(Plan1!F1149,"AAAAAG9YVEo=")</f>
        <v>#VALUE!</v>
      </c>
      <c r="BX68" t="e">
        <f>AND(Plan1!G1149,"AAAAAG9YVEs=")</f>
        <v>#VALUE!</v>
      </c>
      <c r="BY68" t="e">
        <f>AND(Plan1!H1149,"AAAAAG9YVEw=")</f>
        <v>#VALUE!</v>
      </c>
      <c r="BZ68" t="e">
        <f>AND(Plan1!I1149,"AAAAAG9YVE0=")</f>
        <v>#VALUE!</v>
      </c>
      <c r="CA68" t="e">
        <f>AND(Plan1!J1149,"AAAAAG9YVE4=")</f>
        <v>#VALUE!</v>
      </c>
      <c r="CB68" t="e">
        <f>AND(Plan1!K1149,"AAAAAG9YVE8=")</f>
        <v>#VALUE!</v>
      </c>
      <c r="CC68" t="e">
        <f>AND(Plan1!L1149,"AAAAAG9YVFA=")</f>
        <v>#VALUE!</v>
      </c>
      <c r="CD68" t="e">
        <f>AND(Plan1!M1149,"AAAAAG9YVFE=")</f>
        <v>#VALUE!</v>
      </c>
      <c r="CE68" t="e">
        <f>AND(Plan1!N1149,"AAAAAG9YVFI=")</f>
        <v>#VALUE!</v>
      </c>
      <c r="CF68">
        <f>IF(Plan1!1150:1150,"AAAAAG9YVFM=",0)</f>
        <v>0</v>
      </c>
      <c r="CG68" t="e">
        <f>AND(Plan1!A1150,"AAAAAG9YVFQ=")</f>
        <v>#VALUE!</v>
      </c>
      <c r="CH68" t="e">
        <f>AND(Plan1!B1150,"AAAAAG9YVFU=")</f>
        <v>#VALUE!</v>
      </c>
      <c r="CI68" t="e">
        <f>AND(Plan1!C1150,"AAAAAG9YVFY=")</f>
        <v>#VALUE!</v>
      </c>
      <c r="CJ68" t="e">
        <f>AND(Plan1!D1150,"AAAAAG9YVFc=")</f>
        <v>#VALUE!</v>
      </c>
      <c r="CK68" t="e">
        <f>AND(Plan1!E1150,"AAAAAG9YVFg=")</f>
        <v>#VALUE!</v>
      </c>
      <c r="CL68" t="e">
        <f>AND(Plan1!F1150,"AAAAAG9YVFk=")</f>
        <v>#VALUE!</v>
      </c>
      <c r="CM68" t="e">
        <f>AND(Plan1!G1150,"AAAAAG9YVFo=")</f>
        <v>#VALUE!</v>
      </c>
      <c r="CN68" t="e">
        <f>AND(Plan1!H1150,"AAAAAG9YVFs=")</f>
        <v>#VALUE!</v>
      </c>
      <c r="CO68" t="e">
        <f>AND(Plan1!I1150,"AAAAAG9YVFw=")</f>
        <v>#VALUE!</v>
      </c>
      <c r="CP68" t="e">
        <f>AND(Plan1!J1150,"AAAAAG9YVF0=")</f>
        <v>#VALUE!</v>
      </c>
      <c r="CQ68" t="e">
        <f>AND(Plan1!K1150,"AAAAAG9YVF4=")</f>
        <v>#VALUE!</v>
      </c>
      <c r="CR68" t="e">
        <f>AND(Plan1!L1150,"AAAAAG9YVF8=")</f>
        <v>#VALUE!</v>
      </c>
      <c r="CS68" t="e">
        <f>AND(Plan1!M1150,"AAAAAG9YVGA=")</f>
        <v>#VALUE!</v>
      </c>
      <c r="CT68" t="e">
        <f>AND(Plan1!N1150,"AAAAAG9YVGE=")</f>
        <v>#VALUE!</v>
      </c>
      <c r="CU68">
        <f>IF(Plan1!1151:1151,"AAAAAG9YVGI=",0)</f>
        <v>0</v>
      </c>
      <c r="CV68" t="e">
        <f>AND(Plan1!A1151,"AAAAAG9YVGM=")</f>
        <v>#VALUE!</v>
      </c>
      <c r="CW68" t="e">
        <f>AND(Plan1!B1151,"AAAAAG9YVGQ=")</f>
        <v>#VALUE!</v>
      </c>
      <c r="CX68" t="e">
        <f>AND(Plan1!C1151,"AAAAAG9YVGU=")</f>
        <v>#VALUE!</v>
      </c>
      <c r="CY68" t="e">
        <f>AND(Plan1!D1151,"AAAAAG9YVGY=")</f>
        <v>#VALUE!</v>
      </c>
      <c r="CZ68" t="e">
        <f>AND(Plan1!E1151,"AAAAAG9YVGc=")</f>
        <v>#VALUE!</v>
      </c>
      <c r="DA68" t="e">
        <f>AND(Plan1!F1151,"AAAAAG9YVGg=")</f>
        <v>#VALUE!</v>
      </c>
      <c r="DB68" t="e">
        <f>AND(Plan1!G1151,"AAAAAG9YVGk=")</f>
        <v>#VALUE!</v>
      </c>
      <c r="DC68" t="e">
        <f>AND(Plan1!H1151,"AAAAAG9YVGo=")</f>
        <v>#VALUE!</v>
      </c>
      <c r="DD68" t="e">
        <f>AND(Plan1!I1151,"AAAAAG9YVGs=")</f>
        <v>#VALUE!</v>
      </c>
      <c r="DE68" t="e">
        <f>AND(Plan1!J1151,"AAAAAG9YVGw=")</f>
        <v>#VALUE!</v>
      </c>
      <c r="DF68" t="e">
        <f>AND(Plan1!K1151,"AAAAAG9YVG0=")</f>
        <v>#VALUE!</v>
      </c>
      <c r="DG68" t="e">
        <f>AND(Plan1!L1151,"AAAAAG9YVG4=")</f>
        <v>#VALUE!</v>
      </c>
      <c r="DH68" t="e">
        <f>AND(Plan1!M1151,"AAAAAG9YVG8=")</f>
        <v>#VALUE!</v>
      </c>
      <c r="DI68" t="e">
        <f>AND(Plan1!N1151,"AAAAAG9YVHA=")</f>
        <v>#VALUE!</v>
      </c>
      <c r="DJ68">
        <f>IF(Plan1!1152:1152,"AAAAAG9YVHE=",0)</f>
        <v>0</v>
      </c>
      <c r="DK68" t="e">
        <f>AND(Plan1!A1152,"AAAAAG9YVHI=")</f>
        <v>#VALUE!</v>
      </c>
      <c r="DL68" t="e">
        <f>AND(Plan1!B1152,"AAAAAG9YVHM=")</f>
        <v>#VALUE!</v>
      </c>
      <c r="DM68" t="e">
        <f>AND(Plan1!C1152,"AAAAAG9YVHQ=")</f>
        <v>#VALUE!</v>
      </c>
      <c r="DN68" t="e">
        <f>AND(Plan1!D1152,"AAAAAG9YVHU=")</f>
        <v>#VALUE!</v>
      </c>
      <c r="DO68" t="e">
        <f>AND(Plan1!E1152,"AAAAAG9YVHY=")</f>
        <v>#VALUE!</v>
      </c>
      <c r="DP68" t="e">
        <f>AND(Plan1!F1152,"AAAAAG9YVHc=")</f>
        <v>#VALUE!</v>
      </c>
      <c r="DQ68" t="e">
        <f>AND(Plan1!G1152,"AAAAAG9YVHg=")</f>
        <v>#VALUE!</v>
      </c>
      <c r="DR68" t="e">
        <f>AND(Plan1!H1152,"AAAAAG9YVHk=")</f>
        <v>#VALUE!</v>
      </c>
      <c r="DS68" t="e">
        <f>AND(Plan1!I1152,"AAAAAG9YVHo=")</f>
        <v>#VALUE!</v>
      </c>
      <c r="DT68" t="e">
        <f>AND(Plan1!J1152,"AAAAAG9YVHs=")</f>
        <v>#VALUE!</v>
      </c>
      <c r="DU68" t="e">
        <f>AND(Plan1!K1152,"AAAAAG9YVHw=")</f>
        <v>#VALUE!</v>
      </c>
      <c r="DV68" t="e">
        <f>AND(Plan1!L1152,"AAAAAG9YVH0=")</f>
        <v>#VALUE!</v>
      </c>
      <c r="DW68" t="e">
        <f>AND(Plan1!M1152,"AAAAAG9YVH4=")</f>
        <v>#VALUE!</v>
      </c>
      <c r="DX68" t="e">
        <f>AND(Plan1!N1152,"AAAAAG9YVH8=")</f>
        <v>#VALUE!</v>
      </c>
      <c r="DY68">
        <f>IF(Plan1!1153:1153,"AAAAAG9YVIA=",0)</f>
        <v>0</v>
      </c>
      <c r="DZ68" t="e">
        <f>AND(Plan1!A1153,"AAAAAG9YVIE=")</f>
        <v>#VALUE!</v>
      </c>
      <c r="EA68" t="e">
        <f>AND(Plan1!B1153,"AAAAAG9YVII=")</f>
        <v>#VALUE!</v>
      </c>
      <c r="EB68" t="e">
        <f>AND(Plan1!C1153,"AAAAAG9YVIM=")</f>
        <v>#VALUE!</v>
      </c>
      <c r="EC68" t="e">
        <f>AND(Plan1!D1153,"AAAAAG9YVIQ=")</f>
        <v>#VALUE!</v>
      </c>
      <c r="ED68" t="e">
        <f>AND(Plan1!E1153,"AAAAAG9YVIU=")</f>
        <v>#VALUE!</v>
      </c>
      <c r="EE68" t="e">
        <f>AND(Plan1!F1153,"AAAAAG9YVIY=")</f>
        <v>#VALUE!</v>
      </c>
      <c r="EF68" t="e">
        <f>AND(Plan1!G1153,"AAAAAG9YVIc=")</f>
        <v>#VALUE!</v>
      </c>
      <c r="EG68" t="e">
        <f>AND(Plan1!H1153,"AAAAAG9YVIg=")</f>
        <v>#VALUE!</v>
      </c>
      <c r="EH68" t="e">
        <f>AND(Plan1!I1153,"AAAAAG9YVIk=")</f>
        <v>#VALUE!</v>
      </c>
      <c r="EI68" t="e">
        <f>AND(Plan1!J1153,"AAAAAG9YVIo=")</f>
        <v>#VALUE!</v>
      </c>
      <c r="EJ68" t="e">
        <f>AND(Plan1!K1153,"AAAAAG9YVIs=")</f>
        <v>#VALUE!</v>
      </c>
      <c r="EK68" t="e">
        <f>AND(Plan1!L1153,"AAAAAG9YVIw=")</f>
        <v>#VALUE!</v>
      </c>
      <c r="EL68" t="e">
        <f>AND(Plan1!M1153,"AAAAAG9YVI0=")</f>
        <v>#VALUE!</v>
      </c>
      <c r="EM68" t="e">
        <f>AND(Plan1!N1153,"AAAAAG9YVI4=")</f>
        <v>#VALUE!</v>
      </c>
      <c r="EN68">
        <f>IF(Plan1!1154:1154,"AAAAAG9YVI8=",0)</f>
        <v>0</v>
      </c>
      <c r="EO68" t="e">
        <f>AND(Plan1!A1154,"AAAAAG9YVJA=")</f>
        <v>#VALUE!</v>
      </c>
      <c r="EP68" t="e">
        <f>AND(Plan1!B1154,"AAAAAG9YVJE=")</f>
        <v>#VALUE!</v>
      </c>
      <c r="EQ68" t="e">
        <f>AND(Plan1!C1154,"AAAAAG9YVJI=")</f>
        <v>#VALUE!</v>
      </c>
      <c r="ER68" t="e">
        <f>AND(Plan1!D1154,"AAAAAG9YVJM=")</f>
        <v>#VALUE!</v>
      </c>
      <c r="ES68" t="e">
        <f>AND(Plan1!E1154,"AAAAAG9YVJQ=")</f>
        <v>#VALUE!</v>
      </c>
      <c r="ET68" t="e">
        <f>AND(Plan1!F1154,"AAAAAG9YVJU=")</f>
        <v>#VALUE!</v>
      </c>
      <c r="EU68" t="e">
        <f>AND(Plan1!G1154,"AAAAAG9YVJY=")</f>
        <v>#VALUE!</v>
      </c>
      <c r="EV68" t="e">
        <f>AND(Plan1!H1154,"AAAAAG9YVJc=")</f>
        <v>#VALUE!</v>
      </c>
      <c r="EW68" t="e">
        <f>AND(Plan1!I1154,"AAAAAG9YVJg=")</f>
        <v>#VALUE!</v>
      </c>
      <c r="EX68" t="e">
        <f>AND(Plan1!J1154,"AAAAAG9YVJk=")</f>
        <v>#VALUE!</v>
      </c>
      <c r="EY68" t="e">
        <f>AND(Plan1!K1154,"AAAAAG9YVJo=")</f>
        <v>#VALUE!</v>
      </c>
      <c r="EZ68" t="e">
        <f>AND(Plan1!L1154,"AAAAAG9YVJs=")</f>
        <v>#VALUE!</v>
      </c>
      <c r="FA68" t="e">
        <f>AND(Plan1!M1154,"AAAAAG9YVJw=")</f>
        <v>#VALUE!</v>
      </c>
      <c r="FB68" t="e">
        <f>AND(Plan1!N1154,"AAAAAG9YVJ0=")</f>
        <v>#VALUE!</v>
      </c>
      <c r="FC68">
        <f>IF(Plan1!1155:1155,"AAAAAG9YVJ4=",0)</f>
        <v>0</v>
      </c>
      <c r="FD68" t="e">
        <f>AND(Plan1!A1155,"AAAAAG9YVJ8=")</f>
        <v>#VALUE!</v>
      </c>
      <c r="FE68" t="e">
        <f>AND(Plan1!B1155,"AAAAAG9YVKA=")</f>
        <v>#VALUE!</v>
      </c>
      <c r="FF68" t="e">
        <f>AND(Plan1!C1155,"AAAAAG9YVKE=")</f>
        <v>#VALUE!</v>
      </c>
      <c r="FG68" t="e">
        <f>AND(Plan1!D1155,"AAAAAG9YVKI=")</f>
        <v>#VALUE!</v>
      </c>
      <c r="FH68" t="e">
        <f>AND(Plan1!E1155,"AAAAAG9YVKM=")</f>
        <v>#VALUE!</v>
      </c>
      <c r="FI68" t="e">
        <f>AND(Plan1!F1155,"AAAAAG9YVKQ=")</f>
        <v>#VALUE!</v>
      </c>
      <c r="FJ68" t="e">
        <f>AND(Plan1!G1155,"AAAAAG9YVKU=")</f>
        <v>#VALUE!</v>
      </c>
      <c r="FK68" t="e">
        <f>AND(Plan1!H1155,"AAAAAG9YVKY=")</f>
        <v>#VALUE!</v>
      </c>
      <c r="FL68" t="e">
        <f>AND(Plan1!I1155,"AAAAAG9YVKc=")</f>
        <v>#VALUE!</v>
      </c>
      <c r="FM68" t="e">
        <f>AND(Plan1!J1155,"AAAAAG9YVKg=")</f>
        <v>#VALUE!</v>
      </c>
      <c r="FN68" t="e">
        <f>AND(Plan1!K1155,"AAAAAG9YVKk=")</f>
        <v>#VALUE!</v>
      </c>
      <c r="FO68" t="e">
        <f>AND(Plan1!L1155,"AAAAAG9YVKo=")</f>
        <v>#VALUE!</v>
      </c>
      <c r="FP68" t="e">
        <f>AND(Plan1!M1155,"AAAAAG9YVKs=")</f>
        <v>#VALUE!</v>
      </c>
      <c r="FQ68" t="e">
        <f>AND(Plan1!N1155,"AAAAAG9YVKw=")</f>
        <v>#VALUE!</v>
      </c>
      <c r="FR68">
        <f>IF(Plan1!1156:1156,"AAAAAG9YVK0=",0)</f>
        <v>0</v>
      </c>
      <c r="FS68" t="e">
        <f>AND(Plan1!A1156,"AAAAAG9YVK4=")</f>
        <v>#VALUE!</v>
      </c>
      <c r="FT68" t="e">
        <f>AND(Plan1!B1156,"AAAAAG9YVK8=")</f>
        <v>#VALUE!</v>
      </c>
      <c r="FU68" t="e">
        <f>AND(Plan1!C1156,"AAAAAG9YVLA=")</f>
        <v>#VALUE!</v>
      </c>
      <c r="FV68" t="e">
        <f>AND(Plan1!D1156,"AAAAAG9YVLE=")</f>
        <v>#VALUE!</v>
      </c>
      <c r="FW68" t="e">
        <f>AND(Plan1!E1156,"AAAAAG9YVLI=")</f>
        <v>#VALUE!</v>
      </c>
      <c r="FX68" t="e">
        <f>AND(Plan1!F1156,"AAAAAG9YVLM=")</f>
        <v>#VALUE!</v>
      </c>
      <c r="FY68" t="e">
        <f>AND(Plan1!G1156,"AAAAAG9YVLQ=")</f>
        <v>#VALUE!</v>
      </c>
      <c r="FZ68" t="e">
        <f>AND(Plan1!H1156,"AAAAAG9YVLU=")</f>
        <v>#VALUE!</v>
      </c>
      <c r="GA68" t="e">
        <f>AND(Plan1!I1156,"AAAAAG9YVLY=")</f>
        <v>#VALUE!</v>
      </c>
      <c r="GB68" t="e">
        <f>AND(Plan1!J1156,"AAAAAG9YVLc=")</f>
        <v>#VALUE!</v>
      </c>
      <c r="GC68" t="e">
        <f>AND(Plan1!K1156,"AAAAAG9YVLg=")</f>
        <v>#VALUE!</v>
      </c>
      <c r="GD68" t="e">
        <f>AND(Plan1!L1156,"AAAAAG9YVLk=")</f>
        <v>#VALUE!</v>
      </c>
      <c r="GE68" t="e">
        <f>AND(Plan1!M1156,"AAAAAG9YVLo=")</f>
        <v>#VALUE!</v>
      </c>
      <c r="GF68" t="e">
        <f>AND(Plan1!N1156,"AAAAAG9YVLs=")</f>
        <v>#VALUE!</v>
      </c>
      <c r="GG68">
        <f>IF(Plan1!1157:1157,"AAAAAG9YVLw=",0)</f>
        <v>0</v>
      </c>
      <c r="GH68" t="e">
        <f>AND(Plan1!A1157,"AAAAAG9YVL0=")</f>
        <v>#VALUE!</v>
      </c>
      <c r="GI68" t="e">
        <f>AND(Plan1!B1157,"AAAAAG9YVL4=")</f>
        <v>#VALUE!</v>
      </c>
      <c r="GJ68" t="e">
        <f>AND(Plan1!C1157,"AAAAAG9YVL8=")</f>
        <v>#VALUE!</v>
      </c>
      <c r="GK68" t="e">
        <f>AND(Plan1!D1157,"AAAAAG9YVMA=")</f>
        <v>#VALUE!</v>
      </c>
      <c r="GL68" t="e">
        <f>AND(Plan1!E1157,"AAAAAG9YVME=")</f>
        <v>#VALUE!</v>
      </c>
      <c r="GM68" t="e">
        <f>AND(Plan1!F1157,"AAAAAG9YVMI=")</f>
        <v>#VALUE!</v>
      </c>
      <c r="GN68" t="e">
        <f>AND(Plan1!G1157,"AAAAAG9YVMM=")</f>
        <v>#VALUE!</v>
      </c>
      <c r="GO68" t="e">
        <f>AND(Plan1!H1157,"AAAAAG9YVMQ=")</f>
        <v>#VALUE!</v>
      </c>
      <c r="GP68" t="e">
        <f>AND(Plan1!I1157,"AAAAAG9YVMU=")</f>
        <v>#VALUE!</v>
      </c>
      <c r="GQ68" t="e">
        <f>AND(Plan1!J1157,"AAAAAG9YVMY=")</f>
        <v>#VALUE!</v>
      </c>
      <c r="GR68" t="e">
        <f>AND(Plan1!K1157,"AAAAAG9YVMc=")</f>
        <v>#VALUE!</v>
      </c>
      <c r="GS68" t="e">
        <f>AND(Plan1!L1157,"AAAAAG9YVMg=")</f>
        <v>#VALUE!</v>
      </c>
      <c r="GT68" t="e">
        <f>AND(Plan1!M1157,"AAAAAG9YVMk=")</f>
        <v>#VALUE!</v>
      </c>
      <c r="GU68" t="e">
        <f>AND(Plan1!N1157,"AAAAAG9YVMo=")</f>
        <v>#VALUE!</v>
      </c>
      <c r="GV68">
        <f>IF(Plan1!1158:1158,"AAAAAG9YVMs=",0)</f>
        <v>0</v>
      </c>
      <c r="GW68" t="e">
        <f>AND(Plan1!A1158,"AAAAAG9YVMw=")</f>
        <v>#VALUE!</v>
      </c>
      <c r="GX68" t="e">
        <f>AND(Plan1!B1158,"AAAAAG9YVM0=")</f>
        <v>#VALUE!</v>
      </c>
      <c r="GY68" t="e">
        <f>AND(Plan1!C1158,"AAAAAG9YVM4=")</f>
        <v>#VALUE!</v>
      </c>
      <c r="GZ68" t="e">
        <f>AND(Plan1!D1158,"AAAAAG9YVM8=")</f>
        <v>#VALUE!</v>
      </c>
      <c r="HA68" t="e">
        <f>AND(Plan1!E1158,"AAAAAG9YVNA=")</f>
        <v>#VALUE!</v>
      </c>
      <c r="HB68" t="e">
        <f>AND(Plan1!F1158,"AAAAAG9YVNE=")</f>
        <v>#VALUE!</v>
      </c>
      <c r="HC68" t="e">
        <f>AND(Plan1!G1158,"AAAAAG9YVNI=")</f>
        <v>#VALUE!</v>
      </c>
      <c r="HD68" t="e">
        <f>AND(Plan1!H1158,"AAAAAG9YVNM=")</f>
        <v>#VALUE!</v>
      </c>
      <c r="HE68" t="e">
        <f>AND(Plan1!I1158,"AAAAAG9YVNQ=")</f>
        <v>#VALUE!</v>
      </c>
      <c r="HF68" t="e">
        <f>AND(Plan1!J1158,"AAAAAG9YVNU=")</f>
        <v>#VALUE!</v>
      </c>
      <c r="HG68" t="e">
        <f>AND(Plan1!K1158,"AAAAAG9YVNY=")</f>
        <v>#VALUE!</v>
      </c>
      <c r="HH68" t="e">
        <f>AND(Plan1!L1158,"AAAAAG9YVNc=")</f>
        <v>#VALUE!</v>
      </c>
      <c r="HI68" t="e">
        <f>AND(Plan1!M1158,"AAAAAG9YVNg=")</f>
        <v>#VALUE!</v>
      </c>
      <c r="HJ68" t="e">
        <f>AND(Plan1!N1158,"AAAAAG9YVNk=")</f>
        <v>#VALUE!</v>
      </c>
      <c r="HK68">
        <f>IF(Plan1!1159:1159,"AAAAAG9YVNo=",0)</f>
        <v>0</v>
      </c>
      <c r="HL68" t="e">
        <f>AND(Plan1!A1159,"AAAAAG9YVNs=")</f>
        <v>#VALUE!</v>
      </c>
      <c r="HM68" t="e">
        <f>AND(Plan1!B1159,"AAAAAG9YVNw=")</f>
        <v>#VALUE!</v>
      </c>
      <c r="HN68" t="e">
        <f>AND(Plan1!C1159,"AAAAAG9YVN0=")</f>
        <v>#VALUE!</v>
      </c>
      <c r="HO68" t="e">
        <f>AND(Plan1!D1159,"AAAAAG9YVN4=")</f>
        <v>#VALUE!</v>
      </c>
      <c r="HP68" t="e">
        <f>AND(Plan1!E1159,"AAAAAG9YVN8=")</f>
        <v>#VALUE!</v>
      </c>
      <c r="HQ68" t="e">
        <f>AND(Plan1!F1159,"AAAAAG9YVOA=")</f>
        <v>#VALUE!</v>
      </c>
      <c r="HR68" t="e">
        <f>AND(Plan1!G1159,"AAAAAG9YVOE=")</f>
        <v>#VALUE!</v>
      </c>
      <c r="HS68" t="e">
        <f>AND(Plan1!H1159,"AAAAAG9YVOI=")</f>
        <v>#VALUE!</v>
      </c>
      <c r="HT68" t="e">
        <f>AND(Plan1!I1159,"AAAAAG9YVOM=")</f>
        <v>#VALUE!</v>
      </c>
      <c r="HU68" t="e">
        <f>AND(Plan1!J1159,"AAAAAG9YVOQ=")</f>
        <v>#VALUE!</v>
      </c>
      <c r="HV68" t="e">
        <f>AND(Plan1!K1159,"AAAAAG9YVOU=")</f>
        <v>#VALUE!</v>
      </c>
      <c r="HW68" t="e">
        <f>AND(Plan1!L1159,"AAAAAG9YVOY=")</f>
        <v>#VALUE!</v>
      </c>
      <c r="HX68" t="e">
        <f>AND(Plan1!M1159,"AAAAAG9YVOc=")</f>
        <v>#VALUE!</v>
      </c>
      <c r="HY68" t="e">
        <f>AND(Plan1!N1159,"AAAAAG9YVOg=")</f>
        <v>#VALUE!</v>
      </c>
      <c r="HZ68">
        <f>IF(Plan1!1160:1160,"AAAAAG9YVOk=",0)</f>
        <v>0</v>
      </c>
      <c r="IA68" t="e">
        <f>AND(Plan1!A1160,"AAAAAG9YVOo=")</f>
        <v>#VALUE!</v>
      </c>
      <c r="IB68" t="e">
        <f>AND(Plan1!B1160,"AAAAAG9YVOs=")</f>
        <v>#VALUE!</v>
      </c>
      <c r="IC68" t="e">
        <f>AND(Plan1!C1160,"AAAAAG9YVOw=")</f>
        <v>#VALUE!</v>
      </c>
      <c r="ID68" t="e">
        <f>AND(Plan1!D1160,"AAAAAG9YVO0=")</f>
        <v>#VALUE!</v>
      </c>
      <c r="IE68" t="e">
        <f>AND(Plan1!E1160,"AAAAAG9YVO4=")</f>
        <v>#VALUE!</v>
      </c>
      <c r="IF68" t="e">
        <f>AND(Plan1!F1160,"AAAAAG9YVO8=")</f>
        <v>#VALUE!</v>
      </c>
      <c r="IG68" t="e">
        <f>AND(Plan1!G1160,"AAAAAG9YVPA=")</f>
        <v>#VALUE!</v>
      </c>
      <c r="IH68" t="e">
        <f>AND(Plan1!H1160,"AAAAAG9YVPE=")</f>
        <v>#VALUE!</v>
      </c>
      <c r="II68" t="e">
        <f>AND(Plan1!I1160,"AAAAAG9YVPI=")</f>
        <v>#VALUE!</v>
      </c>
      <c r="IJ68" t="e">
        <f>AND(Plan1!J1160,"AAAAAG9YVPM=")</f>
        <v>#VALUE!</v>
      </c>
      <c r="IK68" t="e">
        <f>AND(Plan1!K1160,"AAAAAG9YVPQ=")</f>
        <v>#VALUE!</v>
      </c>
      <c r="IL68" t="e">
        <f>AND(Plan1!L1160,"AAAAAG9YVPU=")</f>
        <v>#VALUE!</v>
      </c>
      <c r="IM68" t="e">
        <f>AND(Plan1!M1160,"AAAAAG9YVPY=")</f>
        <v>#VALUE!</v>
      </c>
      <c r="IN68" t="e">
        <f>AND(Plan1!N1160,"AAAAAG9YVPc=")</f>
        <v>#VALUE!</v>
      </c>
      <c r="IO68">
        <f>IF(Plan1!1161:1161,"AAAAAG9YVPg=",0)</f>
        <v>0</v>
      </c>
      <c r="IP68" t="e">
        <f>AND(Plan1!A1161,"AAAAAG9YVPk=")</f>
        <v>#VALUE!</v>
      </c>
      <c r="IQ68" t="e">
        <f>AND(Plan1!B1161,"AAAAAG9YVPo=")</f>
        <v>#VALUE!</v>
      </c>
      <c r="IR68" t="e">
        <f>AND(Plan1!C1161,"AAAAAG9YVPs=")</f>
        <v>#VALUE!</v>
      </c>
      <c r="IS68" t="e">
        <f>AND(Plan1!D1161,"AAAAAG9YVPw=")</f>
        <v>#VALUE!</v>
      </c>
      <c r="IT68" t="e">
        <f>AND(Plan1!E1161,"AAAAAG9YVP0=")</f>
        <v>#VALUE!</v>
      </c>
      <c r="IU68" t="e">
        <f>AND(Plan1!F1161,"AAAAAG9YVP4=")</f>
        <v>#VALUE!</v>
      </c>
      <c r="IV68" t="e">
        <f>AND(Plan1!G1161,"AAAAAG9YVP8=")</f>
        <v>#VALUE!</v>
      </c>
    </row>
    <row r="69" spans="1:256">
      <c r="A69" t="e">
        <f>AND(Plan1!H1161,"AAAAAH/7nwA=")</f>
        <v>#VALUE!</v>
      </c>
      <c r="B69" t="e">
        <f>AND(Plan1!I1161,"AAAAAH/7nwE=")</f>
        <v>#VALUE!</v>
      </c>
      <c r="C69" t="e">
        <f>AND(Plan1!J1161,"AAAAAH/7nwI=")</f>
        <v>#VALUE!</v>
      </c>
      <c r="D69" t="e">
        <f>AND(Plan1!K1161,"AAAAAH/7nwM=")</f>
        <v>#VALUE!</v>
      </c>
      <c r="E69" t="e">
        <f>AND(Plan1!L1161,"AAAAAH/7nwQ=")</f>
        <v>#VALUE!</v>
      </c>
      <c r="F69" t="e">
        <f>AND(Plan1!M1161,"AAAAAH/7nwU=")</f>
        <v>#VALUE!</v>
      </c>
      <c r="G69" t="e">
        <f>AND(Plan1!N1161,"AAAAAH/7nwY=")</f>
        <v>#VALUE!</v>
      </c>
      <c r="H69" t="str">
        <f>IF(Plan1!1162:1162,"AAAAAH/7nwc=",0)</f>
        <v>AAAAAH/7nwc=</v>
      </c>
      <c r="I69" t="e">
        <f>AND(Plan1!A1162,"AAAAAH/7nwg=")</f>
        <v>#VALUE!</v>
      </c>
      <c r="J69" t="e">
        <f>AND(Plan1!B1162,"AAAAAH/7nwk=")</f>
        <v>#VALUE!</v>
      </c>
      <c r="K69" t="e">
        <f>AND(Plan1!C1162,"AAAAAH/7nwo=")</f>
        <v>#VALUE!</v>
      </c>
      <c r="L69" t="e">
        <f>AND(Plan1!D1162,"AAAAAH/7nws=")</f>
        <v>#VALUE!</v>
      </c>
      <c r="M69" t="e">
        <f>AND(Plan1!E1162,"AAAAAH/7nww=")</f>
        <v>#VALUE!</v>
      </c>
      <c r="N69" t="e">
        <f>AND(Plan1!F1162,"AAAAAH/7nw0=")</f>
        <v>#VALUE!</v>
      </c>
      <c r="O69" t="e">
        <f>AND(Plan1!G1162,"AAAAAH/7nw4=")</f>
        <v>#VALUE!</v>
      </c>
      <c r="P69" t="e">
        <f>AND(Plan1!H1162,"AAAAAH/7nw8=")</f>
        <v>#VALUE!</v>
      </c>
      <c r="Q69" t="e">
        <f>AND(Plan1!I1162,"AAAAAH/7nxA=")</f>
        <v>#VALUE!</v>
      </c>
      <c r="R69" t="e">
        <f>AND(Plan1!J1162,"AAAAAH/7nxE=")</f>
        <v>#VALUE!</v>
      </c>
      <c r="S69" t="e">
        <f>AND(Plan1!K1162,"AAAAAH/7nxI=")</f>
        <v>#VALUE!</v>
      </c>
      <c r="T69" t="e">
        <f>AND(Plan1!L1162,"AAAAAH/7nxM=")</f>
        <v>#VALUE!</v>
      </c>
      <c r="U69" t="e">
        <f>AND(Plan1!M1162,"AAAAAH/7nxQ=")</f>
        <v>#VALUE!</v>
      </c>
      <c r="V69" t="e">
        <f>AND(Plan1!N1162,"AAAAAH/7nxU=")</f>
        <v>#VALUE!</v>
      </c>
      <c r="W69">
        <f>IF(Plan1!1163:1163,"AAAAAH/7nxY=",0)</f>
        <v>0</v>
      </c>
      <c r="X69" t="e">
        <f>AND(Plan1!A1163,"AAAAAH/7nxc=")</f>
        <v>#VALUE!</v>
      </c>
      <c r="Y69" t="e">
        <f>AND(Plan1!B1163,"AAAAAH/7nxg=")</f>
        <v>#VALUE!</v>
      </c>
      <c r="Z69" t="e">
        <f>AND(Plan1!C1163,"AAAAAH/7nxk=")</f>
        <v>#VALUE!</v>
      </c>
      <c r="AA69" t="e">
        <f>AND(Plan1!D1163,"AAAAAH/7nxo=")</f>
        <v>#VALUE!</v>
      </c>
      <c r="AB69" t="e">
        <f>AND(Plan1!E1163,"AAAAAH/7nxs=")</f>
        <v>#VALUE!</v>
      </c>
      <c r="AC69" t="e">
        <f>AND(Plan1!F1163,"AAAAAH/7nxw=")</f>
        <v>#VALUE!</v>
      </c>
      <c r="AD69" t="e">
        <f>AND(Plan1!G1163,"AAAAAH/7nx0=")</f>
        <v>#VALUE!</v>
      </c>
      <c r="AE69" t="e">
        <f>AND(Plan1!H1163,"AAAAAH/7nx4=")</f>
        <v>#VALUE!</v>
      </c>
      <c r="AF69" t="e">
        <f>AND(Plan1!I1163,"AAAAAH/7nx8=")</f>
        <v>#VALUE!</v>
      </c>
      <c r="AG69" t="e">
        <f>AND(Plan1!J1163,"AAAAAH/7nyA=")</f>
        <v>#VALUE!</v>
      </c>
      <c r="AH69" t="e">
        <f>AND(Plan1!K1163,"AAAAAH/7nyE=")</f>
        <v>#VALUE!</v>
      </c>
      <c r="AI69" t="e">
        <f>AND(Plan1!L1163,"AAAAAH/7nyI=")</f>
        <v>#VALUE!</v>
      </c>
      <c r="AJ69" t="e">
        <f>AND(Plan1!M1163,"AAAAAH/7nyM=")</f>
        <v>#VALUE!</v>
      </c>
      <c r="AK69" t="e">
        <f>AND(Plan1!N1163,"AAAAAH/7nyQ=")</f>
        <v>#VALUE!</v>
      </c>
      <c r="AL69">
        <f>IF(Plan1!1164:1164,"AAAAAH/7nyU=",0)</f>
        <v>0</v>
      </c>
      <c r="AM69" t="e">
        <f>AND(Plan1!A1164,"AAAAAH/7nyY=")</f>
        <v>#VALUE!</v>
      </c>
      <c r="AN69" t="e">
        <f>AND(Plan1!B1164,"AAAAAH/7nyc=")</f>
        <v>#VALUE!</v>
      </c>
      <c r="AO69" t="e">
        <f>AND(Plan1!C1164,"AAAAAH/7nyg=")</f>
        <v>#VALUE!</v>
      </c>
      <c r="AP69" t="e">
        <f>AND(Plan1!D1164,"AAAAAH/7nyk=")</f>
        <v>#VALUE!</v>
      </c>
      <c r="AQ69" t="e">
        <f>AND(Plan1!E1164,"AAAAAH/7nyo=")</f>
        <v>#VALUE!</v>
      </c>
      <c r="AR69" t="e">
        <f>AND(Plan1!F1164,"AAAAAH/7nys=")</f>
        <v>#VALUE!</v>
      </c>
      <c r="AS69" t="e">
        <f>AND(Plan1!G1164,"AAAAAH/7nyw=")</f>
        <v>#VALUE!</v>
      </c>
      <c r="AT69" t="e">
        <f>AND(Plan1!H1164,"AAAAAH/7ny0=")</f>
        <v>#VALUE!</v>
      </c>
      <c r="AU69" t="e">
        <f>AND(Plan1!I1164,"AAAAAH/7ny4=")</f>
        <v>#VALUE!</v>
      </c>
      <c r="AV69" t="e">
        <f>AND(Plan1!J1164,"AAAAAH/7ny8=")</f>
        <v>#VALUE!</v>
      </c>
      <c r="AW69" t="e">
        <f>AND(Plan1!K1164,"AAAAAH/7nzA=")</f>
        <v>#VALUE!</v>
      </c>
      <c r="AX69" t="e">
        <f>AND(Plan1!L1164,"AAAAAH/7nzE=")</f>
        <v>#VALUE!</v>
      </c>
      <c r="AY69" t="e">
        <f>AND(Plan1!M1164,"AAAAAH/7nzI=")</f>
        <v>#VALUE!</v>
      </c>
      <c r="AZ69" t="e">
        <f>AND(Plan1!N1164,"AAAAAH/7nzM=")</f>
        <v>#VALUE!</v>
      </c>
      <c r="BA69">
        <f>IF(Plan1!1165:1165,"AAAAAH/7nzQ=",0)</f>
        <v>0</v>
      </c>
      <c r="BB69" t="e">
        <f>AND(Plan1!A1165,"AAAAAH/7nzU=")</f>
        <v>#VALUE!</v>
      </c>
      <c r="BC69" t="e">
        <f>AND(Plan1!B1165,"AAAAAH/7nzY=")</f>
        <v>#VALUE!</v>
      </c>
      <c r="BD69" t="e">
        <f>AND(Plan1!C1165,"AAAAAH/7nzc=")</f>
        <v>#VALUE!</v>
      </c>
      <c r="BE69" t="e">
        <f>AND(Plan1!D1165,"AAAAAH/7nzg=")</f>
        <v>#VALUE!</v>
      </c>
      <c r="BF69" t="e">
        <f>AND(Plan1!E1165,"AAAAAH/7nzk=")</f>
        <v>#VALUE!</v>
      </c>
      <c r="BG69" t="e">
        <f>AND(Plan1!F1165,"AAAAAH/7nzo=")</f>
        <v>#VALUE!</v>
      </c>
      <c r="BH69" t="e">
        <f>AND(Plan1!G1165,"AAAAAH/7nzs=")</f>
        <v>#VALUE!</v>
      </c>
      <c r="BI69" t="e">
        <f>AND(Plan1!H1165,"AAAAAH/7nzw=")</f>
        <v>#VALUE!</v>
      </c>
      <c r="BJ69" t="e">
        <f>AND(Plan1!I1165,"AAAAAH/7nz0=")</f>
        <v>#VALUE!</v>
      </c>
      <c r="BK69" t="e">
        <f>AND(Plan1!J1165,"AAAAAH/7nz4=")</f>
        <v>#VALUE!</v>
      </c>
      <c r="BL69" t="e">
        <f>AND(Plan1!K1165,"AAAAAH/7nz8=")</f>
        <v>#VALUE!</v>
      </c>
      <c r="BM69" t="e">
        <f>AND(Plan1!L1165,"AAAAAH/7n0A=")</f>
        <v>#VALUE!</v>
      </c>
      <c r="BN69" t="e">
        <f>AND(Plan1!M1165,"AAAAAH/7n0E=")</f>
        <v>#VALUE!</v>
      </c>
      <c r="BO69" t="e">
        <f>AND(Plan1!N1165,"AAAAAH/7n0I=")</f>
        <v>#VALUE!</v>
      </c>
      <c r="BP69">
        <f>IF(Plan1!1166:1166,"AAAAAH/7n0M=",0)</f>
        <v>0</v>
      </c>
      <c r="BQ69" t="e">
        <f>AND(Plan1!A1166,"AAAAAH/7n0Q=")</f>
        <v>#VALUE!</v>
      </c>
      <c r="BR69" t="e">
        <f>AND(Plan1!B1166,"AAAAAH/7n0U=")</f>
        <v>#VALUE!</v>
      </c>
      <c r="BS69" t="e">
        <f>AND(Plan1!C1166,"AAAAAH/7n0Y=")</f>
        <v>#VALUE!</v>
      </c>
      <c r="BT69" t="e">
        <f>AND(Plan1!D1166,"AAAAAH/7n0c=")</f>
        <v>#VALUE!</v>
      </c>
      <c r="BU69" t="e">
        <f>AND(Plan1!E1166,"AAAAAH/7n0g=")</f>
        <v>#VALUE!</v>
      </c>
      <c r="BV69" t="e">
        <f>AND(Plan1!F1166,"AAAAAH/7n0k=")</f>
        <v>#VALUE!</v>
      </c>
      <c r="BW69" t="e">
        <f>AND(Plan1!G1166,"AAAAAH/7n0o=")</f>
        <v>#VALUE!</v>
      </c>
      <c r="BX69" t="e">
        <f>AND(Plan1!H1166,"AAAAAH/7n0s=")</f>
        <v>#VALUE!</v>
      </c>
      <c r="BY69" t="e">
        <f>AND(Plan1!I1166,"AAAAAH/7n0w=")</f>
        <v>#VALUE!</v>
      </c>
      <c r="BZ69" t="e">
        <f>AND(Plan1!J1166,"AAAAAH/7n00=")</f>
        <v>#VALUE!</v>
      </c>
      <c r="CA69" t="e">
        <f>AND(Plan1!K1166,"AAAAAH/7n04=")</f>
        <v>#VALUE!</v>
      </c>
      <c r="CB69" t="e">
        <f>AND(Plan1!L1166,"AAAAAH/7n08=")</f>
        <v>#VALUE!</v>
      </c>
      <c r="CC69" t="e">
        <f>AND(Plan1!M1166,"AAAAAH/7n1A=")</f>
        <v>#VALUE!</v>
      </c>
      <c r="CD69" t="e">
        <f>AND(Plan1!N1166,"AAAAAH/7n1E=")</f>
        <v>#VALUE!</v>
      </c>
      <c r="CE69">
        <f>IF(Plan1!1167:1167,"AAAAAH/7n1I=",0)</f>
        <v>0</v>
      </c>
      <c r="CF69" t="e">
        <f>AND(Plan1!A1167,"AAAAAH/7n1M=")</f>
        <v>#VALUE!</v>
      </c>
      <c r="CG69" t="e">
        <f>AND(Plan1!B1167,"AAAAAH/7n1Q=")</f>
        <v>#VALUE!</v>
      </c>
      <c r="CH69" t="e">
        <f>AND(Plan1!C1167,"AAAAAH/7n1U=")</f>
        <v>#VALUE!</v>
      </c>
      <c r="CI69" t="e">
        <f>AND(Plan1!D1167,"AAAAAH/7n1Y=")</f>
        <v>#VALUE!</v>
      </c>
      <c r="CJ69" t="e">
        <f>AND(Plan1!E1167,"AAAAAH/7n1c=")</f>
        <v>#VALUE!</v>
      </c>
      <c r="CK69" t="e">
        <f>AND(Plan1!F1167,"AAAAAH/7n1g=")</f>
        <v>#VALUE!</v>
      </c>
      <c r="CL69" t="e">
        <f>AND(Plan1!G1167,"AAAAAH/7n1k=")</f>
        <v>#VALUE!</v>
      </c>
      <c r="CM69" t="e">
        <f>AND(Plan1!H1167,"AAAAAH/7n1o=")</f>
        <v>#VALUE!</v>
      </c>
      <c r="CN69" t="e">
        <f>AND(Plan1!I1167,"AAAAAH/7n1s=")</f>
        <v>#VALUE!</v>
      </c>
      <c r="CO69" t="e">
        <f>AND(Plan1!J1167,"AAAAAH/7n1w=")</f>
        <v>#VALUE!</v>
      </c>
      <c r="CP69" t="e">
        <f>AND(Plan1!K1167,"AAAAAH/7n10=")</f>
        <v>#VALUE!</v>
      </c>
      <c r="CQ69" t="e">
        <f>AND(Plan1!L1167,"AAAAAH/7n14=")</f>
        <v>#VALUE!</v>
      </c>
      <c r="CR69" t="e">
        <f>AND(Plan1!M1167,"AAAAAH/7n18=")</f>
        <v>#VALUE!</v>
      </c>
      <c r="CS69" t="e">
        <f>AND(Plan1!N1167,"AAAAAH/7n2A=")</f>
        <v>#VALUE!</v>
      </c>
      <c r="CT69">
        <f>IF(Plan1!1168:1168,"AAAAAH/7n2E=",0)</f>
        <v>0</v>
      </c>
      <c r="CU69" t="e">
        <f>AND(Plan1!A1168,"AAAAAH/7n2I=")</f>
        <v>#VALUE!</v>
      </c>
      <c r="CV69" t="e">
        <f>AND(Plan1!B1168,"AAAAAH/7n2M=")</f>
        <v>#VALUE!</v>
      </c>
      <c r="CW69" t="e">
        <f>AND(Plan1!C1168,"AAAAAH/7n2Q=")</f>
        <v>#VALUE!</v>
      </c>
      <c r="CX69" t="e">
        <f>AND(Plan1!D1168,"AAAAAH/7n2U=")</f>
        <v>#VALUE!</v>
      </c>
      <c r="CY69" t="e">
        <f>AND(Plan1!E1168,"AAAAAH/7n2Y=")</f>
        <v>#VALUE!</v>
      </c>
      <c r="CZ69" t="e">
        <f>AND(Plan1!F1168,"AAAAAH/7n2c=")</f>
        <v>#VALUE!</v>
      </c>
      <c r="DA69" t="e">
        <f>AND(Plan1!G1168,"AAAAAH/7n2g=")</f>
        <v>#VALUE!</v>
      </c>
      <c r="DB69" t="e">
        <f>AND(Plan1!H1168,"AAAAAH/7n2k=")</f>
        <v>#VALUE!</v>
      </c>
      <c r="DC69" t="e">
        <f>AND(Plan1!I1168,"AAAAAH/7n2o=")</f>
        <v>#VALUE!</v>
      </c>
      <c r="DD69" t="e">
        <f>AND(Plan1!J1168,"AAAAAH/7n2s=")</f>
        <v>#VALUE!</v>
      </c>
      <c r="DE69" t="e">
        <f>AND(Plan1!K1168,"AAAAAH/7n2w=")</f>
        <v>#VALUE!</v>
      </c>
      <c r="DF69" t="e">
        <f>AND(Plan1!L1168,"AAAAAH/7n20=")</f>
        <v>#VALUE!</v>
      </c>
      <c r="DG69" t="e">
        <f>AND(Plan1!M1168,"AAAAAH/7n24=")</f>
        <v>#VALUE!</v>
      </c>
      <c r="DH69" t="e">
        <f>AND(Plan1!N1168,"AAAAAH/7n28=")</f>
        <v>#VALUE!</v>
      </c>
      <c r="DI69">
        <f>IF(Plan1!1169:1169,"AAAAAH/7n3A=",0)</f>
        <v>0</v>
      </c>
      <c r="DJ69" t="e">
        <f>AND(Plan1!A1169,"AAAAAH/7n3E=")</f>
        <v>#VALUE!</v>
      </c>
      <c r="DK69" t="e">
        <f>AND(Plan1!B1169,"AAAAAH/7n3I=")</f>
        <v>#VALUE!</v>
      </c>
      <c r="DL69" t="e">
        <f>AND(Plan1!C1169,"AAAAAH/7n3M=")</f>
        <v>#VALUE!</v>
      </c>
      <c r="DM69" t="e">
        <f>AND(Plan1!D1169,"AAAAAH/7n3Q=")</f>
        <v>#VALUE!</v>
      </c>
      <c r="DN69" t="e">
        <f>AND(Plan1!E1169,"AAAAAH/7n3U=")</f>
        <v>#VALUE!</v>
      </c>
      <c r="DO69" t="e">
        <f>AND(Plan1!F1169,"AAAAAH/7n3Y=")</f>
        <v>#VALUE!</v>
      </c>
      <c r="DP69" t="e">
        <f>AND(Plan1!G1169,"AAAAAH/7n3c=")</f>
        <v>#VALUE!</v>
      </c>
      <c r="DQ69" t="e">
        <f>AND(Plan1!H1169,"AAAAAH/7n3g=")</f>
        <v>#VALUE!</v>
      </c>
      <c r="DR69" t="e">
        <f>AND(Plan1!I1169,"AAAAAH/7n3k=")</f>
        <v>#VALUE!</v>
      </c>
      <c r="DS69" t="e">
        <f>AND(Plan1!J1169,"AAAAAH/7n3o=")</f>
        <v>#VALUE!</v>
      </c>
      <c r="DT69" t="e">
        <f>AND(Plan1!K1169,"AAAAAH/7n3s=")</f>
        <v>#VALUE!</v>
      </c>
      <c r="DU69" t="e">
        <f>AND(Plan1!L1169,"AAAAAH/7n3w=")</f>
        <v>#VALUE!</v>
      </c>
      <c r="DV69" t="e">
        <f>AND(Plan1!M1169,"AAAAAH/7n30=")</f>
        <v>#VALUE!</v>
      </c>
      <c r="DW69" t="e">
        <f>AND(Plan1!N1169,"AAAAAH/7n34=")</f>
        <v>#VALUE!</v>
      </c>
      <c r="DX69">
        <f>IF(Plan1!1170:1170,"AAAAAH/7n38=",0)</f>
        <v>0</v>
      </c>
      <c r="DY69" t="e">
        <f>AND(Plan1!A1170,"AAAAAH/7n4A=")</f>
        <v>#VALUE!</v>
      </c>
      <c r="DZ69" t="e">
        <f>AND(Plan1!B1170,"AAAAAH/7n4E=")</f>
        <v>#VALUE!</v>
      </c>
      <c r="EA69" t="e">
        <f>AND(Plan1!C1170,"AAAAAH/7n4I=")</f>
        <v>#VALUE!</v>
      </c>
      <c r="EB69" t="e">
        <f>AND(Plan1!D1170,"AAAAAH/7n4M=")</f>
        <v>#VALUE!</v>
      </c>
      <c r="EC69" t="e">
        <f>AND(Plan1!E1170,"AAAAAH/7n4Q=")</f>
        <v>#VALUE!</v>
      </c>
      <c r="ED69" t="e">
        <f>AND(Plan1!F1170,"AAAAAH/7n4U=")</f>
        <v>#VALUE!</v>
      </c>
      <c r="EE69" t="e">
        <f>AND(Plan1!G1170,"AAAAAH/7n4Y=")</f>
        <v>#VALUE!</v>
      </c>
      <c r="EF69" t="e">
        <f>AND(Plan1!H1170,"AAAAAH/7n4c=")</f>
        <v>#VALUE!</v>
      </c>
      <c r="EG69" t="e">
        <f>AND(Plan1!I1170,"AAAAAH/7n4g=")</f>
        <v>#VALUE!</v>
      </c>
      <c r="EH69" t="e">
        <f>AND(Plan1!J1170,"AAAAAH/7n4k=")</f>
        <v>#VALUE!</v>
      </c>
      <c r="EI69" t="e">
        <f>AND(Plan1!K1170,"AAAAAH/7n4o=")</f>
        <v>#VALUE!</v>
      </c>
      <c r="EJ69" t="e">
        <f>AND(Plan1!L1170,"AAAAAH/7n4s=")</f>
        <v>#VALUE!</v>
      </c>
      <c r="EK69" t="e">
        <f>AND(Plan1!M1170,"AAAAAH/7n4w=")</f>
        <v>#VALUE!</v>
      </c>
      <c r="EL69" t="e">
        <f>AND(Plan1!N1170,"AAAAAH/7n40=")</f>
        <v>#VALUE!</v>
      </c>
      <c r="EM69">
        <f>IF(Plan1!1171:1171,"AAAAAH/7n44=",0)</f>
        <v>0</v>
      </c>
      <c r="EN69" t="e">
        <f>AND(Plan1!A1171,"AAAAAH/7n48=")</f>
        <v>#VALUE!</v>
      </c>
      <c r="EO69" t="e">
        <f>AND(Plan1!B1171,"AAAAAH/7n5A=")</f>
        <v>#VALUE!</v>
      </c>
      <c r="EP69" t="e">
        <f>AND(Plan1!C1171,"AAAAAH/7n5E=")</f>
        <v>#VALUE!</v>
      </c>
      <c r="EQ69" t="e">
        <f>AND(Plan1!D1171,"AAAAAH/7n5I=")</f>
        <v>#VALUE!</v>
      </c>
      <c r="ER69" t="e">
        <f>AND(Plan1!E1171,"AAAAAH/7n5M=")</f>
        <v>#VALUE!</v>
      </c>
      <c r="ES69" t="e">
        <f>AND(Plan1!F1171,"AAAAAH/7n5Q=")</f>
        <v>#VALUE!</v>
      </c>
      <c r="ET69" t="e">
        <f>AND(Plan1!G1171,"AAAAAH/7n5U=")</f>
        <v>#VALUE!</v>
      </c>
      <c r="EU69" t="e">
        <f>AND(Plan1!H1171,"AAAAAH/7n5Y=")</f>
        <v>#VALUE!</v>
      </c>
      <c r="EV69" t="e">
        <f>AND(Plan1!I1171,"AAAAAH/7n5c=")</f>
        <v>#VALUE!</v>
      </c>
      <c r="EW69" t="e">
        <f>AND(Plan1!J1171,"AAAAAH/7n5g=")</f>
        <v>#VALUE!</v>
      </c>
      <c r="EX69" t="e">
        <f>AND(Plan1!K1171,"AAAAAH/7n5k=")</f>
        <v>#VALUE!</v>
      </c>
      <c r="EY69" t="e">
        <f>AND(Plan1!L1171,"AAAAAH/7n5o=")</f>
        <v>#VALUE!</v>
      </c>
      <c r="EZ69" t="e">
        <f>AND(Plan1!M1171,"AAAAAH/7n5s=")</f>
        <v>#VALUE!</v>
      </c>
      <c r="FA69" t="e">
        <f>AND(Plan1!N1171,"AAAAAH/7n5w=")</f>
        <v>#VALUE!</v>
      </c>
      <c r="FB69">
        <f>IF(Plan1!1172:1172,"AAAAAH/7n50=",0)</f>
        <v>0</v>
      </c>
      <c r="FC69" t="e">
        <f>AND(Plan1!A1172,"AAAAAH/7n54=")</f>
        <v>#VALUE!</v>
      </c>
      <c r="FD69" t="e">
        <f>AND(Plan1!B1172,"AAAAAH/7n58=")</f>
        <v>#VALUE!</v>
      </c>
      <c r="FE69" t="e">
        <f>AND(Plan1!C1172,"AAAAAH/7n6A=")</f>
        <v>#VALUE!</v>
      </c>
      <c r="FF69" t="e">
        <f>AND(Plan1!D1172,"AAAAAH/7n6E=")</f>
        <v>#VALUE!</v>
      </c>
      <c r="FG69" t="e">
        <f>AND(Plan1!E1172,"AAAAAH/7n6I=")</f>
        <v>#VALUE!</v>
      </c>
      <c r="FH69" t="e">
        <f>AND(Plan1!F1172,"AAAAAH/7n6M=")</f>
        <v>#VALUE!</v>
      </c>
      <c r="FI69" t="e">
        <f>AND(Plan1!G1172,"AAAAAH/7n6Q=")</f>
        <v>#VALUE!</v>
      </c>
      <c r="FJ69" t="e">
        <f>AND(Plan1!H1172,"AAAAAH/7n6U=")</f>
        <v>#VALUE!</v>
      </c>
      <c r="FK69" t="e">
        <f>AND(Plan1!I1172,"AAAAAH/7n6Y=")</f>
        <v>#VALUE!</v>
      </c>
      <c r="FL69" t="e">
        <f>AND(Plan1!J1172,"AAAAAH/7n6c=")</f>
        <v>#VALUE!</v>
      </c>
      <c r="FM69" t="e">
        <f>AND(Plan1!K1172,"AAAAAH/7n6g=")</f>
        <v>#VALUE!</v>
      </c>
      <c r="FN69" t="e">
        <f>AND(Plan1!L1172,"AAAAAH/7n6k=")</f>
        <v>#VALUE!</v>
      </c>
      <c r="FO69" t="e">
        <f>AND(Plan1!M1172,"AAAAAH/7n6o=")</f>
        <v>#VALUE!</v>
      </c>
      <c r="FP69" t="e">
        <f>AND(Plan1!N1172,"AAAAAH/7n6s=")</f>
        <v>#VALUE!</v>
      </c>
      <c r="FQ69">
        <f>IF(Plan1!1173:1173,"AAAAAH/7n6w=",0)</f>
        <v>0</v>
      </c>
      <c r="FR69" t="e">
        <f>AND(Plan1!A1173,"AAAAAH/7n60=")</f>
        <v>#VALUE!</v>
      </c>
      <c r="FS69" t="e">
        <f>AND(Plan1!B1173,"AAAAAH/7n64=")</f>
        <v>#VALUE!</v>
      </c>
      <c r="FT69" t="e">
        <f>AND(Plan1!C1173,"AAAAAH/7n68=")</f>
        <v>#VALUE!</v>
      </c>
      <c r="FU69" t="e">
        <f>AND(Plan1!D1173,"AAAAAH/7n7A=")</f>
        <v>#VALUE!</v>
      </c>
      <c r="FV69" t="e">
        <f>AND(Plan1!E1173,"AAAAAH/7n7E=")</f>
        <v>#VALUE!</v>
      </c>
      <c r="FW69" t="e">
        <f>AND(Plan1!F1173,"AAAAAH/7n7I=")</f>
        <v>#VALUE!</v>
      </c>
      <c r="FX69" t="e">
        <f>AND(Plan1!G1173,"AAAAAH/7n7M=")</f>
        <v>#VALUE!</v>
      </c>
      <c r="FY69" t="e">
        <f>AND(Plan1!H1173,"AAAAAH/7n7Q=")</f>
        <v>#VALUE!</v>
      </c>
      <c r="FZ69" t="e">
        <f>AND(Plan1!I1173,"AAAAAH/7n7U=")</f>
        <v>#VALUE!</v>
      </c>
      <c r="GA69" t="e">
        <f>AND(Plan1!J1173,"AAAAAH/7n7Y=")</f>
        <v>#VALUE!</v>
      </c>
      <c r="GB69" t="e">
        <f>AND(Plan1!K1173,"AAAAAH/7n7c=")</f>
        <v>#VALUE!</v>
      </c>
      <c r="GC69" t="e">
        <f>AND(Plan1!L1173,"AAAAAH/7n7g=")</f>
        <v>#VALUE!</v>
      </c>
      <c r="GD69" t="e">
        <f>AND(Plan1!M1173,"AAAAAH/7n7k=")</f>
        <v>#VALUE!</v>
      </c>
      <c r="GE69" t="e">
        <f>AND(Plan1!N1173,"AAAAAH/7n7o=")</f>
        <v>#VALUE!</v>
      </c>
      <c r="GF69">
        <f>IF(Plan1!1174:1174,"AAAAAH/7n7s=",0)</f>
        <v>0</v>
      </c>
      <c r="GG69" t="e">
        <f>AND(Plan1!A1174,"AAAAAH/7n7w=")</f>
        <v>#VALUE!</v>
      </c>
      <c r="GH69" t="e">
        <f>AND(Plan1!B1174,"AAAAAH/7n70=")</f>
        <v>#VALUE!</v>
      </c>
      <c r="GI69" t="e">
        <f>AND(Plan1!C1174,"AAAAAH/7n74=")</f>
        <v>#VALUE!</v>
      </c>
      <c r="GJ69" t="e">
        <f>AND(Plan1!D1174,"AAAAAH/7n78=")</f>
        <v>#VALUE!</v>
      </c>
      <c r="GK69" t="e">
        <f>AND(Plan1!E1174,"AAAAAH/7n8A=")</f>
        <v>#VALUE!</v>
      </c>
      <c r="GL69" t="e">
        <f>AND(Plan1!F1174,"AAAAAH/7n8E=")</f>
        <v>#VALUE!</v>
      </c>
      <c r="GM69" t="e">
        <f>AND(Plan1!G1174,"AAAAAH/7n8I=")</f>
        <v>#VALUE!</v>
      </c>
      <c r="GN69" t="e">
        <f>AND(Plan1!H1174,"AAAAAH/7n8M=")</f>
        <v>#VALUE!</v>
      </c>
      <c r="GO69" t="e">
        <f>AND(Plan1!I1174,"AAAAAH/7n8Q=")</f>
        <v>#VALUE!</v>
      </c>
      <c r="GP69" t="e">
        <f>AND(Plan1!J1174,"AAAAAH/7n8U=")</f>
        <v>#VALUE!</v>
      </c>
      <c r="GQ69" t="e">
        <f>AND(Plan1!K1174,"AAAAAH/7n8Y=")</f>
        <v>#VALUE!</v>
      </c>
      <c r="GR69" t="e">
        <f>AND(Plan1!L1174,"AAAAAH/7n8c=")</f>
        <v>#VALUE!</v>
      </c>
      <c r="GS69" t="e">
        <f>AND(Plan1!M1174,"AAAAAH/7n8g=")</f>
        <v>#VALUE!</v>
      </c>
      <c r="GT69" t="e">
        <f>AND(Plan1!N1174,"AAAAAH/7n8k=")</f>
        <v>#VALUE!</v>
      </c>
      <c r="GU69">
        <f>IF(Plan1!1175:1175,"AAAAAH/7n8o=",0)</f>
        <v>0</v>
      </c>
      <c r="GV69" t="e">
        <f>AND(Plan1!A1175,"AAAAAH/7n8s=")</f>
        <v>#VALUE!</v>
      </c>
      <c r="GW69" t="e">
        <f>AND(Plan1!B1175,"AAAAAH/7n8w=")</f>
        <v>#VALUE!</v>
      </c>
      <c r="GX69" t="e">
        <f>AND(Plan1!C1175,"AAAAAH/7n80=")</f>
        <v>#VALUE!</v>
      </c>
      <c r="GY69" t="e">
        <f>AND(Plan1!D1175,"AAAAAH/7n84=")</f>
        <v>#VALUE!</v>
      </c>
      <c r="GZ69" t="e">
        <f>AND(Plan1!E1175,"AAAAAH/7n88=")</f>
        <v>#VALUE!</v>
      </c>
      <c r="HA69" t="e">
        <f>AND(Plan1!F1175,"AAAAAH/7n9A=")</f>
        <v>#VALUE!</v>
      </c>
      <c r="HB69" t="e">
        <f>AND(Plan1!G1175,"AAAAAH/7n9E=")</f>
        <v>#VALUE!</v>
      </c>
      <c r="HC69" t="e">
        <f>AND(Plan1!H1175,"AAAAAH/7n9I=")</f>
        <v>#VALUE!</v>
      </c>
      <c r="HD69" t="e">
        <f>AND(Plan1!I1175,"AAAAAH/7n9M=")</f>
        <v>#VALUE!</v>
      </c>
      <c r="HE69" t="e">
        <f>AND(Plan1!J1175,"AAAAAH/7n9Q=")</f>
        <v>#VALUE!</v>
      </c>
      <c r="HF69" t="e">
        <f>AND(Plan1!K1175,"AAAAAH/7n9U=")</f>
        <v>#VALUE!</v>
      </c>
      <c r="HG69" t="e">
        <f>AND(Plan1!L1175,"AAAAAH/7n9Y=")</f>
        <v>#VALUE!</v>
      </c>
      <c r="HH69" t="e">
        <f>AND(Plan1!M1175,"AAAAAH/7n9c=")</f>
        <v>#VALUE!</v>
      </c>
      <c r="HI69" t="e">
        <f>AND(Plan1!N1175,"AAAAAH/7n9g=")</f>
        <v>#VALUE!</v>
      </c>
      <c r="HJ69">
        <f>IF(Plan1!1176:1176,"AAAAAH/7n9k=",0)</f>
        <v>0</v>
      </c>
      <c r="HK69" t="e">
        <f>AND(Plan1!A1176,"AAAAAH/7n9o=")</f>
        <v>#VALUE!</v>
      </c>
      <c r="HL69" t="e">
        <f>AND(Plan1!B1176,"AAAAAH/7n9s=")</f>
        <v>#VALUE!</v>
      </c>
      <c r="HM69" t="e">
        <f>AND(Plan1!C1176,"AAAAAH/7n9w=")</f>
        <v>#VALUE!</v>
      </c>
      <c r="HN69" t="e">
        <f>AND(Plan1!D1176,"AAAAAH/7n90=")</f>
        <v>#VALUE!</v>
      </c>
      <c r="HO69" t="e">
        <f>AND(Plan1!E1176,"AAAAAH/7n94=")</f>
        <v>#VALUE!</v>
      </c>
      <c r="HP69" t="e">
        <f>AND(Plan1!F1176,"AAAAAH/7n98=")</f>
        <v>#VALUE!</v>
      </c>
      <c r="HQ69" t="e">
        <f>AND(Plan1!G1176,"AAAAAH/7n+A=")</f>
        <v>#VALUE!</v>
      </c>
      <c r="HR69" t="e">
        <f>AND(Plan1!H1176,"AAAAAH/7n+E=")</f>
        <v>#VALUE!</v>
      </c>
      <c r="HS69" t="e">
        <f>AND(Plan1!I1176,"AAAAAH/7n+I=")</f>
        <v>#VALUE!</v>
      </c>
      <c r="HT69" t="e">
        <f>AND(Plan1!J1176,"AAAAAH/7n+M=")</f>
        <v>#VALUE!</v>
      </c>
      <c r="HU69" t="e">
        <f>AND(Plan1!K1176,"AAAAAH/7n+Q=")</f>
        <v>#VALUE!</v>
      </c>
      <c r="HV69" t="e">
        <f>AND(Plan1!L1176,"AAAAAH/7n+U=")</f>
        <v>#VALUE!</v>
      </c>
      <c r="HW69" t="e">
        <f>AND(Plan1!M1176,"AAAAAH/7n+Y=")</f>
        <v>#VALUE!</v>
      </c>
      <c r="HX69" t="e">
        <f>AND(Plan1!N1176,"AAAAAH/7n+c=")</f>
        <v>#VALUE!</v>
      </c>
      <c r="HY69">
        <f>IF(Plan1!1177:1177,"AAAAAH/7n+g=",0)</f>
        <v>0</v>
      </c>
      <c r="HZ69" t="e">
        <f>AND(Plan1!A1177,"AAAAAH/7n+k=")</f>
        <v>#VALUE!</v>
      </c>
      <c r="IA69" t="e">
        <f>AND(Plan1!B1177,"AAAAAH/7n+o=")</f>
        <v>#VALUE!</v>
      </c>
      <c r="IB69" t="e">
        <f>AND(Plan1!C1177,"AAAAAH/7n+s=")</f>
        <v>#VALUE!</v>
      </c>
      <c r="IC69" t="e">
        <f>AND(Plan1!D1177,"AAAAAH/7n+w=")</f>
        <v>#VALUE!</v>
      </c>
      <c r="ID69" t="e">
        <f>AND(Plan1!E1177,"AAAAAH/7n+0=")</f>
        <v>#VALUE!</v>
      </c>
      <c r="IE69" t="e">
        <f>AND(Plan1!F1177,"AAAAAH/7n+4=")</f>
        <v>#VALUE!</v>
      </c>
      <c r="IF69" t="e">
        <f>AND(Plan1!G1177,"AAAAAH/7n+8=")</f>
        <v>#VALUE!</v>
      </c>
      <c r="IG69" t="e">
        <f>AND(Plan1!H1177,"AAAAAH/7n/A=")</f>
        <v>#VALUE!</v>
      </c>
      <c r="IH69" t="e">
        <f>AND(Plan1!I1177,"AAAAAH/7n/E=")</f>
        <v>#VALUE!</v>
      </c>
      <c r="II69" t="e">
        <f>AND(Plan1!J1177,"AAAAAH/7n/I=")</f>
        <v>#VALUE!</v>
      </c>
      <c r="IJ69" t="e">
        <f>AND(Plan1!K1177,"AAAAAH/7n/M=")</f>
        <v>#VALUE!</v>
      </c>
      <c r="IK69" t="e">
        <f>AND(Plan1!L1177,"AAAAAH/7n/Q=")</f>
        <v>#VALUE!</v>
      </c>
      <c r="IL69" t="e">
        <f>AND(Plan1!M1177,"AAAAAH/7n/U=")</f>
        <v>#VALUE!</v>
      </c>
      <c r="IM69" t="e">
        <f>AND(Plan1!N1177,"AAAAAH/7n/Y=")</f>
        <v>#VALUE!</v>
      </c>
      <c r="IN69">
        <f>IF(Plan1!1178:1178,"AAAAAH/7n/c=",0)</f>
        <v>0</v>
      </c>
      <c r="IO69" t="e">
        <f>AND(Plan1!A1178,"AAAAAH/7n/g=")</f>
        <v>#VALUE!</v>
      </c>
      <c r="IP69" t="e">
        <f>AND(Plan1!B1178,"AAAAAH/7n/k=")</f>
        <v>#VALUE!</v>
      </c>
      <c r="IQ69" t="e">
        <f>AND(Plan1!C1178,"AAAAAH/7n/o=")</f>
        <v>#VALUE!</v>
      </c>
      <c r="IR69" t="e">
        <f>AND(Plan1!D1178,"AAAAAH/7n/s=")</f>
        <v>#VALUE!</v>
      </c>
      <c r="IS69" t="e">
        <f>AND(Plan1!E1178,"AAAAAH/7n/w=")</f>
        <v>#VALUE!</v>
      </c>
      <c r="IT69" t="e">
        <f>AND(Plan1!F1178,"AAAAAH/7n/0=")</f>
        <v>#VALUE!</v>
      </c>
      <c r="IU69" t="e">
        <f>AND(Plan1!G1178,"AAAAAH/7n/4=")</f>
        <v>#VALUE!</v>
      </c>
      <c r="IV69" t="e">
        <f>AND(Plan1!H1178,"AAAAAH/7n/8=")</f>
        <v>#VALUE!</v>
      </c>
    </row>
    <row r="70" spans="1:256">
      <c r="A70" t="e">
        <f>AND(Plan1!I1178,"AAAAAH+9qQA=")</f>
        <v>#VALUE!</v>
      </c>
      <c r="B70" t="e">
        <f>AND(Plan1!J1178,"AAAAAH+9qQE=")</f>
        <v>#VALUE!</v>
      </c>
      <c r="C70" t="e">
        <f>AND(Plan1!K1178,"AAAAAH+9qQI=")</f>
        <v>#VALUE!</v>
      </c>
      <c r="D70" t="e">
        <f>AND(Plan1!L1178,"AAAAAH+9qQM=")</f>
        <v>#VALUE!</v>
      </c>
      <c r="E70" t="e">
        <f>AND(Plan1!M1178,"AAAAAH+9qQQ=")</f>
        <v>#VALUE!</v>
      </c>
      <c r="F70" t="e">
        <f>AND(Plan1!N1178,"AAAAAH+9qQU=")</f>
        <v>#VALUE!</v>
      </c>
      <c r="G70">
        <f>IF(Plan1!1179:1179,"AAAAAH+9qQY=",0)</f>
        <v>0</v>
      </c>
      <c r="H70" t="e">
        <f>AND(Plan1!A1179,"AAAAAH+9qQc=")</f>
        <v>#VALUE!</v>
      </c>
      <c r="I70" t="e">
        <f>AND(Plan1!B1179,"AAAAAH+9qQg=")</f>
        <v>#VALUE!</v>
      </c>
      <c r="J70" t="e">
        <f>AND(Plan1!C1179,"AAAAAH+9qQk=")</f>
        <v>#VALUE!</v>
      </c>
      <c r="K70" t="e">
        <f>AND(Plan1!D1179,"AAAAAH+9qQo=")</f>
        <v>#VALUE!</v>
      </c>
      <c r="L70" t="e">
        <f>AND(Plan1!E1179,"AAAAAH+9qQs=")</f>
        <v>#VALUE!</v>
      </c>
      <c r="M70" t="e">
        <f>AND(Plan1!F1179,"AAAAAH+9qQw=")</f>
        <v>#VALUE!</v>
      </c>
      <c r="N70" t="e">
        <f>AND(Plan1!G1179,"AAAAAH+9qQ0=")</f>
        <v>#VALUE!</v>
      </c>
      <c r="O70" t="e">
        <f>AND(Plan1!H1179,"AAAAAH+9qQ4=")</f>
        <v>#VALUE!</v>
      </c>
      <c r="P70" t="e">
        <f>AND(Plan1!I1179,"AAAAAH+9qQ8=")</f>
        <v>#VALUE!</v>
      </c>
      <c r="Q70" t="e">
        <f>AND(Plan1!J1179,"AAAAAH+9qRA=")</f>
        <v>#VALUE!</v>
      </c>
      <c r="R70" t="e">
        <f>AND(Plan1!K1179,"AAAAAH+9qRE=")</f>
        <v>#VALUE!</v>
      </c>
      <c r="S70" t="e">
        <f>AND(Plan1!L1179,"AAAAAH+9qRI=")</f>
        <v>#VALUE!</v>
      </c>
      <c r="T70" t="e">
        <f>AND(Plan1!M1179,"AAAAAH+9qRM=")</f>
        <v>#VALUE!</v>
      </c>
      <c r="U70" t="e">
        <f>AND(Plan1!N1179,"AAAAAH+9qRQ=")</f>
        <v>#VALUE!</v>
      </c>
      <c r="V70">
        <f>IF(Plan1!1180:1180,"AAAAAH+9qRU=",0)</f>
        <v>0</v>
      </c>
      <c r="W70" t="e">
        <f>AND(Plan1!A1180,"AAAAAH+9qRY=")</f>
        <v>#VALUE!</v>
      </c>
      <c r="X70" t="e">
        <f>AND(Plan1!B1180,"AAAAAH+9qRc=")</f>
        <v>#VALUE!</v>
      </c>
      <c r="Y70" t="e">
        <f>AND(Plan1!C1180,"AAAAAH+9qRg=")</f>
        <v>#VALUE!</v>
      </c>
      <c r="Z70" t="e">
        <f>AND(Plan1!D1180,"AAAAAH+9qRk=")</f>
        <v>#VALUE!</v>
      </c>
      <c r="AA70" t="e">
        <f>AND(Plan1!E1180,"AAAAAH+9qRo=")</f>
        <v>#VALUE!</v>
      </c>
      <c r="AB70" t="e">
        <f>AND(Plan1!F1180,"AAAAAH+9qRs=")</f>
        <v>#VALUE!</v>
      </c>
      <c r="AC70" t="e">
        <f>AND(Plan1!G1180,"AAAAAH+9qRw=")</f>
        <v>#VALUE!</v>
      </c>
      <c r="AD70" t="e">
        <f>AND(Plan1!H1180,"AAAAAH+9qR0=")</f>
        <v>#VALUE!</v>
      </c>
      <c r="AE70" t="e">
        <f>AND(Plan1!I1180,"AAAAAH+9qR4=")</f>
        <v>#VALUE!</v>
      </c>
      <c r="AF70" t="e">
        <f>AND(Plan1!J1180,"AAAAAH+9qR8=")</f>
        <v>#VALUE!</v>
      </c>
      <c r="AG70" t="e">
        <f>AND(Plan1!K1180,"AAAAAH+9qSA=")</f>
        <v>#VALUE!</v>
      </c>
      <c r="AH70" t="e">
        <f>AND(Plan1!L1180,"AAAAAH+9qSE=")</f>
        <v>#VALUE!</v>
      </c>
      <c r="AI70" t="e">
        <f>AND(Plan1!M1180,"AAAAAH+9qSI=")</f>
        <v>#VALUE!</v>
      </c>
      <c r="AJ70" t="e">
        <f>AND(Plan1!N1180,"AAAAAH+9qSM=")</f>
        <v>#VALUE!</v>
      </c>
      <c r="AK70">
        <f>IF(Plan1!1181:1181,"AAAAAH+9qSQ=",0)</f>
        <v>0</v>
      </c>
      <c r="AL70" t="e">
        <f>AND(Plan1!A1181,"AAAAAH+9qSU=")</f>
        <v>#VALUE!</v>
      </c>
      <c r="AM70" t="e">
        <f>AND(Plan1!B1181,"AAAAAH+9qSY=")</f>
        <v>#VALUE!</v>
      </c>
      <c r="AN70" t="e">
        <f>AND(Plan1!C1181,"AAAAAH+9qSc=")</f>
        <v>#VALUE!</v>
      </c>
      <c r="AO70" t="e">
        <f>AND(Plan1!D1181,"AAAAAH+9qSg=")</f>
        <v>#VALUE!</v>
      </c>
      <c r="AP70" t="e">
        <f>AND(Plan1!E1181,"AAAAAH+9qSk=")</f>
        <v>#VALUE!</v>
      </c>
      <c r="AQ70" t="e">
        <f>AND(Plan1!F1181,"AAAAAH+9qSo=")</f>
        <v>#VALUE!</v>
      </c>
      <c r="AR70" t="e">
        <f>AND(Plan1!G1181,"AAAAAH+9qSs=")</f>
        <v>#VALUE!</v>
      </c>
      <c r="AS70" t="e">
        <f>AND(Plan1!H1181,"AAAAAH+9qSw=")</f>
        <v>#VALUE!</v>
      </c>
      <c r="AT70" t="e">
        <f>AND(Plan1!I1181,"AAAAAH+9qS0=")</f>
        <v>#VALUE!</v>
      </c>
      <c r="AU70" t="e">
        <f>AND(Plan1!J1181,"AAAAAH+9qS4=")</f>
        <v>#VALUE!</v>
      </c>
      <c r="AV70" t="e">
        <f>AND(Plan1!K1181,"AAAAAH+9qS8=")</f>
        <v>#VALUE!</v>
      </c>
      <c r="AW70" t="e">
        <f>AND(Plan1!L1181,"AAAAAH+9qTA=")</f>
        <v>#VALUE!</v>
      </c>
      <c r="AX70" t="e">
        <f>AND(Plan1!M1181,"AAAAAH+9qTE=")</f>
        <v>#VALUE!</v>
      </c>
      <c r="AY70" t="e">
        <f>AND(Plan1!N1181,"AAAAAH+9qTI=")</f>
        <v>#VALUE!</v>
      </c>
      <c r="AZ70">
        <f>IF(Plan1!1182:1182,"AAAAAH+9qTM=",0)</f>
        <v>0</v>
      </c>
      <c r="BA70" t="e">
        <f>AND(Plan1!A1182,"AAAAAH+9qTQ=")</f>
        <v>#VALUE!</v>
      </c>
      <c r="BB70" t="e">
        <f>AND(Plan1!B1182,"AAAAAH+9qTU=")</f>
        <v>#VALUE!</v>
      </c>
      <c r="BC70" t="e">
        <f>AND(Plan1!C1182,"AAAAAH+9qTY=")</f>
        <v>#VALUE!</v>
      </c>
      <c r="BD70" t="e">
        <f>AND(Plan1!D1182,"AAAAAH+9qTc=")</f>
        <v>#VALUE!</v>
      </c>
      <c r="BE70" t="e">
        <f>AND(Plan1!E1182,"AAAAAH+9qTg=")</f>
        <v>#VALUE!</v>
      </c>
      <c r="BF70" t="e">
        <f>AND(Plan1!F1182,"AAAAAH+9qTk=")</f>
        <v>#VALUE!</v>
      </c>
      <c r="BG70" t="e">
        <f>AND(Plan1!G1182,"AAAAAH+9qTo=")</f>
        <v>#VALUE!</v>
      </c>
      <c r="BH70" t="e">
        <f>AND(Plan1!H1182,"AAAAAH+9qTs=")</f>
        <v>#VALUE!</v>
      </c>
      <c r="BI70" t="e">
        <f>AND(Plan1!I1182,"AAAAAH+9qTw=")</f>
        <v>#VALUE!</v>
      </c>
      <c r="BJ70" t="e">
        <f>AND(Plan1!J1182,"AAAAAH+9qT0=")</f>
        <v>#VALUE!</v>
      </c>
      <c r="BK70" t="e">
        <f>AND(Plan1!K1182,"AAAAAH+9qT4=")</f>
        <v>#VALUE!</v>
      </c>
      <c r="BL70" t="e">
        <f>AND(Plan1!L1182,"AAAAAH+9qT8=")</f>
        <v>#VALUE!</v>
      </c>
      <c r="BM70" t="e">
        <f>AND(Plan1!M1182,"AAAAAH+9qUA=")</f>
        <v>#VALUE!</v>
      </c>
      <c r="BN70" t="e">
        <f>AND(Plan1!N1182,"AAAAAH+9qUE=")</f>
        <v>#VALUE!</v>
      </c>
      <c r="BO70">
        <f>IF(Plan1!1183:1183,"AAAAAH+9qUI=",0)</f>
        <v>0</v>
      </c>
      <c r="BP70" t="e">
        <f>AND(Plan1!A1183,"AAAAAH+9qUM=")</f>
        <v>#VALUE!</v>
      </c>
      <c r="BQ70" t="e">
        <f>AND(Plan1!B1183,"AAAAAH+9qUQ=")</f>
        <v>#VALUE!</v>
      </c>
      <c r="BR70" t="e">
        <f>AND(Plan1!C1183,"AAAAAH+9qUU=")</f>
        <v>#VALUE!</v>
      </c>
      <c r="BS70" t="e">
        <f>AND(Plan1!D1183,"AAAAAH+9qUY=")</f>
        <v>#VALUE!</v>
      </c>
      <c r="BT70" t="e">
        <f>AND(Plan1!E1183,"AAAAAH+9qUc=")</f>
        <v>#VALUE!</v>
      </c>
      <c r="BU70" t="e">
        <f>AND(Plan1!F1183,"AAAAAH+9qUg=")</f>
        <v>#VALUE!</v>
      </c>
      <c r="BV70" t="e">
        <f>AND(Plan1!G1183,"AAAAAH+9qUk=")</f>
        <v>#VALUE!</v>
      </c>
      <c r="BW70" t="e">
        <f>AND(Plan1!H1183,"AAAAAH+9qUo=")</f>
        <v>#VALUE!</v>
      </c>
      <c r="BX70" t="e">
        <f>AND(Plan1!I1183,"AAAAAH+9qUs=")</f>
        <v>#VALUE!</v>
      </c>
      <c r="BY70" t="e">
        <f>AND(Plan1!J1183,"AAAAAH+9qUw=")</f>
        <v>#VALUE!</v>
      </c>
      <c r="BZ70" t="e">
        <f>AND(Plan1!K1183,"AAAAAH+9qU0=")</f>
        <v>#VALUE!</v>
      </c>
      <c r="CA70" t="e">
        <f>AND(Plan1!L1183,"AAAAAH+9qU4=")</f>
        <v>#VALUE!</v>
      </c>
      <c r="CB70" t="e">
        <f>AND(Plan1!M1183,"AAAAAH+9qU8=")</f>
        <v>#VALUE!</v>
      </c>
      <c r="CC70" t="e">
        <f>AND(Plan1!N1183,"AAAAAH+9qVA=")</f>
        <v>#VALUE!</v>
      </c>
      <c r="CD70">
        <f>IF(Plan1!1184:1184,"AAAAAH+9qVE=",0)</f>
        <v>0</v>
      </c>
      <c r="CE70" t="e">
        <f>AND(Plan1!A1184,"AAAAAH+9qVI=")</f>
        <v>#VALUE!</v>
      </c>
      <c r="CF70" t="e">
        <f>AND(Plan1!B1184,"AAAAAH+9qVM=")</f>
        <v>#VALUE!</v>
      </c>
      <c r="CG70" t="e">
        <f>AND(Plan1!C1184,"AAAAAH+9qVQ=")</f>
        <v>#VALUE!</v>
      </c>
      <c r="CH70" t="e">
        <f>AND(Plan1!D1184,"AAAAAH+9qVU=")</f>
        <v>#VALUE!</v>
      </c>
      <c r="CI70" t="e">
        <f>AND(Plan1!E1184,"AAAAAH+9qVY=")</f>
        <v>#VALUE!</v>
      </c>
      <c r="CJ70" t="e">
        <f>AND(Plan1!F1184,"AAAAAH+9qVc=")</f>
        <v>#VALUE!</v>
      </c>
      <c r="CK70" t="e">
        <f>AND(Plan1!G1184,"AAAAAH+9qVg=")</f>
        <v>#VALUE!</v>
      </c>
      <c r="CL70" t="e">
        <f>AND(Plan1!H1184,"AAAAAH+9qVk=")</f>
        <v>#VALUE!</v>
      </c>
      <c r="CM70" t="e">
        <f>AND(Plan1!I1184,"AAAAAH+9qVo=")</f>
        <v>#VALUE!</v>
      </c>
      <c r="CN70" t="e">
        <f>AND(Plan1!J1184,"AAAAAH+9qVs=")</f>
        <v>#VALUE!</v>
      </c>
      <c r="CO70" t="e">
        <f>AND(Plan1!K1184,"AAAAAH+9qVw=")</f>
        <v>#VALUE!</v>
      </c>
      <c r="CP70" t="e">
        <f>AND(Plan1!L1184,"AAAAAH+9qV0=")</f>
        <v>#VALUE!</v>
      </c>
      <c r="CQ70" t="e">
        <f>AND(Plan1!M1184,"AAAAAH+9qV4=")</f>
        <v>#VALUE!</v>
      </c>
      <c r="CR70" t="e">
        <f>AND(Plan1!N1184,"AAAAAH+9qV8=")</f>
        <v>#VALUE!</v>
      </c>
      <c r="CS70">
        <f>IF(Plan1!1185:1185,"AAAAAH+9qWA=",0)</f>
        <v>0</v>
      </c>
      <c r="CT70" t="e">
        <f>AND(Plan1!A1185,"AAAAAH+9qWE=")</f>
        <v>#VALUE!</v>
      </c>
      <c r="CU70" t="e">
        <f>AND(Plan1!B1185,"AAAAAH+9qWI=")</f>
        <v>#VALUE!</v>
      </c>
      <c r="CV70" t="e">
        <f>AND(Plan1!C1185,"AAAAAH+9qWM=")</f>
        <v>#VALUE!</v>
      </c>
      <c r="CW70" t="e">
        <f>AND(Plan1!D1185,"AAAAAH+9qWQ=")</f>
        <v>#VALUE!</v>
      </c>
      <c r="CX70" t="e">
        <f>AND(Plan1!E1185,"AAAAAH+9qWU=")</f>
        <v>#VALUE!</v>
      </c>
      <c r="CY70" t="e">
        <f>AND(Plan1!F1185,"AAAAAH+9qWY=")</f>
        <v>#VALUE!</v>
      </c>
      <c r="CZ70" t="e">
        <f>AND(Plan1!G1185,"AAAAAH+9qWc=")</f>
        <v>#VALUE!</v>
      </c>
      <c r="DA70" t="e">
        <f>AND(Plan1!H1185,"AAAAAH+9qWg=")</f>
        <v>#VALUE!</v>
      </c>
      <c r="DB70" t="e">
        <f>AND(Plan1!I1185,"AAAAAH+9qWk=")</f>
        <v>#VALUE!</v>
      </c>
      <c r="DC70" t="e">
        <f>AND(Plan1!J1185,"AAAAAH+9qWo=")</f>
        <v>#VALUE!</v>
      </c>
      <c r="DD70" t="e">
        <f>AND(Plan1!K1185,"AAAAAH+9qWs=")</f>
        <v>#VALUE!</v>
      </c>
      <c r="DE70" t="e">
        <f>AND(Plan1!L1185,"AAAAAH+9qWw=")</f>
        <v>#VALUE!</v>
      </c>
      <c r="DF70" t="e">
        <f>AND(Plan1!M1185,"AAAAAH+9qW0=")</f>
        <v>#VALUE!</v>
      </c>
      <c r="DG70" t="e">
        <f>AND(Plan1!N1185,"AAAAAH+9qW4=")</f>
        <v>#VALUE!</v>
      </c>
      <c r="DH70">
        <f>IF(Plan1!1186:1186,"AAAAAH+9qW8=",0)</f>
        <v>0</v>
      </c>
      <c r="DI70" t="e">
        <f>AND(Plan1!A1186,"AAAAAH+9qXA=")</f>
        <v>#VALUE!</v>
      </c>
      <c r="DJ70" t="e">
        <f>AND(Plan1!B1186,"AAAAAH+9qXE=")</f>
        <v>#VALUE!</v>
      </c>
      <c r="DK70" t="e">
        <f>AND(Plan1!C1186,"AAAAAH+9qXI=")</f>
        <v>#VALUE!</v>
      </c>
      <c r="DL70" t="e">
        <f>AND(Plan1!D1186,"AAAAAH+9qXM=")</f>
        <v>#VALUE!</v>
      </c>
      <c r="DM70" t="e">
        <f>AND(Plan1!E1186,"AAAAAH+9qXQ=")</f>
        <v>#VALUE!</v>
      </c>
      <c r="DN70" t="e">
        <f>AND(Plan1!F1186,"AAAAAH+9qXU=")</f>
        <v>#VALUE!</v>
      </c>
      <c r="DO70" t="e">
        <f>AND(Plan1!G1186,"AAAAAH+9qXY=")</f>
        <v>#VALUE!</v>
      </c>
      <c r="DP70" t="e">
        <f>AND(Plan1!H1186,"AAAAAH+9qXc=")</f>
        <v>#VALUE!</v>
      </c>
      <c r="DQ70" t="e">
        <f>AND(Plan1!I1186,"AAAAAH+9qXg=")</f>
        <v>#VALUE!</v>
      </c>
      <c r="DR70" t="e">
        <f>AND(Plan1!J1186,"AAAAAH+9qXk=")</f>
        <v>#VALUE!</v>
      </c>
      <c r="DS70" t="e">
        <f>AND(Plan1!K1186,"AAAAAH+9qXo=")</f>
        <v>#VALUE!</v>
      </c>
      <c r="DT70" t="e">
        <f>AND(Plan1!L1186,"AAAAAH+9qXs=")</f>
        <v>#VALUE!</v>
      </c>
      <c r="DU70" t="e">
        <f>AND(Plan1!M1186,"AAAAAH+9qXw=")</f>
        <v>#VALUE!</v>
      </c>
      <c r="DV70" t="e">
        <f>AND(Plan1!N1186,"AAAAAH+9qX0=")</f>
        <v>#VALUE!</v>
      </c>
      <c r="DW70">
        <f>IF(Plan1!1187:1187,"AAAAAH+9qX4=",0)</f>
        <v>0</v>
      </c>
      <c r="DX70" t="e">
        <f>AND(Plan1!A1187,"AAAAAH+9qX8=")</f>
        <v>#VALUE!</v>
      </c>
      <c r="DY70" t="e">
        <f>AND(Plan1!B1187,"AAAAAH+9qYA=")</f>
        <v>#VALUE!</v>
      </c>
      <c r="DZ70" t="e">
        <f>AND(Plan1!C1187,"AAAAAH+9qYE=")</f>
        <v>#VALUE!</v>
      </c>
      <c r="EA70" t="e">
        <f>AND(Plan1!D1187,"AAAAAH+9qYI=")</f>
        <v>#VALUE!</v>
      </c>
      <c r="EB70" t="e">
        <f>AND(Plan1!E1187,"AAAAAH+9qYM=")</f>
        <v>#VALUE!</v>
      </c>
      <c r="EC70" t="e">
        <f>AND(Plan1!F1187,"AAAAAH+9qYQ=")</f>
        <v>#VALUE!</v>
      </c>
      <c r="ED70" t="e">
        <f>AND(Plan1!G1187,"AAAAAH+9qYU=")</f>
        <v>#VALUE!</v>
      </c>
      <c r="EE70" t="e">
        <f>AND(Plan1!H1187,"AAAAAH+9qYY=")</f>
        <v>#VALUE!</v>
      </c>
      <c r="EF70" t="e">
        <f>AND(Plan1!I1187,"AAAAAH+9qYc=")</f>
        <v>#VALUE!</v>
      </c>
      <c r="EG70" t="e">
        <f>AND(Plan1!J1187,"AAAAAH+9qYg=")</f>
        <v>#VALUE!</v>
      </c>
      <c r="EH70" t="e">
        <f>AND(Plan1!K1187,"AAAAAH+9qYk=")</f>
        <v>#VALUE!</v>
      </c>
      <c r="EI70" t="e">
        <f>AND(Plan1!L1187,"AAAAAH+9qYo=")</f>
        <v>#VALUE!</v>
      </c>
      <c r="EJ70" t="e">
        <f>AND(Plan1!M1187,"AAAAAH+9qYs=")</f>
        <v>#VALUE!</v>
      </c>
      <c r="EK70" t="e">
        <f>AND(Plan1!N1187,"AAAAAH+9qYw=")</f>
        <v>#VALUE!</v>
      </c>
      <c r="EL70">
        <f>IF(Plan1!1188:1188,"AAAAAH+9qY0=",0)</f>
        <v>0</v>
      </c>
      <c r="EM70" t="e">
        <f>AND(Plan1!A1188,"AAAAAH+9qY4=")</f>
        <v>#VALUE!</v>
      </c>
      <c r="EN70" t="e">
        <f>AND(Plan1!B1188,"AAAAAH+9qY8=")</f>
        <v>#VALUE!</v>
      </c>
      <c r="EO70" t="e">
        <f>AND(Plan1!C1188,"AAAAAH+9qZA=")</f>
        <v>#VALUE!</v>
      </c>
      <c r="EP70" t="e">
        <f>AND(Plan1!D1188,"AAAAAH+9qZE=")</f>
        <v>#VALUE!</v>
      </c>
      <c r="EQ70" t="e">
        <f>AND(Plan1!E1188,"AAAAAH+9qZI=")</f>
        <v>#VALUE!</v>
      </c>
      <c r="ER70" t="e">
        <f>AND(Plan1!F1188,"AAAAAH+9qZM=")</f>
        <v>#VALUE!</v>
      </c>
      <c r="ES70" t="e">
        <f>AND(Plan1!G1188,"AAAAAH+9qZQ=")</f>
        <v>#VALUE!</v>
      </c>
      <c r="ET70" t="e">
        <f>AND(Plan1!H1188,"AAAAAH+9qZU=")</f>
        <v>#VALUE!</v>
      </c>
      <c r="EU70" t="e">
        <f>AND(Plan1!I1188,"AAAAAH+9qZY=")</f>
        <v>#VALUE!</v>
      </c>
      <c r="EV70" t="e">
        <f>AND(Plan1!J1188,"AAAAAH+9qZc=")</f>
        <v>#VALUE!</v>
      </c>
      <c r="EW70" t="e">
        <f>AND(Plan1!K1188,"AAAAAH+9qZg=")</f>
        <v>#VALUE!</v>
      </c>
      <c r="EX70" t="e">
        <f>AND(Plan1!L1188,"AAAAAH+9qZk=")</f>
        <v>#VALUE!</v>
      </c>
      <c r="EY70" t="e">
        <f>AND(Plan1!M1188,"AAAAAH+9qZo=")</f>
        <v>#VALUE!</v>
      </c>
      <c r="EZ70" t="e">
        <f>AND(Plan1!N1188,"AAAAAH+9qZs=")</f>
        <v>#VALUE!</v>
      </c>
      <c r="FA70">
        <f>IF(Plan1!1189:1189,"AAAAAH+9qZw=",0)</f>
        <v>0</v>
      </c>
      <c r="FB70" t="e">
        <f>AND(Plan1!A1189,"AAAAAH+9qZ0=")</f>
        <v>#VALUE!</v>
      </c>
      <c r="FC70" t="e">
        <f>AND(Plan1!B1189,"AAAAAH+9qZ4=")</f>
        <v>#VALUE!</v>
      </c>
      <c r="FD70" t="e">
        <f>AND(Plan1!C1189,"AAAAAH+9qZ8=")</f>
        <v>#VALUE!</v>
      </c>
      <c r="FE70" t="e">
        <f>AND(Plan1!D1189,"AAAAAH+9qaA=")</f>
        <v>#VALUE!</v>
      </c>
      <c r="FF70" t="e">
        <f>AND(Plan1!E1189,"AAAAAH+9qaE=")</f>
        <v>#VALUE!</v>
      </c>
      <c r="FG70" t="e">
        <f>AND(Plan1!F1189,"AAAAAH+9qaI=")</f>
        <v>#VALUE!</v>
      </c>
      <c r="FH70" t="e">
        <f>AND(Plan1!G1189,"AAAAAH+9qaM=")</f>
        <v>#VALUE!</v>
      </c>
      <c r="FI70" t="e">
        <f>AND(Plan1!H1189,"AAAAAH+9qaQ=")</f>
        <v>#VALUE!</v>
      </c>
      <c r="FJ70" t="e">
        <f>AND(Plan1!I1189,"AAAAAH+9qaU=")</f>
        <v>#VALUE!</v>
      </c>
      <c r="FK70" t="e">
        <f>AND(Plan1!J1189,"AAAAAH+9qaY=")</f>
        <v>#VALUE!</v>
      </c>
      <c r="FL70" t="e">
        <f>AND(Plan1!K1189,"AAAAAH+9qac=")</f>
        <v>#VALUE!</v>
      </c>
      <c r="FM70" t="e">
        <f>AND(Plan1!L1189,"AAAAAH+9qag=")</f>
        <v>#VALUE!</v>
      </c>
      <c r="FN70" t="e">
        <f>AND(Plan1!M1189,"AAAAAH+9qak=")</f>
        <v>#VALUE!</v>
      </c>
      <c r="FO70" t="e">
        <f>AND(Plan1!N1189,"AAAAAH+9qao=")</f>
        <v>#VALUE!</v>
      </c>
      <c r="FP70">
        <f>IF(Plan1!1190:1190,"AAAAAH+9qas=",0)</f>
        <v>0</v>
      </c>
      <c r="FQ70" t="e">
        <f>AND(Plan1!A1190,"AAAAAH+9qaw=")</f>
        <v>#VALUE!</v>
      </c>
      <c r="FR70" t="e">
        <f>AND(Plan1!B1190,"AAAAAH+9qa0=")</f>
        <v>#VALUE!</v>
      </c>
      <c r="FS70" t="e">
        <f>AND(Plan1!C1190,"AAAAAH+9qa4=")</f>
        <v>#VALUE!</v>
      </c>
      <c r="FT70" t="e">
        <f>AND(Plan1!D1190,"AAAAAH+9qa8=")</f>
        <v>#VALUE!</v>
      </c>
      <c r="FU70" t="e">
        <f>AND(Plan1!E1190,"AAAAAH+9qbA=")</f>
        <v>#VALUE!</v>
      </c>
      <c r="FV70" t="e">
        <f>AND(Plan1!F1190,"AAAAAH+9qbE=")</f>
        <v>#VALUE!</v>
      </c>
      <c r="FW70" t="e">
        <f>AND(Plan1!G1190,"AAAAAH+9qbI=")</f>
        <v>#VALUE!</v>
      </c>
      <c r="FX70" t="e">
        <f>AND(Plan1!H1190,"AAAAAH+9qbM=")</f>
        <v>#VALUE!</v>
      </c>
      <c r="FY70" t="e">
        <f>AND(Plan1!I1190,"AAAAAH+9qbQ=")</f>
        <v>#VALUE!</v>
      </c>
      <c r="FZ70" t="e">
        <f>AND(Plan1!J1190,"AAAAAH+9qbU=")</f>
        <v>#VALUE!</v>
      </c>
      <c r="GA70" t="e">
        <f>AND(Plan1!K1190,"AAAAAH+9qbY=")</f>
        <v>#VALUE!</v>
      </c>
      <c r="GB70" t="e">
        <f>AND(Plan1!L1190,"AAAAAH+9qbc=")</f>
        <v>#VALUE!</v>
      </c>
      <c r="GC70" t="e">
        <f>AND(Plan1!M1190,"AAAAAH+9qbg=")</f>
        <v>#VALUE!</v>
      </c>
      <c r="GD70" t="e">
        <f>AND(Plan1!N1190,"AAAAAH+9qbk=")</f>
        <v>#VALUE!</v>
      </c>
      <c r="GE70">
        <f>IF(Plan1!1191:1191,"AAAAAH+9qbo=",0)</f>
        <v>0</v>
      </c>
      <c r="GF70" t="e">
        <f>AND(Plan1!A1191,"AAAAAH+9qbs=")</f>
        <v>#VALUE!</v>
      </c>
      <c r="GG70" t="e">
        <f>AND(Plan1!B1191,"AAAAAH+9qbw=")</f>
        <v>#VALUE!</v>
      </c>
      <c r="GH70" t="e">
        <f>AND(Plan1!C1191,"AAAAAH+9qb0=")</f>
        <v>#VALUE!</v>
      </c>
      <c r="GI70" t="e">
        <f>AND(Plan1!D1191,"AAAAAH+9qb4=")</f>
        <v>#VALUE!</v>
      </c>
      <c r="GJ70" t="e">
        <f>AND(Plan1!E1191,"AAAAAH+9qb8=")</f>
        <v>#VALUE!</v>
      </c>
      <c r="GK70" t="e">
        <f>AND(Plan1!F1191,"AAAAAH+9qcA=")</f>
        <v>#VALUE!</v>
      </c>
      <c r="GL70" t="e">
        <f>AND(Plan1!G1191,"AAAAAH+9qcE=")</f>
        <v>#VALUE!</v>
      </c>
      <c r="GM70" t="e">
        <f>AND(Plan1!H1191,"AAAAAH+9qcI=")</f>
        <v>#VALUE!</v>
      </c>
      <c r="GN70" t="e">
        <f>AND(Plan1!I1191,"AAAAAH+9qcM=")</f>
        <v>#VALUE!</v>
      </c>
      <c r="GO70" t="e">
        <f>AND(Plan1!J1191,"AAAAAH+9qcQ=")</f>
        <v>#VALUE!</v>
      </c>
      <c r="GP70" t="e">
        <f>AND(Plan1!K1191,"AAAAAH+9qcU=")</f>
        <v>#VALUE!</v>
      </c>
      <c r="GQ70" t="e">
        <f>AND(Plan1!L1191,"AAAAAH+9qcY=")</f>
        <v>#VALUE!</v>
      </c>
      <c r="GR70" t="e">
        <f>AND(Plan1!M1191,"AAAAAH+9qcc=")</f>
        <v>#VALUE!</v>
      </c>
      <c r="GS70" t="e">
        <f>AND(Plan1!N1191,"AAAAAH+9qcg=")</f>
        <v>#VALUE!</v>
      </c>
      <c r="GT70">
        <f>IF(Plan1!1192:1192,"AAAAAH+9qck=",0)</f>
        <v>0</v>
      </c>
      <c r="GU70" t="e">
        <f>AND(Plan1!A1192,"AAAAAH+9qco=")</f>
        <v>#VALUE!</v>
      </c>
      <c r="GV70" t="e">
        <f>AND(Plan1!B1192,"AAAAAH+9qcs=")</f>
        <v>#VALUE!</v>
      </c>
      <c r="GW70" t="e">
        <f>AND(Plan1!C1192,"AAAAAH+9qcw=")</f>
        <v>#VALUE!</v>
      </c>
      <c r="GX70" t="e">
        <f>AND(Plan1!D1192,"AAAAAH+9qc0=")</f>
        <v>#VALUE!</v>
      </c>
      <c r="GY70" t="e">
        <f>AND(Plan1!E1192,"AAAAAH+9qc4=")</f>
        <v>#VALUE!</v>
      </c>
      <c r="GZ70" t="e">
        <f>AND(Plan1!F1192,"AAAAAH+9qc8=")</f>
        <v>#VALUE!</v>
      </c>
      <c r="HA70" t="e">
        <f>AND(Plan1!G1192,"AAAAAH+9qdA=")</f>
        <v>#VALUE!</v>
      </c>
      <c r="HB70" t="e">
        <f>AND(Plan1!H1192,"AAAAAH+9qdE=")</f>
        <v>#VALUE!</v>
      </c>
      <c r="HC70" t="e">
        <f>AND(Plan1!I1192,"AAAAAH+9qdI=")</f>
        <v>#VALUE!</v>
      </c>
      <c r="HD70" t="e">
        <f>AND(Plan1!J1192,"AAAAAH+9qdM=")</f>
        <v>#VALUE!</v>
      </c>
      <c r="HE70" t="e">
        <f>AND(Plan1!K1192,"AAAAAH+9qdQ=")</f>
        <v>#VALUE!</v>
      </c>
      <c r="HF70" t="e">
        <f>AND(Plan1!L1192,"AAAAAH+9qdU=")</f>
        <v>#VALUE!</v>
      </c>
      <c r="HG70" t="e">
        <f>AND(Plan1!M1192,"AAAAAH+9qdY=")</f>
        <v>#VALUE!</v>
      </c>
      <c r="HH70" t="e">
        <f>AND(Plan1!N1192,"AAAAAH+9qdc=")</f>
        <v>#VALUE!</v>
      </c>
      <c r="HI70">
        <f>IF(Plan1!1193:1193,"AAAAAH+9qdg=",0)</f>
        <v>0</v>
      </c>
      <c r="HJ70" t="e">
        <f>AND(Plan1!A1193,"AAAAAH+9qdk=")</f>
        <v>#VALUE!</v>
      </c>
      <c r="HK70" t="e">
        <f>AND(Plan1!B1193,"AAAAAH+9qdo=")</f>
        <v>#VALUE!</v>
      </c>
      <c r="HL70" t="e">
        <f>AND(Plan1!C1193,"AAAAAH+9qds=")</f>
        <v>#VALUE!</v>
      </c>
      <c r="HM70" t="e">
        <f>AND(Plan1!D1193,"AAAAAH+9qdw=")</f>
        <v>#VALUE!</v>
      </c>
      <c r="HN70" t="e">
        <f>AND(Plan1!E1193,"AAAAAH+9qd0=")</f>
        <v>#VALUE!</v>
      </c>
      <c r="HO70" t="e">
        <f>AND(Plan1!F1193,"AAAAAH+9qd4=")</f>
        <v>#VALUE!</v>
      </c>
      <c r="HP70" t="e">
        <f>AND(Plan1!G1193,"AAAAAH+9qd8=")</f>
        <v>#VALUE!</v>
      </c>
      <c r="HQ70" t="e">
        <f>AND(Plan1!H1193,"AAAAAH+9qeA=")</f>
        <v>#VALUE!</v>
      </c>
      <c r="HR70" t="e">
        <f>AND(Plan1!I1193,"AAAAAH+9qeE=")</f>
        <v>#VALUE!</v>
      </c>
      <c r="HS70" t="e">
        <f>AND(Plan1!J1193,"AAAAAH+9qeI=")</f>
        <v>#VALUE!</v>
      </c>
      <c r="HT70" t="e">
        <f>AND(Plan1!K1193,"AAAAAH+9qeM=")</f>
        <v>#VALUE!</v>
      </c>
      <c r="HU70" t="e">
        <f>AND(Plan1!L1193,"AAAAAH+9qeQ=")</f>
        <v>#VALUE!</v>
      </c>
      <c r="HV70" t="e">
        <f>AND(Plan1!M1193,"AAAAAH+9qeU=")</f>
        <v>#VALUE!</v>
      </c>
      <c r="HW70" t="e">
        <f>AND(Plan1!N1193,"AAAAAH+9qeY=")</f>
        <v>#VALUE!</v>
      </c>
      <c r="HX70">
        <f>IF(Plan1!1194:1194,"AAAAAH+9qec=",0)</f>
        <v>0</v>
      </c>
      <c r="HY70" t="e">
        <f>AND(Plan1!A1194,"AAAAAH+9qeg=")</f>
        <v>#VALUE!</v>
      </c>
      <c r="HZ70" t="e">
        <f>AND(Plan1!B1194,"AAAAAH+9qek=")</f>
        <v>#VALUE!</v>
      </c>
      <c r="IA70" t="e">
        <f>AND(Plan1!C1194,"AAAAAH+9qeo=")</f>
        <v>#VALUE!</v>
      </c>
      <c r="IB70" t="e">
        <f>AND(Plan1!D1194,"AAAAAH+9qes=")</f>
        <v>#VALUE!</v>
      </c>
      <c r="IC70" t="e">
        <f>AND(Plan1!E1194,"AAAAAH+9qew=")</f>
        <v>#VALUE!</v>
      </c>
      <c r="ID70" t="e">
        <f>AND(Plan1!F1194,"AAAAAH+9qe0=")</f>
        <v>#VALUE!</v>
      </c>
      <c r="IE70" t="e">
        <f>AND(Plan1!G1194,"AAAAAH+9qe4=")</f>
        <v>#VALUE!</v>
      </c>
      <c r="IF70" t="e">
        <f>AND(Plan1!H1194,"AAAAAH+9qe8=")</f>
        <v>#VALUE!</v>
      </c>
      <c r="IG70" t="e">
        <f>AND(Plan1!I1194,"AAAAAH+9qfA=")</f>
        <v>#VALUE!</v>
      </c>
      <c r="IH70" t="e">
        <f>AND(Plan1!J1194,"AAAAAH+9qfE=")</f>
        <v>#VALUE!</v>
      </c>
      <c r="II70" t="e">
        <f>AND(Plan1!K1194,"AAAAAH+9qfI=")</f>
        <v>#VALUE!</v>
      </c>
      <c r="IJ70" t="e">
        <f>AND(Plan1!L1194,"AAAAAH+9qfM=")</f>
        <v>#VALUE!</v>
      </c>
      <c r="IK70" t="e">
        <f>AND(Plan1!M1194,"AAAAAH+9qfQ=")</f>
        <v>#VALUE!</v>
      </c>
      <c r="IL70" t="e">
        <f>AND(Plan1!N1194,"AAAAAH+9qfU=")</f>
        <v>#VALUE!</v>
      </c>
      <c r="IM70">
        <f>IF(Plan1!1195:1195,"AAAAAH+9qfY=",0)</f>
        <v>0</v>
      </c>
      <c r="IN70" t="e">
        <f>AND(Plan1!A1195,"AAAAAH+9qfc=")</f>
        <v>#VALUE!</v>
      </c>
      <c r="IO70" t="e">
        <f>AND(Plan1!B1195,"AAAAAH+9qfg=")</f>
        <v>#VALUE!</v>
      </c>
      <c r="IP70" t="e">
        <f>AND(Plan1!C1195,"AAAAAH+9qfk=")</f>
        <v>#VALUE!</v>
      </c>
      <c r="IQ70" t="e">
        <f>AND(Plan1!D1195,"AAAAAH+9qfo=")</f>
        <v>#VALUE!</v>
      </c>
      <c r="IR70" t="e">
        <f>AND(Plan1!E1195,"AAAAAH+9qfs=")</f>
        <v>#VALUE!</v>
      </c>
      <c r="IS70" t="e">
        <f>AND(Plan1!F1195,"AAAAAH+9qfw=")</f>
        <v>#VALUE!</v>
      </c>
      <c r="IT70" t="e">
        <f>AND(Plan1!G1195,"AAAAAH+9qf0=")</f>
        <v>#VALUE!</v>
      </c>
      <c r="IU70" t="e">
        <f>AND(Plan1!H1195,"AAAAAH+9qf4=")</f>
        <v>#VALUE!</v>
      </c>
      <c r="IV70" t="e">
        <f>AND(Plan1!I1195,"AAAAAH+9qf8=")</f>
        <v>#VALUE!</v>
      </c>
    </row>
    <row r="71" spans="1:256">
      <c r="A71" t="e">
        <f>AND(Plan1!J1195,"AAAAAA9/3wA=")</f>
        <v>#VALUE!</v>
      </c>
      <c r="B71" t="e">
        <f>AND(Plan1!K1195,"AAAAAA9/3wE=")</f>
        <v>#VALUE!</v>
      </c>
      <c r="C71" t="e">
        <f>AND(Plan1!L1195,"AAAAAA9/3wI=")</f>
        <v>#VALUE!</v>
      </c>
      <c r="D71" t="e">
        <f>AND(Plan1!M1195,"AAAAAA9/3wM=")</f>
        <v>#VALUE!</v>
      </c>
      <c r="E71" t="e">
        <f>AND(Plan1!N1195,"AAAAAA9/3wQ=")</f>
        <v>#VALUE!</v>
      </c>
      <c r="F71" t="str">
        <f>IF(Plan1!1196:1196,"AAAAAA9/3wU=",0)</f>
        <v>AAAAAA9/3wU=</v>
      </c>
      <c r="G71" t="e">
        <f>AND(Plan1!A1196,"AAAAAA9/3wY=")</f>
        <v>#VALUE!</v>
      </c>
      <c r="H71" t="e">
        <f>AND(Plan1!B1196,"AAAAAA9/3wc=")</f>
        <v>#VALUE!</v>
      </c>
      <c r="I71" t="e">
        <f>AND(Plan1!C1196,"AAAAAA9/3wg=")</f>
        <v>#VALUE!</v>
      </c>
      <c r="J71" t="e">
        <f>AND(Plan1!D1196,"AAAAAA9/3wk=")</f>
        <v>#VALUE!</v>
      </c>
      <c r="K71" t="e">
        <f>AND(Plan1!E1196,"AAAAAA9/3wo=")</f>
        <v>#VALUE!</v>
      </c>
      <c r="L71" t="e">
        <f>AND(Plan1!F1196,"AAAAAA9/3ws=")</f>
        <v>#VALUE!</v>
      </c>
      <c r="M71" t="e">
        <f>AND(Plan1!G1196,"AAAAAA9/3ww=")</f>
        <v>#VALUE!</v>
      </c>
      <c r="N71" t="e">
        <f>AND(Plan1!H1196,"AAAAAA9/3w0=")</f>
        <v>#VALUE!</v>
      </c>
      <c r="O71" t="e">
        <f>AND(Plan1!I1196,"AAAAAA9/3w4=")</f>
        <v>#VALUE!</v>
      </c>
      <c r="P71" t="e">
        <f>AND(Plan1!J1196,"AAAAAA9/3w8=")</f>
        <v>#VALUE!</v>
      </c>
      <c r="Q71" t="e">
        <f>AND(Plan1!K1196,"AAAAAA9/3xA=")</f>
        <v>#VALUE!</v>
      </c>
      <c r="R71" t="e">
        <f>AND(Plan1!L1196,"AAAAAA9/3xE=")</f>
        <v>#VALUE!</v>
      </c>
      <c r="S71" t="e">
        <f>AND(Plan1!M1196,"AAAAAA9/3xI=")</f>
        <v>#VALUE!</v>
      </c>
      <c r="T71" t="e">
        <f>AND(Plan1!N1196,"AAAAAA9/3xM=")</f>
        <v>#VALUE!</v>
      </c>
      <c r="U71">
        <f>IF(Plan1!1197:1197,"AAAAAA9/3xQ=",0)</f>
        <v>0</v>
      </c>
      <c r="V71" t="e">
        <f>AND(Plan1!A1197,"AAAAAA9/3xU=")</f>
        <v>#VALUE!</v>
      </c>
      <c r="W71" t="e">
        <f>AND(Plan1!B1197,"AAAAAA9/3xY=")</f>
        <v>#VALUE!</v>
      </c>
      <c r="X71" t="e">
        <f>AND(Plan1!C1197,"AAAAAA9/3xc=")</f>
        <v>#VALUE!</v>
      </c>
      <c r="Y71" t="e">
        <f>AND(Plan1!D1197,"AAAAAA9/3xg=")</f>
        <v>#VALUE!</v>
      </c>
      <c r="Z71" t="e">
        <f>AND(Plan1!E1197,"AAAAAA9/3xk=")</f>
        <v>#VALUE!</v>
      </c>
      <c r="AA71" t="e">
        <f>AND(Plan1!F1197,"AAAAAA9/3xo=")</f>
        <v>#VALUE!</v>
      </c>
      <c r="AB71" t="e">
        <f>AND(Plan1!G1197,"AAAAAA9/3xs=")</f>
        <v>#VALUE!</v>
      </c>
      <c r="AC71" t="e">
        <f>AND(Plan1!H1197,"AAAAAA9/3xw=")</f>
        <v>#VALUE!</v>
      </c>
      <c r="AD71" t="e">
        <f>AND(Plan1!I1197,"AAAAAA9/3x0=")</f>
        <v>#VALUE!</v>
      </c>
      <c r="AE71" t="e">
        <f>AND(Plan1!J1197,"AAAAAA9/3x4=")</f>
        <v>#VALUE!</v>
      </c>
      <c r="AF71" t="e">
        <f>AND(Plan1!K1197,"AAAAAA9/3x8=")</f>
        <v>#VALUE!</v>
      </c>
      <c r="AG71" t="e">
        <f>AND(Plan1!L1197,"AAAAAA9/3yA=")</f>
        <v>#VALUE!</v>
      </c>
      <c r="AH71" t="e">
        <f>AND(Plan1!M1197,"AAAAAA9/3yE=")</f>
        <v>#VALUE!</v>
      </c>
      <c r="AI71" t="e">
        <f>AND(Plan1!N1197,"AAAAAA9/3yI=")</f>
        <v>#VALUE!</v>
      </c>
      <c r="AJ71">
        <f>IF(Plan1!1198:1198,"AAAAAA9/3yM=",0)</f>
        <v>0</v>
      </c>
      <c r="AK71" t="e">
        <f>AND(Plan1!A1198,"AAAAAA9/3yQ=")</f>
        <v>#VALUE!</v>
      </c>
      <c r="AL71" t="e">
        <f>AND(Plan1!B1198,"AAAAAA9/3yU=")</f>
        <v>#VALUE!</v>
      </c>
      <c r="AM71" t="e">
        <f>AND(Plan1!C1198,"AAAAAA9/3yY=")</f>
        <v>#VALUE!</v>
      </c>
      <c r="AN71" t="e">
        <f>AND(Plan1!D1198,"AAAAAA9/3yc=")</f>
        <v>#VALUE!</v>
      </c>
      <c r="AO71" t="e">
        <f>AND(Plan1!E1198,"AAAAAA9/3yg=")</f>
        <v>#VALUE!</v>
      </c>
      <c r="AP71" t="e">
        <f>AND(Plan1!F1198,"AAAAAA9/3yk=")</f>
        <v>#VALUE!</v>
      </c>
      <c r="AQ71" t="e">
        <f>AND(Plan1!G1198,"AAAAAA9/3yo=")</f>
        <v>#VALUE!</v>
      </c>
      <c r="AR71" t="e">
        <f>AND(Plan1!H1198,"AAAAAA9/3ys=")</f>
        <v>#VALUE!</v>
      </c>
      <c r="AS71" t="e">
        <f>AND(Plan1!I1198,"AAAAAA9/3yw=")</f>
        <v>#VALUE!</v>
      </c>
      <c r="AT71" t="e">
        <f>AND(Plan1!J1198,"AAAAAA9/3y0=")</f>
        <v>#VALUE!</v>
      </c>
      <c r="AU71" t="e">
        <f>AND(Plan1!K1198,"AAAAAA9/3y4=")</f>
        <v>#VALUE!</v>
      </c>
      <c r="AV71" t="e">
        <f>AND(Plan1!L1198,"AAAAAA9/3y8=")</f>
        <v>#VALUE!</v>
      </c>
      <c r="AW71" t="e">
        <f>AND(Plan1!M1198,"AAAAAA9/3zA=")</f>
        <v>#VALUE!</v>
      </c>
      <c r="AX71" t="e">
        <f>AND(Plan1!N1198,"AAAAAA9/3zE=")</f>
        <v>#VALUE!</v>
      </c>
      <c r="AY71">
        <f>IF(Plan1!1199:1199,"AAAAAA9/3zI=",0)</f>
        <v>0</v>
      </c>
      <c r="AZ71" t="e">
        <f>AND(Plan1!A1199,"AAAAAA9/3zM=")</f>
        <v>#VALUE!</v>
      </c>
      <c r="BA71" t="e">
        <f>AND(Plan1!B1199,"AAAAAA9/3zQ=")</f>
        <v>#VALUE!</v>
      </c>
      <c r="BB71" t="e">
        <f>AND(Plan1!C1199,"AAAAAA9/3zU=")</f>
        <v>#VALUE!</v>
      </c>
      <c r="BC71" t="e">
        <f>AND(Plan1!D1199,"AAAAAA9/3zY=")</f>
        <v>#VALUE!</v>
      </c>
      <c r="BD71" t="e">
        <f>AND(Plan1!E1199,"AAAAAA9/3zc=")</f>
        <v>#VALUE!</v>
      </c>
      <c r="BE71" t="e">
        <f>AND(Plan1!F1199,"AAAAAA9/3zg=")</f>
        <v>#VALUE!</v>
      </c>
      <c r="BF71" t="e">
        <f>AND(Plan1!G1199,"AAAAAA9/3zk=")</f>
        <v>#VALUE!</v>
      </c>
      <c r="BG71" t="e">
        <f>AND(Plan1!H1199,"AAAAAA9/3zo=")</f>
        <v>#VALUE!</v>
      </c>
      <c r="BH71" t="e">
        <f>AND(Plan1!I1199,"AAAAAA9/3zs=")</f>
        <v>#VALUE!</v>
      </c>
      <c r="BI71" t="e">
        <f>AND(Plan1!J1199,"AAAAAA9/3zw=")</f>
        <v>#VALUE!</v>
      </c>
      <c r="BJ71" t="e">
        <f>AND(Plan1!K1199,"AAAAAA9/3z0=")</f>
        <v>#VALUE!</v>
      </c>
      <c r="BK71" t="e">
        <f>AND(Plan1!L1199,"AAAAAA9/3z4=")</f>
        <v>#VALUE!</v>
      </c>
      <c r="BL71" t="e">
        <f>AND(Plan1!M1199,"AAAAAA9/3z8=")</f>
        <v>#VALUE!</v>
      </c>
      <c r="BM71" t="e">
        <f>AND(Plan1!N1199,"AAAAAA9/30A=")</f>
        <v>#VALUE!</v>
      </c>
      <c r="BN71">
        <f>IF(Plan1!1200:1200,"AAAAAA9/30E=",0)</f>
        <v>0</v>
      </c>
      <c r="BO71" t="e">
        <f>AND(Plan1!A1200,"AAAAAA9/30I=")</f>
        <v>#VALUE!</v>
      </c>
      <c r="BP71" t="e">
        <f>AND(Plan1!B1200,"AAAAAA9/30M=")</f>
        <v>#VALUE!</v>
      </c>
      <c r="BQ71" t="e">
        <f>AND(Plan1!C1200,"AAAAAA9/30Q=")</f>
        <v>#VALUE!</v>
      </c>
      <c r="BR71" t="e">
        <f>AND(Plan1!D1200,"AAAAAA9/30U=")</f>
        <v>#VALUE!</v>
      </c>
      <c r="BS71" t="e">
        <f>AND(Plan1!E1200,"AAAAAA9/30Y=")</f>
        <v>#VALUE!</v>
      </c>
      <c r="BT71" t="e">
        <f>AND(Plan1!F1200,"AAAAAA9/30c=")</f>
        <v>#VALUE!</v>
      </c>
      <c r="BU71" t="e">
        <f>AND(Plan1!G1200,"AAAAAA9/30g=")</f>
        <v>#VALUE!</v>
      </c>
      <c r="BV71" t="e">
        <f>AND(Plan1!H1200,"AAAAAA9/30k=")</f>
        <v>#VALUE!</v>
      </c>
      <c r="BW71" t="e">
        <f>AND(Plan1!I1200,"AAAAAA9/30o=")</f>
        <v>#VALUE!</v>
      </c>
      <c r="BX71" t="e">
        <f>AND(Plan1!J1200,"AAAAAA9/30s=")</f>
        <v>#VALUE!</v>
      </c>
      <c r="BY71" t="e">
        <f>AND(Plan1!K1200,"AAAAAA9/30w=")</f>
        <v>#VALUE!</v>
      </c>
      <c r="BZ71" t="e">
        <f>AND(Plan1!L1200,"AAAAAA9/300=")</f>
        <v>#VALUE!</v>
      </c>
      <c r="CA71" t="e">
        <f>AND(Plan1!M1200,"AAAAAA9/304=")</f>
        <v>#VALUE!</v>
      </c>
      <c r="CB71" t="e">
        <f>AND(Plan1!N1200,"AAAAAA9/308=")</f>
        <v>#VALUE!</v>
      </c>
      <c r="CC71">
        <f>IF(Plan1!1201:1201,"AAAAAA9/31A=",0)</f>
        <v>0</v>
      </c>
      <c r="CD71" t="e">
        <f>AND(Plan1!A1201,"AAAAAA9/31E=")</f>
        <v>#VALUE!</v>
      </c>
      <c r="CE71" t="e">
        <f>AND(Plan1!B1201,"AAAAAA9/31I=")</f>
        <v>#VALUE!</v>
      </c>
      <c r="CF71" t="e">
        <f>AND(Plan1!C1201,"AAAAAA9/31M=")</f>
        <v>#VALUE!</v>
      </c>
      <c r="CG71" t="e">
        <f>AND(Plan1!D1201,"AAAAAA9/31Q=")</f>
        <v>#VALUE!</v>
      </c>
      <c r="CH71" t="e">
        <f>AND(Plan1!E1201,"AAAAAA9/31U=")</f>
        <v>#VALUE!</v>
      </c>
      <c r="CI71" t="e">
        <f>AND(Plan1!F1201,"AAAAAA9/31Y=")</f>
        <v>#VALUE!</v>
      </c>
      <c r="CJ71" t="e">
        <f>AND(Plan1!G1201,"AAAAAA9/31c=")</f>
        <v>#VALUE!</v>
      </c>
      <c r="CK71" t="e">
        <f>AND(Plan1!H1201,"AAAAAA9/31g=")</f>
        <v>#VALUE!</v>
      </c>
      <c r="CL71" t="e">
        <f>AND(Plan1!I1201,"AAAAAA9/31k=")</f>
        <v>#VALUE!</v>
      </c>
      <c r="CM71" t="e">
        <f>AND(Plan1!J1201,"AAAAAA9/31o=")</f>
        <v>#VALUE!</v>
      </c>
      <c r="CN71" t="e">
        <f>AND(Plan1!K1201,"AAAAAA9/31s=")</f>
        <v>#VALUE!</v>
      </c>
      <c r="CO71" t="e">
        <f>AND(Plan1!L1201,"AAAAAA9/31w=")</f>
        <v>#VALUE!</v>
      </c>
      <c r="CP71" t="e">
        <f>AND(Plan1!M1201,"AAAAAA9/310=")</f>
        <v>#VALUE!</v>
      </c>
      <c r="CQ71" t="e">
        <f>AND(Plan1!N1201,"AAAAAA9/314=")</f>
        <v>#VALUE!</v>
      </c>
      <c r="CR71">
        <f>IF(Plan1!1202:1202,"AAAAAA9/318=",0)</f>
        <v>0</v>
      </c>
      <c r="CS71" t="e">
        <f>AND(Plan1!A1202,"AAAAAA9/32A=")</f>
        <v>#VALUE!</v>
      </c>
      <c r="CT71" t="e">
        <f>AND(Plan1!B1202,"AAAAAA9/32E=")</f>
        <v>#VALUE!</v>
      </c>
      <c r="CU71" t="e">
        <f>AND(Plan1!C1202,"AAAAAA9/32I=")</f>
        <v>#VALUE!</v>
      </c>
      <c r="CV71" t="e">
        <f>AND(Plan1!D1202,"AAAAAA9/32M=")</f>
        <v>#VALUE!</v>
      </c>
      <c r="CW71" t="e">
        <f>AND(Plan1!E1202,"AAAAAA9/32Q=")</f>
        <v>#VALUE!</v>
      </c>
      <c r="CX71" t="e">
        <f>AND(Plan1!F1202,"AAAAAA9/32U=")</f>
        <v>#VALUE!</v>
      </c>
      <c r="CY71" t="e">
        <f>AND(Plan1!G1202,"AAAAAA9/32Y=")</f>
        <v>#VALUE!</v>
      </c>
      <c r="CZ71" t="e">
        <f>AND(Plan1!H1202,"AAAAAA9/32c=")</f>
        <v>#VALUE!</v>
      </c>
      <c r="DA71" t="e">
        <f>AND(Plan1!I1202,"AAAAAA9/32g=")</f>
        <v>#VALUE!</v>
      </c>
      <c r="DB71" t="e">
        <f>AND(Plan1!J1202,"AAAAAA9/32k=")</f>
        <v>#VALUE!</v>
      </c>
      <c r="DC71" t="e">
        <f>AND(Plan1!K1202,"AAAAAA9/32o=")</f>
        <v>#VALUE!</v>
      </c>
      <c r="DD71" t="e">
        <f>AND(Plan1!L1202,"AAAAAA9/32s=")</f>
        <v>#VALUE!</v>
      </c>
      <c r="DE71" t="e">
        <f>AND(Plan1!M1202,"AAAAAA9/32w=")</f>
        <v>#VALUE!</v>
      </c>
      <c r="DF71" t="e">
        <f>AND(Plan1!N1202,"AAAAAA9/320=")</f>
        <v>#VALUE!</v>
      </c>
      <c r="DG71">
        <f>IF(Plan1!1203:1203,"AAAAAA9/324=",0)</f>
        <v>0</v>
      </c>
      <c r="DH71" t="e">
        <f>AND(Plan1!A1203,"AAAAAA9/328=")</f>
        <v>#VALUE!</v>
      </c>
      <c r="DI71" t="e">
        <f>AND(Plan1!B1203,"AAAAAA9/33A=")</f>
        <v>#VALUE!</v>
      </c>
      <c r="DJ71" t="e">
        <f>AND(Plan1!C1203,"AAAAAA9/33E=")</f>
        <v>#VALUE!</v>
      </c>
      <c r="DK71" t="e">
        <f>AND(Plan1!D1203,"AAAAAA9/33I=")</f>
        <v>#VALUE!</v>
      </c>
      <c r="DL71" t="e">
        <f>AND(Plan1!E1203,"AAAAAA9/33M=")</f>
        <v>#VALUE!</v>
      </c>
      <c r="DM71" t="e">
        <f>AND(Plan1!F1203,"AAAAAA9/33Q=")</f>
        <v>#VALUE!</v>
      </c>
      <c r="DN71" t="e">
        <f>AND(Plan1!G1203,"AAAAAA9/33U=")</f>
        <v>#VALUE!</v>
      </c>
      <c r="DO71" t="e">
        <f>AND(Plan1!H1203,"AAAAAA9/33Y=")</f>
        <v>#VALUE!</v>
      </c>
      <c r="DP71" t="e">
        <f>AND(Plan1!I1203,"AAAAAA9/33c=")</f>
        <v>#VALUE!</v>
      </c>
      <c r="DQ71" t="e">
        <f>AND(Plan1!J1203,"AAAAAA9/33g=")</f>
        <v>#VALUE!</v>
      </c>
      <c r="DR71" t="e">
        <f>AND(Plan1!K1203,"AAAAAA9/33k=")</f>
        <v>#VALUE!</v>
      </c>
      <c r="DS71" t="e">
        <f>AND(Plan1!L1203,"AAAAAA9/33o=")</f>
        <v>#VALUE!</v>
      </c>
      <c r="DT71" t="e">
        <f>AND(Plan1!M1203,"AAAAAA9/33s=")</f>
        <v>#VALUE!</v>
      </c>
      <c r="DU71" t="e">
        <f>AND(Plan1!N1203,"AAAAAA9/33w=")</f>
        <v>#VALUE!</v>
      </c>
      <c r="DV71">
        <f>IF(Plan1!1204:1204,"AAAAAA9/330=",0)</f>
        <v>0</v>
      </c>
      <c r="DW71" t="e">
        <f>AND(Plan1!A1204,"AAAAAA9/334=")</f>
        <v>#VALUE!</v>
      </c>
      <c r="DX71" t="e">
        <f>AND(Plan1!B1204,"AAAAAA9/338=")</f>
        <v>#VALUE!</v>
      </c>
      <c r="DY71" t="e">
        <f>AND(Plan1!C1204,"AAAAAA9/34A=")</f>
        <v>#VALUE!</v>
      </c>
      <c r="DZ71" t="e">
        <f>AND(Plan1!D1204,"AAAAAA9/34E=")</f>
        <v>#VALUE!</v>
      </c>
      <c r="EA71" t="e">
        <f>AND(Plan1!E1204,"AAAAAA9/34I=")</f>
        <v>#VALUE!</v>
      </c>
      <c r="EB71" t="e">
        <f>AND(Plan1!F1204,"AAAAAA9/34M=")</f>
        <v>#VALUE!</v>
      </c>
      <c r="EC71" t="e">
        <f>AND(Plan1!G1204,"AAAAAA9/34Q=")</f>
        <v>#VALUE!</v>
      </c>
      <c r="ED71" t="e">
        <f>AND(Plan1!H1204,"AAAAAA9/34U=")</f>
        <v>#VALUE!</v>
      </c>
      <c r="EE71" t="e">
        <f>AND(Plan1!I1204,"AAAAAA9/34Y=")</f>
        <v>#VALUE!</v>
      </c>
      <c r="EF71" t="e">
        <f>AND(Plan1!J1204,"AAAAAA9/34c=")</f>
        <v>#VALUE!</v>
      </c>
      <c r="EG71" t="e">
        <f>AND(Plan1!K1204,"AAAAAA9/34g=")</f>
        <v>#VALUE!</v>
      </c>
      <c r="EH71" t="e">
        <f>AND(Plan1!L1204,"AAAAAA9/34k=")</f>
        <v>#VALUE!</v>
      </c>
      <c r="EI71" t="e">
        <f>AND(Plan1!M1204,"AAAAAA9/34o=")</f>
        <v>#VALUE!</v>
      </c>
      <c r="EJ71" t="e">
        <f>AND(Plan1!N1204,"AAAAAA9/34s=")</f>
        <v>#VALUE!</v>
      </c>
      <c r="EK71">
        <f>IF(Plan1!1205:1205,"AAAAAA9/34w=",0)</f>
        <v>0</v>
      </c>
      <c r="EL71" t="e">
        <f>AND(Plan1!A1205,"AAAAAA9/340=")</f>
        <v>#VALUE!</v>
      </c>
      <c r="EM71" t="e">
        <f>AND(Plan1!B1205,"AAAAAA9/344=")</f>
        <v>#VALUE!</v>
      </c>
      <c r="EN71" t="e">
        <f>AND(Plan1!C1205,"AAAAAA9/348=")</f>
        <v>#VALUE!</v>
      </c>
      <c r="EO71" t="e">
        <f>AND(Plan1!D1205,"AAAAAA9/35A=")</f>
        <v>#VALUE!</v>
      </c>
      <c r="EP71" t="e">
        <f>AND(Plan1!E1205,"AAAAAA9/35E=")</f>
        <v>#VALUE!</v>
      </c>
      <c r="EQ71" t="e">
        <f>AND(Plan1!F1205,"AAAAAA9/35I=")</f>
        <v>#VALUE!</v>
      </c>
      <c r="ER71" t="e">
        <f>AND(Plan1!G1205,"AAAAAA9/35M=")</f>
        <v>#VALUE!</v>
      </c>
      <c r="ES71" t="e">
        <f>AND(Plan1!H1205,"AAAAAA9/35Q=")</f>
        <v>#VALUE!</v>
      </c>
      <c r="ET71" t="e">
        <f>AND(Plan1!I1205,"AAAAAA9/35U=")</f>
        <v>#VALUE!</v>
      </c>
      <c r="EU71" t="e">
        <f>AND(Plan1!J1205,"AAAAAA9/35Y=")</f>
        <v>#VALUE!</v>
      </c>
      <c r="EV71" t="e">
        <f>AND(Plan1!K1205,"AAAAAA9/35c=")</f>
        <v>#VALUE!</v>
      </c>
      <c r="EW71" t="e">
        <f>AND(Plan1!L1205,"AAAAAA9/35g=")</f>
        <v>#VALUE!</v>
      </c>
      <c r="EX71" t="e">
        <f>AND(Plan1!M1205,"AAAAAA9/35k=")</f>
        <v>#VALUE!</v>
      </c>
      <c r="EY71" t="e">
        <f>AND(Plan1!N1205,"AAAAAA9/35o=")</f>
        <v>#VALUE!</v>
      </c>
      <c r="EZ71">
        <f>IF(Plan1!1206:1206,"AAAAAA9/35s=",0)</f>
        <v>0</v>
      </c>
      <c r="FA71" t="e">
        <f>AND(Plan1!A1206,"AAAAAA9/35w=")</f>
        <v>#VALUE!</v>
      </c>
      <c r="FB71" t="e">
        <f>AND(Plan1!B1206,"AAAAAA9/350=")</f>
        <v>#VALUE!</v>
      </c>
      <c r="FC71" t="e">
        <f>AND(Plan1!C1206,"AAAAAA9/354=")</f>
        <v>#VALUE!</v>
      </c>
      <c r="FD71" t="e">
        <f>AND(Plan1!D1206,"AAAAAA9/358=")</f>
        <v>#VALUE!</v>
      </c>
      <c r="FE71" t="e">
        <f>AND(Plan1!E1206,"AAAAAA9/36A=")</f>
        <v>#VALUE!</v>
      </c>
      <c r="FF71" t="e">
        <f>AND(Plan1!F1206,"AAAAAA9/36E=")</f>
        <v>#VALUE!</v>
      </c>
      <c r="FG71" t="e">
        <f>AND(Plan1!G1206,"AAAAAA9/36I=")</f>
        <v>#VALUE!</v>
      </c>
      <c r="FH71" t="e">
        <f>AND(Plan1!H1206,"AAAAAA9/36M=")</f>
        <v>#VALUE!</v>
      </c>
      <c r="FI71" t="e">
        <f>AND(Plan1!I1206,"AAAAAA9/36Q=")</f>
        <v>#VALUE!</v>
      </c>
      <c r="FJ71" t="e">
        <f>AND(Plan1!J1206,"AAAAAA9/36U=")</f>
        <v>#VALUE!</v>
      </c>
      <c r="FK71" t="e">
        <f>AND(Plan1!K1206,"AAAAAA9/36Y=")</f>
        <v>#VALUE!</v>
      </c>
      <c r="FL71" t="e">
        <f>AND(Plan1!L1206,"AAAAAA9/36c=")</f>
        <v>#VALUE!</v>
      </c>
      <c r="FM71" t="e">
        <f>AND(Plan1!M1206,"AAAAAA9/36g=")</f>
        <v>#VALUE!</v>
      </c>
      <c r="FN71" t="e">
        <f>AND(Plan1!N1206,"AAAAAA9/36k=")</f>
        <v>#VALUE!</v>
      </c>
      <c r="FO71">
        <f>IF(Plan1!1207:1207,"AAAAAA9/36o=",0)</f>
        <v>0</v>
      </c>
      <c r="FP71" t="e">
        <f>AND(Plan1!A1207,"AAAAAA9/36s=")</f>
        <v>#VALUE!</v>
      </c>
      <c r="FQ71" t="e">
        <f>AND(Plan1!B1207,"AAAAAA9/36w=")</f>
        <v>#VALUE!</v>
      </c>
      <c r="FR71" t="e">
        <f>AND(Plan1!C1207,"AAAAAA9/360=")</f>
        <v>#VALUE!</v>
      </c>
      <c r="FS71" t="e">
        <f>AND(Plan1!D1207,"AAAAAA9/364=")</f>
        <v>#VALUE!</v>
      </c>
      <c r="FT71" t="e">
        <f>AND(Plan1!E1207,"AAAAAA9/368=")</f>
        <v>#VALUE!</v>
      </c>
      <c r="FU71" t="e">
        <f>AND(Plan1!F1207,"AAAAAA9/37A=")</f>
        <v>#VALUE!</v>
      </c>
      <c r="FV71" t="e">
        <f>AND(Plan1!G1207,"AAAAAA9/37E=")</f>
        <v>#VALUE!</v>
      </c>
      <c r="FW71" t="e">
        <f>AND(Plan1!H1207,"AAAAAA9/37I=")</f>
        <v>#VALUE!</v>
      </c>
      <c r="FX71" t="e">
        <f>AND(Plan1!I1207,"AAAAAA9/37M=")</f>
        <v>#VALUE!</v>
      </c>
      <c r="FY71" t="e">
        <f>AND(Plan1!J1207,"AAAAAA9/37Q=")</f>
        <v>#VALUE!</v>
      </c>
      <c r="FZ71" t="e">
        <f>AND(Plan1!K1207,"AAAAAA9/37U=")</f>
        <v>#VALUE!</v>
      </c>
      <c r="GA71" t="e">
        <f>AND(Plan1!L1207,"AAAAAA9/37Y=")</f>
        <v>#VALUE!</v>
      </c>
      <c r="GB71" t="e">
        <f>AND(Plan1!M1207,"AAAAAA9/37c=")</f>
        <v>#VALUE!</v>
      </c>
      <c r="GC71" t="e">
        <f>AND(Plan1!N1207,"AAAAAA9/37g=")</f>
        <v>#VALUE!</v>
      </c>
      <c r="GD71">
        <f>IF(Plan1!1208:1208,"AAAAAA9/37k=",0)</f>
        <v>0</v>
      </c>
      <c r="GE71" t="e">
        <f>AND(Plan1!A1208,"AAAAAA9/37o=")</f>
        <v>#VALUE!</v>
      </c>
      <c r="GF71" t="e">
        <f>AND(Plan1!B1208,"AAAAAA9/37s=")</f>
        <v>#VALUE!</v>
      </c>
      <c r="GG71" t="e">
        <f>AND(Plan1!C1208,"AAAAAA9/37w=")</f>
        <v>#VALUE!</v>
      </c>
      <c r="GH71" t="e">
        <f>AND(Plan1!D1208,"AAAAAA9/370=")</f>
        <v>#VALUE!</v>
      </c>
      <c r="GI71" t="e">
        <f>AND(Plan1!E1208,"AAAAAA9/374=")</f>
        <v>#VALUE!</v>
      </c>
      <c r="GJ71" t="e">
        <f>AND(Plan1!F1208,"AAAAAA9/378=")</f>
        <v>#VALUE!</v>
      </c>
      <c r="GK71" t="e">
        <f>AND(Plan1!G1208,"AAAAAA9/38A=")</f>
        <v>#VALUE!</v>
      </c>
      <c r="GL71" t="e">
        <f>AND(Plan1!H1208,"AAAAAA9/38E=")</f>
        <v>#VALUE!</v>
      </c>
      <c r="GM71" t="e">
        <f>AND(Plan1!I1208,"AAAAAA9/38I=")</f>
        <v>#VALUE!</v>
      </c>
      <c r="GN71" t="e">
        <f>AND(Plan1!J1208,"AAAAAA9/38M=")</f>
        <v>#VALUE!</v>
      </c>
      <c r="GO71" t="e">
        <f>AND(Plan1!K1208,"AAAAAA9/38Q=")</f>
        <v>#VALUE!</v>
      </c>
      <c r="GP71" t="e">
        <f>AND(Plan1!L1208,"AAAAAA9/38U=")</f>
        <v>#VALUE!</v>
      </c>
      <c r="GQ71" t="e">
        <f>AND(Plan1!M1208,"AAAAAA9/38Y=")</f>
        <v>#VALUE!</v>
      </c>
      <c r="GR71" t="e">
        <f>AND(Plan1!N1208,"AAAAAA9/38c=")</f>
        <v>#VALUE!</v>
      </c>
      <c r="GS71">
        <f>IF(Plan1!1209:1209,"AAAAAA9/38g=",0)</f>
        <v>0</v>
      </c>
      <c r="GT71" t="e">
        <f>AND(Plan1!A1209,"AAAAAA9/38k=")</f>
        <v>#VALUE!</v>
      </c>
      <c r="GU71" t="e">
        <f>AND(Plan1!B1209,"AAAAAA9/38o=")</f>
        <v>#VALUE!</v>
      </c>
      <c r="GV71" t="e">
        <f>AND(Plan1!C1209,"AAAAAA9/38s=")</f>
        <v>#VALUE!</v>
      </c>
      <c r="GW71" t="e">
        <f>AND(Plan1!D1209,"AAAAAA9/38w=")</f>
        <v>#VALUE!</v>
      </c>
      <c r="GX71" t="e">
        <f>AND(Plan1!E1209,"AAAAAA9/380=")</f>
        <v>#VALUE!</v>
      </c>
      <c r="GY71" t="e">
        <f>AND(Plan1!F1209,"AAAAAA9/384=")</f>
        <v>#VALUE!</v>
      </c>
      <c r="GZ71" t="e">
        <f>AND(Plan1!G1209,"AAAAAA9/388=")</f>
        <v>#VALUE!</v>
      </c>
      <c r="HA71" t="e">
        <f>AND(Plan1!H1209,"AAAAAA9/39A=")</f>
        <v>#VALUE!</v>
      </c>
      <c r="HB71" t="e">
        <f>AND(Plan1!I1209,"AAAAAA9/39E=")</f>
        <v>#VALUE!</v>
      </c>
      <c r="HC71" t="e">
        <f>AND(Plan1!J1209,"AAAAAA9/39I=")</f>
        <v>#VALUE!</v>
      </c>
      <c r="HD71" t="e">
        <f>AND(Plan1!K1209,"AAAAAA9/39M=")</f>
        <v>#VALUE!</v>
      </c>
      <c r="HE71" t="e">
        <f>AND(Plan1!L1209,"AAAAAA9/39Q=")</f>
        <v>#VALUE!</v>
      </c>
      <c r="HF71" t="e">
        <f>AND(Plan1!M1209,"AAAAAA9/39U=")</f>
        <v>#VALUE!</v>
      </c>
      <c r="HG71" t="e">
        <f>AND(Plan1!N1209,"AAAAAA9/39Y=")</f>
        <v>#VALUE!</v>
      </c>
      <c r="HH71">
        <f>IF(Plan1!1210:1210,"AAAAAA9/39c=",0)</f>
        <v>0</v>
      </c>
      <c r="HI71" t="e">
        <f>AND(Plan1!A1210,"AAAAAA9/39g=")</f>
        <v>#VALUE!</v>
      </c>
      <c r="HJ71" t="e">
        <f>AND(Plan1!B1210,"AAAAAA9/39k=")</f>
        <v>#VALUE!</v>
      </c>
      <c r="HK71" t="e">
        <f>AND(Plan1!C1210,"AAAAAA9/39o=")</f>
        <v>#VALUE!</v>
      </c>
      <c r="HL71" t="e">
        <f>AND(Plan1!D1210,"AAAAAA9/39s=")</f>
        <v>#VALUE!</v>
      </c>
      <c r="HM71" t="e">
        <f>AND(Plan1!E1210,"AAAAAA9/39w=")</f>
        <v>#VALUE!</v>
      </c>
      <c r="HN71" t="e">
        <f>AND(Plan1!F1210,"AAAAAA9/390=")</f>
        <v>#VALUE!</v>
      </c>
      <c r="HO71" t="e">
        <f>AND(Plan1!G1210,"AAAAAA9/394=")</f>
        <v>#VALUE!</v>
      </c>
      <c r="HP71" t="e">
        <f>AND(Plan1!H1210,"AAAAAA9/398=")</f>
        <v>#VALUE!</v>
      </c>
      <c r="HQ71" t="e">
        <f>AND(Plan1!I1210,"AAAAAA9/3+A=")</f>
        <v>#VALUE!</v>
      </c>
      <c r="HR71" t="e">
        <f>AND(Plan1!J1210,"AAAAAA9/3+E=")</f>
        <v>#VALUE!</v>
      </c>
      <c r="HS71" t="e">
        <f>AND(Plan1!K1210,"AAAAAA9/3+I=")</f>
        <v>#VALUE!</v>
      </c>
      <c r="HT71" t="e">
        <f>AND(Plan1!L1210,"AAAAAA9/3+M=")</f>
        <v>#VALUE!</v>
      </c>
      <c r="HU71" t="e">
        <f>AND(Plan1!M1210,"AAAAAA9/3+Q=")</f>
        <v>#VALUE!</v>
      </c>
      <c r="HV71" t="e">
        <f>AND(Plan1!N1210,"AAAAAA9/3+U=")</f>
        <v>#VALUE!</v>
      </c>
      <c r="HW71">
        <f>IF(Plan1!1211:1211,"AAAAAA9/3+Y=",0)</f>
        <v>0</v>
      </c>
      <c r="HX71" t="e">
        <f>AND(Plan1!A1211,"AAAAAA9/3+c=")</f>
        <v>#VALUE!</v>
      </c>
      <c r="HY71" t="e">
        <f>AND(Plan1!B1211,"AAAAAA9/3+g=")</f>
        <v>#VALUE!</v>
      </c>
      <c r="HZ71" t="e">
        <f>AND(Plan1!C1211,"AAAAAA9/3+k=")</f>
        <v>#VALUE!</v>
      </c>
      <c r="IA71" t="e">
        <f>AND(Plan1!D1211,"AAAAAA9/3+o=")</f>
        <v>#VALUE!</v>
      </c>
      <c r="IB71" t="e">
        <f>AND(Plan1!E1211,"AAAAAA9/3+s=")</f>
        <v>#VALUE!</v>
      </c>
      <c r="IC71" t="e">
        <f>AND(Plan1!F1211,"AAAAAA9/3+w=")</f>
        <v>#VALUE!</v>
      </c>
      <c r="ID71" t="e">
        <f>AND(Plan1!G1211,"AAAAAA9/3+0=")</f>
        <v>#VALUE!</v>
      </c>
      <c r="IE71" t="e">
        <f>AND(Plan1!H1211,"AAAAAA9/3+4=")</f>
        <v>#VALUE!</v>
      </c>
      <c r="IF71" t="e">
        <f>AND(Plan1!I1211,"AAAAAA9/3+8=")</f>
        <v>#VALUE!</v>
      </c>
      <c r="IG71" t="e">
        <f>AND(Plan1!J1211,"AAAAAA9/3/A=")</f>
        <v>#VALUE!</v>
      </c>
      <c r="IH71" t="e">
        <f>AND(Plan1!K1211,"AAAAAA9/3/E=")</f>
        <v>#VALUE!</v>
      </c>
      <c r="II71" t="e">
        <f>AND(Plan1!L1211,"AAAAAA9/3/I=")</f>
        <v>#VALUE!</v>
      </c>
      <c r="IJ71" t="e">
        <f>AND(Plan1!M1211,"AAAAAA9/3/M=")</f>
        <v>#VALUE!</v>
      </c>
      <c r="IK71" t="e">
        <f>AND(Plan1!N1211,"AAAAAA9/3/Q=")</f>
        <v>#VALUE!</v>
      </c>
      <c r="IL71">
        <f>IF(Plan1!1212:1212,"AAAAAA9/3/U=",0)</f>
        <v>0</v>
      </c>
      <c r="IM71" t="e">
        <f>AND(Plan1!A1212,"AAAAAA9/3/Y=")</f>
        <v>#VALUE!</v>
      </c>
      <c r="IN71" t="e">
        <f>AND(Plan1!B1212,"AAAAAA9/3/c=")</f>
        <v>#VALUE!</v>
      </c>
      <c r="IO71" t="e">
        <f>AND(Plan1!C1212,"AAAAAA9/3/g=")</f>
        <v>#VALUE!</v>
      </c>
      <c r="IP71" t="e">
        <f>AND(Plan1!D1212,"AAAAAA9/3/k=")</f>
        <v>#VALUE!</v>
      </c>
      <c r="IQ71" t="e">
        <f>AND(Plan1!E1212,"AAAAAA9/3/o=")</f>
        <v>#VALUE!</v>
      </c>
      <c r="IR71" t="e">
        <f>AND(Plan1!F1212,"AAAAAA9/3/s=")</f>
        <v>#VALUE!</v>
      </c>
      <c r="IS71" t="e">
        <f>AND(Plan1!G1212,"AAAAAA9/3/w=")</f>
        <v>#VALUE!</v>
      </c>
      <c r="IT71" t="e">
        <f>AND(Plan1!H1212,"AAAAAA9/3/0=")</f>
        <v>#VALUE!</v>
      </c>
      <c r="IU71" t="e">
        <f>AND(Plan1!I1212,"AAAAAA9/3/4=")</f>
        <v>#VALUE!</v>
      </c>
      <c r="IV71" t="e">
        <f>AND(Plan1!J1212,"AAAAAA9/3/8=")</f>
        <v>#VALUE!</v>
      </c>
    </row>
    <row r="72" spans="1:256">
      <c r="A72" t="e">
        <f>AND(Plan1!K1212,"AAAAAHfZPgA=")</f>
        <v>#VALUE!</v>
      </c>
      <c r="B72" t="e">
        <f>AND(Plan1!L1212,"AAAAAHfZPgE=")</f>
        <v>#VALUE!</v>
      </c>
      <c r="C72" t="e">
        <f>AND(Plan1!M1212,"AAAAAHfZPgI=")</f>
        <v>#VALUE!</v>
      </c>
      <c r="D72" t="e">
        <f>AND(Plan1!N1212,"AAAAAHfZPgM=")</f>
        <v>#VALUE!</v>
      </c>
      <c r="E72">
        <f>IF(Plan1!1213:1213,"AAAAAHfZPgQ=",0)</f>
        <v>0</v>
      </c>
      <c r="F72" t="e">
        <f>AND(Plan1!A1213,"AAAAAHfZPgU=")</f>
        <v>#VALUE!</v>
      </c>
      <c r="G72" t="e">
        <f>AND(Plan1!B1213,"AAAAAHfZPgY=")</f>
        <v>#VALUE!</v>
      </c>
      <c r="H72" t="e">
        <f>AND(Plan1!C1213,"AAAAAHfZPgc=")</f>
        <v>#VALUE!</v>
      </c>
      <c r="I72" t="e">
        <f>AND(Plan1!D1213,"AAAAAHfZPgg=")</f>
        <v>#VALUE!</v>
      </c>
      <c r="J72" t="e">
        <f>AND(Plan1!E1213,"AAAAAHfZPgk=")</f>
        <v>#VALUE!</v>
      </c>
      <c r="K72" t="e">
        <f>AND(Plan1!F1213,"AAAAAHfZPgo=")</f>
        <v>#VALUE!</v>
      </c>
      <c r="L72" t="e">
        <f>AND(Plan1!G1213,"AAAAAHfZPgs=")</f>
        <v>#VALUE!</v>
      </c>
      <c r="M72" t="e">
        <f>AND(Plan1!H1213,"AAAAAHfZPgw=")</f>
        <v>#VALUE!</v>
      </c>
      <c r="N72" t="e">
        <f>AND(Plan1!I1213,"AAAAAHfZPg0=")</f>
        <v>#VALUE!</v>
      </c>
      <c r="O72" t="e">
        <f>AND(Plan1!J1213,"AAAAAHfZPg4=")</f>
        <v>#VALUE!</v>
      </c>
      <c r="P72" t="e">
        <f>AND(Plan1!K1213,"AAAAAHfZPg8=")</f>
        <v>#VALUE!</v>
      </c>
      <c r="Q72" t="e">
        <f>AND(Plan1!L1213,"AAAAAHfZPhA=")</f>
        <v>#VALUE!</v>
      </c>
      <c r="R72" t="e">
        <f>AND(Plan1!M1213,"AAAAAHfZPhE=")</f>
        <v>#VALUE!</v>
      </c>
      <c r="S72" t="e">
        <f>AND(Plan1!N1213,"AAAAAHfZPhI=")</f>
        <v>#VALUE!</v>
      </c>
      <c r="T72">
        <f>IF(Plan1!1214:1214,"AAAAAHfZPhM=",0)</f>
        <v>0</v>
      </c>
      <c r="U72" t="e">
        <f>AND(Plan1!A1214,"AAAAAHfZPhQ=")</f>
        <v>#VALUE!</v>
      </c>
      <c r="V72" t="e">
        <f>AND(Plan1!B1214,"AAAAAHfZPhU=")</f>
        <v>#VALUE!</v>
      </c>
      <c r="W72" t="e">
        <f>AND(Plan1!C1214,"AAAAAHfZPhY=")</f>
        <v>#VALUE!</v>
      </c>
      <c r="X72" t="e">
        <f>AND(Plan1!D1214,"AAAAAHfZPhc=")</f>
        <v>#VALUE!</v>
      </c>
      <c r="Y72" t="e">
        <f>AND(Plan1!E1214,"AAAAAHfZPhg=")</f>
        <v>#VALUE!</v>
      </c>
      <c r="Z72" t="e">
        <f>AND(Plan1!F1214,"AAAAAHfZPhk=")</f>
        <v>#VALUE!</v>
      </c>
      <c r="AA72" t="e">
        <f>AND(Plan1!G1214,"AAAAAHfZPho=")</f>
        <v>#VALUE!</v>
      </c>
      <c r="AB72" t="e">
        <f>AND(Plan1!H1214,"AAAAAHfZPhs=")</f>
        <v>#VALUE!</v>
      </c>
      <c r="AC72" t="e">
        <f>AND(Plan1!I1214,"AAAAAHfZPhw=")</f>
        <v>#VALUE!</v>
      </c>
      <c r="AD72" t="e">
        <f>AND(Plan1!J1214,"AAAAAHfZPh0=")</f>
        <v>#VALUE!</v>
      </c>
      <c r="AE72" t="e">
        <f>AND(Plan1!K1214,"AAAAAHfZPh4=")</f>
        <v>#VALUE!</v>
      </c>
      <c r="AF72" t="e">
        <f>AND(Plan1!L1214,"AAAAAHfZPh8=")</f>
        <v>#VALUE!</v>
      </c>
      <c r="AG72" t="e">
        <f>AND(Plan1!M1214,"AAAAAHfZPiA=")</f>
        <v>#VALUE!</v>
      </c>
      <c r="AH72" t="e">
        <f>AND(Plan1!N1214,"AAAAAHfZPiE=")</f>
        <v>#VALUE!</v>
      </c>
      <c r="AI72">
        <f>IF(Plan1!1215:1215,"AAAAAHfZPiI=",0)</f>
        <v>0</v>
      </c>
      <c r="AJ72" t="e">
        <f>AND(Plan1!A1215,"AAAAAHfZPiM=")</f>
        <v>#VALUE!</v>
      </c>
      <c r="AK72" t="e">
        <f>AND(Plan1!B1215,"AAAAAHfZPiQ=")</f>
        <v>#VALUE!</v>
      </c>
      <c r="AL72" t="e">
        <f>AND(Plan1!C1215,"AAAAAHfZPiU=")</f>
        <v>#VALUE!</v>
      </c>
      <c r="AM72" t="e">
        <f>AND(Plan1!D1215,"AAAAAHfZPiY=")</f>
        <v>#VALUE!</v>
      </c>
      <c r="AN72" t="e">
        <f>AND(Plan1!E1215,"AAAAAHfZPic=")</f>
        <v>#VALUE!</v>
      </c>
      <c r="AO72" t="e">
        <f>AND(Plan1!F1215,"AAAAAHfZPig=")</f>
        <v>#VALUE!</v>
      </c>
      <c r="AP72" t="e">
        <f>AND(Plan1!G1215,"AAAAAHfZPik=")</f>
        <v>#VALUE!</v>
      </c>
      <c r="AQ72" t="e">
        <f>AND(Plan1!H1215,"AAAAAHfZPio=")</f>
        <v>#VALUE!</v>
      </c>
      <c r="AR72" t="e">
        <f>AND(Plan1!I1215,"AAAAAHfZPis=")</f>
        <v>#VALUE!</v>
      </c>
      <c r="AS72" t="e">
        <f>AND(Plan1!J1215,"AAAAAHfZPiw=")</f>
        <v>#VALUE!</v>
      </c>
      <c r="AT72" t="e">
        <f>AND(Plan1!K1215,"AAAAAHfZPi0=")</f>
        <v>#VALUE!</v>
      </c>
      <c r="AU72" t="e">
        <f>AND(Plan1!L1215,"AAAAAHfZPi4=")</f>
        <v>#VALUE!</v>
      </c>
      <c r="AV72" t="e">
        <f>AND(Plan1!M1215,"AAAAAHfZPi8=")</f>
        <v>#VALUE!</v>
      </c>
      <c r="AW72" t="e">
        <f>AND(Plan1!N1215,"AAAAAHfZPjA=")</f>
        <v>#VALUE!</v>
      </c>
      <c r="AX72">
        <f>IF(Plan1!1216:1216,"AAAAAHfZPjE=",0)</f>
        <v>0</v>
      </c>
      <c r="AY72" t="e">
        <f>AND(Plan1!A1216,"AAAAAHfZPjI=")</f>
        <v>#VALUE!</v>
      </c>
      <c r="AZ72" t="e">
        <f>AND(Plan1!B1216,"AAAAAHfZPjM=")</f>
        <v>#VALUE!</v>
      </c>
      <c r="BA72" t="e">
        <f>AND(Plan1!C1216,"AAAAAHfZPjQ=")</f>
        <v>#VALUE!</v>
      </c>
      <c r="BB72" t="e">
        <f>AND(Plan1!D1216,"AAAAAHfZPjU=")</f>
        <v>#VALUE!</v>
      </c>
      <c r="BC72" t="e">
        <f>AND(Plan1!E1216,"AAAAAHfZPjY=")</f>
        <v>#VALUE!</v>
      </c>
      <c r="BD72" t="e">
        <f>AND(Plan1!F1216,"AAAAAHfZPjc=")</f>
        <v>#VALUE!</v>
      </c>
      <c r="BE72" t="e">
        <f>AND(Plan1!G1216,"AAAAAHfZPjg=")</f>
        <v>#VALUE!</v>
      </c>
      <c r="BF72" t="e">
        <f>AND(Plan1!H1216,"AAAAAHfZPjk=")</f>
        <v>#VALUE!</v>
      </c>
      <c r="BG72" t="e">
        <f>AND(Plan1!I1216,"AAAAAHfZPjo=")</f>
        <v>#VALUE!</v>
      </c>
      <c r="BH72" t="e">
        <f>AND(Plan1!J1216,"AAAAAHfZPjs=")</f>
        <v>#VALUE!</v>
      </c>
      <c r="BI72" t="e">
        <f>AND(Plan1!K1216,"AAAAAHfZPjw=")</f>
        <v>#VALUE!</v>
      </c>
      <c r="BJ72" t="e">
        <f>AND(Plan1!L1216,"AAAAAHfZPj0=")</f>
        <v>#VALUE!</v>
      </c>
      <c r="BK72" t="e">
        <f>AND(Plan1!M1216,"AAAAAHfZPj4=")</f>
        <v>#VALUE!</v>
      </c>
      <c r="BL72" t="e">
        <f>AND(Plan1!N1216,"AAAAAHfZPj8=")</f>
        <v>#VALUE!</v>
      </c>
      <c r="BM72">
        <f>IF(Plan1!1217:1217,"AAAAAHfZPkA=",0)</f>
        <v>0</v>
      </c>
      <c r="BN72" t="e">
        <f>AND(Plan1!A1217,"AAAAAHfZPkE=")</f>
        <v>#VALUE!</v>
      </c>
      <c r="BO72" t="e">
        <f>AND(Plan1!B1217,"AAAAAHfZPkI=")</f>
        <v>#VALUE!</v>
      </c>
      <c r="BP72" t="e">
        <f>AND(Plan1!C1217,"AAAAAHfZPkM=")</f>
        <v>#VALUE!</v>
      </c>
      <c r="BQ72" t="e">
        <f>AND(Plan1!D1217,"AAAAAHfZPkQ=")</f>
        <v>#VALUE!</v>
      </c>
      <c r="BR72" t="e">
        <f>AND(Plan1!E1217,"AAAAAHfZPkU=")</f>
        <v>#VALUE!</v>
      </c>
      <c r="BS72" t="e">
        <f>AND(Plan1!F1217,"AAAAAHfZPkY=")</f>
        <v>#VALUE!</v>
      </c>
      <c r="BT72" t="e">
        <f>AND(Plan1!G1217,"AAAAAHfZPkc=")</f>
        <v>#VALUE!</v>
      </c>
      <c r="BU72" t="e">
        <f>AND(Plan1!H1217,"AAAAAHfZPkg=")</f>
        <v>#VALUE!</v>
      </c>
      <c r="BV72" t="e">
        <f>AND(Plan1!I1217,"AAAAAHfZPkk=")</f>
        <v>#VALUE!</v>
      </c>
      <c r="BW72" t="e">
        <f>AND(Plan1!J1217,"AAAAAHfZPko=")</f>
        <v>#VALUE!</v>
      </c>
      <c r="BX72" t="e">
        <f>AND(Plan1!K1217,"AAAAAHfZPks=")</f>
        <v>#VALUE!</v>
      </c>
      <c r="BY72" t="e">
        <f>AND(Plan1!L1217,"AAAAAHfZPkw=")</f>
        <v>#VALUE!</v>
      </c>
      <c r="BZ72" t="e">
        <f>AND(Plan1!M1217,"AAAAAHfZPk0=")</f>
        <v>#VALUE!</v>
      </c>
      <c r="CA72" t="e">
        <f>AND(Plan1!N1217,"AAAAAHfZPk4=")</f>
        <v>#VALUE!</v>
      </c>
      <c r="CB72">
        <f>IF(Plan1!1218:1218,"AAAAAHfZPk8=",0)</f>
        <v>0</v>
      </c>
      <c r="CC72" t="e">
        <f>AND(Plan1!A1218,"AAAAAHfZPlA=")</f>
        <v>#VALUE!</v>
      </c>
      <c r="CD72" t="e">
        <f>AND(Plan1!B1218,"AAAAAHfZPlE=")</f>
        <v>#VALUE!</v>
      </c>
      <c r="CE72" t="e">
        <f>AND(Plan1!C1218,"AAAAAHfZPlI=")</f>
        <v>#VALUE!</v>
      </c>
      <c r="CF72" t="e">
        <f>AND(Plan1!D1218,"AAAAAHfZPlM=")</f>
        <v>#VALUE!</v>
      </c>
      <c r="CG72" t="e">
        <f>AND(Plan1!E1218,"AAAAAHfZPlQ=")</f>
        <v>#VALUE!</v>
      </c>
      <c r="CH72" t="e">
        <f>AND(Plan1!F1218,"AAAAAHfZPlU=")</f>
        <v>#VALUE!</v>
      </c>
      <c r="CI72" t="e">
        <f>AND(Plan1!G1218,"AAAAAHfZPlY=")</f>
        <v>#VALUE!</v>
      </c>
      <c r="CJ72" t="e">
        <f>AND(Plan1!H1218,"AAAAAHfZPlc=")</f>
        <v>#VALUE!</v>
      </c>
      <c r="CK72" t="e">
        <f>AND(Plan1!I1218,"AAAAAHfZPlg=")</f>
        <v>#VALUE!</v>
      </c>
      <c r="CL72" t="e">
        <f>AND(Plan1!J1218,"AAAAAHfZPlk=")</f>
        <v>#VALUE!</v>
      </c>
      <c r="CM72" t="e">
        <f>AND(Plan1!K1218,"AAAAAHfZPlo=")</f>
        <v>#VALUE!</v>
      </c>
      <c r="CN72" t="e">
        <f>AND(Plan1!L1218,"AAAAAHfZPls=")</f>
        <v>#VALUE!</v>
      </c>
      <c r="CO72" t="e">
        <f>AND(Plan1!M1218,"AAAAAHfZPlw=")</f>
        <v>#VALUE!</v>
      </c>
      <c r="CP72" t="e">
        <f>AND(Plan1!N1218,"AAAAAHfZPl0=")</f>
        <v>#VALUE!</v>
      </c>
      <c r="CQ72">
        <f>IF(Plan1!1219:1219,"AAAAAHfZPl4=",0)</f>
        <v>0</v>
      </c>
      <c r="CR72" t="e">
        <f>AND(Plan1!A1219,"AAAAAHfZPl8=")</f>
        <v>#VALUE!</v>
      </c>
      <c r="CS72" t="e">
        <f>AND(Plan1!B1219,"AAAAAHfZPmA=")</f>
        <v>#VALUE!</v>
      </c>
      <c r="CT72" t="e">
        <f>AND(Plan1!C1219,"AAAAAHfZPmE=")</f>
        <v>#VALUE!</v>
      </c>
      <c r="CU72" t="e">
        <f>AND(Plan1!D1219,"AAAAAHfZPmI=")</f>
        <v>#VALUE!</v>
      </c>
      <c r="CV72" t="e">
        <f>AND(Plan1!E1219,"AAAAAHfZPmM=")</f>
        <v>#VALUE!</v>
      </c>
      <c r="CW72" t="e">
        <f>AND(Plan1!F1219,"AAAAAHfZPmQ=")</f>
        <v>#VALUE!</v>
      </c>
      <c r="CX72" t="e">
        <f>AND(Plan1!G1219,"AAAAAHfZPmU=")</f>
        <v>#VALUE!</v>
      </c>
      <c r="CY72" t="e">
        <f>AND(Plan1!H1219,"AAAAAHfZPmY=")</f>
        <v>#VALUE!</v>
      </c>
      <c r="CZ72" t="e">
        <f>AND(Plan1!I1219,"AAAAAHfZPmc=")</f>
        <v>#VALUE!</v>
      </c>
      <c r="DA72" t="e">
        <f>AND(Plan1!J1219,"AAAAAHfZPmg=")</f>
        <v>#VALUE!</v>
      </c>
      <c r="DB72" t="e">
        <f>AND(Plan1!K1219,"AAAAAHfZPmk=")</f>
        <v>#VALUE!</v>
      </c>
      <c r="DC72" t="e">
        <f>AND(Plan1!L1219,"AAAAAHfZPmo=")</f>
        <v>#VALUE!</v>
      </c>
      <c r="DD72" t="e">
        <f>AND(Plan1!M1219,"AAAAAHfZPms=")</f>
        <v>#VALUE!</v>
      </c>
      <c r="DE72" t="e">
        <f>AND(Plan1!N1219,"AAAAAHfZPmw=")</f>
        <v>#VALUE!</v>
      </c>
      <c r="DF72">
        <f>IF(Plan1!1220:1220,"AAAAAHfZPm0=",0)</f>
        <v>0</v>
      </c>
      <c r="DG72" t="e">
        <f>AND(Plan1!A1220,"AAAAAHfZPm4=")</f>
        <v>#VALUE!</v>
      </c>
      <c r="DH72" t="e">
        <f>AND(Plan1!B1220,"AAAAAHfZPm8=")</f>
        <v>#VALUE!</v>
      </c>
      <c r="DI72" t="e">
        <f>AND(Plan1!C1220,"AAAAAHfZPnA=")</f>
        <v>#VALUE!</v>
      </c>
      <c r="DJ72" t="e">
        <f>AND(Plan1!D1220,"AAAAAHfZPnE=")</f>
        <v>#VALUE!</v>
      </c>
      <c r="DK72" t="e">
        <f>AND(Plan1!E1220,"AAAAAHfZPnI=")</f>
        <v>#VALUE!</v>
      </c>
      <c r="DL72" t="e">
        <f>AND(Plan1!F1220,"AAAAAHfZPnM=")</f>
        <v>#VALUE!</v>
      </c>
      <c r="DM72" t="e">
        <f>AND(Plan1!G1220,"AAAAAHfZPnQ=")</f>
        <v>#VALUE!</v>
      </c>
      <c r="DN72" t="e">
        <f>AND(Plan1!H1220,"AAAAAHfZPnU=")</f>
        <v>#VALUE!</v>
      </c>
      <c r="DO72" t="e">
        <f>AND(Plan1!I1220,"AAAAAHfZPnY=")</f>
        <v>#VALUE!</v>
      </c>
      <c r="DP72" t="e">
        <f>AND(Plan1!J1220,"AAAAAHfZPnc=")</f>
        <v>#VALUE!</v>
      </c>
      <c r="DQ72" t="e">
        <f>AND(Plan1!K1220,"AAAAAHfZPng=")</f>
        <v>#VALUE!</v>
      </c>
      <c r="DR72" t="e">
        <f>AND(Plan1!L1220,"AAAAAHfZPnk=")</f>
        <v>#VALUE!</v>
      </c>
      <c r="DS72" t="e">
        <f>AND(Plan1!M1220,"AAAAAHfZPno=")</f>
        <v>#VALUE!</v>
      </c>
      <c r="DT72" t="e">
        <f>AND(Plan1!N1220,"AAAAAHfZPns=")</f>
        <v>#VALUE!</v>
      </c>
      <c r="DU72">
        <f>IF(Plan1!1221:1221,"AAAAAHfZPnw=",0)</f>
        <v>0</v>
      </c>
      <c r="DV72" t="e">
        <f>AND(Plan1!A1221,"AAAAAHfZPn0=")</f>
        <v>#VALUE!</v>
      </c>
      <c r="DW72" t="e">
        <f>AND(Plan1!B1221,"AAAAAHfZPn4=")</f>
        <v>#VALUE!</v>
      </c>
      <c r="DX72" t="e">
        <f>AND(Plan1!C1221,"AAAAAHfZPn8=")</f>
        <v>#VALUE!</v>
      </c>
      <c r="DY72" t="e">
        <f>AND(Plan1!D1221,"AAAAAHfZPoA=")</f>
        <v>#VALUE!</v>
      </c>
      <c r="DZ72" t="e">
        <f>AND(Plan1!E1221,"AAAAAHfZPoE=")</f>
        <v>#VALUE!</v>
      </c>
      <c r="EA72" t="e">
        <f>AND(Plan1!F1221,"AAAAAHfZPoI=")</f>
        <v>#VALUE!</v>
      </c>
      <c r="EB72" t="e">
        <f>AND(Plan1!G1221,"AAAAAHfZPoM=")</f>
        <v>#VALUE!</v>
      </c>
      <c r="EC72" t="e">
        <f>AND(Plan1!H1221,"AAAAAHfZPoQ=")</f>
        <v>#VALUE!</v>
      </c>
      <c r="ED72" t="e">
        <f>AND(Plan1!I1221,"AAAAAHfZPoU=")</f>
        <v>#VALUE!</v>
      </c>
      <c r="EE72" t="e">
        <f>AND(Plan1!J1221,"AAAAAHfZPoY=")</f>
        <v>#VALUE!</v>
      </c>
      <c r="EF72" t="e">
        <f>AND(Plan1!K1221,"AAAAAHfZPoc=")</f>
        <v>#VALUE!</v>
      </c>
      <c r="EG72" t="e">
        <f>AND(Plan1!L1221,"AAAAAHfZPog=")</f>
        <v>#VALUE!</v>
      </c>
      <c r="EH72" t="e">
        <f>AND(Plan1!M1221,"AAAAAHfZPok=")</f>
        <v>#VALUE!</v>
      </c>
      <c r="EI72" t="e">
        <f>AND(Plan1!N1221,"AAAAAHfZPoo=")</f>
        <v>#VALUE!</v>
      </c>
      <c r="EJ72">
        <f>IF(Plan1!1222:1222,"AAAAAHfZPos=",0)</f>
        <v>0</v>
      </c>
      <c r="EK72" t="e">
        <f>AND(Plan1!A1222,"AAAAAHfZPow=")</f>
        <v>#VALUE!</v>
      </c>
      <c r="EL72" t="e">
        <f>AND(Plan1!B1222,"AAAAAHfZPo0=")</f>
        <v>#VALUE!</v>
      </c>
      <c r="EM72" t="e">
        <f>AND(Plan1!C1222,"AAAAAHfZPo4=")</f>
        <v>#VALUE!</v>
      </c>
      <c r="EN72" t="e">
        <f>AND(Plan1!D1222,"AAAAAHfZPo8=")</f>
        <v>#VALUE!</v>
      </c>
      <c r="EO72" t="e">
        <f>AND(Plan1!E1222,"AAAAAHfZPpA=")</f>
        <v>#VALUE!</v>
      </c>
      <c r="EP72" t="e">
        <f>AND(Plan1!F1222,"AAAAAHfZPpE=")</f>
        <v>#VALUE!</v>
      </c>
      <c r="EQ72" t="e">
        <f>AND(Plan1!G1222,"AAAAAHfZPpI=")</f>
        <v>#VALUE!</v>
      </c>
      <c r="ER72" t="e">
        <f>AND(Plan1!H1222,"AAAAAHfZPpM=")</f>
        <v>#VALUE!</v>
      </c>
      <c r="ES72" t="e">
        <f>AND(Plan1!I1222,"AAAAAHfZPpQ=")</f>
        <v>#VALUE!</v>
      </c>
      <c r="ET72" t="e">
        <f>AND(Plan1!J1222,"AAAAAHfZPpU=")</f>
        <v>#VALUE!</v>
      </c>
      <c r="EU72" t="e">
        <f>AND(Plan1!K1222,"AAAAAHfZPpY=")</f>
        <v>#VALUE!</v>
      </c>
      <c r="EV72" t="e">
        <f>AND(Plan1!L1222,"AAAAAHfZPpc=")</f>
        <v>#VALUE!</v>
      </c>
      <c r="EW72" t="e">
        <f>AND(Plan1!M1222,"AAAAAHfZPpg=")</f>
        <v>#VALUE!</v>
      </c>
      <c r="EX72" t="e">
        <f>AND(Plan1!N1222,"AAAAAHfZPpk=")</f>
        <v>#VALUE!</v>
      </c>
      <c r="EY72">
        <f>IF(Plan1!1223:1223,"AAAAAHfZPpo=",0)</f>
        <v>0</v>
      </c>
      <c r="EZ72" t="e">
        <f>AND(Plan1!A1223,"AAAAAHfZPps=")</f>
        <v>#VALUE!</v>
      </c>
      <c r="FA72" t="e">
        <f>AND(Plan1!B1223,"AAAAAHfZPpw=")</f>
        <v>#VALUE!</v>
      </c>
      <c r="FB72" t="e">
        <f>AND(Plan1!C1223,"AAAAAHfZPp0=")</f>
        <v>#VALUE!</v>
      </c>
      <c r="FC72" t="e">
        <f>AND(Plan1!D1223,"AAAAAHfZPp4=")</f>
        <v>#VALUE!</v>
      </c>
      <c r="FD72" t="e">
        <f>AND(Plan1!E1223,"AAAAAHfZPp8=")</f>
        <v>#VALUE!</v>
      </c>
      <c r="FE72" t="e">
        <f>AND(Plan1!F1223,"AAAAAHfZPqA=")</f>
        <v>#VALUE!</v>
      </c>
      <c r="FF72" t="e">
        <f>AND(Plan1!G1223,"AAAAAHfZPqE=")</f>
        <v>#VALUE!</v>
      </c>
      <c r="FG72" t="e">
        <f>AND(Plan1!H1223,"AAAAAHfZPqI=")</f>
        <v>#VALUE!</v>
      </c>
      <c r="FH72" t="e">
        <f>AND(Plan1!I1223,"AAAAAHfZPqM=")</f>
        <v>#VALUE!</v>
      </c>
      <c r="FI72" t="e">
        <f>AND(Plan1!J1223,"AAAAAHfZPqQ=")</f>
        <v>#VALUE!</v>
      </c>
      <c r="FJ72" t="e">
        <f>AND(Plan1!K1223,"AAAAAHfZPqU=")</f>
        <v>#VALUE!</v>
      </c>
      <c r="FK72" t="e">
        <f>AND(Plan1!L1223,"AAAAAHfZPqY=")</f>
        <v>#VALUE!</v>
      </c>
      <c r="FL72" t="e">
        <f>AND(Plan1!M1223,"AAAAAHfZPqc=")</f>
        <v>#VALUE!</v>
      </c>
      <c r="FM72" t="e">
        <f>AND(Plan1!N1223,"AAAAAHfZPqg=")</f>
        <v>#VALUE!</v>
      </c>
      <c r="FN72">
        <f>IF(Plan1!1224:1224,"AAAAAHfZPqk=",0)</f>
        <v>0</v>
      </c>
      <c r="FO72" t="e">
        <f>AND(Plan1!A1224,"AAAAAHfZPqo=")</f>
        <v>#VALUE!</v>
      </c>
      <c r="FP72" t="e">
        <f>AND(Plan1!B1224,"AAAAAHfZPqs=")</f>
        <v>#VALUE!</v>
      </c>
      <c r="FQ72" t="e">
        <f>AND(Plan1!C1224,"AAAAAHfZPqw=")</f>
        <v>#VALUE!</v>
      </c>
      <c r="FR72" t="e">
        <f>AND(Plan1!D1224,"AAAAAHfZPq0=")</f>
        <v>#VALUE!</v>
      </c>
      <c r="FS72" t="e">
        <f>AND(Plan1!E1224,"AAAAAHfZPq4=")</f>
        <v>#VALUE!</v>
      </c>
      <c r="FT72" t="e">
        <f>AND(Plan1!F1224,"AAAAAHfZPq8=")</f>
        <v>#VALUE!</v>
      </c>
      <c r="FU72" t="e">
        <f>AND(Plan1!G1224,"AAAAAHfZPrA=")</f>
        <v>#VALUE!</v>
      </c>
      <c r="FV72" t="e">
        <f>AND(Plan1!H1224,"AAAAAHfZPrE=")</f>
        <v>#VALUE!</v>
      </c>
      <c r="FW72" t="e">
        <f>AND(Plan1!I1224,"AAAAAHfZPrI=")</f>
        <v>#VALUE!</v>
      </c>
      <c r="FX72" t="e">
        <f>AND(Plan1!J1224,"AAAAAHfZPrM=")</f>
        <v>#VALUE!</v>
      </c>
      <c r="FY72" t="e">
        <f>AND(Plan1!K1224,"AAAAAHfZPrQ=")</f>
        <v>#VALUE!</v>
      </c>
      <c r="FZ72" t="e">
        <f>AND(Plan1!L1224,"AAAAAHfZPrU=")</f>
        <v>#VALUE!</v>
      </c>
      <c r="GA72" t="e">
        <f>AND(Plan1!M1224,"AAAAAHfZPrY=")</f>
        <v>#VALUE!</v>
      </c>
      <c r="GB72" t="e">
        <f>AND(Plan1!N1224,"AAAAAHfZPrc=")</f>
        <v>#VALUE!</v>
      </c>
      <c r="GC72">
        <f>IF(Plan1!1225:1225,"AAAAAHfZPrg=",0)</f>
        <v>0</v>
      </c>
      <c r="GD72" t="e">
        <f>AND(Plan1!A1225,"AAAAAHfZPrk=")</f>
        <v>#VALUE!</v>
      </c>
      <c r="GE72" t="e">
        <f>AND(Plan1!B1225,"AAAAAHfZPro=")</f>
        <v>#VALUE!</v>
      </c>
      <c r="GF72" t="e">
        <f>AND(Plan1!C1225,"AAAAAHfZPrs=")</f>
        <v>#VALUE!</v>
      </c>
      <c r="GG72" t="e">
        <f>AND(Plan1!D1225,"AAAAAHfZPrw=")</f>
        <v>#VALUE!</v>
      </c>
      <c r="GH72" t="e">
        <f>AND(Plan1!E1225,"AAAAAHfZPr0=")</f>
        <v>#VALUE!</v>
      </c>
      <c r="GI72" t="e">
        <f>AND(Plan1!F1225,"AAAAAHfZPr4=")</f>
        <v>#VALUE!</v>
      </c>
      <c r="GJ72" t="e">
        <f>AND(Plan1!G1225,"AAAAAHfZPr8=")</f>
        <v>#VALUE!</v>
      </c>
      <c r="GK72" t="e">
        <f>AND(Plan1!H1225,"AAAAAHfZPsA=")</f>
        <v>#VALUE!</v>
      </c>
      <c r="GL72" t="e">
        <f>AND(Plan1!I1225,"AAAAAHfZPsE=")</f>
        <v>#VALUE!</v>
      </c>
      <c r="GM72" t="e">
        <f>AND(Plan1!J1225,"AAAAAHfZPsI=")</f>
        <v>#VALUE!</v>
      </c>
      <c r="GN72" t="e">
        <f>AND(Plan1!K1225,"AAAAAHfZPsM=")</f>
        <v>#VALUE!</v>
      </c>
      <c r="GO72" t="e">
        <f>AND(Plan1!L1225,"AAAAAHfZPsQ=")</f>
        <v>#VALUE!</v>
      </c>
      <c r="GP72" t="e">
        <f>AND(Plan1!M1225,"AAAAAHfZPsU=")</f>
        <v>#VALUE!</v>
      </c>
      <c r="GQ72" t="e">
        <f>AND(Plan1!N1225,"AAAAAHfZPsY=")</f>
        <v>#VALUE!</v>
      </c>
      <c r="GR72">
        <f>IF(Plan1!1226:1226,"AAAAAHfZPsc=",0)</f>
        <v>0</v>
      </c>
      <c r="GS72" t="e">
        <f>AND(Plan1!A1226,"AAAAAHfZPsg=")</f>
        <v>#VALUE!</v>
      </c>
      <c r="GT72" t="e">
        <f>AND(Plan1!B1226,"AAAAAHfZPsk=")</f>
        <v>#VALUE!</v>
      </c>
      <c r="GU72" t="e">
        <f>AND(Plan1!C1226,"AAAAAHfZPso=")</f>
        <v>#VALUE!</v>
      </c>
      <c r="GV72" t="e">
        <f>AND(Plan1!D1226,"AAAAAHfZPss=")</f>
        <v>#VALUE!</v>
      </c>
      <c r="GW72" t="e">
        <f>AND(Plan1!E1226,"AAAAAHfZPsw=")</f>
        <v>#VALUE!</v>
      </c>
      <c r="GX72" t="e">
        <f>AND(Plan1!F1226,"AAAAAHfZPs0=")</f>
        <v>#VALUE!</v>
      </c>
      <c r="GY72" t="e">
        <f>AND(Plan1!G1226,"AAAAAHfZPs4=")</f>
        <v>#VALUE!</v>
      </c>
      <c r="GZ72" t="e">
        <f>AND(Plan1!H1226,"AAAAAHfZPs8=")</f>
        <v>#VALUE!</v>
      </c>
      <c r="HA72" t="e">
        <f>AND(Plan1!I1226,"AAAAAHfZPtA=")</f>
        <v>#VALUE!</v>
      </c>
      <c r="HB72" t="e">
        <f>AND(Plan1!J1226,"AAAAAHfZPtE=")</f>
        <v>#VALUE!</v>
      </c>
      <c r="HC72" t="e">
        <f>AND(Plan1!K1226,"AAAAAHfZPtI=")</f>
        <v>#VALUE!</v>
      </c>
      <c r="HD72" t="e">
        <f>AND(Plan1!L1226,"AAAAAHfZPtM=")</f>
        <v>#VALUE!</v>
      </c>
      <c r="HE72" t="e">
        <f>AND(Plan1!M1226,"AAAAAHfZPtQ=")</f>
        <v>#VALUE!</v>
      </c>
      <c r="HF72" t="e">
        <f>AND(Plan1!N1226,"AAAAAHfZPtU=")</f>
        <v>#VALUE!</v>
      </c>
      <c r="HG72">
        <f>IF(Plan1!1227:1227,"AAAAAHfZPtY=",0)</f>
        <v>0</v>
      </c>
      <c r="HH72" t="e">
        <f>AND(Plan1!A1227,"AAAAAHfZPtc=")</f>
        <v>#VALUE!</v>
      </c>
      <c r="HI72" t="e">
        <f>AND(Plan1!B1227,"AAAAAHfZPtg=")</f>
        <v>#VALUE!</v>
      </c>
      <c r="HJ72" t="e">
        <f>AND(Plan1!C1227,"AAAAAHfZPtk=")</f>
        <v>#VALUE!</v>
      </c>
      <c r="HK72" t="e">
        <f>AND(Plan1!D1227,"AAAAAHfZPto=")</f>
        <v>#VALUE!</v>
      </c>
      <c r="HL72" t="e">
        <f>AND(Plan1!E1227,"AAAAAHfZPts=")</f>
        <v>#VALUE!</v>
      </c>
      <c r="HM72" t="e">
        <f>AND(Plan1!F1227,"AAAAAHfZPtw=")</f>
        <v>#VALUE!</v>
      </c>
      <c r="HN72" t="e">
        <f>AND(Plan1!G1227,"AAAAAHfZPt0=")</f>
        <v>#VALUE!</v>
      </c>
      <c r="HO72" t="e">
        <f>AND(Plan1!H1227,"AAAAAHfZPt4=")</f>
        <v>#VALUE!</v>
      </c>
      <c r="HP72" t="e">
        <f>AND(Plan1!I1227,"AAAAAHfZPt8=")</f>
        <v>#VALUE!</v>
      </c>
      <c r="HQ72" t="e">
        <f>AND(Plan1!J1227,"AAAAAHfZPuA=")</f>
        <v>#VALUE!</v>
      </c>
      <c r="HR72" t="e">
        <f>AND(Plan1!K1227,"AAAAAHfZPuE=")</f>
        <v>#VALUE!</v>
      </c>
      <c r="HS72" t="e">
        <f>AND(Plan1!L1227,"AAAAAHfZPuI=")</f>
        <v>#VALUE!</v>
      </c>
      <c r="HT72" t="e">
        <f>AND(Plan1!M1227,"AAAAAHfZPuM=")</f>
        <v>#VALUE!</v>
      </c>
      <c r="HU72" t="e">
        <f>AND(Plan1!N1227,"AAAAAHfZPuQ=")</f>
        <v>#VALUE!</v>
      </c>
      <c r="HV72">
        <f>IF(Plan1!1228:1228,"AAAAAHfZPuU=",0)</f>
        <v>0</v>
      </c>
      <c r="HW72" t="e">
        <f>AND(Plan1!A1228,"AAAAAHfZPuY=")</f>
        <v>#VALUE!</v>
      </c>
      <c r="HX72" t="e">
        <f>AND(Plan1!B1228,"AAAAAHfZPuc=")</f>
        <v>#VALUE!</v>
      </c>
      <c r="HY72" t="e">
        <f>AND(Plan1!C1228,"AAAAAHfZPug=")</f>
        <v>#VALUE!</v>
      </c>
      <c r="HZ72" t="e">
        <f>AND(Plan1!D1228,"AAAAAHfZPuk=")</f>
        <v>#VALUE!</v>
      </c>
      <c r="IA72" t="e">
        <f>AND(Plan1!E1228,"AAAAAHfZPuo=")</f>
        <v>#VALUE!</v>
      </c>
      <c r="IB72" t="e">
        <f>AND(Plan1!F1228,"AAAAAHfZPus=")</f>
        <v>#VALUE!</v>
      </c>
      <c r="IC72" t="e">
        <f>AND(Plan1!G1228,"AAAAAHfZPuw=")</f>
        <v>#VALUE!</v>
      </c>
      <c r="ID72" t="e">
        <f>AND(Plan1!H1228,"AAAAAHfZPu0=")</f>
        <v>#VALUE!</v>
      </c>
      <c r="IE72" t="e">
        <f>AND(Plan1!I1228,"AAAAAHfZPu4=")</f>
        <v>#VALUE!</v>
      </c>
      <c r="IF72" t="e">
        <f>AND(Plan1!J1228,"AAAAAHfZPu8=")</f>
        <v>#VALUE!</v>
      </c>
      <c r="IG72" t="e">
        <f>AND(Plan1!K1228,"AAAAAHfZPvA=")</f>
        <v>#VALUE!</v>
      </c>
      <c r="IH72" t="e">
        <f>AND(Plan1!L1228,"AAAAAHfZPvE=")</f>
        <v>#VALUE!</v>
      </c>
      <c r="II72" t="e">
        <f>AND(Plan1!M1228,"AAAAAHfZPvI=")</f>
        <v>#VALUE!</v>
      </c>
      <c r="IJ72" t="e">
        <f>AND(Plan1!N1228,"AAAAAHfZPvM=")</f>
        <v>#VALUE!</v>
      </c>
      <c r="IK72">
        <f>IF(Plan1!1229:1229,"AAAAAHfZPvQ=",0)</f>
        <v>0</v>
      </c>
      <c r="IL72" t="e">
        <f>AND(Plan1!A1229,"AAAAAHfZPvU=")</f>
        <v>#VALUE!</v>
      </c>
      <c r="IM72" t="e">
        <f>AND(Plan1!B1229,"AAAAAHfZPvY=")</f>
        <v>#VALUE!</v>
      </c>
      <c r="IN72" t="e">
        <f>AND(Plan1!C1229,"AAAAAHfZPvc=")</f>
        <v>#VALUE!</v>
      </c>
      <c r="IO72" t="e">
        <f>AND(Plan1!D1229,"AAAAAHfZPvg=")</f>
        <v>#VALUE!</v>
      </c>
      <c r="IP72" t="e">
        <f>AND(Plan1!E1229,"AAAAAHfZPvk=")</f>
        <v>#VALUE!</v>
      </c>
      <c r="IQ72" t="e">
        <f>AND(Plan1!F1229,"AAAAAHfZPvo=")</f>
        <v>#VALUE!</v>
      </c>
      <c r="IR72" t="e">
        <f>AND(Plan1!G1229,"AAAAAHfZPvs=")</f>
        <v>#VALUE!</v>
      </c>
      <c r="IS72" t="e">
        <f>AND(Plan1!H1229,"AAAAAHfZPvw=")</f>
        <v>#VALUE!</v>
      </c>
      <c r="IT72" t="e">
        <f>AND(Plan1!I1229,"AAAAAHfZPv0=")</f>
        <v>#VALUE!</v>
      </c>
      <c r="IU72" t="e">
        <f>AND(Plan1!J1229,"AAAAAHfZPv4=")</f>
        <v>#VALUE!</v>
      </c>
      <c r="IV72" t="e">
        <f>AND(Plan1!K1229,"AAAAAHfZPv8=")</f>
        <v>#VALUE!</v>
      </c>
    </row>
    <row r="73" spans="1:256">
      <c r="A73" t="e">
        <f>AND(Plan1!L1229,"AAAAAD0/2gA=")</f>
        <v>#VALUE!</v>
      </c>
      <c r="B73" t="e">
        <f>AND(Plan1!M1229,"AAAAAD0/2gE=")</f>
        <v>#VALUE!</v>
      </c>
      <c r="C73" t="e">
        <f>AND(Plan1!N1229,"AAAAAD0/2gI=")</f>
        <v>#VALUE!</v>
      </c>
      <c r="D73" t="e">
        <f>IF(Plan1!1230:1230,"AAAAAD0/2gM=",0)</f>
        <v>#VALUE!</v>
      </c>
      <c r="E73" t="e">
        <f>AND(Plan1!A1230,"AAAAAD0/2gQ=")</f>
        <v>#VALUE!</v>
      </c>
      <c r="F73" t="e">
        <f>AND(Plan1!B1230,"AAAAAD0/2gU=")</f>
        <v>#VALUE!</v>
      </c>
      <c r="G73" t="e">
        <f>AND(Plan1!C1230,"AAAAAD0/2gY=")</f>
        <v>#VALUE!</v>
      </c>
      <c r="H73" t="e">
        <f>AND(Plan1!D1230,"AAAAAD0/2gc=")</f>
        <v>#VALUE!</v>
      </c>
      <c r="I73" t="e">
        <f>AND(Plan1!E1230,"AAAAAD0/2gg=")</f>
        <v>#VALUE!</v>
      </c>
      <c r="J73" t="e">
        <f>AND(Plan1!F1230,"AAAAAD0/2gk=")</f>
        <v>#VALUE!</v>
      </c>
      <c r="K73" t="e">
        <f>AND(Plan1!G1230,"AAAAAD0/2go=")</f>
        <v>#VALUE!</v>
      </c>
      <c r="L73" t="e">
        <f>AND(Plan1!H1230,"AAAAAD0/2gs=")</f>
        <v>#VALUE!</v>
      </c>
      <c r="M73" t="e">
        <f>AND(Plan1!I1230,"AAAAAD0/2gw=")</f>
        <v>#VALUE!</v>
      </c>
      <c r="N73" t="e">
        <f>AND(Plan1!J1230,"AAAAAD0/2g0=")</f>
        <v>#VALUE!</v>
      </c>
      <c r="O73" t="e">
        <f>AND(Plan1!K1230,"AAAAAD0/2g4=")</f>
        <v>#VALUE!</v>
      </c>
      <c r="P73" t="e">
        <f>AND(Plan1!L1230,"AAAAAD0/2g8=")</f>
        <v>#VALUE!</v>
      </c>
      <c r="Q73" t="e">
        <f>AND(Plan1!M1230,"AAAAAD0/2hA=")</f>
        <v>#VALUE!</v>
      </c>
      <c r="R73" t="e">
        <f>AND(Plan1!N1230,"AAAAAD0/2hE=")</f>
        <v>#VALUE!</v>
      </c>
      <c r="S73">
        <f>IF(Plan1!1231:1231,"AAAAAD0/2hI=",0)</f>
        <v>0</v>
      </c>
      <c r="T73" t="e">
        <f>AND(Plan1!A1231,"AAAAAD0/2hM=")</f>
        <v>#VALUE!</v>
      </c>
      <c r="U73" t="e">
        <f>AND(Plan1!B1231,"AAAAAD0/2hQ=")</f>
        <v>#VALUE!</v>
      </c>
      <c r="V73" t="e">
        <f>AND(Plan1!C1231,"AAAAAD0/2hU=")</f>
        <v>#VALUE!</v>
      </c>
      <c r="W73" t="e">
        <f>AND(Plan1!D1231,"AAAAAD0/2hY=")</f>
        <v>#VALUE!</v>
      </c>
      <c r="X73" t="e">
        <f>AND(Plan1!E1231,"AAAAAD0/2hc=")</f>
        <v>#VALUE!</v>
      </c>
      <c r="Y73" t="e">
        <f>AND(Plan1!F1231,"AAAAAD0/2hg=")</f>
        <v>#VALUE!</v>
      </c>
      <c r="Z73" t="e">
        <f>AND(Plan1!G1231,"AAAAAD0/2hk=")</f>
        <v>#VALUE!</v>
      </c>
      <c r="AA73" t="e">
        <f>AND(Plan1!H1231,"AAAAAD0/2ho=")</f>
        <v>#VALUE!</v>
      </c>
      <c r="AB73" t="e">
        <f>AND(Plan1!I1231,"AAAAAD0/2hs=")</f>
        <v>#VALUE!</v>
      </c>
      <c r="AC73" t="e">
        <f>AND(Plan1!J1231,"AAAAAD0/2hw=")</f>
        <v>#VALUE!</v>
      </c>
      <c r="AD73" t="e">
        <f>AND(Plan1!K1231,"AAAAAD0/2h0=")</f>
        <v>#VALUE!</v>
      </c>
      <c r="AE73" t="e">
        <f>AND(Plan1!L1231,"AAAAAD0/2h4=")</f>
        <v>#VALUE!</v>
      </c>
      <c r="AF73" t="e">
        <f>AND(Plan1!M1231,"AAAAAD0/2h8=")</f>
        <v>#VALUE!</v>
      </c>
      <c r="AG73" t="e">
        <f>AND(Plan1!N1231,"AAAAAD0/2iA=")</f>
        <v>#VALUE!</v>
      </c>
      <c r="AH73">
        <f>IF(Plan1!1232:1232,"AAAAAD0/2iE=",0)</f>
        <v>0</v>
      </c>
      <c r="AI73" t="e">
        <f>AND(Plan1!A1232,"AAAAAD0/2iI=")</f>
        <v>#VALUE!</v>
      </c>
      <c r="AJ73" t="e">
        <f>AND(Plan1!B1232,"AAAAAD0/2iM=")</f>
        <v>#VALUE!</v>
      </c>
      <c r="AK73" t="e">
        <f>AND(Plan1!C1232,"AAAAAD0/2iQ=")</f>
        <v>#VALUE!</v>
      </c>
      <c r="AL73" t="e">
        <f>AND(Plan1!D1232,"AAAAAD0/2iU=")</f>
        <v>#VALUE!</v>
      </c>
      <c r="AM73" t="e">
        <f>AND(Plan1!E1232,"AAAAAD0/2iY=")</f>
        <v>#VALUE!</v>
      </c>
      <c r="AN73" t="e">
        <f>AND(Plan1!F1232,"AAAAAD0/2ic=")</f>
        <v>#VALUE!</v>
      </c>
      <c r="AO73" t="e">
        <f>AND(Plan1!G1232,"AAAAAD0/2ig=")</f>
        <v>#VALUE!</v>
      </c>
      <c r="AP73" t="e">
        <f>AND(Plan1!H1232,"AAAAAD0/2ik=")</f>
        <v>#VALUE!</v>
      </c>
      <c r="AQ73" t="e">
        <f>AND(Plan1!I1232,"AAAAAD0/2io=")</f>
        <v>#VALUE!</v>
      </c>
      <c r="AR73" t="e">
        <f>AND(Plan1!J1232,"AAAAAD0/2is=")</f>
        <v>#VALUE!</v>
      </c>
      <c r="AS73" t="e">
        <f>AND(Plan1!K1232,"AAAAAD0/2iw=")</f>
        <v>#VALUE!</v>
      </c>
      <c r="AT73" t="e">
        <f>AND(Plan1!L1232,"AAAAAD0/2i0=")</f>
        <v>#VALUE!</v>
      </c>
      <c r="AU73" t="e">
        <f>AND(Plan1!M1232,"AAAAAD0/2i4=")</f>
        <v>#VALUE!</v>
      </c>
      <c r="AV73" t="e">
        <f>AND(Plan1!N1232,"AAAAAD0/2i8=")</f>
        <v>#VALUE!</v>
      </c>
      <c r="AW73">
        <f>IF(Plan1!1233:1233,"AAAAAD0/2jA=",0)</f>
        <v>0</v>
      </c>
      <c r="AX73" t="e">
        <f>AND(Plan1!A1233,"AAAAAD0/2jE=")</f>
        <v>#VALUE!</v>
      </c>
      <c r="AY73" t="e">
        <f>AND(Plan1!B1233,"AAAAAD0/2jI=")</f>
        <v>#VALUE!</v>
      </c>
      <c r="AZ73" t="e">
        <f>AND(Plan1!C1233,"AAAAAD0/2jM=")</f>
        <v>#VALUE!</v>
      </c>
      <c r="BA73" t="e">
        <f>AND(Plan1!D1233,"AAAAAD0/2jQ=")</f>
        <v>#VALUE!</v>
      </c>
      <c r="BB73" t="e">
        <f>AND(Plan1!E1233,"AAAAAD0/2jU=")</f>
        <v>#VALUE!</v>
      </c>
      <c r="BC73" t="e">
        <f>AND(Plan1!F1233,"AAAAAD0/2jY=")</f>
        <v>#VALUE!</v>
      </c>
      <c r="BD73" t="e">
        <f>AND(Plan1!G1233,"AAAAAD0/2jc=")</f>
        <v>#VALUE!</v>
      </c>
      <c r="BE73" t="e">
        <f>AND(Plan1!H1233,"AAAAAD0/2jg=")</f>
        <v>#VALUE!</v>
      </c>
      <c r="BF73" t="e">
        <f>AND(Plan1!I1233,"AAAAAD0/2jk=")</f>
        <v>#VALUE!</v>
      </c>
      <c r="BG73" t="e">
        <f>AND(Plan1!J1233,"AAAAAD0/2jo=")</f>
        <v>#VALUE!</v>
      </c>
      <c r="BH73" t="e">
        <f>AND(Plan1!K1233,"AAAAAD0/2js=")</f>
        <v>#VALUE!</v>
      </c>
      <c r="BI73" t="e">
        <f>AND(Plan1!L1233,"AAAAAD0/2jw=")</f>
        <v>#VALUE!</v>
      </c>
      <c r="BJ73" t="e">
        <f>AND(Plan1!M1233,"AAAAAD0/2j0=")</f>
        <v>#VALUE!</v>
      </c>
      <c r="BK73" t="e">
        <f>AND(Plan1!N1233,"AAAAAD0/2j4=")</f>
        <v>#VALUE!</v>
      </c>
      <c r="BL73">
        <f>IF(Plan1!1234:1234,"AAAAAD0/2j8=",0)</f>
        <v>0</v>
      </c>
      <c r="BM73" t="e">
        <f>AND(Plan1!A1234,"AAAAAD0/2kA=")</f>
        <v>#VALUE!</v>
      </c>
      <c r="BN73" t="e">
        <f>AND(Plan1!B1234,"AAAAAD0/2kE=")</f>
        <v>#VALUE!</v>
      </c>
      <c r="BO73" t="e">
        <f>AND(Plan1!C1234,"AAAAAD0/2kI=")</f>
        <v>#VALUE!</v>
      </c>
      <c r="BP73" t="e">
        <f>AND(Plan1!D1234,"AAAAAD0/2kM=")</f>
        <v>#VALUE!</v>
      </c>
      <c r="BQ73" t="e">
        <f>AND(Plan1!E1234,"AAAAAD0/2kQ=")</f>
        <v>#VALUE!</v>
      </c>
      <c r="BR73" t="e">
        <f>AND(Plan1!F1234,"AAAAAD0/2kU=")</f>
        <v>#VALUE!</v>
      </c>
      <c r="BS73" t="e">
        <f>AND(Plan1!G1234,"AAAAAD0/2kY=")</f>
        <v>#VALUE!</v>
      </c>
      <c r="BT73" t="e">
        <f>AND(Plan1!H1234,"AAAAAD0/2kc=")</f>
        <v>#VALUE!</v>
      </c>
      <c r="BU73" t="e">
        <f>AND(Plan1!I1234,"AAAAAD0/2kg=")</f>
        <v>#VALUE!</v>
      </c>
      <c r="BV73" t="e">
        <f>AND(Plan1!J1234,"AAAAAD0/2kk=")</f>
        <v>#VALUE!</v>
      </c>
      <c r="BW73" t="e">
        <f>AND(Plan1!K1234,"AAAAAD0/2ko=")</f>
        <v>#VALUE!</v>
      </c>
      <c r="BX73" t="e">
        <f>AND(Plan1!L1234,"AAAAAD0/2ks=")</f>
        <v>#VALUE!</v>
      </c>
      <c r="BY73" t="e">
        <f>AND(Plan1!M1234,"AAAAAD0/2kw=")</f>
        <v>#VALUE!</v>
      </c>
      <c r="BZ73" t="e">
        <f>AND(Plan1!N1234,"AAAAAD0/2k0=")</f>
        <v>#VALUE!</v>
      </c>
      <c r="CA73">
        <f>IF(Plan1!1235:1235,"AAAAAD0/2k4=",0)</f>
        <v>0</v>
      </c>
      <c r="CB73" t="e">
        <f>AND(Plan1!A1235,"AAAAAD0/2k8=")</f>
        <v>#VALUE!</v>
      </c>
      <c r="CC73" t="e">
        <f>AND(Plan1!B1235,"AAAAAD0/2lA=")</f>
        <v>#VALUE!</v>
      </c>
      <c r="CD73" t="e">
        <f>AND(Plan1!C1235,"AAAAAD0/2lE=")</f>
        <v>#VALUE!</v>
      </c>
      <c r="CE73" t="e">
        <f>AND(Plan1!D1235,"AAAAAD0/2lI=")</f>
        <v>#VALUE!</v>
      </c>
      <c r="CF73" t="e">
        <f>AND(Plan1!E1235,"AAAAAD0/2lM=")</f>
        <v>#VALUE!</v>
      </c>
      <c r="CG73" t="e">
        <f>AND(Plan1!F1235,"AAAAAD0/2lQ=")</f>
        <v>#VALUE!</v>
      </c>
      <c r="CH73" t="e">
        <f>AND(Plan1!G1235,"AAAAAD0/2lU=")</f>
        <v>#VALUE!</v>
      </c>
      <c r="CI73" t="e">
        <f>AND(Plan1!H1235,"AAAAAD0/2lY=")</f>
        <v>#VALUE!</v>
      </c>
      <c r="CJ73" t="e">
        <f>AND(Plan1!I1235,"AAAAAD0/2lc=")</f>
        <v>#VALUE!</v>
      </c>
      <c r="CK73" t="e">
        <f>AND(Plan1!J1235,"AAAAAD0/2lg=")</f>
        <v>#VALUE!</v>
      </c>
      <c r="CL73" t="e">
        <f>AND(Plan1!K1235,"AAAAAD0/2lk=")</f>
        <v>#VALUE!</v>
      </c>
      <c r="CM73" t="e">
        <f>AND(Plan1!L1235,"AAAAAD0/2lo=")</f>
        <v>#VALUE!</v>
      </c>
      <c r="CN73" t="e">
        <f>AND(Plan1!M1235,"AAAAAD0/2ls=")</f>
        <v>#VALUE!</v>
      </c>
      <c r="CO73" t="e">
        <f>AND(Plan1!N1235,"AAAAAD0/2lw=")</f>
        <v>#VALUE!</v>
      </c>
      <c r="CP73">
        <f>IF(Plan1!1236:1236,"AAAAAD0/2l0=",0)</f>
        <v>0</v>
      </c>
      <c r="CQ73" t="e">
        <f>AND(Plan1!A1236,"AAAAAD0/2l4=")</f>
        <v>#VALUE!</v>
      </c>
      <c r="CR73" t="e">
        <f>AND(Plan1!B1236,"AAAAAD0/2l8=")</f>
        <v>#VALUE!</v>
      </c>
      <c r="CS73" t="e">
        <f>AND(Plan1!C1236,"AAAAAD0/2mA=")</f>
        <v>#VALUE!</v>
      </c>
      <c r="CT73" t="e">
        <f>AND(Plan1!D1236,"AAAAAD0/2mE=")</f>
        <v>#VALUE!</v>
      </c>
      <c r="CU73" t="e">
        <f>AND(Plan1!E1236,"AAAAAD0/2mI=")</f>
        <v>#VALUE!</v>
      </c>
      <c r="CV73" t="e">
        <f>AND(Plan1!F1236,"AAAAAD0/2mM=")</f>
        <v>#VALUE!</v>
      </c>
      <c r="CW73" t="e">
        <f>AND(Plan1!G1236,"AAAAAD0/2mQ=")</f>
        <v>#VALUE!</v>
      </c>
      <c r="CX73" t="e">
        <f>AND(Plan1!H1236,"AAAAAD0/2mU=")</f>
        <v>#VALUE!</v>
      </c>
      <c r="CY73" t="e">
        <f>AND(Plan1!I1236,"AAAAAD0/2mY=")</f>
        <v>#VALUE!</v>
      </c>
      <c r="CZ73" t="e">
        <f>AND(Plan1!J1236,"AAAAAD0/2mc=")</f>
        <v>#VALUE!</v>
      </c>
      <c r="DA73" t="e">
        <f>AND(Plan1!K1236,"AAAAAD0/2mg=")</f>
        <v>#VALUE!</v>
      </c>
      <c r="DB73" t="e">
        <f>AND(Plan1!L1236,"AAAAAD0/2mk=")</f>
        <v>#VALUE!</v>
      </c>
      <c r="DC73" t="e">
        <f>AND(Plan1!M1236,"AAAAAD0/2mo=")</f>
        <v>#VALUE!</v>
      </c>
      <c r="DD73" t="e">
        <f>AND(Plan1!N1236,"AAAAAD0/2ms=")</f>
        <v>#VALUE!</v>
      </c>
      <c r="DE73">
        <f>IF(Plan1!1237:1237,"AAAAAD0/2mw=",0)</f>
        <v>0</v>
      </c>
      <c r="DF73" t="e">
        <f>AND(Plan1!A1237,"AAAAAD0/2m0=")</f>
        <v>#VALUE!</v>
      </c>
      <c r="DG73" t="e">
        <f>AND(Plan1!B1237,"AAAAAD0/2m4=")</f>
        <v>#VALUE!</v>
      </c>
      <c r="DH73" t="e">
        <f>AND(Plan1!C1237,"AAAAAD0/2m8=")</f>
        <v>#VALUE!</v>
      </c>
      <c r="DI73" t="e">
        <f>AND(Plan1!D1237,"AAAAAD0/2nA=")</f>
        <v>#VALUE!</v>
      </c>
      <c r="DJ73" t="e">
        <f>AND(Plan1!E1237,"AAAAAD0/2nE=")</f>
        <v>#VALUE!</v>
      </c>
      <c r="DK73" t="e">
        <f>AND(Plan1!F1237,"AAAAAD0/2nI=")</f>
        <v>#VALUE!</v>
      </c>
      <c r="DL73" t="e">
        <f>AND(Plan1!G1237,"AAAAAD0/2nM=")</f>
        <v>#VALUE!</v>
      </c>
      <c r="DM73" t="e">
        <f>AND(Plan1!H1237,"AAAAAD0/2nQ=")</f>
        <v>#VALUE!</v>
      </c>
      <c r="DN73" t="e">
        <f>AND(Plan1!I1237,"AAAAAD0/2nU=")</f>
        <v>#VALUE!</v>
      </c>
      <c r="DO73" t="e">
        <f>AND(Plan1!J1237,"AAAAAD0/2nY=")</f>
        <v>#VALUE!</v>
      </c>
      <c r="DP73" t="e">
        <f>AND(Plan1!K1237,"AAAAAD0/2nc=")</f>
        <v>#VALUE!</v>
      </c>
      <c r="DQ73" t="e">
        <f>AND(Plan1!L1237,"AAAAAD0/2ng=")</f>
        <v>#VALUE!</v>
      </c>
      <c r="DR73" t="e">
        <f>AND(Plan1!M1237,"AAAAAD0/2nk=")</f>
        <v>#VALUE!</v>
      </c>
      <c r="DS73" t="e">
        <f>AND(Plan1!N1237,"AAAAAD0/2no=")</f>
        <v>#VALUE!</v>
      </c>
      <c r="DT73">
        <f>IF(Plan1!1238:1238,"AAAAAD0/2ns=",0)</f>
        <v>0</v>
      </c>
      <c r="DU73" t="e">
        <f>AND(Plan1!A1238,"AAAAAD0/2nw=")</f>
        <v>#VALUE!</v>
      </c>
      <c r="DV73" t="e">
        <f>AND(Plan1!B1238,"AAAAAD0/2n0=")</f>
        <v>#VALUE!</v>
      </c>
      <c r="DW73" t="e">
        <f>AND(Plan1!C1238,"AAAAAD0/2n4=")</f>
        <v>#VALUE!</v>
      </c>
      <c r="DX73" t="e">
        <f>AND(Plan1!D1238,"AAAAAD0/2n8=")</f>
        <v>#VALUE!</v>
      </c>
      <c r="DY73" t="e">
        <f>AND(Plan1!E1238,"AAAAAD0/2oA=")</f>
        <v>#VALUE!</v>
      </c>
      <c r="DZ73" t="e">
        <f>AND(Plan1!F1238,"AAAAAD0/2oE=")</f>
        <v>#VALUE!</v>
      </c>
      <c r="EA73" t="e">
        <f>AND(Plan1!G1238,"AAAAAD0/2oI=")</f>
        <v>#VALUE!</v>
      </c>
      <c r="EB73" t="e">
        <f>AND(Plan1!H1238,"AAAAAD0/2oM=")</f>
        <v>#VALUE!</v>
      </c>
      <c r="EC73" t="e">
        <f>AND(Plan1!I1238,"AAAAAD0/2oQ=")</f>
        <v>#VALUE!</v>
      </c>
      <c r="ED73" t="e">
        <f>AND(Plan1!J1238,"AAAAAD0/2oU=")</f>
        <v>#VALUE!</v>
      </c>
      <c r="EE73" t="e">
        <f>AND(Plan1!K1238,"AAAAAD0/2oY=")</f>
        <v>#VALUE!</v>
      </c>
      <c r="EF73" t="e">
        <f>AND(Plan1!L1238,"AAAAAD0/2oc=")</f>
        <v>#VALUE!</v>
      </c>
      <c r="EG73" t="e">
        <f>AND(Plan1!M1238,"AAAAAD0/2og=")</f>
        <v>#VALUE!</v>
      </c>
      <c r="EH73" t="e">
        <f>AND(Plan1!N1238,"AAAAAD0/2ok=")</f>
        <v>#VALUE!</v>
      </c>
      <c r="EI73">
        <f>IF(Plan1!1239:1239,"AAAAAD0/2oo=",0)</f>
        <v>0</v>
      </c>
      <c r="EJ73" t="e">
        <f>AND(Plan1!A1239,"AAAAAD0/2os=")</f>
        <v>#VALUE!</v>
      </c>
      <c r="EK73" t="e">
        <f>AND(Plan1!B1239,"AAAAAD0/2ow=")</f>
        <v>#VALUE!</v>
      </c>
      <c r="EL73" t="e">
        <f>AND(Plan1!C1239,"AAAAAD0/2o0=")</f>
        <v>#VALUE!</v>
      </c>
      <c r="EM73" t="e">
        <f>AND(Plan1!D1239,"AAAAAD0/2o4=")</f>
        <v>#VALUE!</v>
      </c>
      <c r="EN73" t="e">
        <f>AND(Plan1!E1239,"AAAAAD0/2o8=")</f>
        <v>#VALUE!</v>
      </c>
      <c r="EO73" t="e">
        <f>AND(Plan1!F1239,"AAAAAD0/2pA=")</f>
        <v>#VALUE!</v>
      </c>
      <c r="EP73" t="e">
        <f>AND(Plan1!G1239,"AAAAAD0/2pE=")</f>
        <v>#VALUE!</v>
      </c>
      <c r="EQ73" t="e">
        <f>AND(Plan1!H1239,"AAAAAD0/2pI=")</f>
        <v>#VALUE!</v>
      </c>
      <c r="ER73" t="e">
        <f>AND(Plan1!I1239,"AAAAAD0/2pM=")</f>
        <v>#VALUE!</v>
      </c>
      <c r="ES73" t="e">
        <f>AND(Plan1!J1239,"AAAAAD0/2pQ=")</f>
        <v>#VALUE!</v>
      </c>
      <c r="ET73" t="e">
        <f>AND(Plan1!K1239,"AAAAAD0/2pU=")</f>
        <v>#VALUE!</v>
      </c>
      <c r="EU73" t="e">
        <f>AND(Plan1!L1239,"AAAAAD0/2pY=")</f>
        <v>#VALUE!</v>
      </c>
      <c r="EV73" t="e">
        <f>AND(Plan1!M1239,"AAAAAD0/2pc=")</f>
        <v>#VALUE!</v>
      </c>
      <c r="EW73" t="e">
        <f>AND(Plan1!N1239,"AAAAAD0/2pg=")</f>
        <v>#VALUE!</v>
      </c>
      <c r="EX73">
        <f>IF(Plan1!1240:1240,"AAAAAD0/2pk=",0)</f>
        <v>0</v>
      </c>
      <c r="EY73" t="e">
        <f>AND(Plan1!A1240,"AAAAAD0/2po=")</f>
        <v>#VALUE!</v>
      </c>
      <c r="EZ73" t="e">
        <f>AND(Plan1!B1240,"AAAAAD0/2ps=")</f>
        <v>#VALUE!</v>
      </c>
      <c r="FA73" t="e">
        <f>AND(Plan1!C1240,"AAAAAD0/2pw=")</f>
        <v>#VALUE!</v>
      </c>
      <c r="FB73" t="e">
        <f>AND(Plan1!D1240,"AAAAAD0/2p0=")</f>
        <v>#VALUE!</v>
      </c>
      <c r="FC73" t="e">
        <f>AND(Plan1!E1240,"AAAAAD0/2p4=")</f>
        <v>#VALUE!</v>
      </c>
      <c r="FD73" t="e">
        <f>AND(Plan1!F1240,"AAAAAD0/2p8=")</f>
        <v>#VALUE!</v>
      </c>
      <c r="FE73" t="e">
        <f>AND(Plan1!G1240,"AAAAAD0/2qA=")</f>
        <v>#VALUE!</v>
      </c>
      <c r="FF73" t="e">
        <f>AND(Plan1!H1240,"AAAAAD0/2qE=")</f>
        <v>#VALUE!</v>
      </c>
      <c r="FG73" t="e">
        <f>AND(Plan1!I1240,"AAAAAD0/2qI=")</f>
        <v>#VALUE!</v>
      </c>
      <c r="FH73" t="e">
        <f>AND(Plan1!J1240,"AAAAAD0/2qM=")</f>
        <v>#VALUE!</v>
      </c>
      <c r="FI73" t="e">
        <f>AND(Plan1!K1240,"AAAAAD0/2qQ=")</f>
        <v>#VALUE!</v>
      </c>
      <c r="FJ73" t="e">
        <f>AND(Plan1!L1240,"AAAAAD0/2qU=")</f>
        <v>#VALUE!</v>
      </c>
      <c r="FK73" t="e">
        <f>AND(Plan1!M1240,"AAAAAD0/2qY=")</f>
        <v>#VALUE!</v>
      </c>
      <c r="FL73" t="e">
        <f>AND(Plan1!N1240,"AAAAAD0/2qc=")</f>
        <v>#VALUE!</v>
      </c>
      <c r="FM73">
        <f>IF(Plan1!1241:1241,"AAAAAD0/2qg=",0)</f>
        <v>0</v>
      </c>
      <c r="FN73" t="e">
        <f>AND(Plan1!A1241,"AAAAAD0/2qk=")</f>
        <v>#VALUE!</v>
      </c>
      <c r="FO73" t="e">
        <f>AND(Plan1!B1241,"AAAAAD0/2qo=")</f>
        <v>#VALUE!</v>
      </c>
      <c r="FP73" t="e">
        <f>AND(Plan1!C1241,"AAAAAD0/2qs=")</f>
        <v>#VALUE!</v>
      </c>
      <c r="FQ73" t="e">
        <f>AND(Plan1!D1241,"AAAAAD0/2qw=")</f>
        <v>#VALUE!</v>
      </c>
      <c r="FR73" t="e">
        <f>AND(Plan1!E1241,"AAAAAD0/2q0=")</f>
        <v>#VALUE!</v>
      </c>
      <c r="FS73" t="e">
        <f>AND(Plan1!F1241,"AAAAAD0/2q4=")</f>
        <v>#VALUE!</v>
      </c>
      <c r="FT73" t="e">
        <f>AND(Plan1!G1241,"AAAAAD0/2q8=")</f>
        <v>#VALUE!</v>
      </c>
      <c r="FU73" t="e">
        <f>AND(Plan1!H1241,"AAAAAD0/2rA=")</f>
        <v>#VALUE!</v>
      </c>
      <c r="FV73" t="e">
        <f>AND(Plan1!I1241,"AAAAAD0/2rE=")</f>
        <v>#VALUE!</v>
      </c>
      <c r="FW73" t="e">
        <f>AND(Plan1!J1241,"AAAAAD0/2rI=")</f>
        <v>#VALUE!</v>
      </c>
      <c r="FX73" t="e">
        <f>AND(Plan1!K1241,"AAAAAD0/2rM=")</f>
        <v>#VALUE!</v>
      </c>
      <c r="FY73" t="e">
        <f>AND(Plan1!L1241,"AAAAAD0/2rQ=")</f>
        <v>#VALUE!</v>
      </c>
      <c r="FZ73" t="e">
        <f>AND(Plan1!M1241,"AAAAAD0/2rU=")</f>
        <v>#VALUE!</v>
      </c>
      <c r="GA73" t="e">
        <f>AND(Plan1!N1241,"AAAAAD0/2rY=")</f>
        <v>#VALUE!</v>
      </c>
      <c r="GB73">
        <f>IF(Plan1!1242:1242,"AAAAAD0/2rc=",0)</f>
        <v>0</v>
      </c>
      <c r="GC73" t="e">
        <f>AND(Plan1!A1242,"AAAAAD0/2rg=")</f>
        <v>#VALUE!</v>
      </c>
      <c r="GD73" t="e">
        <f>AND(Plan1!B1242,"AAAAAD0/2rk=")</f>
        <v>#VALUE!</v>
      </c>
      <c r="GE73" t="e">
        <f>AND(Plan1!C1242,"AAAAAD0/2ro=")</f>
        <v>#VALUE!</v>
      </c>
      <c r="GF73" t="e">
        <f>AND(Plan1!D1242,"AAAAAD0/2rs=")</f>
        <v>#VALUE!</v>
      </c>
      <c r="GG73" t="e">
        <f>AND(Plan1!E1242,"AAAAAD0/2rw=")</f>
        <v>#VALUE!</v>
      </c>
      <c r="GH73" t="e">
        <f>AND(Plan1!F1242,"AAAAAD0/2r0=")</f>
        <v>#VALUE!</v>
      </c>
      <c r="GI73" t="e">
        <f>AND(Plan1!G1242,"AAAAAD0/2r4=")</f>
        <v>#VALUE!</v>
      </c>
      <c r="GJ73" t="e">
        <f>AND(Plan1!H1242,"AAAAAD0/2r8=")</f>
        <v>#VALUE!</v>
      </c>
      <c r="GK73" t="e">
        <f>AND(Plan1!I1242,"AAAAAD0/2sA=")</f>
        <v>#VALUE!</v>
      </c>
      <c r="GL73" t="e">
        <f>AND(Plan1!J1242,"AAAAAD0/2sE=")</f>
        <v>#VALUE!</v>
      </c>
      <c r="GM73" t="e">
        <f>AND(Plan1!K1242,"AAAAAD0/2sI=")</f>
        <v>#VALUE!</v>
      </c>
      <c r="GN73" t="e">
        <f>AND(Plan1!L1242,"AAAAAD0/2sM=")</f>
        <v>#VALUE!</v>
      </c>
      <c r="GO73" t="e">
        <f>AND(Plan1!M1242,"AAAAAD0/2sQ=")</f>
        <v>#VALUE!</v>
      </c>
      <c r="GP73" t="e">
        <f>AND(Plan1!N1242,"AAAAAD0/2sU=")</f>
        <v>#VALUE!</v>
      </c>
      <c r="GQ73">
        <f>IF(Plan1!1243:1243,"AAAAAD0/2sY=",0)</f>
        <v>0</v>
      </c>
      <c r="GR73" t="e">
        <f>AND(Plan1!A1243,"AAAAAD0/2sc=")</f>
        <v>#VALUE!</v>
      </c>
      <c r="GS73" t="e">
        <f>AND(Plan1!B1243,"AAAAAD0/2sg=")</f>
        <v>#VALUE!</v>
      </c>
      <c r="GT73" t="e">
        <f>AND(Plan1!C1243,"AAAAAD0/2sk=")</f>
        <v>#VALUE!</v>
      </c>
      <c r="GU73" t="e">
        <f>AND(Plan1!D1243,"AAAAAD0/2so=")</f>
        <v>#VALUE!</v>
      </c>
      <c r="GV73" t="e">
        <f>AND(Plan1!E1243,"AAAAAD0/2ss=")</f>
        <v>#VALUE!</v>
      </c>
      <c r="GW73" t="e">
        <f>AND(Plan1!F1243,"AAAAAD0/2sw=")</f>
        <v>#VALUE!</v>
      </c>
      <c r="GX73" t="e">
        <f>AND(Plan1!G1243,"AAAAAD0/2s0=")</f>
        <v>#VALUE!</v>
      </c>
      <c r="GY73" t="e">
        <f>AND(Plan1!H1243,"AAAAAD0/2s4=")</f>
        <v>#VALUE!</v>
      </c>
      <c r="GZ73" t="e">
        <f>AND(Plan1!I1243,"AAAAAD0/2s8=")</f>
        <v>#VALUE!</v>
      </c>
      <c r="HA73" t="e">
        <f>AND(Plan1!J1243,"AAAAAD0/2tA=")</f>
        <v>#VALUE!</v>
      </c>
      <c r="HB73" t="e">
        <f>AND(Plan1!K1243,"AAAAAD0/2tE=")</f>
        <v>#VALUE!</v>
      </c>
      <c r="HC73" t="e">
        <f>AND(Plan1!L1243,"AAAAAD0/2tI=")</f>
        <v>#VALUE!</v>
      </c>
      <c r="HD73" t="e">
        <f>AND(Plan1!M1243,"AAAAAD0/2tM=")</f>
        <v>#VALUE!</v>
      </c>
      <c r="HE73" t="e">
        <f>AND(Plan1!N1243,"AAAAAD0/2tQ=")</f>
        <v>#VALUE!</v>
      </c>
      <c r="HF73" t="e">
        <f>IF(Plan1!A:A,"AAAAAD0/2tU=",0)</f>
        <v>#VALUE!</v>
      </c>
      <c r="HG73" t="e">
        <f>IF(Plan1!B:B,"AAAAAD0/2tY=",0)</f>
        <v>#VALUE!</v>
      </c>
      <c r="HH73" t="str">
        <f>IF(Plan1!C:C,"AAAAAD0/2tc=",0)</f>
        <v>AAAAAD0/2tc=</v>
      </c>
      <c r="HI73" t="e">
        <f>IF(Plan1!D:D,"AAAAAD0/2tg=",0)</f>
        <v>#VALUE!</v>
      </c>
      <c r="HJ73">
        <f>IF(Plan1!E:E,"AAAAAD0/2tk=",0)</f>
        <v>0</v>
      </c>
      <c r="HK73">
        <f>IF(Plan1!F:F,"AAAAAD0/2to=",0)</f>
        <v>0</v>
      </c>
      <c r="HL73">
        <f>IF(Plan1!G:G,"AAAAAD0/2ts=",0)</f>
        <v>0</v>
      </c>
      <c r="HM73" t="str">
        <f>IF(Plan1!H:H,"AAAAAD0/2tw=",0)</f>
        <v>AAAAAD0/2tw=</v>
      </c>
      <c r="HN73" t="str">
        <f>IF(Plan1!I:I,"AAAAAD0/2t0=",0)</f>
        <v>AAAAAD0/2t0=</v>
      </c>
      <c r="HO73">
        <f>IF(Plan1!J:J,"AAAAAD0/2t4=",0)</f>
        <v>0</v>
      </c>
      <c r="HP73">
        <f>IF(Plan1!K:K,"AAAAAD0/2t8=",0)</f>
        <v>0</v>
      </c>
      <c r="HQ73" t="e">
        <f>IF(Plan1!L:L,"AAAAAD0/2uA=",0)</f>
        <v>#VALUE!</v>
      </c>
      <c r="HR73" t="e">
        <f>IF(Plan1!M:M,"AAAAAD0/2uE=",0)</f>
        <v>#VALUE!</v>
      </c>
      <c r="HS73" t="e">
        <f>IF(Plan1!N:N,"AAAAAD0/2uI=",0)</f>
        <v>#VALUE!</v>
      </c>
      <c r="HT73">
        <f>IF(Plan2!1:1,"AAAAAD0/2uM=",0)</f>
        <v>0</v>
      </c>
      <c r="HU73" t="e">
        <f>AND(Plan2!A1,"AAAAAD0/2uQ=")</f>
        <v>#VALUE!</v>
      </c>
      <c r="HV73">
        <f>IF(Plan2!A:A,"AAAAAD0/2uU=",0)</f>
        <v>0</v>
      </c>
      <c r="HW73">
        <f>IF(Plan3!1:1,"AAAAAD0/2uY=",0)</f>
        <v>0</v>
      </c>
      <c r="HX73" t="e">
        <f>AND(Plan3!A1,"AAAAAD0/2uc=")</f>
        <v>#VALUE!</v>
      </c>
      <c r="HY73">
        <f>IF(Plan3!A:A,"AAAAAD0/2ug=",0)</f>
        <v>0</v>
      </c>
      <c r="HZ73" t="s">
        <v>4429</v>
      </c>
      <c r="IA73" t="e">
        <f>IF("N",Plan1!scopus,"AAAAAD0/2uo=")</f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Plan1!scopus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moacir junior</dc:creator>
  <cp:lastModifiedBy>moacir junior</cp:lastModifiedBy>
  <dcterms:created xsi:type="dcterms:W3CDTF">2013-03-13T21:00:52Z</dcterms:created>
  <dcterms:modified xsi:type="dcterms:W3CDTF">2013-03-13T21:02:23Z</dcterms:modified>
</cp:coreProperties>
</file>